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Dati Torneo" sheetId="1" r:id="rId1"/>
    <sheet name="Risultati Gironi" sheetId="2" r:id="rId2"/>
    <sheet name="Risultati 2a Fase" sheetId="3" r:id="rId3"/>
    <sheet name="Calcolo" sheetId="4" r:id="rId4"/>
    <sheet name="Calendario Gironi" sheetId="5" r:id="rId5"/>
    <sheet name="Classifiche Gironi" sheetId="6" r:id="rId6"/>
    <sheet name="Calendario Seconda Fase" sheetId="7" r:id="rId7"/>
    <sheet name="Tabellone Principale" sheetId="8" r:id="rId8"/>
    <sheet name="Classifica Finale" sheetId="9" r:id="rId9"/>
  </sheets>
  <definedNames>
    <definedName name="B_CLASSIFICA_GIRONE_A">Calcolo!$Y$3:$AS$6</definedName>
    <definedName name="B_CLASSIFICA_GIRONE_B">Calcolo!$Y$7:$AS$10</definedName>
    <definedName name="B_CLASSIFICA_GIRONE_C">Calcolo!$Y$11:$AS$14</definedName>
    <definedName name="B_CLASSIFICA_GIRONE_D">Calcolo!$Y$15:$AS$18</definedName>
    <definedName name="B_CLASSIFICA_GIRONE_E">Calcolo!$Y$19:$AS$22</definedName>
    <definedName name="B_CLASSIFICA_GIRONE_F">Calcolo!$Y$23:$AS$26</definedName>
    <definedName name="B_CLASSIFICA_GIRONE_G">Calcolo!$Y$27:$AS$30</definedName>
    <definedName name="B_CLASSIFICA_GIRONE_H">Calcolo!$Y$31:$AS$34</definedName>
    <definedName name="B_CLASSIFICHE_GIRONI">Calcolo!$Y$3:$AS$34</definedName>
    <definedName name="B_COEFF_GIRONE_A">Calcolo!$AS$3:$AS$6</definedName>
    <definedName name="B_COEFF_GIRONE_B">Calcolo!$AS$7:$AS$10</definedName>
    <definedName name="B_COEFF_GIRONE_C">Calcolo!$AS$11:$AS$14</definedName>
    <definedName name="B_COEFF_GIRONE_D">Calcolo!$AS$15:$AS$18</definedName>
    <definedName name="B_COEFF_GIRONE_E">Calcolo!$AS$19:$AS$22</definedName>
    <definedName name="B_COEFF_GIRONE_F">Calcolo!$AS$23:$AS$26</definedName>
    <definedName name="B_COEFF_GIRONE_G">Calcolo!$AS$27:$AS$30</definedName>
    <definedName name="B_COEFF_GIRONE_H">Calcolo!$AS$31:$AS$34</definedName>
    <definedName name="B_DIFF_CANESTRI_SQUADRA_A_GIRONI">Calcolo!$Q$3:$Q$50</definedName>
    <definedName name="B_DIFF_CANESTRI_SQUADRA_B_GIRONI">Calcolo!$W$3:$W$50</definedName>
    <definedName name="B_FORFAIT_SQUADRA_A_GIRONI">Calcolo!$N$3:$N$50</definedName>
    <definedName name="B_FORFAIT_SQUADRA_B_GIRONI">Calcolo!$T$3:$T$50</definedName>
    <definedName name="B_PARTITE_2A_FASE_PER_CODICE">Calcolo!$AU$1:$BR$66</definedName>
    <definedName name="B_PARTITE_2A_FASE_PER_NUMERO">Calcolo!$AV$1:$BR$66</definedName>
    <definedName name="B_PARTITE_GIRONI">Calcolo!$A$3:$W$50</definedName>
    <definedName name="B_PERSE_SQUADRA_A_GIRONI">Calcolo!$M$3:$M$50</definedName>
    <definedName name="B_PERSE_SQUADRA_B_GIRONI">Calcolo!$S$3:$S$50</definedName>
    <definedName name="B_PUNTI_FATTI_SQUADRA_A_GIRONI">Calcolo!$O$3:$O$50</definedName>
    <definedName name="B_PUNTI_FATTI_SQUADRA_B_GIRONI">Calcolo!$U$3:$U$50</definedName>
    <definedName name="B_PUNTI_SUBITI_SQUADRA_A_GIRONI">Calcolo!$P$3:$P$50</definedName>
    <definedName name="B_PUNTI_SUBITI_SQUADRA_B_GIRONI">Calcolo!$V$3:$V$50</definedName>
    <definedName name="B_SQUADRA_A_GIRONI">Calcolo!$F$3:$F$50</definedName>
    <definedName name="B_SQUADRA_B_GIRONI">Calcolo!$G$3:$G$50</definedName>
    <definedName name="B_VINTE_SQUADRA_A_GIRONI">Calcolo!$L$3:$L$50</definedName>
    <definedName name="B_VINTE_SQUADRA_B_GIRONI">Calcolo!$R$3:$R$50</definedName>
    <definedName name="CLASSIFICA_GIRONE_A">#REF!</definedName>
    <definedName name="CLASSIFICA_GIRONE_B">#REF!</definedName>
    <definedName name="CLASSIFICA_GIRONE_C">#REF!</definedName>
    <definedName name="CLASSIFICA_GIRONE_D">#REF!</definedName>
    <definedName name="CLASSIFICA_GIRONE_E">#REF!</definedName>
    <definedName name="CLASSIFICA_GIRONE_F">#REF!</definedName>
    <definedName name="CLASSIFICA_GIRONE_G">#REF!</definedName>
    <definedName name="CLASSIFICA_GIRONE_H">#REF!</definedName>
    <definedName name="INPUT_CAMPI">'Dati Torneo'!$K$3:$L$34</definedName>
    <definedName name="INPUT_DATE_E_RISULTATI_2A_FASE">'Risultati 2a Fase'!$A$1:$K$66</definedName>
    <definedName name="INPUT_DATE_E_RISULTATI_GIRONI">'Risultati Gironi'!$A$3:$K$50</definedName>
    <definedName name="INPUT_DATI_TORNEO">'Dati Torneo'!$A$3:$B$4</definedName>
    <definedName name="INPUT_SQUADRE">'Dati Torneo'!$D$3:$I$34</definedName>
    <definedName name="SQUADRE_PER_CODICE">'Dati Torneo'!$E$3:$I$34</definedName>
  </definedNames>
  <calcPr calcId="125725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5" i="9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"/>
  <c r="D37" i="8"/>
  <c r="D36"/>
  <c r="A36"/>
  <c r="I35"/>
  <c r="I34"/>
  <c r="F34"/>
  <c r="D33"/>
  <c r="D32"/>
  <c r="A32"/>
  <c r="N31"/>
  <c r="N30"/>
  <c r="K30"/>
  <c r="D29"/>
  <c r="D28"/>
  <c r="A28"/>
  <c r="I27"/>
  <c r="I26"/>
  <c r="F26"/>
  <c r="P25"/>
  <c r="D25"/>
  <c r="D24"/>
  <c r="A24"/>
  <c r="S22"/>
  <c r="S21"/>
  <c r="P21"/>
  <c r="D21"/>
  <c r="D20"/>
  <c r="A20"/>
  <c r="I19"/>
  <c r="I18"/>
  <c r="F18"/>
  <c r="D17"/>
  <c r="D16"/>
  <c r="A16"/>
  <c r="N15"/>
  <c r="N14"/>
  <c r="K14"/>
  <c r="D13"/>
  <c r="D12"/>
  <c r="A12"/>
  <c r="I11"/>
  <c r="I10"/>
  <c r="F10"/>
  <c r="D9"/>
  <c r="D8"/>
  <c r="A8"/>
  <c r="A1"/>
  <c r="F67" i="7"/>
  <c r="E67"/>
  <c r="C67"/>
  <c r="B67"/>
  <c r="F66"/>
  <c r="E66"/>
  <c r="C66"/>
  <c r="B66"/>
  <c r="F65"/>
  <c r="E65"/>
  <c r="C65"/>
  <c r="B65"/>
  <c r="F64"/>
  <c r="E64"/>
  <c r="C64"/>
  <c r="B64"/>
  <c r="F63"/>
  <c r="E63"/>
  <c r="C63"/>
  <c r="B63"/>
  <c r="F62"/>
  <c r="E62"/>
  <c r="C62"/>
  <c r="B62"/>
  <c r="F61"/>
  <c r="E61"/>
  <c r="C61"/>
  <c r="B61"/>
  <c r="F60"/>
  <c r="E60"/>
  <c r="C60"/>
  <c r="B60"/>
  <c r="F59"/>
  <c r="E59"/>
  <c r="C59"/>
  <c r="B59"/>
  <c r="F58"/>
  <c r="E58"/>
  <c r="C58"/>
  <c r="B58"/>
  <c r="F57"/>
  <c r="E57"/>
  <c r="C57"/>
  <c r="B57"/>
  <c r="F56"/>
  <c r="E56"/>
  <c r="C56"/>
  <c r="B56"/>
  <c r="F55"/>
  <c r="E55"/>
  <c r="C55"/>
  <c r="B55"/>
  <c r="F54"/>
  <c r="E54"/>
  <c r="C54"/>
  <c r="B54"/>
  <c r="F53"/>
  <c r="E53"/>
  <c r="C53"/>
  <c r="B53"/>
  <c r="F52"/>
  <c r="E52"/>
  <c r="C52"/>
  <c r="B52"/>
  <c r="F51"/>
  <c r="E51"/>
  <c r="C51"/>
  <c r="B51"/>
  <c r="F50"/>
  <c r="E50"/>
  <c r="C50"/>
  <c r="B50"/>
  <c r="F49"/>
  <c r="E49"/>
  <c r="C49"/>
  <c r="B49"/>
  <c r="F48"/>
  <c r="E48"/>
  <c r="C48"/>
  <c r="B48"/>
  <c r="F47"/>
  <c r="E47"/>
  <c r="C47"/>
  <c r="B47"/>
  <c r="F46"/>
  <c r="E46"/>
  <c r="C46"/>
  <c r="B46"/>
  <c r="F45"/>
  <c r="E45"/>
  <c r="C45"/>
  <c r="B45"/>
  <c r="F44"/>
  <c r="E44"/>
  <c r="C44"/>
  <c r="B44"/>
  <c r="F43"/>
  <c r="E43"/>
  <c r="C43"/>
  <c r="B43"/>
  <c r="F42"/>
  <c r="E42"/>
  <c r="C42"/>
  <c r="B42"/>
  <c r="F41"/>
  <c r="E41"/>
  <c r="C41"/>
  <c r="B41"/>
  <c r="F40"/>
  <c r="E40"/>
  <c r="C40"/>
  <c r="B40"/>
  <c r="F39"/>
  <c r="E39"/>
  <c r="C39"/>
  <c r="B39"/>
  <c r="F38"/>
  <c r="E38"/>
  <c r="C38"/>
  <c r="B38"/>
  <c r="F37"/>
  <c r="E37"/>
  <c r="C37"/>
  <c r="B37"/>
  <c r="F36"/>
  <c r="E36"/>
  <c r="C36"/>
  <c r="B36"/>
  <c r="F35"/>
  <c r="E35"/>
  <c r="C35"/>
  <c r="B35"/>
  <c r="F34"/>
  <c r="E34"/>
  <c r="C34"/>
  <c r="B34"/>
  <c r="F33"/>
  <c r="E33"/>
  <c r="C33"/>
  <c r="B33"/>
  <c r="F32"/>
  <c r="E32"/>
  <c r="C32"/>
  <c r="B32"/>
  <c r="F31"/>
  <c r="E31"/>
  <c r="C31"/>
  <c r="B31"/>
  <c r="F30"/>
  <c r="E30"/>
  <c r="C30"/>
  <c r="B30"/>
  <c r="F29"/>
  <c r="E29"/>
  <c r="C29"/>
  <c r="B29"/>
  <c r="F28"/>
  <c r="E28"/>
  <c r="C28"/>
  <c r="B28"/>
  <c r="F27"/>
  <c r="E27"/>
  <c r="C27"/>
  <c r="B27"/>
  <c r="F26"/>
  <c r="E26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2"/>
  <c r="E12"/>
  <c r="C12"/>
  <c r="B12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B1"/>
  <c r="A1" i="6"/>
  <c r="F52" i="5"/>
  <c r="E52"/>
  <c r="C52"/>
  <c r="B52"/>
  <c r="F51"/>
  <c r="E51"/>
  <c r="C51"/>
  <c r="B51"/>
  <c r="F50"/>
  <c r="E50"/>
  <c r="C50"/>
  <c r="B50"/>
  <c r="F49"/>
  <c r="E49"/>
  <c r="C49"/>
  <c r="B49"/>
  <c r="F48"/>
  <c r="E48"/>
  <c r="C48"/>
  <c r="B48"/>
  <c r="F47"/>
  <c r="E47"/>
  <c r="C47"/>
  <c r="B47"/>
  <c r="F46"/>
  <c r="E46"/>
  <c r="C46"/>
  <c r="B46"/>
  <c r="F45"/>
  <c r="E45"/>
  <c r="C45"/>
  <c r="B45"/>
  <c r="F44"/>
  <c r="E44"/>
  <c r="C44"/>
  <c r="B44"/>
  <c r="F43"/>
  <c r="E43"/>
  <c r="C43"/>
  <c r="B43"/>
  <c r="F42"/>
  <c r="E42"/>
  <c r="C42"/>
  <c r="B42"/>
  <c r="F41"/>
  <c r="E41"/>
  <c r="C41"/>
  <c r="B41"/>
  <c r="F40"/>
  <c r="E40"/>
  <c r="C40"/>
  <c r="B40"/>
  <c r="F39"/>
  <c r="E39"/>
  <c r="C39"/>
  <c r="B39"/>
  <c r="F38"/>
  <c r="E38"/>
  <c r="C38"/>
  <c r="B38"/>
  <c r="F37"/>
  <c r="E37"/>
  <c r="C37"/>
  <c r="B37"/>
  <c r="F36"/>
  <c r="E36"/>
  <c r="C36"/>
  <c r="B36"/>
  <c r="F35"/>
  <c r="E35"/>
  <c r="C35"/>
  <c r="B35"/>
  <c r="F34"/>
  <c r="E34"/>
  <c r="C34"/>
  <c r="B34"/>
  <c r="F33"/>
  <c r="E33"/>
  <c r="C33"/>
  <c r="B33"/>
  <c r="F32"/>
  <c r="E32"/>
  <c r="C32"/>
  <c r="B32"/>
  <c r="F31"/>
  <c r="E31"/>
  <c r="C31"/>
  <c r="B31"/>
  <c r="F30"/>
  <c r="E30"/>
  <c r="C30"/>
  <c r="B30"/>
  <c r="F29"/>
  <c r="E29"/>
  <c r="C29"/>
  <c r="B29"/>
  <c r="F28"/>
  <c r="E28"/>
  <c r="C28"/>
  <c r="B28"/>
  <c r="F27"/>
  <c r="E27"/>
  <c r="C27"/>
  <c r="B27"/>
  <c r="F26"/>
  <c r="E26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B1"/>
  <c r="BD66" i="4"/>
  <c r="BC66"/>
  <c r="R21" i="8" s="1"/>
  <c r="BD65" i="4"/>
  <c r="BP65" s="1"/>
  <c r="BC65"/>
  <c r="BG65" s="1"/>
  <c r="BD64"/>
  <c r="BC64"/>
  <c r="BJ64" s="1"/>
  <c r="BD63"/>
  <c r="BP63" s="1"/>
  <c r="BC63"/>
  <c r="BG63" s="1"/>
  <c r="BD62"/>
  <c r="BP62" s="1"/>
  <c r="BC62"/>
  <c r="BJ61"/>
  <c r="BD61"/>
  <c r="BP61" s="1"/>
  <c r="BC61"/>
  <c r="BK60"/>
  <c r="BD60"/>
  <c r="BP60" s="1"/>
  <c r="BC60"/>
  <c r="BK59"/>
  <c r="BJ59"/>
  <c r="BD59"/>
  <c r="BP59" s="1"/>
  <c r="BC59"/>
  <c r="BD58"/>
  <c r="BP58" s="1"/>
  <c r="BC58"/>
  <c r="BJ57"/>
  <c r="BD57"/>
  <c r="BP57" s="1"/>
  <c r="BC57"/>
  <c r="BD56"/>
  <c r="BP56" s="1"/>
  <c r="BC56"/>
  <c r="BO56" s="1"/>
  <c r="BQ55"/>
  <c r="BJ55"/>
  <c r="BD55"/>
  <c r="BP55" s="1"/>
  <c r="BC55"/>
  <c r="BD54"/>
  <c r="BP54" s="1"/>
  <c r="BC54"/>
  <c r="BO54" s="1"/>
  <c r="BQ53"/>
  <c r="BJ53"/>
  <c r="BD53"/>
  <c r="BP53" s="1"/>
  <c r="BC53"/>
  <c r="BD52"/>
  <c r="BP52" s="1"/>
  <c r="BC52"/>
  <c r="BO52" s="1"/>
  <c r="BQ51"/>
  <c r="BJ51"/>
  <c r="BD51"/>
  <c r="BP51" s="1"/>
  <c r="BC51"/>
  <c r="BD50"/>
  <c r="BP50" s="1"/>
  <c r="BC50"/>
  <c r="BO50" s="1"/>
  <c r="V50"/>
  <c r="O50"/>
  <c r="I50"/>
  <c r="U50" s="1"/>
  <c r="H50"/>
  <c r="BD49"/>
  <c r="BP49" s="1"/>
  <c r="BC49"/>
  <c r="BO49" s="1"/>
  <c r="P49"/>
  <c r="I49"/>
  <c r="U49" s="1"/>
  <c r="H49"/>
  <c r="T49" s="1"/>
  <c r="BK48"/>
  <c r="BD48"/>
  <c r="BP48" s="1"/>
  <c r="BC48"/>
  <c r="BO48" s="1"/>
  <c r="V48"/>
  <c r="S48"/>
  <c r="P48"/>
  <c r="O48"/>
  <c r="Q48" s="1"/>
  <c r="N48"/>
  <c r="I48"/>
  <c r="U48" s="1"/>
  <c r="H48"/>
  <c r="T48" s="1"/>
  <c r="BK47"/>
  <c r="BD47"/>
  <c r="BP47" s="1"/>
  <c r="BC47"/>
  <c r="S47"/>
  <c r="N47"/>
  <c r="I47"/>
  <c r="U47" s="1"/>
  <c r="H47"/>
  <c r="V47" s="1"/>
  <c r="BD46"/>
  <c r="BP46" s="1"/>
  <c r="BC46"/>
  <c r="I46"/>
  <c r="U46" s="1"/>
  <c r="H46"/>
  <c r="N46" s="1"/>
  <c r="BD45"/>
  <c r="BP45" s="1"/>
  <c r="BC45"/>
  <c r="BO45" s="1"/>
  <c r="P45"/>
  <c r="I45"/>
  <c r="U45" s="1"/>
  <c r="H45"/>
  <c r="T45" s="1"/>
  <c r="BK44"/>
  <c r="BD44"/>
  <c r="BP44" s="1"/>
  <c r="BC44"/>
  <c r="BO44" s="1"/>
  <c r="V44"/>
  <c r="S44"/>
  <c r="P44"/>
  <c r="O44"/>
  <c r="Q44" s="1"/>
  <c r="N44"/>
  <c r="I44"/>
  <c r="U44" s="1"/>
  <c r="H44"/>
  <c r="T44" s="1"/>
  <c r="BK43"/>
  <c r="BD43"/>
  <c r="BP43" s="1"/>
  <c r="BC43"/>
  <c r="S43"/>
  <c r="N43"/>
  <c r="I43"/>
  <c r="U43" s="1"/>
  <c r="H43"/>
  <c r="V43" s="1"/>
  <c r="BD42"/>
  <c r="M31" i="8" s="1"/>
  <c r="BC42" i="4"/>
  <c r="M30" i="8" s="1"/>
  <c r="I42" i="4"/>
  <c r="U42" s="1"/>
  <c r="H42"/>
  <c r="N42" s="1"/>
  <c r="BD41"/>
  <c r="M15" i="8" s="1"/>
  <c r="BC41" i="4"/>
  <c r="M14" i="8" s="1"/>
  <c r="P41" i="4"/>
  <c r="I41"/>
  <c r="U41" s="1"/>
  <c r="H41"/>
  <c r="T41" s="1"/>
  <c r="BK40"/>
  <c r="BD40"/>
  <c r="BP40" s="1"/>
  <c r="BC40"/>
  <c r="V40"/>
  <c r="S40"/>
  <c r="P40"/>
  <c r="O40"/>
  <c r="Q40" s="1"/>
  <c r="N40"/>
  <c r="I40"/>
  <c r="U40" s="1"/>
  <c r="H40"/>
  <c r="T40" s="1"/>
  <c r="BK39"/>
  <c r="BG39"/>
  <c r="BD39"/>
  <c r="BP39" s="1"/>
  <c r="BC39"/>
  <c r="V39"/>
  <c r="S39"/>
  <c r="P39"/>
  <c r="O39"/>
  <c r="Q39" s="1"/>
  <c r="N39"/>
  <c r="I39"/>
  <c r="U39" s="1"/>
  <c r="H39"/>
  <c r="T39" s="1"/>
  <c r="BK38"/>
  <c r="BG38"/>
  <c r="BD38"/>
  <c r="BP38" s="1"/>
  <c r="BC38"/>
  <c r="V38"/>
  <c r="S38"/>
  <c r="P38"/>
  <c r="O38"/>
  <c r="Q38" s="1"/>
  <c r="N38"/>
  <c r="I38"/>
  <c r="U38" s="1"/>
  <c r="H38"/>
  <c r="T38" s="1"/>
  <c r="BK37"/>
  <c r="BD37"/>
  <c r="BP37" s="1"/>
  <c r="BC37"/>
  <c r="V37"/>
  <c r="S37"/>
  <c r="O37"/>
  <c r="N37"/>
  <c r="I37"/>
  <c r="U37" s="1"/>
  <c r="W37" s="1"/>
  <c r="H37"/>
  <c r="BD36"/>
  <c r="BP36" s="1"/>
  <c r="BC36"/>
  <c r="V36"/>
  <c r="S36"/>
  <c r="O36"/>
  <c r="N36"/>
  <c r="I36"/>
  <c r="U36" s="1"/>
  <c r="W36" s="1"/>
  <c r="H36"/>
  <c r="BD35"/>
  <c r="BC35"/>
  <c r="P35"/>
  <c r="I35"/>
  <c r="U35" s="1"/>
  <c r="H35"/>
  <c r="T35" s="1"/>
  <c r="BP34"/>
  <c r="BD34"/>
  <c r="BC34"/>
  <c r="I34"/>
  <c r="P34" s="1"/>
  <c r="H34"/>
  <c r="V34" s="1"/>
  <c r="BD33"/>
  <c r="BP33" s="1"/>
  <c r="BC33"/>
  <c r="I33"/>
  <c r="U33" s="1"/>
  <c r="H33"/>
  <c r="BD32"/>
  <c r="BP32" s="1"/>
  <c r="BC32"/>
  <c r="BO32" s="1"/>
  <c r="I32"/>
  <c r="H32"/>
  <c r="V32" s="1"/>
  <c r="BQ31"/>
  <c r="BN31"/>
  <c r="BK31"/>
  <c r="BJ31"/>
  <c r="BL31" s="1"/>
  <c r="BI31"/>
  <c r="BD31"/>
  <c r="BP31" s="1"/>
  <c r="BC31"/>
  <c r="BO31" s="1"/>
  <c r="P31"/>
  <c r="I31"/>
  <c r="U31" s="1"/>
  <c r="H31"/>
  <c r="BD30"/>
  <c r="BC30"/>
  <c r="BO30" s="1"/>
  <c r="P30"/>
  <c r="I30"/>
  <c r="U30" s="1"/>
  <c r="H30"/>
  <c r="T30" s="1"/>
  <c r="BD29"/>
  <c r="BM29" s="1"/>
  <c r="BC29"/>
  <c r="BQ29" s="1"/>
  <c r="R29"/>
  <c r="N29"/>
  <c r="I29"/>
  <c r="H29"/>
  <c r="O29" s="1"/>
  <c r="BK28"/>
  <c r="BD28"/>
  <c r="H35" i="8" s="1"/>
  <c r="BC28" i="4"/>
  <c r="H34" i="8" s="1"/>
  <c r="I28" i="4"/>
  <c r="H28"/>
  <c r="V28" s="1"/>
  <c r="BQ27"/>
  <c r="BJ27"/>
  <c r="BI27"/>
  <c r="BD27"/>
  <c r="H27" i="8" s="1"/>
  <c r="BC27" i="4"/>
  <c r="H26" i="8" s="1"/>
  <c r="P27" i="4"/>
  <c r="I27"/>
  <c r="U27" s="1"/>
  <c r="H27"/>
  <c r="BM26"/>
  <c r="BI26"/>
  <c r="BD26"/>
  <c r="BC26"/>
  <c r="BJ26" s="1"/>
  <c r="V26"/>
  <c r="S26"/>
  <c r="O26"/>
  <c r="N26"/>
  <c r="I26"/>
  <c r="U26" s="1"/>
  <c r="H26"/>
  <c r="T26" s="1"/>
  <c r="BD25"/>
  <c r="BM25" s="1"/>
  <c r="BC25"/>
  <c r="BQ25" s="1"/>
  <c r="I25"/>
  <c r="S25" s="1"/>
  <c r="H25"/>
  <c r="O25" s="1"/>
  <c r="BD24"/>
  <c r="H19" i="8" s="1"/>
  <c r="BC24" i="4"/>
  <c r="H18" i="8" s="1"/>
  <c r="I24" i="4"/>
  <c r="R24" s="1"/>
  <c r="H24"/>
  <c r="V24" s="1"/>
  <c r="BQ23"/>
  <c r="BD23"/>
  <c r="H11" i="8" s="1"/>
  <c r="BC23" i="4"/>
  <c r="H10" i="8" s="1"/>
  <c r="I23" i="4"/>
  <c r="U23" s="1"/>
  <c r="H23"/>
  <c r="M23" s="1"/>
  <c r="BD22"/>
  <c r="BN22" s="1"/>
  <c r="BC22"/>
  <c r="BJ22" s="1"/>
  <c r="I22"/>
  <c r="P22" s="1"/>
  <c r="H22"/>
  <c r="T22" s="1"/>
  <c r="BD21"/>
  <c r="BM21" s="1"/>
  <c r="BC21"/>
  <c r="BQ21" s="1"/>
  <c r="R21"/>
  <c r="I21"/>
  <c r="H21"/>
  <c r="O21" s="1"/>
  <c r="BK20"/>
  <c r="BD20"/>
  <c r="BP20" s="1"/>
  <c r="BC20"/>
  <c r="I20"/>
  <c r="H20"/>
  <c r="V20" s="1"/>
  <c r="BJ19"/>
  <c r="BD19"/>
  <c r="BK19" s="1"/>
  <c r="BC19"/>
  <c r="BO19" s="1"/>
  <c r="P19"/>
  <c r="I19"/>
  <c r="U19" s="1"/>
  <c r="H19"/>
  <c r="L19" s="1"/>
  <c r="BD18"/>
  <c r="BC18"/>
  <c r="BJ18" s="1"/>
  <c r="O18"/>
  <c r="I18"/>
  <c r="P18" s="1"/>
  <c r="H18"/>
  <c r="T18" s="1"/>
  <c r="BD17"/>
  <c r="BP17" s="1"/>
  <c r="BC17"/>
  <c r="BO17" s="1"/>
  <c r="I17"/>
  <c r="H17"/>
  <c r="O17" s="1"/>
  <c r="BK16"/>
  <c r="BD16"/>
  <c r="C37" i="8" s="1"/>
  <c r="BC16" i="4"/>
  <c r="I16"/>
  <c r="U16" s="1"/>
  <c r="H16"/>
  <c r="T16" s="1"/>
  <c r="BD15"/>
  <c r="C21" i="8" s="1"/>
  <c r="BC15" i="4"/>
  <c r="C20" i="8" s="1"/>
  <c r="I15" i="4"/>
  <c r="U15" s="1"/>
  <c r="H15"/>
  <c r="M15" s="1"/>
  <c r="BQ14"/>
  <c r="BD14"/>
  <c r="BC14"/>
  <c r="BJ14" s="1"/>
  <c r="V14"/>
  <c r="O14"/>
  <c r="I14"/>
  <c r="P14" s="1"/>
  <c r="H14"/>
  <c r="BD13"/>
  <c r="BC13"/>
  <c r="BQ13" s="1"/>
  <c r="V13"/>
  <c r="I13"/>
  <c r="H13"/>
  <c r="O13" s="1"/>
  <c r="BD12"/>
  <c r="C33" i="8" s="1"/>
  <c r="BC12" i="4"/>
  <c r="C32" i="8" s="1"/>
  <c r="I12" i="4"/>
  <c r="H12"/>
  <c r="V12" s="1"/>
  <c r="BQ11"/>
  <c r="BJ11"/>
  <c r="BI11"/>
  <c r="BD11"/>
  <c r="C17" i="8" s="1"/>
  <c r="BC11" i="4"/>
  <c r="C16" i="8" s="1"/>
  <c r="I11" i="4"/>
  <c r="U11" s="1"/>
  <c r="H11"/>
  <c r="BD10"/>
  <c r="BC10"/>
  <c r="BJ10" s="1"/>
  <c r="O10"/>
  <c r="I10"/>
  <c r="P10" s="1"/>
  <c r="H10"/>
  <c r="T10" s="1"/>
  <c r="BD9"/>
  <c r="BM9" s="1"/>
  <c r="BC9"/>
  <c r="BQ9" s="1"/>
  <c r="I9"/>
  <c r="H9"/>
  <c r="O9" s="1"/>
  <c r="BK8"/>
  <c r="BD8"/>
  <c r="C29" i="8" s="1"/>
  <c r="BC8" i="4"/>
  <c r="C28" i="8" s="1"/>
  <c r="I8" i="4"/>
  <c r="R8" s="1"/>
  <c r="H8"/>
  <c r="V8" s="1"/>
  <c r="BD7"/>
  <c r="C13" i="8" s="1"/>
  <c r="BC7" i="4"/>
  <c r="C12" i="8" s="1"/>
  <c r="I7" i="4"/>
  <c r="U7" s="1"/>
  <c r="H7"/>
  <c r="M7" s="1"/>
  <c r="BQ6"/>
  <c r="BD6"/>
  <c r="BC6"/>
  <c r="BJ6" s="1"/>
  <c r="V6"/>
  <c r="I6"/>
  <c r="P6" s="1"/>
  <c r="H6"/>
  <c r="O6" s="1"/>
  <c r="Q6" s="1"/>
  <c r="BD5"/>
  <c r="BC5"/>
  <c r="BQ5" s="1"/>
  <c r="V5"/>
  <c r="I5"/>
  <c r="S5" s="1"/>
  <c r="H5"/>
  <c r="O5" s="1"/>
  <c r="BD4"/>
  <c r="C25" i="8" s="1"/>
  <c r="BC4" i="4"/>
  <c r="C24" i="8" s="1"/>
  <c r="I4" i="4"/>
  <c r="H4"/>
  <c r="V4" s="1"/>
  <c r="BQ3"/>
  <c r="BJ3"/>
  <c r="BI3"/>
  <c r="BD3"/>
  <c r="C9" i="8" s="1"/>
  <c r="BC3" i="4"/>
  <c r="C8" i="8" s="1"/>
  <c r="I3" i="4"/>
  <c r="U3" s="1"/>
  <c r="H3"/>
  <c r="C66" i="3"/>
  <c r="H67" i="7" s="1"/>
  <c r="B66" i="3"/>
  <c r="C65"/>
  <c r="H66" i="7" s="1"/>
  <c r="B65" i="3"/>
  <c r="C64"/>
  <c r="H65" i="7" s="1"/>
  <c r="B64" i="3"/>
  <c r="C63"/>
  <c r="H64" i="7" s="1"/>
  <c r="B63" i="3"/>
  <c r="C62"/>
  <c r="H63" i="7" s="1"/>
  <c r="B62" i="3"/>
  <c r="C61"/>
  <c r="H62" i="7" s="1"/>
  <c r="B61" i="3"/>
  <c r="C60"/>
  <c r="H61" i="7" s="1"/>
  <c r="B60" i="3"/>
  <c r="C59"/>
  <c r="H60" i="7" s="1"/>
  <c r="B59" i="3"/>
  <c r="C58"/>
  <c r="H59" i="7" s="1"/>
  <c r="B58" i="3"/>
  <c r="C57"/>
  <c r="H58" i="7" s="1"/>
  <c r="B57" i="3"/>
  <c r="C56"/>
  <c r="H57" i="7" s="1"/>
  <c r="B56" i="3"/>
  <c r="C55"/>
  <c r="H56" i="7" s="1"/>
  <c r="B55" i="3"/>
  <c r="C54"/>
  <c r="H55" i="7" s="1"/>
  <c r="B54" i="3"/>
  <c r="C53"/>
  <c r="H54" i="7" s="1"/>
  <c r="B53" i="3"/>
  <c r="C52"/>
  <c r="H53" i="7" s="1"/>
  <c r="B52" i="3"/>
  <c r="C51"/>
  <c r="H52" i="7" s="1"/>
  <c r="B51" i="3"/>
  <c r="C50"/>
  <c r="H51" i="7" s="1"/>
  <c r="B50" i="3"/>
  <c r="C49"/>
  <c r="H50" i="7" s="1"/>
  <c r="B49" i="3"/>
  <c r="C48"/>
  <c r="H49" i="7" s="1"/>
  <c r="B48" i="3"/>
  <c r="C47"/>
  <c r="H48" i="7" s="1"/>
  <c r="B47" i="3"/>
  <c r="C46"/>
  <c r="H47" i="7" s="1"/>
  <c r="B46" i="3"/>
  <c r="C45"/>
  <c r="H46" i="7" s="1"/>
  <c r="B45" i="3"/>
  <c r="C44"/>
  <c r="H45" i="7" s="1"/>
  <c r="B44" i="3"/>
  <c r="C43"/>
  <c r="H44" i="7" s="1"/>
  <c r="B43" i="3"/>
  <c r="C42"/>
  <c r="H43" i="7" s="1"/>
  <c r="B42" i="3"/>
  <c r="C41"/>
  <c r="H42" i="7" s="1"/>
  <c r="B41" i="3"/>
  <c r="C40"/>
  <c r="H41" i="7" s="1"/>
  <c r="B40" i="3"/>
  <c r="C39"/>
  <c r="H40" i="7" s="1"/>
  <c r="B39" i="3"/>
  <c r="C38"/>
  <c r="H39" i="7" s="1"/>
  <c r="B38" i="3"/>
  <c r="C37"/>
  <c r="H38" i="7" s="1"/>
  <c r="B37" i="3"/>
  <c r="C36"/>
  <c r="H37" i="7" s="1"/>
  <c r="B36" i="3"/>
  <c r="C35"/>
  <c r="H36" i="7" s="1"/>
  <c r="B35" i="3"/>
  <c r="C34"/>
  <c r="H35" i="7" s="1"/>
  <c r="B34" i="3"/>
  <c r="C33"/>
  <c r="H34" i="7" s="1"/>
  <c r="B33" i="3"/>
  <c r="C32"/>
  <c r="H33" i="7" s="1"/>
  <c r="B32" i="3"/>
  <c r="C31"/>
  <c r="H32" i="7" s="1"/>
  <c r="B31" i="3"/>
  <c r="C30"/>
  <c r="H31" i="7" s="1"/>
  <c r="B30" i="3"/>
  <c r="C29"/>
  <c r="H30" i="7" s="1"/>
  <c r="B29" i="3"/>
  <c r="C28"/>
  <c r="H29" i="7" s="1"/>
  <c r="B28" i="3"/>
  <c r="C27"/>
  <c r="H28" i="7" s="1"/>
  <c r="B27" i="3"/>
  <c r="C26"/>
  <c r="H27" i="7" s="1"/>
  <c r="B26" i="3"/>
  <c r="C25"/>
  <c r="H26" i="7" s="1"/>
  <c r="B25" i="3"/>
  <c r="C24"/>
  <c r="H25" i="7" s="1"/>
  <c r="B24" i="3"/>
  <c r="C23"/>
  <c r="H24" i="7" s="1"/>
  <c r="B23" i="3"/>
  <c r="C22"/>
  <c r="H23" i="7" s="1"/>
  <c r="B22" i="3"/>
  <c r="C21"/>
  <c r="H22" i="7" s="1"/>
  <c r="B21" i="3"/>
  <c r="C20"/>
  <c r="H21" i="7" s="1"/>
  <c r="B20" i="3"/>
  <c r="C19"/>
  <c r="H20" i="7" s="1"/>
  <c r="B19" i="3"/>
  <c r="C18"/>
  <c r="H19" i="7" s="1"/>
  <c r="B18" i="3"/>
  <c r="C17"/>
  <c r="H18" i="7" s="1"/>
  <c r="B17" i="3"/>
  <c r="C16"/>
  <c r="H17" i="7" s="1"/>
  <c r="B16" i="3"/>
  <c r="C15"/>
  <c r="H16" i="7" s="1"/>
  <c r="B15" i="3"/>
  <c r="C14"/>
  <c r="H15" i="7" s="1"/>
  <c r="B14" i="3"/>
  <c r="C13"/>
  <c r="H14" i="7" s="1"/>
  <c r="B13" i="3"/>
  <c r="C12"/>
  <c r="H13" i="7" s="1"/>
  <c r="B12" i="3"/>
  <c r="C11"/>
  <c r="H12" i="7" s="1"/>
  <c r="B11" i="3"/>
  <c r="C10"/>
  <c r="H11" i="7" s="1"/>
  <c r="B10" i="3"/>
  <c r="C9"/>
  <c r="H10" i="7" s="1"/>
  <c r="B9" i="3"/>
  <c r="C8"/>
  <c r="H9" i="7" s="1"/>
  <c r="B8" i="3"/>
  <c r="C7"/>
  <c r="H8" i="7" s="1"/>
  <c r="B7" i="3"/>
  <c r="C6"/>
  <c r="H7" i="7" s="1"/>
  <c r="B6" i="3"/>
  <c r="C5"/>
  <c r="H6" i="7" s="1"/>
  <c r="B5" i="3"/>
  <c r="C4"/>
  <c r="H5" i="7" s="1"/>
  <c r="B4" i="3"/>
  <c r="C3"/>
  <c r="H4" i="7" s="1"/>
  <c r="B3" i="3"/>
  <c r="C50" i="2"/>
  <c r="H52" i="5" s="1"/>
  <c r="B50" i="2"/>
  <c r="C49"/>
  <c r="H51" i="5" s="1"/>
  <c r="B49" i="2"/>
  <c r="C48"/>
  <c r="H50" i="5" s="1"/>
  <c r="B48" i="2"/>
  <c r="C47"/>
  <c r="H49" i="5" s="1"/>
  <c r="B47" i="2"/>
  <c r="C46"/>
  <c r="H48" i="5" s="1"/>
  <c r="B46" i="2"/>
  <c r="C45"/>
  <c r="H47" i="5" s="1"/>
  <c r="B45" i="2"/>
  <c r="C44"/>
  <c r="H46" i="5" s="1"/>
  <c r="B44" i="2"/>
  <c r="C43"/>
  <c r="H45" i="5" s="1"/>
  <c r="B43" i="2"/>
  <c r="C42"/>
  <c r="H44" i="5" s="1"/>
  <c r="B42" i="2"/>
  <c r="C41"/>
  <c r="H43" i="5" s="1"/>
  <c r="B41" i="2"/>
  <c r="C40"/>
  <c r="H42" i="5" s="1"/>
  <c r="B40" i="2"/>
  <c r="C39"/>
  <c r="H41" i="5" s="1"/>
  <c r="B39" i="2"/>
  <c r="C38"/>
  <c r="H40" i="5" s="1"/>
  <c r="B38" i="2"/>
  <c r="C37"/>
  <c r="H39" i="5" s="1"/>
  <c r="B37" i="2"/>
  <c r="C36"/>
  <c r="H38" i="5" s="1"/>
  <c r="B36" i="2"/>
  <c r="C35"/>
  <c r="H37" i="5" s="1"/>
  <c r="B35" i="2"/>
  <c r="C34"/>
  <c r="H36" i="5" s="1"/>
  <c r="B34" i="2"/>
  <c r="C33"/>
  <c r="H35" i="5" s="1"/>
  <c r="B33" i="2"/>
  <c r="C32"/>
  <c r="H34" i="5" s="1"/>
  <c r="B32" i="2"/>
  <c r="C31"/>
  <c r="H33" i="5" s="1"/>
  <c r="B31" i="2"/>
  <c r="C30"/>
  <c r="H32" i="5" s="1"/>
  <c r="B30" i="2"/>
  <c r="C29"/>
  <c r="H31" i="5" s="1"/>
  <c r="B29" i="2"/>
  <c r="C28"/>
  <c r="H30" i="5" s="1"/>
  <c r="B28" i="2"/>
  <c r="C27"/>
  <c r="H29" i="5" s="1"/>
  <c r="B27" i="2"/>
  <c r="C26"/>
  <c r="H28" i="5" s="1"/>
  <c r="B26" i="2"/>
  <c r="C25"/>
  <c r="H27" i="5" s="1"/>
  <c r="B25" i="2"/>
  <c r="C24"/>
  <c r="H26" i="5" s="1"/>
  <c r="B24" i="2"/>
  <c r="C23"/>
  <c r="H25" i="5" s="1"/>
  <c r="B23" i="2"/>
  <c r="C22"/>
  <c r="H24" i="5" s="1"/>
  <c r="B22" i="2"/>
  <c r="C21"/>
  <c r="H23" i="5" s="1"/>
  <c r="B21" i="2"/>
  <c r="C20"/>
  <c r="H22" i="5" s="1"/>
  <c r="B20" i="2"/>
  <c r="C19"/>
  <c r="H21" i="5" s="1"/>
  <c r="B19" i="2"/>
  <c r="C18"/>
  <c r="H20" i="5" s="1"/>
  <c r="B18" i="2"/>
  <c r="C17"/>
  <c r="H19" i="5" s="1"/>
  <c r="B17" i="2"/>
  <c r="C16"/>
  <c r="H18" i="5" s="1"/>
  <c r="B16" i="2"/>
  <c r="C15"/>
  <c r="H17" i="5" s="1"/>
  <c r="B15" i="2"/>
  <c r="C14"/>
  <c r="H16" i="5" s="1"/>
  <c r="B14" i="2"/>
  <c r="C13"/>
  <c r="H15" i="5" s="1"/>
  <c r="B13" i="2"/>
  <c r="C12"/>
  <c r="H14" i="5" s="1"/>
  <c r="B12" i="2"/>
  <c r="C11"/>
  <c r="H13" i="5" s="1"/>
  <c r="B11" i="2"/>
  <c r="C10"/>
  <c r="H11" i="5" s="1"/>
  <c r="B10" i="2"/>
  <c r="C9"/>
  <c r="H10" i="5" s="1"/>
  <c r="B9" i="2"/>
  <c r="C8"/>
  <c r="H9" i="5" s="1"/>
  <c r="B8" i="2"/>
  <c r="C7"/>
  <c r="H8" i="5" s="1"/>
  <c r="B7" i="2"/>
  <c r="C6"/>
  <c r="H7" i="5" s="1"/>
  <c r="B6" i="2"/>
  <c r="C5"/>
  <c r="H6" i="5" s="1"/>
  <c r="B5" i="2"/>
  <c r="C4"/>
  <c r="H5" i="5" s="1"/>
  <c r="B4" i="2"/>
  <c r="C3"/>
  <c r="H4" i="5" s="1"/>
  <c r="B3" i="2"/>
  <c r="L34" i="1"/>
  <c r="E34"/>
  <c r="L33"/>
  <c r="E33"/>
  <c r="L32"/>
  <c r="E32"/>
  <c r="L31"/>
  <c r="E31"/>
  <c r="L30"/>
  <c r="E30"/>
  <c r="L29"/>
  <c r="E29"/>
  <c r="L28"/>
  <c r="E28"/>
  <c r="L27"/>
  <c r="E27"/>
  <c r="L26"/>
  <c r="E26"/>
  <c r="L25"/>
  <c r="E25"/>
  <c r="L24"/>
  <c r="E24"/>
  <c r="L23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3"/>
  <c r="E13"/>
  <c r="L12"/>
  <c r="E12"/>
  <c r="L11"/>
  <c r="E11"/>
  <c r="L10"/>
  <c r="E10"/>
  <c r="L9"/>
  <c r="E9"/>
  <c r="L8"/>
  <c r="E8"/>
  <c r="L7"/>
  <c r="E7"/>
  <c r="L6"/>
  <c r="K62" i="3" s="1"/>
  <c r="I63" i="7" s="1"/>
  <c r="E6" i="1"/>
  <c r="L5"/>
  <c r="K66" i="3" s="1"/>
  <c r="E5" i="1"/>
  <c r="L4"/>
  <c r="K60" i="3" s="1"/>
  <c r="I61" i="7" s="1"/>
  <c r="E4" i="1"/>
  <c r="L3"/>
  <c r="K59" i="3" s="1"/>
  <c r="I60" i="7" s="1"/>
  <c r="E3" i="1"/>
  <c r="BM3" i="4" l="1"/>
  <c r="R4"/>
  <c r="BM5"/>
  <c r="BI7"/>
  <c r="BQ7"/>
  <c r="V9"/>
  <c r="S10"/>
  <c r="BQ10"/>
  <c r="BM11"/>
  <c r="R12"/>
  <c r="BM13"/>
  <c r="Q14"/>
  <c r="BI15"/>
  <c r="BQ15"/>
  <c r="M16"/>
  <c r="V17"/>
  <c r="BH17"/>
  <c r="S18"/>
  <c r="BI18"/>
  <c r="BN19"/>
  <c r="BH20"/>
  <c r="S21"/>
  <c r="N22"/>
  <c r="V22"/>
  <c r="BM22"/>
  <c r="P23"/>
  <c r="BJ23"/>
  <c r="BK24"/>
  <c r="R25"/>
  <c r="P26"/>
  <c r="Q26" s="1"/>
  <c r="BQ26"/>
  <c r="BM27"/>
  <c r="R28"/>
  <c r="V29"/>
  <c r="R30"/>
  <c r="BN30"/>
  <c r="BQ30"/>
  <c r="BI32"/>
  <c r="O34"/>
  <c r="Q34" s="1"/>
  <c r="BN34"/>
  <c r="W35"/>
  <c r="R35"/>
  <c r="BK36"/>
  <c r="W41"/>
  <c r="R41"/>
  <c r="S42"/>
  <c r="BK42"/>
  <c r="O43"/>
  <c r="Q43" s="1"/>
  <c r="R45"/>
  <c r="S46"/>
  <c r="BK46"/>
  <c r="O47"/>
  <c r="R49"/>
  <c r="P50"/>
  <c r="Q50" s="1"/>
  <c r="BK51"/>
  <c r="BK53"/>
  <c r="BK55"/>
  <c r="BL55" s="1"/>
  <c r="BK57"/>
  <c r="BL57" s="1"/>
  <c r="BH59"/>
  <c r="BO59"/>
  <c r="BK61"/>
  <c r="BK62"/>
  <c r="BM64"/>
  <c r="BM66"/>
  <c r="P3"/>
  <c r="BK4"/>
  <c r="N6"/>
  <c r="BN7"/>
  <c r="S9"/>
  <c r="R10"/>
  <c r="BN10"/>
  <c r="P11"/>
  <c r="BK12"/>
  <c r="N14"/>
  <c r="BN15"/>
  <c r="L16"/>
  <c r="R17"/>
  <c r="BG17"/>
  <c r="R18"/>
  <c r="BN18"/>
  <c r="BM19"/>
  <c r="R20"/>
  <c r="V21"/>
  <c r="S22"/>
  <c r="BI22"/>
  <c r="BI23"/>
  <c r="N25"/>
  <c r="BM30"/>
  <c r="BN32"/>
  <c r="R42"/>
  <c r="W46"/>
  <c r="R46"/>
  <c r="BL51"/>
  <c r="BL53"/>
  <c r="BL61"/>
  <c r="S6"/>
  <c r="BM7"/>
  <c r="S14"/>
  <c r="BM15"/>
  <c r="BQ18"/>
  <c r="R22"/>
  <c r="BN23"/>
  <c r="O30"/>
  <c r="Q30" s="1"/>
  <c r="V30"/>
  <c r="W30" s="1"/>
  <c r="BJ30"/>
  <c r="BH32"/>
  <c r="BK32"/>
  <c r="O35"/>
  <c r="Q35" s="1"/>
  <c r="V35"/>
  <c r="R36"/>
  <c r="R37"/>
  <c r="O41"/>
  <c r="Q41" s="1"/>
  <c r="V41"/>
  <c r="T42"/>
  <c r="P42"/>
  <c r="W43"/>
  <c r="R43"/>
  <c r="O45"/>
  <c r="Q45" s="1"/>
  <c r="V45"/>
  <c r="W45" s="1"/>
  <c r="T46"/>
  <c r="P46"/>
  <c r="BO46"/>
  <c r="W47"/>
  <c r="R47"/>
  <c r="O49"/>
  <c r="Q49" s="1"/>
  <c r="V49"/>
  <c r="W49" s="1"/>
  <c r="W50"/>
  <c r="BR51"/>
  <c r="BR53"/>
  <c r="BR55"/>
  <c r="BO58"/>
  <c r="BL59"/>
  <c r="BO62"/>
  <c r="BN63"/>
  <c r="BO63"/>
  <c r="BN65"/>
  <c r="BO65"/>
  <c r="M3"/>
  <c r="BN3"/>
  <c r="T6"/>
  <c r="R6"/>
  <c r="BN6"/>
  <c r="P7"/>
  <c r="BJ7"/>
  <c r="N10"/>
  <c r="V10"/>
  <c r="M11"/>
  <c r="BN11"/>
  <c r="S13"/>
  <c r="T14"/>
  <c r="R14"/>
  <c r="BN14"/>
  <c r="P15"/>
  <c r="BJ15"/>
  <c r="N18"/>
  <c r="V18"/>
  <c r="BM18"/>
  <c r="BI19"/>
  <c r="BQ19"/>
  <c r="N21"/>
  <c r="O22"/>
  <c r="BQ22"/>
  <c r="BM23"/>
  <c r="V25"/>
  <c r="W26"/>
  <c r="R26"/>
  <c r="BN26"/>
  <c r="M27"/>
  <c r="BN27"/>
  <c r="S29"/>
  <c r="N30"/>
  <c r="S30"/>
  <c r="BI30"/>
  <c r="M31"/>
  <c r="BR31"/>
  <c r="BM31"/>
  <c r="R32"/>
  <c r="BJ32"/>
  <c r="BQ32"/>
  <c r="BR32" s="1"/>
  <c r="U34"/>
  <c r="W34" s="1"/>
  <c r="BK34"/>
  <c r="N35"/>
  <c r="S35"/>
  <c r="T36"/>
  <c r="P36"/>
  <c r="Q36" s="1"/>
  <c r="T37"/>
  <c r="P37"/>
  <c r="Q37" s="1"/>
  <c r="R38"/>
  <c r="R39"/>
  <c r="W40"/>
  <c r="R40"/>
  <c r="N41"/>
  <c r="S41"/>
  <c r="BK41"/>
  <c r="O42"/>
  <c r="Q42" s="1"/>
  <c r="V42"/>
  <c r="W42" s="1"/>
  <c r="T43"/>
  <c r="P43"/>
  <c r="BO43"/>
  <c r="W44"/>
  <c r="R44"/>
  <c r="N45"/>
  <c r="S45"/>
  <c r="BK45"/>
  <c r="O46"/>
  <c r="Q46" s="1"/>
  <c r="V46"/>
  <c r="T47"/>
  <c r="P47"/>
  <c r="BO47"/>
  <c r="W48"/>
  <c r="R48"/>
  <c r="N49"/>
  <c r="S49"/>
  <c r="M50"/>
  <c r="T50"/>
  <c r="BH51"/>
  <c r="BO51"/>
  <c r="BH53"/>
  <c r="BO53"/>
  <c r="BH55"/>
  <c r="BO55"/>
  <c r="BH57"/>
  <c r="BO57"/>
  <c r="BO60"/>
  <c r="BH61"/>
  <c r="BO61"/>
  <c r="BK63"/>
  <c r="BQ64"/>
  <c r="BK65"/>
  <c r="BQ66"/>
  <c r="P20" i="8"/>
  <c r="I67" i="7"/>
  <c r="Q10" i="4"/>
  <c r="F50"/>
  <c r="F49"/>
  <c r="F48"/>
  <c r="F47"/>
  <c r="F46"/>
  <c r="F45"/>
  <c r="F44"/>
  <c r="F43"/>
  <c r="F42"/>
  <c r="G50"/>
  <c r="G49"/>
  <c r="G48"/>
  <c r="G47"/>
  <c r="G46"/>
  <c r="G45"/>
  <c r="G44"/>
  <c r="G43"/>
  <c r="G42"/>
  <c r="G41"/>
  <c r="G40"/>
  <c r="G39"/>
  <c r="G38"/>
  <c r="G37"/>
  <c r="G33"/>
  <c r="E20" i="2" s="1"/>
  <c r="G22" i="5" s="1"/>
  <c r="F41" i="4"/>
  <c r="F37"/>
  <c r="G34"/>
  <c r="AB33"/>
  <c r="F32"/>
  <c r="D23" i="2" s="1"/>
  <c r="D25" i="5" s="1"/>
  <c r="AB31" i="4"/>
  <c r="G29"/>
  <c r="E43" i="2" s="1"/>
  <c r="G45" i="5" s="1"/>
  <c r="F28" i="4"/>
  <c r="D31" i="2" s="1"/>
  <c r="D33" i="5" s="1"/>
  <c r="AB27" i="4"/>
  <c r="G25"/>
  <c r="E18" i="2" s="1"/>
  <c r="G20" i="5" s="1"/>
  <c r="F24" i="4"/>
  <c r="D42" i="2" s="1"/>
  <c r="D44" i="5" s="1"/>
  <c r="AB23" i="4"/>
  <c r="G21"/>
  <c r="E9" i="2" s="1"/>
  <c r="G10" i="5" s="1"/>
  <c r="F20" i="4"/>
  <c r="D8" i="2" s="1"/>
  <c r="D9" i="5" s="1"/>
  <c r="AB19" i="4"/>
  <c r="G17"/>
  <c r="E29" i="2" s="1"/>
  <c r="G31" i="5" s="1"/>
  <c r="F16" i="4"/>
  <c r="D13" i="2" s="1"/>
  <c r="D15" i="5" s="1"/>
  <c r="AB15" i="4"/>
  <c r="F40"/>
  <c r="F35"/>
  <c r="G32"/>
  <c r="E23" i="2" s="1"/>
  <c r="G25" i="5" s="1"/>
  <c r="F31" i="4"/>
  <c r="D35" i="2" s="1"/>
  <c r="D37" i="5" s="1"/>
  <c r="AB30" i="4"/>
  <c r="G28"/>
  <c r="E31" i="2" s="1"/>
  <c r="G33" i="5" s="1"/>
  <c r="F27" i="4"/>
  <c r="D19" i="2" s="1"/>
  <c r="D21" i="5" s="1"/>
  <c r="AB26" i="4"/>
  <c r="G24"/>
  <c r="E42" i="2" s="1"/>
  <c r="G44" i="5" s="1"/>
  <c r="F23" i="4"/>
  <c r="D30" i="2" s="1"/>
  <c r="D32" i="5" s="1"/>
  <c r="AB22" i="4"/>
  <c r="G20"/>
  <c r="E8" i="2" s="1"/>
  <c r="G9" i="5" s="1"/>
  <c r="F19" i="4"/>
  <c r="D17" i="2" s="1"/>
  <c r="D19" i="5" s="1"/>
  <c r="AB18" i="4"/>
  <c r="G16"/>
  <c r="E13" i="2" s="1"/>
  <c r="G15" i="5" s="1"/>
  <c r="F39" i="4"/>
  <c r="F36"/>
  <c r="G35"/>
  <c r="AB34"/>
  <c r="F33"/>
  <c r="D20" i="2" s="1"/>
  <c r="D22" i="5" s="1"/>
  <c r="AB32" i="4"/>
  <c r="G31"/>
  <c r="E35" i="2" s="1"/>
  <c r="G37" i="5" s="1"/>
  <c r="F30" i="4"/>
  <c r="AB29"/>
  <c r="G27"/>
  <c r="E19" i="2" s="1"/>
  <c r="G21" i="5" s="1"/>
  <c r="F26" i="4"/>
  <c r="AB25"/>
  <c r="G23"/>
  <c r="E30" i="2" s="1"/>
  <c r="G32" i="5" s="1"/>
  <c r="F22" i="4"/>
  <c r="AB21"/>
  <c r="G19"/>
  <c r="E17" i="2" s="1"/>
  <c r="G19" i="5" s="1"/>
  <c r="F18" i="4"/>
  <c r="F38"/>
  <c r="G36"/>
  <c r="F34"/>
  <c r="D32" i="2" s="1"/>
  <c r="D34" i="5" s="1"/>
  <c r="G30" i="4"/>
  <c r="F29"/>
  <c r="AB28"/>
  <c r="G26"/>
  <c r="F25"/>
  <c r="AB24"/>
  <c r="G22"/>
  <c r="F21"/>
  <c r="AB20"/>
  <c r="C36" i="8"/>
  <c r="BH16" i="4"/>
  <c r="BQ16"/>
  <c r="BI16"/>
  <c r="K6" i="2"/>
  <c r="I7" i="5" s="1"/>
  <c r="K5" i="2"/>
  <c r="I6" i="5" s="1"/>
  <c r="K9" i="2"/>
  <c r="I10" i="5" s="1"/>
  <c r="K13" i="2"/>
  <c r="I15" i="5" s="1"/>
  <c r="K17" i="2"/>
  <c r="I19" i="5" s="1"/>
  <c r="K21" i="2"/>
  <c r="I23" i="5" s="1"/>
  <c r="K25" i="2"/>
  <c r="I27" i="5" s="1"/>
  <c r="K29" i="2"/>
  <c r="I31" i="5" s="1"/>
  <c r="K33" i="2"/>
  <c r="I35" i="5" s="1"/>
  <c r="K37" i="2"/>
  <c r="I39" i="5" s="1"/>
  <c r="K41" i="2"/>
  <c r="I43" i="5" s="1"/>
  <c r="K45" i="2"/>
  <c r="I47" i="5" s="1"/>
  <c r="K49" i="2"/>
  <c r="I51" i="5" s="1"/>
  <c r="K5" i="3"/>
  <c r="I6" i="7" s="1"/>
  <c r="K9" i="3"/>
  <c r="I10" i="7" s="1"/>
  <c r="K13" i="3"/>
  <c r="I14" i="7" s="1"/>
  <c r="K17" i="3"/>
  <c r="I18" i="7" s="1"/>
  <c r="K21" i="3"/>
  <c r="I22" i="7" s="1"/>
  <c r="K25" i="3"/>
  <c r="I26" i="7" s="1"/>
  <c r="K29" i="3"/>
  <c r="I30" i="7" s="1"/>
  <c r="K33" i="3"/>
  <c r="I34" i="7" s="1"/>
  <c r="K37" i="3"/>
  <c r="I38" i="7" s="1"/>
  <c r="K41" i="3"/>
  <c r="K45"/>
  <c r="I46" i="7" s="1"/>
  <c r="K49" i="3"/>
  <c r="I50" i="7" s="1"/>
  <c r="K53" i="3"/>
  <c r="I54" i="7" s="1"/>
  <c r="K57" i="3"/>
  <c r="I58" i="7" s="1"/>
  <c r="K61" i="3"/>
  <c r="I62" i="7" s="1"/>
  <c r="K65" i="3"/>
  <c r="I66" i="7" s="1"/>
  <c r="L3" i="4"/>
  <c r="T3"/>
  <c r="M4"/>
  <c r="U4"/>
  <c r="W4" s="1"/>
  <c r="AB4"/>
  <c r="BG4"/>
  <c r="BO4"/>
  <c r="F5"/>
  <c r="D27" i="2" s="1"/>
  <c r="D29" i="5" s="1"/>
  <c r="N5" i="4"/>
  <c r="R5"/>
  <c r="BH5"/>
  <c r="BP5"/>
  <c r="BR5" s="1"/>
  <c r="G6"/>
  <c r="BI6"/>
  <c r="BM6"/>
  <c r="L7"/>
  <c r="T7"/>
  <c r="M8"/>
  <c r="U8"/>
  <c r="W8" s="1"/>
  <c r="AB8"/>
  <c r="BG8"/>
  <c r="BO8"/>
  <c r="F9"/>
  <c r="D5" i="2" s="1"/>
  <c r="D6" i="5" s="1"/>
  <c r="N9" i="4"/>
  <c r="R9"/>
  <c r="BH9"/>
  <c r="BP9"/>
  <c r="BR9" s="1"/>
  <c r="G10"/>
  <c r="BI10"/>
  <c r="BM10"/>
  <c r="L11"/>
  <c r="T11"/>
  <c r="M12"/>
  <c r="U12"/>
  <c r="W12" s="1"/>
  <c r="AB12"/>
  <c r="BG12"/>
  <c r="BO12"/>
  <c r="F13"/>
  <c r="D16" i="2" s="1"/>
  <c r="D18" i="5" s="1"/>
  <c r="N13" i="4"/>
  <c r="R13"/>
  <c r="BH13"/>
  <c r="BP13"/>
  <c r="BR13" s="1"/>
  <c r="G14"/>
  <c r="BI14"/>
  <c r="BM14"/>
  <c r="L15"/>
  <c r="T15"/>
  <c r="BJ16"/>
  <c r="BL16" s="1"/>
  <c r="J17"/>
  <c r="S17"/>
  <c r="P17"/>
  <c r="Q17" s="1"/>
  <c r="K4" i="2"/>
  <c r="I5" i="5" s="1"/>
  <c r="K8" i="2"/>
  <c r="I9" i="5" s="1"/>
  <c r="K12" i="2"/>
  <c r="I14" i="5" s="1"/>
  <c r="K16" i="2"/>
  <c r="I18" i="5" s="1"/>
  <c r="K20" i="2"/>
  <c r="I22" i="5" s="1"/>
  <c r="K24" i="2"/>
  <c r="I26" i="5" s="1"/>
  <c r="K28" i="2"/>
  <c r="I30" i="5" s="1"/>
  <c r="K32" i="2"/>
  <c r="I34" i="5" s="1"/>
  <c r="K36" i="2"/>
  <c r="I38" i="5" s="1"/>
  <c r="K40" i="2"/>
  <c r="I42" i="5" s="1"/>
  <c r="K44" i="2"/>
  <c r="I46" i="5" s="1"/>
  <c r="K48" i="2"/>
  <c r="I50" i="5" s="1"/>
  <c r="K4" i="3"/>
  <c r="K8"/>
  <c r="K12"/>
  <c r="K16"/>
  <c r="K20"/>
  <c r="I21" i="7" s="1"/>
  <c r="K24" i="3"/>
  <c r="K28"/>
  <c r="K32"/>
  <c r="I33" i="7" s="1"/>
  <c r="K36" i="3"/>
  <c r="I37" i="7" s="1"/>
  <c r="K40" i="3"/>
  <c r="I41" i="7" s="1"/>
  <c r="K44" i="3"/>
  <c r="I45" i="7" s="1"/>
  <c r="K48" i="3"/>
  <c r="I49" i="7" s="1"/>
  <c r="K52" i="3"/>
  <c r="I53" i="7" s="1"/>
  <c r="K56" i="3"/>
  <c r="I57" i="7" s="1"/>
  <c r="K64" i="3"/>
  <c r="I65" i="7" s="1"/>
  <c r="G3" i="4"/>
  <c r="E3" i="2" s="1"/>
  <c r="G4" i="5" s="1"/>
  <c r="K3" i="4"/>
  <c r="O3"/>
  <c r="Q3" s="1"/>
  <c r="S3"/>
  <c r="L4"/>
  <c r="P4"/>
  <c r="T4"/>
  <c r="BJ4"/>
  <c r="BL4" s="1"/>
  <c r="BN4"/>
  <c r="M5"/>
  <c r="U5"/>
  <c r="W5" s="1"/>
  <c r="AB5"/>
  <c r="BG5"/>
  <c r="BK5"/>
  <c r="BO5"/>
  <c r="F6"/>
  <c r="BH6"/>
  <c r="BP6"/>
  <c r="BR6" s="1"/>
  <c r="G7"/>
  <c r="E15" i="2" s="1"/>
  <c r="G17" i="5" s="1"/>
  <c r="O7" i="4"/>
  <c r="S7"/>
  <c r="L8"/>
  <c r="P8"/>
  <c r="T8"/>
  <c r="BJ8"/>
  <c r="BL8" s="1"/>
  <c r="BN8"/>
  <c r="M9"/>
  <c r="U9"/>
  <c r="W9" s="1"/>
  <c r="AB9"/>
  <c r="BG9"/>
  <c r="BK9"/>
  <c r="BO9"/>
  <c r="F10"/>
  <c r="BH10"/>
  <c r="BP10"/>
  <c r="BR10" s="1"/>
  <c r="G11"/>
  <c r="E28" i="2" s="1"/>
  <c r="G30" i="5" s="1"/>
  <c r="O11" i="4"/>
  <c r="Q11" s="1"/>
  <c r="S11"/>
  <c r="L12"/>
  <c r="P12"/>
  <c r="T12"/>
  <c r="BJ12"/>
  <c r="BL12" s="1"/>
  <c r="BN12"/>
  <c r="M13"/>
  <c r="U13"/>
  <c r="W13" s="1"/>
  <c r="AB13"/>
  <c r="BG13"/>
  <c r="BK13"/>
  <c r="BO13"/>
  <c r="F14"/>
  <c r="BH14"/>
  <c r="BP14"/>
  <c r="BR14" s="1"/>
  <c r="G15"/>
  <c r="E7" i="2" s="1"/>
  <c r="G8" i="5" s="1"/>
  <c r="O15" i="4"/>
  <c r="Q15" s="1"/>
  <c r="S15"/>
  <c r="BG16"/>
  <c r="BO16"/>
  <c r="AB17"/>
  <c r="R16"/>
  <c r="S16"/>
  <c r="BM17"/>
  <c r="BN17"/>
  <c r="M19"/>
  <c r="V19"/>
  <c r="W19" s="1"/>
  <c r="N19"/>
  <c r="J19"/>
  <c r="S19"/>
  <c r="O19"/>
  <c r="Q19" s="1"/>
  <c r="K3" i="2"/>
  <c r="I4" i="5" s="1"/>
  <c r="K7" i="2"/>
  <c r="I8" i="5" s="1"/>
  <c r="K11" i="2"/>
  <c r="I13" i="5" s="1"/>
  <c r="K15" i="2"/>
  <c r="I17" i="5" s="1"/>
  <c r="K19" i="2"/>
  <c r="I21" i="5" s="1"/>
  <c r="K23" i="2"/>
  <c r="I25" i="5" s="1"/>
  <c r="K27" i="2"/>
  <c r="I29" i="5" s="1"/>
  <c r="K31" i="2"/>
  <c r="I33" i="5" s="1"/>
  <c r="K35" i="2"/>
  <c r="I37" i="5" s="1"/>
  <c r="K39" i="2"/>
  <c r="I41" i="5" s="1"/>
  <c r="K43" i="2"/>
  <c r="I45" i="5" s="1"/>
  <c r="K47" i="2"/>
  <c r="I49" i="5" s="1"/>
  <c r="K3" i="3"/>
  <c r="K7"/>
  <c r="K11"/>
  <c r="K15"/>
  <c r="K19"/>
  <c r="I20" i="7" s="1"/>
  <c r="K23" i="3"/>
  <c r="K27"/>
  <c r="I28" i="7" s="1"/>
  <c r="K31" i="3"/>
  <c r="I32" i="7" s="1"/>
  <c r="K35" i="3"/>
  <c r="I36" i="7" s="1"/>
  <c r="K39" i="3"/>
  <c r="I40" i="7" s="1"/>
  <c r="K43" i="3"/>
  <c r="I44" i="7" s="1"/>
  <c r="K47" i="3"/>
  <c r="I48" i="7" s="1"/>
  <c r="K51" i="3"/>
  <c r="I52" i="7" s="1"/>
  <c r="K55" i="3"/>
  <c r="I56" i="7" s="1"/>
  <c r="K63" i="3"/>
  <c r="I64" i="7" s="1"/>
  <c r="F3" i="4"/>
  <c r="D3" i="2" s="1"/>
  <c r="D4" i="5" s="1"/>
  <c r="N3" i="4"/>
  <c r="R3"/>
  <c r="V3"/>
  <c r="W3" s="1"/>
  <c r="BH3"/>
  <c r="BP3"/>
  <c r="BR3" s="1"/>
  <c r="G4"/>
  <c r="E11" i="2" s="1"/>
  <c r="G13" i="5" s="1"/>
  <c r="O4" i="4"/>
  <c r="S4"/>
  <c r="BI4"/>
  <c r="BM4"/>
  <c r="BQ4"/>
  <c r="L5"/>
  <c r="P5"/>
  <c r="Q5" s="1"/>
  <c r="T5"/>
  <c r="BJ5"/>
  <c r="BN5"/>
  <c r="M6"/>
  <c r="U6"/>
  <c r="W6" s="1"/>
  <c r="AB6"/>
  <c r="BG6"/>
  <c r="BK6"/>
  <c r="BL6" s="1"/>
  <c r="BO6"/>
  <c r="F7"/>
  <c r="D15" i="2" s="1"/>
  <c r="D17" i="5" s="1"/>
  <c r="N7" i="4"/>
  <c r="R7"/>
  <c r="V7"/>
  <c r="W7" s="1"/>
  <c r="BH7"/>
  <c r="BP7"/>
  <c r="BR7" s="1"/>
  <c r="G8"/>
  <c r="E4" i="2" s="1"/>
  <c r="G5" i="5" s="1"/>
  <c r="O8" i="4"/>
  <c r="S8"/>
  <c r="BI8"/>
  <c r="BM8"/>
  <c r="BQ8"/>
  <c r="L9"/>
  <c r="P9"/>
  <c r="Q9" s="1"/>
  <c r="T9"/>
  <c r="BJ9"/>
  <c r="BN9"/>
  <c r="M10"/>
  <c r="U10"/>
  <c r="W10" s="1"/>
  <c r="AB10"/>
  <c r="BG10"/>
  <c r="BK10"/>
  <c r="BL10" s="1"/>
  <c r="BO10"/>
  <c r="F11"/>
  <c r="D28" i="2" s="1"/>
  <c r="D30" i="5" s="1"/>
  <c r="J11" i="4"/>
  <c r="N11"/>
  <c r="R11"/>
  <c r="V11"/>
  <c r="W11" s="1"/>
  <c r="BH11"/>
  <c r="BP11"/>
  <c r="BR11" s="1"/>
  <c r="G12"/>
  <c r="E40" i="2" s="1"/>
  <c r="G42" i="5" s="1"/>
  <c r="O12" i="4"/>
  <c r="Q12" s="1"/>
  <c r="S12"/>
  <c r="BI12"/>
  <c r="BM12"/>
  <c r="BQ12"/>
  <c r="L13"/>
  <c r="P13"/>
  <c r="Q13" s="1"/>
  <c r="T13"/>
  <c r="BJ13"/>
  <c r="BL13" s="1"/>
  <c r="BN13"/>
  <c r="M14"/>
  <c r="U14"/>
  <c r="W14" s="1"/>
  <c r="AB14"/>
  <c r="BG14"/>
  <c r="BK14"/>
  <c r="BL14" s="1"/>
  <c r="BO14"/>
  <c r="F15"/>
  <c r="D7" i="2" s="1"/>
  <c r="D8" i="5" s="1"/>
  <c r="J15" i="4"/>
  <c r="N15"/>
  <c r="R15"/>
  <c r="V15"/>
  <c r="W15" s="1"/>
  <c r="AB16"/>
  <c r="BN16"/>
  <c r="N17"/>
  <c r="Q18"/>
  <c r="T19"/>
  <c r="V16"/>
  <c r="W16" s="1"/>
  <c r="N16"/>
  <c r="O16"/>
  <c r="K16"/>
  <c r="BQ17"/>
  <c r="BR17" s="1"/>
  <c r="BI17"/>
  <c r="BJ17"/>
  <c r="K10" i="2"/>
  <c r="I11" i="5" s="1"/>
  <c r="K14" i="2"/>
  <c r="I16" i="5" s="1"/>
  <c r="K18" i="2"/>
  <c r="I20" i="5" s="1"/>
  <c r="K22" i="2"/>
  <c r="I24" i="5" s="1"/>
  <c r="K26" i="2"/>
  <c r="I28" i="5" s="1"/>
  <c r="K30" i="2"/>
  <c r="I32" i="5" s="1"/>
  <c r="K34" i="2"/>
  <c r="I36" i="5" s="1"/>
  <c r="K38" i="2"/>
  <c r="I40" i="5" s="1"/>
  <c r="K42" i="2"/>
  <c r="I44" i="5" s="1"/>
  <c r="K46" i="2"/>
  <c r="I48" i="5" s="1"/>
  <c r="K50" i="2"/>
  <c r="I52" i="5" s="1"/>
  <c r="K6" i="3"/>
  <c r="I7" i="7" s="1"/>
  <c r="K10" i="3"/>
  <c r="I11" i="7" s="1"/>
  <c r="K14" i="3"/>
  <c r="I15" i="7" s="1"/>
  <c r="K18" i="3"/>
  <c r="I19" i="7" s="1"/>
  <c r="K22" i="3"/>
  <c r="I23" i="7" s="1"/>
  <c r="K26" i="3"/>
  <c r="I27" i="7" s="1"/>
  <c r="K30" i="3"/>
  <c r="I31" i="7" s="1"/>
  <c r="K34" i="3"/>
  <c r="I35" i="7" s="1"/>
  <c r="K38" i="3"/>
  <c r="I39" i="7" s="1"/>
  <c r="K42" i="3"/>
  <c r="K46"/>
  <c r="I47" i="7" s="1"/>
  <c r="K50" i="3"/>
  <c r="I51" i="7" s="1"/>
  <c r="K54" i="3"/>
  <c r="I55" i="7" s="1"/>
  <c r="K58" i="3"/>
  <c r="I59" i="7" s="1"/>
  <c r="AB3" i="4"/>
  <c r="BG3"/>
  <c r="BK3"/>
  <c r="BL3" s="1"/>
  <c r="BO3"/>
  <c r="F4"/>
  <c r="D11" i="2" s="1"/>
  <c r="D13" i="5" s="1"/>
  <c r="N4" i="4"/>
  <c r="BH4"/>
  <c r="BP4"/>
  <c r="G5"/>
  <c r="E27" i="2" s="1"/>
  <c r="G29" i="5" s="1"/>
  <c r="BI5" i="4"/>
  <c r="L6"/>
  <c r="AB7"/>
  <c r="BG7"/>
  <c r="BK7"/>
  <c r="BL7" s="1"/>
  <c r="BO7"/>
  <c r="F8"/>
  <c r="D4" i="2" s="1"/>
  <c r="D5" i="5" s="1"/>
  <c r="N8" i="4"/>
  <c r="BH8"/>
  <c r="BP8"/>
  <c r="BR8" s="1"/>
  <c r="G9"/>
  <c r="E5" i="2" s="1"/>
  <c r="G6" i="5" s="1"/>
  <c r="BI9" i="4"/>
  <c r="L10"/>
  <c r="AB11"/>
  <c r="BG11"/>
  <c r="BK11"/>
  <c r="BL11" s="1"/>
  <c r="BO11"/>
  <c r="F12"/>
  <c r="D40" i="2" s="1"/>
  <c r="D42" i="5" s="1"/>
  <c r="N12" i="4"/>
  <c r="BH12"/>
  <c r="BP12"/>
  <c r="BR12" s="1"/>
  <c r="G13"/>
  <c r="E16" i="2" s="1"/>
  <c r="G18" i="5" s="1"/>
  <c r="BI13" i="4"/>
  <c r="L14"/>
  <c r="P16"/>
  <c r="F17"/>
  <c r="D29" i="2" s="1"/>
  <c r="D31" i="5" s="1"/>
  <c r="M17" i="4"/>
  <c r="U17"/>
  <c r="W17" s="1"/>
  <c r="BK17"/>
  <c r="G18"/>
  <c r="BL19"/>
  <c r="Q22"/>
  <c r="BL22"/>
  <c r="O33"/>
  <c r="K33"/>
  <c r="BQ33"/>
  <c r="BR33" s="1"/>
  <c r="BI33"/>
  <c r="BM35"/>
  <c r="BN35"/>
  <c r="BH36"/>
  <c r="BQ36"/>
  <c r="BR36" s="1"/>
  <c r="BI36"/>
  <c r="BJ36"/>
  <c r="BL36" s="1"/>
  <c r="BH40"/>
  <c r="BQ40"/>
  <c r="BR40" s="1"/>
  <c r="BI40"/>
  <c r="BJ40"/>
  <c r="BL40" s="1"/>
  <c r="M20"/>
  <c r="U20"/>
  <c r="W20" s="1"/>
  <c r="BG20"/>
  <c r="BO20"/>
  <c r="BH21"/>
  <c r="BP21"/>
  <c r="BR21" s="1"/>
  <c r="L23"/>
  <c r="T23"/>
  <c r="M24"/>
  <c r="U24"/>
  <c r="W24" s="1"/>
  <c r="BG24"/>
  <c r="BO24"/>
  <c r="BH25"/>
  <c r="BP25"/>
  <c r="BR25" s="1"/>
  <c r="L27"/>
  <c r="T27"/>
  <c r="M28"/>
  <c r="U28"/>
  <c r="W28" s="1"/>
  <c r="BG28"/>
  <c r="BO28"/>
  <c r="BH29"/>
  <c r="BP29"/>
  <c r="BR29" s="1"/>
  <c r="L31"/>
  <c r="T31"/>
  <c r="M32"/>
  <c r="U32"/>
  <c r="W32" s="1"/>
  <c r="M33"/>
  <c r="R33"/>
  <c r="BH33"/>
  <c r="BN33"/>
  <c r="BO36"/>
  <c r="BO40"/>
  <c r="BQ35"/>
  <c r="BI35"/>
  <c r="BJ35"/>
  <c r="BH37"/>
  <c r="BQ37"/>
  <c r="BR37" s="1"/>
  <c r="BI37"/>
  <c r="BJ37"/>
  <c r="BL37" s="1"/>
  <c r="BH18"/>
  <c r="BP18"/>
  <c r="BR18" s="1"/>
  <c r="L20"/>
  <c r="P20"/>
  <c r="T20"/>
  <c r="BJ20"/>
  <c r="BL20" s="1"/>
  <c r="BN20"/>
  <c r="M21"/>
  <c r="U21"/>
  <c r="W21" s="1"/>
  <c r="BG21"/>
  <c r="BK21"/>
  <c r="BO21"/>
  <c r="BH22"/>
  <c r="BP22"/>
  <c r="BR22" s="1"/>
  <c r="K23"/>
  <c r="O23"/>
  <c r="Q23" s="1"/>
  <c r="S23"/>
  <c r="L24"/>
  <c r="P24"/>
  <c r="T24"/>
  <c r="BJ24"/>
  <c r="BL24" s="1"/>
  <c r="BN24"/>
  <c r="M25"/>
  <c r="U25"/>
  <c r="W25" s="1"/>
  <c r="BG25"/>
  <c r="BK25"/>
  <c r="BO25"/>
  <c r="BH26"/>
  <c r="BP26"/>
  <c r="BR26" s="1"/>
  <c r="K27"/>
  <c r="O27"/>
  <c r="Q27" s="1"/>
  <c r="S27"/>
  <c r="L28"/>
  <c r="P28"/>
  <c r="T28"/>
  <c r="BJ28"/>
  <c r="BL28" s="1"/>
  <c r="BN28"/>
  <c r="M29"/>
  <c r="U29"/>
  <c r="W29" s="1"/>
  <c r="BG29"/>
  <c r="BK29"/>
  <c r="BO29"/>
  <c r="BH30"/>
  <c r="BP30"/>
  <c r="BR30" s="1"/>
  <c r="K31"/>
  <c r="O31"/>
  <c r="Q31" s="1"/>
  <c r="S31"/>
  <c r="L32"/>
  <c r="P32"/>
  <c r="T32"/>
  <c r="L33"/>
  <c r="V33"/>
  <c r="W33" s="1"/>
  <c r="BG33"/>
  <c r="N34"/>
  <c r="S34"/>
  <c r="BI34"/>
  <c r="BO34"/>
  <c r="BK35"/>
  <c r="BO37"/>
  <c r="BJ34"/>
  <c r="BL34" s="1"/>
  <c r="BH38"/>
  <c r="BQ38"/>
  <c r="BR38" s="1"/>
  <c r="BI38"/>
  <c r="BJ38"/>
  <c r="BL38" s="1"/>
  <c r="BH15"/>
  <c r="BP15"/>
  <c r="BR15" s="1"/>
  <c r="BM16"/>
  <c r="L17"/>
  <c r="T17"/>
  <c r="M18"/>
  <c r="U18"/>
  <c r="W18" s="1"/>
  <c r="BG18"/>
  <c r="BK18"/>
  <c r="BL18" s="1"/>
  <c r="BO18"/>
  <c r="R19"/>
  <c r="BH19"/>
  <c r="BP19"/>
  <c r="BR19" s="1"/>
  <c r="O20"/>
  <c r="S20"/>
  <c r="BI20"/>
  <c r="BM20"/>
  <c r="BQ20"/>
  <c r="BR20" s="1"/>
  <c r="L21"/>
  <c r="P21"/>
  <c r="Q21" s="1"/>
  <c r="T21"/>
  <c r="BJ21"/>
  <c r="BL21" s="1"/>
  <c r="BN21"/>
  <c r="M22"/>
  <c r="U22"/>
  <c r="W22" s="1"/>
  <c r="BG22"/>
  <c r="BK22"/>
  <c r="BO22"/>
  <c r="J23"/>
  <c r="N23"/>
  <c r="R23"/>
  <c r="V23"/>
  <c r="W23" s="1"/>
  <c r="BH23"/>
  <c r="BP23"/>
  <c r="BR23" s="1"/>
  <c r="K24"/>
  <c r="O24"/>
  <c r="S24"/>
  <c r="BI24"/>
  <c r="BM24"/>
  <c r="BQ24"/>
  <c r="L25"/>
  <c r="P25"/>
  <c r="Q25" s="1"/>
  <c r="T25"/>
  <c r="BJ25"/>
  <c r="BN25"/>
  <c r="M26"/>
  <c r="BG26"/>
  <c r="BK26"/>
  <c r="BL26" s="1"/>
  <c r="BO26"/>
  <c r="N27"/>
  <c r="R27"/>
  <c r="V27"/>
  <c r="W27" s="1"/>
  <c r="BH27"/>
  <c r="BP27"/>
  <c r="BR27" s="1"/>
  <c r="K28"/>
  <c r="O28"/>
  <c r="S28"/>
  <c r="BI28"/>
  <c r="BM28"/>
  <c r="BQ28"/>
  <c r="L29"/>
  <c r="P29"/>
  <c r="Q29" s="1"/>
  <c r="T29"/>
  <c r="BJ29"/>
  <c r="BL29" s="1"/>
  <c r="BN29"/>
  <c r="M30"/>
  <c r="BG30"/>
  <c r="BK30"/>
  <c r="BL30" s="1"/>
  <c r="J31"/>
  <c r="N31"/>
  <c r="R31"/>
  <c r="V31"/>
  <c r="W31" s="1"/>
  <c r="BH31"/>
  <c r="O32"/>
  <c r="S32"/>
  <c r="BG32"/>
  <c r="BM32"/>
  <c r="P33"/>
  <c r="BK33"/>
  <c r="T34"/>
  <c r="M34"/>
  <c r="R34"/>
  <c r="BH34"/>
  <c r="BM34"/>
  <c r="BH35"/>
  <c r="BP35"/>
  <c r="BG36"/>
  <c r="W38"/>
  <c r="BO38"/>
  <c r="BR39"/>
  <c r="BG40"/>
  <c r="BH39"/>
  <c r="BQ39"/>
  <c r="BI39"/>
  <c r="BJ39"/>
  <c r="BL39" s="1"/>
  <c r="BG15"/>
  <c r="BK15"/>
  <c r="BL15" s="1"/>
  <c r="BO15"/>
  <c r="BP16"/>
  <c r="K17"/>
  <c r="L18"/>
  <c r="BG19"/>
  <c r="N20"/>
  <c r="BI21"/>
  <c r="L22"/>
  <c r="BG23"/>
  <c r="BK23"/>
  <c r="BL23" s="1"/>
  <c r="BO23"/>
  <c r="J24"/>
  <c r="N24"/>
  <c r="BH24"/>
  <c r="BP24"/>
  <c r="BR24" s="1"/>
  <c r="K25"/>
  <c r="BI25"/>
  <c r="L26"/>
  <c r="BG27"/>
  <c r="BK27"/>
  <c r="BL27" s="1"/>
  <c r="BO27"/>
  <c r="J28"/>
  <c r="N28"/>
  <c r="BH28"/>
  <c r="BP28"/>
  <c r="BR28" s="1"/>
  <c r="K29"/>
  <c r="BI29"/>
  <c r="L30"/>
  <c r="BG31"/>
  <c r="N32"/>
  <c r="S33"/>
  <c r="N33"/>
  <c r="T33"/>
  <c r="BM33"/>
  <c r="BJ33"/>
  <c r="BL33" s="1"/>
  <c r="BO33"/>
  <c r="BG34"/>
  <c r="BQ34"/>
  <c r="BR34" s="1"/>
  <c r="BG35"/>
  <c r="BO35"/>
  <c r="BG37"/>
  <c r="W39"/>
  <c r="BO39"/>
  <c r="L34"/>
  <c r="M35"/>
  <c r="M36"/>
  <c r="BN36"/>
  <c r="M37"/>
  <c r="BN37"/>
  <c r="M38"/>
  <c r="BN38"/>
  <c r="M39"/>
  <c r="BN39"/>
  <c r="M40"/>
  <c r="BN40"/>
  <c r="M41"/>
  <c r="BJ41"/>
  <c r="BL41" s="1"/>
  <c r="BN41"/>
  <c r="M42"/>
  <c r="BJ42"/>
  <c r="BL42" s="1"/>
  <c r="BN42"/>
  <c r="M43"/>
  <c r="BJ43"/>
  <c r="BL43" s="1"/>
  <c r="BN43"/>
  <c r="M44"/>
  <c r="BJ44"/>
  <c r="BL44" s="1"/>
  <c r="BN44"/>
  <c r="M45"/>
  <c r="BJ45"/>
  <c r="BL45" s="1"/>
  <c r="BN45"/>
  <c r="M46"/>
  <c r="BJ46"/>
  <c r="BL46" s="1"/>
  <c r="BN46"/>
  <c r="M47"/>
  <c r="BJ47"/>
  <c r="BL47" s="1"/>
  <c r="BN47"/>
  <c r="M48"/>
  <c r="BJ48"/>
  <c r="BL48" s="1"/>
  <c r="BN48"/>
  <c r="M49"/>
  <c r="BG49"/>
  <c r="BQ49"/>
  <c r="BR49" s="1"/>
  <c r="N50"/>
  <c r="S50"/>
  <c r="BG50"/>
  <c r="BQ50"/>
  <c r="BR50" s="1"/>
  <c r="BI51"/>
  <c r="BN51"/>
  <c r="BG52"/>
  <c r="BQ52"/>
  <c r="BR52" s="1"/>
  <c r="BI53"/>
  <c r="BN53"/>
  <c r="BG54"/>
  <c r="BQ54"/>
  <c r="BR54" s="1"/>
  <c r="BI55"/>
  <c r="BN55"/>
  <c r="BG56"/>
  <c r="BQ56"/>
  <c r="BR56" s="1"/>
  <c r="BI57"/>
  <c r="BN57"/>
  <c r="BG58"/>
  <c r="BQ58"/>
  <c r="BR58" s="1"/>
  <c r="BI59"/>
  <c r="BN59"/>
  <c r="BG60"/>
  <c r="BQ60"/>
  <c r="BR60" s="1"/>
  <c r="BI61"/>
  <c r="BN61"/>
  <c r="BG62"/>
  <c r="BQ62"/>
  <c r="BR62" s="1"/>
  <c r="BI64"/>
  <c r="BI66"/>
  <c r="L35"/>
  <c r="L36"/>
  <c r="BM36"/>
  <c r="L37"/>
  <c r="BM37"/>
  <c r="L38"/>
  <c r="BM38"/>
  <c r="L39"/>
  <c r="BM39"/>
  <c r="L40"/>
  <c r="BM40"/>
  <c r="L41"/>
  <c r="BI41"/>
  <c r="BM41"/>
  <c r="BQ41"/>
  <c r="L42"/>
  <c r="BI42"/>
  <c r="BM42"/>
  <c r="BQ42"/>
  <c r="L43"/>
  <c r="BI43"/>
  <c r="BM43"/>
  <c r="BQ43"/>
  <c r="BR43" s="1"/>
  <c r="L44"/>
  <c r="BI44"/>
  <c r="BM44"/>
  <c r="BQ44"/>
  <c r="BR44" s="1"/>
  <c r="L45"/>
  <c r="BI45"/>
  <c r="BM45"/>
  <c r="BQ45"/>
  <c r="BR45" s="1"/>
  <c r="L46"/>
  <c r="BI46"/>
  <c r="BM46"/>
  <c r="BQ46"/>
  <c r="BR46" s="1"/>
  <c r="L47"/>
  <c r="BI47"/>
  <c r="BM47"/>
  <c r="BQ47"/>
  <c r="BR47" s="1"/>
  <c r="L48"/>
  <c r="BI48"/>
  <c r="BM48"/>
  <c r="BQ48"/>
  <c r="BR48" s="1"/>
  <c r="L49"/>
  <c r="BK49"/>
  <c r="L50"/>
  <c r="R50"/>
  <c r="BK50"/>
  <c r="BG51"/>
  <c r="BM51"/>
  <c r="BK52"/>
  <c r="BG53"/>
  <c r="BM53"/>
  <c r="BK54"/>
  <c r="BG55"/>
  <c r="BM55"/>
  <c r="BK56"/>
  <c r="BG57"/>
  <c r="BM57"/>
  <c r="BK58"/>
  <c r="BG59"/>
  <c r="BM59"/>
  <c r="BG61"/>
  <c r="BM61"/>
  <c r="BH64"/>
  <c r="BP64"/>
  <c r="BR64" s="1"/>
  <c r="BH66"/>
  <c r="BP66"/>
  <c r="BR66" s="1"/>
  <c r="R22" i="8"/>
  <c r="F25"/>
  <c r="BH63" i="4"/>
  <c r="BQ63"/>
  <c r="BR63" s="1"/>
  <c r="BM63"/>
  <c r="BI63"/>
  <c r="BH65"/>
  <c r="BQ65"/>
  <c r="BR65" s="1"/>
  <c r="BM65"/>
  <c r="BI65"/>
  <c r="BH41"/>
  <c r="BP41"/>
  <c r="BR41" s="1"/>
  <c r="BH42"/>
  <c r="BP42"/>
  <c r="BH43"/>
  <c r="BH44"/>
  <c r="BH45"/>
  <c r="BH46"/>
  <c r="BH47"/>
  <c r="BH48"/>
  <c r="BN49"/>
  <c r="BI49"/>
  <c r="BN50"/>
  <c r="BI50"/>
  <c r="BN52"/>
  <c r="BI52"/>
  <c r="BN54"/>
  <c r="BI54"/>
  <c r="BN56"/>
  <c r="BI56"/>
  <c r="BQ57"/>
  <c r="BR57" s="1"/>
  <c r="BN58"/>
  <c r="BI58"/>
  <c r="BQ59"/>
  <c r="BR59" s="1"/>
  <c r="BN60"/>
  <c r="BI60"/>
  <c r="BQ61"/>
  <c r="BR61" s="1"/>
  <c r="BN62"/>
  <c r="BI62"/>
  <c r="BJ63"/>
  <c r="BL63" s="1"/>
  <c r="BJ65"/>
  <c r="BL65" s="1"/>
  <c r="BJ49"/>
  <c r="BJ50"/>
  <c r="BL50" s="1"/>
  <c r="BJ52"/>
  <c r="BL52" s="1"/>
  <c r="BJ54"/>
  <c r="BL54" s="1"/>
  <c r="BJ56"/>
  <c r="BJ58"/>
  <c r="BL58" s="1"/>
  <c r="BJ60"/>
  <c r="BL60" s="1"/>
  <c r="BJ62"/>
  <c r="BL62" s="1"/>
  <c r="BN64"/>
  <c r="BK64"/>
  <c r="BL64" s="1"/>
  <c r="BN66"/>
  <c r="BK66"/>
  <c r="BG41"/>
  <c r="BO41"/>
  <c r="BG42"/>
  <c r="BO42"/>
  <c r="BG43"/>
  <c r="BG44"/>
  <c r="BG45"/>
  <c r="BG46"/>
  <c r="BG47"/>
  <c r="BG48"/>
  <c r="BH49"/>
  <c r="BM49"/>
  <c r="BH50"/>
  <c r="BM50"/>
  <c r="BH52"/>
  <c r="BM52"/>
  <c r="BH54"/>
  <c r="BM54"/>
  <c r="BH56"/>
  <c r="BM56"/>
  <c r="BH58"/>
  <c r="BM58"/>
  <c r="BH60"/>
  <c r="BM60"/>
  <c r="BH62"/>
  <c r="BM62"/>
  <c r="BG64"/>
  <c r="BO64"/>
  <c r="BG66"/>
  <c r="BO66"/>
  <c r="BJ66"/>
  <c r="BL66" l="1"/>
  <c r="BL25"/>
  <c r="BL5"/>
  <c r="J5"/>
  <c r="BL32"/>
  <c r="BL56"/>
  <c r="BL49"/>
  <c r="BR35"/>
  <c r="K9"/>
  <c r="J4"/>
  <c r="K12"/>
  <c r="BL9"/>
  <c r="Q8"/>
  <c r="Q7"/>
  <c r="Q47"/>
  <c r="F9" i="8"/>
  <c r="I24" i="7"/>
  <c r="A11" i="8"/>
  <c r="I8" i="7"/>
  <c r="J21" i="4"/>
  <c r="D9" i="2"/>
  <c r="D10" i="5" s="1"/>
  <c r="K26" i="4"/>
  <c r="E10" i="2"/>
  <c r="G11" i="5" s="1"/>
  <c r="AH25" i="4"/>
  <c r="AD25"/>
  <c r="AI25"/>
  <c r="AE25"/>
  <c r="AJ25"/>
  <c r="AF25"/>
  <c r="AI34"/>
  <c r="AE34"/>
  <c r="AJ34"/>
  <c r="AD34"/>
  <c r="AF34"/>
  <c r="AH34"/>
  <c r="E41" i="2"/>
  <c r="G43" i="5" s="1"/>
  <c r="K18" i="4"/>
  <c r="AF11"/>
  <c r="AH11"/>
  <c r="AD11"/>
  <c r="AI11"/>
  <c r="AE11"/>
  <c r="K5"/>
  <c r="AH16"/>
  <c r="AD16"/>
  <c r="AI16"/>
  <c r="AE16"/>
  <c r="AF16"/>
  <c r="A23" i="8"/>
  <c r="I5" i="7"/>
  <c r="AH4" i="4"/>
  <c r="AD4"/>
  <c r="AI4"/>
  <c r="AE4"/>
  <c r="AJ4"/>
  <c r="AF4"/>
  <c r="AI22"/>
  <c r="AE22"/>
  <c r="AJ22"/>
  <c r="AF22"/>
  <c r="AH22"/>
  <c r="AD22"/>
  <c r="AJ27"/>
  <c r="AF27"/>
  <c r="AH27"/>
  <c r="AD27"/>
  <c r="AI27"/>
  <c r="AE27"/>
  <c r="J41"/>
  <c r="D45" i="2"/>
  <c r="D47" i="5" s="1"/>
  <c r="K39" i="4"/>
  <c r="E21" i="2"/>
  <c r="G23" i="5" s="1"/>
  <c r="K43" i="4"/>
  <c r="E37" i="2"/>
  <c r="G39" i="5" s="1"/>
  <c r="J47" i="4"/>
  <c r="E38" i="2"/>
  <c r="G40" i="5" s="1"/>
  <c r="J42" i="4"/>
  <c r="D49" i="2"/>
  <c r="D51" i="5" s="1"/>
  <c r="J46" i="4"/>
  <c r="D34" i="2"/>
  <c r="D36" i="5" s="1"/>
  <c r="J50" i="4"/>
  <c r="D50" i="2"/>
  <c r="D52" i="5" s="1"/>
  <c r="AI6" i="4"/>
  <c r="AE6"/>
  <c r="AJ6"/>
  <c r="AF6"/>
  <c r="AH6"/>
  <c r="AD6"/>
  <c r="A15" i="8"/>
  <c r="I12" i="7"/>
  <c r="F17" i="8"/>
  <c r="I25" i="7"/>
  <c r="AH8" i="4"/>
  <c r="AD8"/>
  <c r="AI8"/>
  <c r="AE8"/>
  <c r="AJ8"/>
  <c r="AF8"/>
  <c r="K13" i="8"/>
  <c r="I42" i="7"/>
  <c r="AH20" i="4"/>
  <c r="AD20"/>
  <c r="AI20"/>
  <c r="AE20"/>
  <c r="AJ20"/>
  <c r="AF20"/>
  <c r="K30"/>
  <c r="E47" i="2"/>
  <c r="G49" i="5" s="1"/>
  <c r="J18" i="4"/>
  <c r="D41" i="2"/>
  <c r="D43" i="5" s="1"/>
  <c r="AI26" i="4"/>
  <c r="AE26"/>
  <c r="AJ26"/>
  <c r="AF26"/>
  <c r="AH26"/>
  <c r="AD26"/>
  <c r="AJ31"/>
  <c r="AF31"/>
  <c r="AH31"/>
  <c r="AD31"/>
  <c r="AI31"/>
  <c r="AE31"/>
  <c r="J37"/>
  <c r="D36" i="2"/>
  <c r="D38" i="5" s="1"/>
  <c r="K38" i="4"/>
  <c r="E24" i="2"/>
  <c r="G26" i="5" s="1"/>
  <c r="K42" i="4"/>
  <c r="E49" i="2"/>
  <c r="G51" i="5" s="1"/>
  <c r="K50" i="4"/>
  <c r="E50" i="2"/>
  <c r="G52" i="5" s="1"/>
  <c r="J45" i="4"/>
  <c r="D22" i="2"/>
  <c r="D24" i="5" s="1"/>
  <c r="AJ7" i="4"/>
  <c r="AF7"/>
  <c r="AH7"/>
  <c r="AD7"/>
  <c r="AI7"/>
  <c r="AE7"/>
  <c r="K29" i="8"/>
  <c r="I43" i="7"/>
  <c r="A19" i="8"/>
  <c r="I16" i="7"/>
  <c r="AH17" i="4"/>
  <c r="AD17"/>
  <c r="AI17"/>
  <c r="AE17"/>
  <c r="AF17"/>
  <c r="AJ17"/>
  <c r="D12" i="2"/>
  <c r="D14" i="5" s="1"/>
  <c r="J10" i="4"/>
  <c r="AH9"/>
  <c r="AD9"/>
  <c r="AI9"/>
  <c r="AE9"/>
  <c r="AJ9"/>
  <c r="AF9"/>
  <c r="F33" i="8"/>
  <c r="I29" i="7"/>
  <c r="A31" i="8"/>
  <c r="I13" i="7"/>
  <c r="AH12" i="4"/>
  <c r="AD12"/>
  <c r="AI12"/>
  <c r="AE12"/>
  <c r="AJ12"/>
  <c r="AF12"/>
  <c r="E12" i="2"/>
  <c r="G14" i="5" s="1"/>
  <c r="K10" i="4"/>
  <c r="AH24"/>
  <c r="AD24"/>
  <c r="AI24"/>
  <c r="AE24"/>
  <c r="AJ24"/>
  <c r="AF24"/>
  <c r="J29"/>
  <c r="D43" i="2"/>
  <c r="D45" i="5" s="1"/>
  <c r="J38" i="4"/>
  <c r="D24" i="2"/>
  <c r="D26" i="5" s="1"/>
  <c r="K22" i="4"/>
  <c r="D14" i="2"/>
  <c r="D16" i="5" s="1"/>
  <c r="AJ32" i="4"/>
  <c r="AE32"/>
  <c r="AF32"/>
  <c r="AH32"/>
  <c r="AI32"/>
  <c r="AD32"/>
  <c r="J36"/>
  <c r="D48" i="2"/>
  <c r="D50" i="5" s="1"/>
  <c r="AI30" i="4"/>
  <c r="AE30"/>
  <c r="AJ30"/>
  <c r="AF30"/>
  <c r="AH30"/>
  <c r="AD30"/>
  <c r="J40"/>
  <c r="D33" i="2"/>
  <c r="D35" i="5" s="1"/>
  <c r="AJ19" i="4"/>
  <c r="AF19"/>
  <c r="AH19"/>
  <c r="AD19"/>
  <c r="AI19"/>
  <c r="AE19"/>
  <c r="J34"/>
  <c r="E32" i="2"/>
  <c r="G34" i="5" s="1"/>
  <c r="K37" i="4"/>
  <c r="E36" i="2"/>
  <c r="G38" i="5" s="1"/>
  <c r="K41" i="4"/>
  <c r="E45" i="2"/>
  <c r="G47" i="5" s="1"/>
  <c r="K45" i="4"/>
  <c r="E22" i="2"/>
  <c r="G24" i="5" s="1"/>
  <c r="K49" i="4"/>
  <c r="E26" i="2"/>
  <c r="G28" i="5" s="1"/>
  <c r="K44" i="4"/>
  <c r="D25" i="2"/>
  <c r="D27" i="5" s="1"/>
  <c r="J48" i="4"/>
  <c r="D46" i="2"/>
  <c r="D48" i="5" s="1"/>
  <c r="K15" i="4"/>
  <c r="BR16"/>
  <c r="K32"/>
  <c r="Q28"/>
  <c r="K20"/>
  <c r="BL35"/>
  <c r="J12"/>
  <c r="J16"/>
  <c r="J7"/>
  <c r="K4"/>
  <c r="K19"/>
  <c r="K11"/>
  <c r="J13"/>
  <c r="AI10"/>
  <c r="AE10"/>
  <c r="AJ10"/>
  <c r="AF10"/>
  <c r="AH10"/>
  <c r="AD10"/>
  <c r="J30"/>
  <c r="D47" i="2"/>
  <c r="D49" i="5" s="1"/>
  <c r="J14" i="4"/>
  <c r="D6" i="2"/>
  <c r="D7" i="5" s="1"/>
  <c r="AH13" i="4"/>
  <c r="AD13"/>
  <c r="AI13"/>
  <c r="AE13"/>
  <c r="AF13"/>
  <c r="A27" i="8"/>
  <c r="I9" i="7"/>
  <c r="E39" i="2"/>
  <c r="G41" i="5" s="1"/>
  <c r="K6" i="4"/>
  <c r="J25"/>
  <c r="D18" i="2"/>
  <c r="D20" i="5" s="1"/>
  <c r="AH29" i="4"/>
  <c r="AD29"/>
  <c r="AI29"/>
  <c r="AE29"/>
  <c r="AJ29"/>
  <c r="AF29"/>
  <c r="J39"/>
  <c r="D21" i="2"/>
  <c r="D23" i="5" s="1"/>
  <c r="AJ15" i="4"/>
  <c r="AF15"/>
  <c r="AD15"/>
  <c r="AE15"/>
  <c r="AH15"/>
  <c r="AI15"/>
  <c r="K46"/>
  <c r="E34" i="2"/>
  <c r="G36" i="5" s="1"/>
  <c r="J49" i="4"/>
  <c r="D26" i="2"/>
  <c r="D28" i="5" s="1"/>
  <c r="AF3" i="4"/>
  <c r="AH3"/>
  <c r="AD3"/>
  <c r="AI3"/>
  <c r="AE3"/>
  <c r="AI14"/>
  <c r="AE14"/>
  <c r="AJ14"/>
  <c r="AF14"/>
  <c r="AH14"/>
  <c r="AD14"/>
  <c r="A7" i="8"/>
  <c r="I4" i="7"/>
  <c r="J6" i="4"/>
  <c r="D39" i="2"/>
  <c r="D41" i="5" s="1"/>
  <c r="AH5" i="4"/>
  <c r="AD5"/>
  <c r="AI5"/>
  <c r="AE5"/>
  <c r="AJ5"/>
  <c r="AF5"/>
  <c r="A35" i="8"/>
  <c r="I17" i="7"/>
  <c r="K14" i="4"/>
  <c r="E6" i="2"/>
  <c r="G7" i="5" s="1"/>
  <c r="J22" i="4"/>
  <c r="E14" i="2"/>
  <c r="G16" i="5" s="1"/>
  <c r="AH28" i="4"/>
  <c r="AD28"/>
  <c r="AI28"/>
  <c r="AE28"/>
  <c r="AJ28"/>
  <c r="AF28"/>
  <c r="K36"/>
  <c r="E48" i="2"/>
  <c r="G50" i="5" s="1"/>
  <c r="AH21" i="4"/>
  <c r="AD21"/>
  <c r="AI21"/>
  <c r="AE21"/>
  <c r="AF21"/>
  <c r="J26"/>
  <c r="D10" i="2"/>
  <c r="D11" i="5" s="1"/>
  <c r="K35" i="4"/>
  <c r="E44" i="2"/>
  <c r="G46" i="5" s="1"/>
  <c r="AI18" i="4"/>
  <c r="AE18"/>
  <c r="AJ18"/>
  <c r="AF18"/>
  <c r="AD18"/>
  <c r="AH18"/>
  <c r="J35"/>
  <c r="D44" i="2"/>
  <c r="D46" i="5" s="1"/>
  <c r="AF23" i="4"/>
  <c r="AH23"/>
  <c r="AD23"/>
  <c r="AI23"/>
  <c r="AE23"/>
  <c r="AH33"/>
  <c r="AD33"/>
  <c r="AI33"/>
  <c r="AJ33"/>
  <c r="AE33"/>
  <c r="AF33"/>
  <c r="K40"/>
  <c r="E33" i="2"/>
  <c r="G35" i="5" s="1"/>
  <c r="J44" i="4"/>
  <c r="E25" i="2"/>
  <c r="G27" i="5" s="1"/>
  <c r="K48" i="4"/>
  <c r="E46" i="2"/>
  <c r="G48" i="5" s="1"/>
  <c r="J43" i="4"/>
  <c r="D37" i="2"/>
  <c r="D39" i="5" s="1"/>
  <c r="K47" i="4"/>
  <c r="D38" i="2"/>
  <c r="D40" i="5" s="1"/>
  <c r="Q33" i="4"/>
  <c r="AJ23" s="1"/>
  <c r="BL17"/>
  <c r="K21"/>
  <c r="K8"/>
  <c r="J9"/>
  <c r="BR42"/>
  <c r="K34"/>
  <c r="J32"/>
  <c r="J20"/>
  <c r="J33"/>
  <c r="Q32"/>
  <c r="AJ21" s="1"/>
  <c r="J27"/>
  <c r="Q24"/>
  <c r="AJ16" s="1"/>
  <c r="Q20"/>
  <c r="AJ13" s="1"/>
  <c r="K13"/>
  <c r="J8"/>
  <c r="BR4"/>
  <c r="Q16"/>
  <c r="AJ11" s="1"/>
  <c r="Q4"/>
  <c r="AJ3" s="1"/>
  <c r="J3"/>
  <c r="K7"/>
  <c r="AG15" l="1"/>
  <c r="AC15"/>
  <c r="AG30"/>
  <c r="AC30"/>
  <c r="AG32"/>
  <c r="AC32"/>
  <c r="AG24"/>
  <c r="AC24"/>
  <c r="AG12"/>
  <c r="AC12"/>
  <c r="AG20"/>
  <c r="AC20"/>
  <c r="AG8"/>
  <c r="AC8"/>
  <c r="AG27"/>
  <c r="AC27"/>
  <c r="AG22"/>
  <c r="AC22"/>
  <c r="AG23"/>
  <c r="AC23"/>
  <c r="AG21"/>
  <c r="AC21"/>
  <c r="AG28"/>
  <c r="AC28"/>
  <c r="AG5"/>
  <c r="AC5"/>
  <c r="AG10"/>
  <c r="AC10"/>
  <c r="AG11"/>
  <c r="AC11"/>
  <c r="AG34"/>
  <c r="AC34"/>
  <c r="AG25"/>
  <c r="AC25"/>
  <c r="AG33"/>
  <c r="AC33"/>
  <c r="AG18"/>
  <c r="AC18"/>
  <c r="AG19"/>
  <c r="AC19"/>
  <c r="AG9"/>
  <c r="AC9"/>
  <c r="AG17"/>
  <c r="AC17"/>
  <c r="AG7"/>
  <c r="AC7"/>
  <c r="AG31"/>
  <c r="AC31"/>
  <c r="AG26"/>
  <c r="AC26"/>
  <c r="AG6"/>
  <c r="AC6"/>
  <c r="AG4"/>
  <c r="AC4"/>
  <c r="AG16"/>
  <c r="AC16"/>
  <c r="AG14"/>
  <c r="AC14"/>
  <c r="AG3"/>
  <c r="AC3"/>
  <c r="AG29"/>
  <c r="AC29"/>
  <c r="AG13"/>
  <c r="AC13"/>
  <c r="AP29" l="1"/>
  <c r="AL29"/>
  <c r="AQ29"/>
  <c r="AM29"/>
  <c r="AO29"/>
  <c r="AK29"/>
  <c r="AQ26"/>
  <c r="AM26"/>
  <c r="AO26"/>
  <c r="AK26"/>
  <c r="AP26"/>
  <c r="AL26"/>
  <c r="AQ18"/>
  <c r="AM18"/>
  <c r="AO18"/>
  <c r="AK18"/>
  <c r="AL18"/>
  <c r="AP18"/>
  <c r="AP5"/>
  <c r="AL5"/>
  <c r="AQ5"/>
  <c r="AM5"/>
  <c r="AO5"/>
  <c r="AK5"/>
  <c r="AO8"/>
  <c r="AK8"/>
  <c r="AP8"/>
  <c r="AL8"/>
  <c r="AP12"/>
  <c r="AL12"/>
  <c r="AM15"/>
  <c r="AQ15"/>
  <c r="AP9"/>
  <c r="AL9"/>
  <c r="AQ9"/>
  <c r="AM9"/>
  <c r="AO21"/>
  <c r="AK21"/>
  <c r="AP16"/>
  <c r="AL16"/>
  <c r="AO31"/>
  <c r="AK31"/>
  <c r="AQ31"/>
  <c r="AM31"/>
  <c r="AO17"/>
  <c r="AK17"/>
  <c r="AM19"/>
  <c r="AQ19"/>
  <c r="AQ34"/>
  <c r="AM34"/>
  <c r="AO34"/>
  <c r="AP34"/>
  <c r="AK34"/>
  <c r="AL34"/>
  <c r="AO10"/>
  <c r="AK10"/>
  <c r="AP10"/>
  <c r="AL10"/>
  <c r="AO28"/>
  <c r="AK28"/>
  <c r="AP28"/>
  <c r="AL28"/>
  <c r="AQ28"/>
  <c r="AM28"/>
  <c r="AQ23"/>
  <c r="AM23"/>
  <c r="AO27"/>
  <c r="AK27"/>
  <c r="AP27"/>
  <c r="AL27"/>
  <c r="AQ27"/>
  <c r="AM27"/>
  <c r="AP20"/>
  <c r="AL20"/>
  <c r="AP24"/>
  <c r="AL24"/>
  <c r="AQ30"/>
  <c r="AM30"/>
  <c r="AO30"/>
  <c r="AK30"/>
  <c r="AP30"/>
  <c r="AL30"/>
  <c r="AQ14"/>
  <c r="AM14"/>
  <c r="AO14"/>
  <c r="AK14"/>
  <c r="AP14"/>
  <c r="AL14"/>
  <c r="AO4"/>
  <c r="AK4"/>
  <c r="AP4"/>
  <c r="AL4"/>
  <c r="AQ4"/>
  <c r="AM4"/>
  <c r="AP7"/>
  <c r="AL7"/>
  <c r="AQ7"/>
  <c r="AM7"/>
  <c r="AO25"/>
  <c r="AK25"/>
  <c r="AQ11"/>
  <c r="AM11"/>
  <c r="AQ22"/>
  <c r="AM22"/>
  <c r="AO22"/>
  <c r="AK22"/>
  <c r="AP22"/>
  <c r="AL22"/>
  <c r="AO32"/>
  <c r="AK32"/>
  <c r="AP32"/>
  <c r="AQ32"/>
  <c r="AL32"/>
  <c r="AM32"/>
  <c r="AO13"/>
  <c r="AK13"/>
  <c r="AO3"/>
  <c r="AK3"/>
  <c r="AP3"/>
  <c r="AL3"/>
  <c r="AQ3"/>
  <c r="AM3"/>
  <c r="AQ6"/>
  <c r="AM6"/>
  <c r="AO6"/>
  <c r="AK6"/>
  <c r="AP6"/>
  <c r="AL6"/>
  <c r="AM33"/>
  <c r="AO33"/>
  <c r="AQ33"/>
  <c r="AK33"/>
  <c r="AO15"/>
  <c r="AP15"/>
  <c r="AK9"/>
  <c r="AM21"/>
  <c r="AQ17"/>
  <c r="AP19"/>
  <c r="AM10"/>
  <c r="AP23"/>
  <c r="AO20"/>
  <c r="AQ20"/>
  <c r="AK24"/>
  <c r="AM24"/>
  <c r="AK7"/>
  <c r="AM25"/>
  <c r="AL11"/>
  <c r="AM13"/>
  <c r="AQ24"/>
  <c r="AO7"/>
  <c r="AQ25"/>
  <c r="AQ13"/>
  <c r="AL33"/>
  <c r="AL23"/>
  <c r="AK20"/>
  <c r="AP25"/>
  <c r="AP13"/>
  <c r="AM8"/>
  <c r="AO9"/>
  <c r="AQ21"/>
  <c r="AL31"/>
  <c r="AL17"/>
  <c r="AK19"/>
  <c r="AQ10"/>
  <c r="AK23"/>
  <c r="AO24"/>
  <c r="AP11"/>
  <c r="AQ8"/>
  <c r="AK12"/>
  <c r="AM12"/>
  <c r="AL15"/>
  <c r="AL21"/>
  <c r="AK16"/>
  <c r="AM16"/>
  <c r="AP31"/>
  <c r="AP17"/>
  <c r="AO19"/>
  <c r="AO23"/>
  <c r="AL25"/>
  <c r="AK11"/>
  <c r="AL13"/>
  <c r="AP33"/>
  <c r="AO12"/>
  <c r="AQ12"/>
  <c r="AK15"/>
  <c r="AP21"/>
  <c r="AO16"/>
  <c r="AQ16"/>
  <c r="AM17"/>
  <c r="AL19"/>
  <c r="AM20"/>
  <c r="AO11"/>
  <c r="AN4" l="1"/>
  <c r="AR3"/>
  <c r="AN30"/>
  <c r="AN18"/>
  <c r="AR11"/>
  <c r="AR16"/>
  <c r="AS16" s="1"/>
  <c r="AN15"/>
  <c r="AR12"/>
  <c r="AN11"/>
  <c r="AR23"/>
  <c r="AS23" s="1"/>
  <c r="AR19"/>
  <c r="AN16"/>
  <c r="AN12"/>
  <c r="AR24"/>
  <c r="AN23"/>
  <c r="AN19"/>
  <c r="AR9"/>
  <c r="AN20"/>
  <c r="AR7"/>
  <c r="AS7" s="1"/>
  <c r="AN7"/>
  <c r="AN24"/>
  <c r="AR20"/>
  <c r="AS20" s="1"/>
  <c r="AN9"/>
  <c r="AR15"/>
  <c r="AR27"/>
  <c r="AR33"/>
  <c r="AR6"/>
  <c r="AN3"/>
  <c r="AR13"/>
  <c r="AR22"/>
  <c r="AR25"/>
  <c r="AN27"/>
  <c r="AR10"/>
  <c r="AR34"/>
  <c r="AR17"/>
  <c r="AR21"/>
  <c r="AR8"/>
  <c r="AR18"/>
  <c r="AS18" s="1"/>
  <c r="AR29"/>
  <c r="AN13"/>
  <c r="AR14"/>
  <c r="AR28"/>
  <c r="AS28" s="1"/>
  <c r="AN10"/>
  <c r="AN21"/>
  <c r="AN8"/>
  <c r="AR5"/>
  <c r="AS5" s="1"/>
  <c r="AR26"/>
  <c r="AN29"/>
  <c r="AN31"/>
  <c r="AN6"/>
  <c r="AR32"/>
  <c r="AN22"/>
  <c r="AN25"/>
  <c r="AN33"/>
  <c r="AN32"/>
  <c r="AR4"/>
  <c r="AN14"/>
  <c r="AR30"/>
  <c r="AS30" s="1"/>
  <c r="AN28"/>
  <c r="AN34"/>
  <c r="AN17"/>
  <c r="AR31"/>
  <c r="AN5"/>
  <c r="AN26"/>
  <c r="AS4" l="1"/>
  <c r="AS15"/>
  <c r="AS21"/>
  <c r="AS3"/>
  <c r="AS10"/>
  <c r="AS9"/>
  <c r="AS11"/>
  <c r="AS14"/>
  <c r="AS8"/>
  <c r="AS31"/>
  <c r="AS34"/>
  <c r="AS22"/>
  <c r="AS33"/>
  <c r="AS19"/>
  <c r="Y20" s="1"/>
  <c r="AS13"/>
  <c r="AS27"/>
  <c r="AS24"/>
  <c r="AS32"/>
  <c r="AS26"/>
  <c r="AS29"/>
  <c r="AS17"/>
  <c r="Y17" s="1"/>
  <c r="AS25"/>
  <c r="AS6"/>
  <c r="AS12"/>
  <c r="Y9" l="1"/>
  <c r="Y6"/>
  <c r="Y15"/>
  <c r="Y25"/>
  <c r="Y32"/>
  <c r="Y22"/>
  <c r="Y14"/>
  <c r="Y27"/>
  <c r="O17" i="6" s="1"/>
  <c r="Y21" i="4"/>
  <c r="Y8"/>
  <c r="K17" i="6"/>
  <c r="M17"/>
  <c r="Y3" i="4"/>
  <c r="F23" i="6"/>
  <c r="B23"/>
  <c r="G23"/>
  <c r="C23"/>
  <c r="H23"/>
  <c r="D23"/>
  <c r="A23"/>
  <c r="E23"/>
  <c r="Y31" i="4"/>
  <c r="Y24"/>
  <c r="Y33"/>
  <c r="Y4"/>
  <c r="Y29"/>
  <c r="Y30"/>
  <c r="Y10"/>
  <c r="Y7"/>
  <c r="Y18"/>
  <c r="Y16"/>
  <c r="F25" i="6" s="1"/>
  <c r="Y26" i="4"/>
  <c r="Y5"/>
  <c r="Y12"/>
  <c r="Y28"/>
  <c r="K19" i="6" s="1"/>
  <c r="Y13" i="4"/>
  <c r="Y19"/>
  <c r="Y34"/>
  <c r="Y23"/>
  <c r="Y11"/>
  <c r="B25" i="6" l="1"/>
  <c r="J17"/>
  <c r="P17"/>
  <c r="D25"/>
  <c r="N17"/>
  <c r="L17"/>
  <c r="C25"/>
  <c r="Q17"/>
  <c r="O8"/>
  <c r="K8"/>
  <c r="O7"/>
  <c r="K7"/>
  <c r="O6"/>
  <c r="K6"/>
  <c r="O5"/>
  <c r="K5"/>
  <c r="P8"/>
  <c r="L8"/>
  <c r="P7"/>
  <c r="L7"/>
  <c r="P6"/>
  <c r="L6"/>
  <c r="P5"/>
  <c r="L5"/>
  <c r="Q8"/>
  <c r="M8"/>
  <c r="Q7"/>
  <c r="M7"/>
  <c r="Q6"/>
  <c r="M6"/>
  <c r="Q5"/>
  <c r="M5"/>
  <c r="J8"/>
  <c r="J7"/>
  <c r="J6"/>
  <c r="J5"/>
  <c r="N8"/>
  <c r="N7"/>
  <c r="N6"/>
  <c r="N5"/>
  <c r="F8"/>
  <c r="B8"/>
  <c r="F7"/>
  <c r="B7"/>
  <c r="F6"/>
  <c r="B6"/>
  <c r="F5"/>
  <c r="B5"/>
  <c r="G8"/>
  <c r="C8"/>
  <c r="G7"/>
  <c r="C7"/>
  <c r="G6"/>
  <c r="C6"/>
  <c r="G5"/>
  <c r="C5"/>
  <c r="H8"/>
  <c r="D8"/>
  <c r="H7"/>
  <c r="D7"/>
  <c r="H6"/>
  <c r="D6"/>
  <c r="H5"/>
  <c r="D5"/>
  <c r="A8"/>
  <c r="A7"/>
  <c r="A6"/>
  <c r="A5"/>
  <c r="E8"/>
  <c r="E7"/>
  <c r="E6"/>
  <c r="E5"/>
  <c r="BB18" i="4"/>
  <c r="BA17"/>
  <c r="BB17"/>
  <c r="BA16"/>
  <c r="BA15"/>
  <c r="BB14"/>
  <c r="BA13"/>
  <c r="BB10"/>
  <c r="BA9"/>
  <c r="BB6"/>
  <c r="BA5"/>
  <c r="BB15"/>
  <c r="BB13"/>
  <c r="BA12"/>
  <c r="BB9"/>
  <c r="BA8"/>
  <c r="BB5"/>
  <c r="BA4"/>
  <c r="BA18"/>
  <c r="BB16"/>
  <c r="BB12"/>
  <c r="BA11"/>
  <c r="BB8"/>
  <c r="BA7"/>
  <c r="BB4"/>
  <c r="BA3"/>
  <c r="BA14"/>
  <c r="BB11"/>
  <c r="BA10"/>
  <c r="BB7"/>
  <c r="BA6"/>
  <c r="BB3"/>
  <c r="N20" i="6"/>
  <c r="J20"/>
  <c r="Q18"/>
  <c r="Q20"/>
  <c r="P18"/>
  <c r="P20"/>
  <c r="O18"/>
  <c r="O20"/>
  <c r="F14"/>
  <c r="B14"/>
  <c r="F13"/>
  <c r="B13"/>
  <c r="F12"/>
  <c r="B12"/>
  <c r="F11"/>
  <c r="B11"/>
  <c r="G14"/>
  <c r="C14"/>
  <c r="G13"/>
  <c r="C13"/>
  <c r="G12"/>
  <c r="C12"/>
  <c r="G11"/>
  <c r="C11"/>
  <c r="H14"/>
  <c r="D14"/>
  <c r="H13"/>
  <c r="D13"/>
  <c r="H12"/>
  <c r="D12"/>
  <c r="H11"/>
  <c r="D11"/>
  <c r="A14"/>
  <c r="A13"/>
  <c r="A12"/>
  <c r="A11"/>
  <c r="E14"/>
  <c r="E13"/>
  <c r="E12"/>
  <c r="E11"/>
  <c r="O26"/>
  <c r="K26"/>
  <c r="O25"/>
  <c r="K25"/>
  <c r="O24"/>
  <c r="K24"/>
  <c r="O23"/>
  <c r="K23"/>
  <c r="P26"/>
  <c r="L26"/>
  <c r="P25"/>
  <c r="L25"/>
  <c r="P24"/>
  <c r="L24"/>
  <c r="P23"/>
  <c r="L23"/>
  <c r="Q26"/>
  <c r="M26"/>
  <c r="Q25"/>
  <c r="M25"/>
  <c r="Q24"/>
  <c r="M24"/>
  <c r="Q23"/>
  <c r="M23"/>
  <c r="J26"/>
  <c r="J25"/>
  <c r="J24"/>
  <c r="J23"/>
  <c r="N26"/>
  <c r="N25"/>
  <c r="N24"/>
  <c r="N23"/>
  <c r="E26"/>
  <c r="A26"/>
  <c r="H24"/>
  <c r="H26"/>
  <c r="G24"/>
  <c r="G26"/>
  <c r="F24"/>
  <c r="F26"/>
  <c r="N19"/>
  <c r="J19"/>
  <c r="M18"/>
  <c r="M20"/>
  <c r="L18"/>
  <c r="L20"/>
  <c r="K18"/>
  <c r="K20"/>
  <c r="O14"/>
  <c r="K14"/>
  <c r="O13"/>
  <c r="K13"/>
  <c r="O12"/>
  <c r="K12"/>
  <c r="O11"/>
  <c r="K11"/>
  <c r="P14"/>
  <c r="L14"/>
  <c r="P13"/>
  <c r="L13"/>
  <c r="P12"/>
  <c r="L12"/>
  <c r="P11"/>
  <c r="L11"/>
  <c r="Q14"/>
  <c r="M14"/>
  <c r="Q13"/>
  <c r="M13"/>
  <c r="Q12"/>
  <c r="M12"/>
  <c r="Q11"/>
  <c r="M11"/>
  <c r="J14"/>
  <c r="J13"/>
  <c r="J12"/>
  <c r="J11"/>
  <c r="N14"/>
  <c r="N13"/>
  <c r="N12"/>
  <c r="N11"/>
  <c r="E25"/>
  <c r="A25"/>
  <c r="D24"/>
  <c r="D26"/>
  <c r="C24"/>
  <c r="C26"/>
  <c r="B24"/>
  <c r="B26"/>
  <c r="N18"/>
  <c r="J18"/>
  <c r="Q19"/>
  <c r="P19"/>
  <c r="O19"/>
  <c r="F20"/>
  <c r="B20"/>
  <c r="F19"/>
  <c r="B19"/>
  <c r="F18"/>
  <c r="B18"/>
  <c r="F17"/>
  <c r="B17"/>
  <c r="G20"/>
  <c r="C20"/>
  <c r="G19"/>
  <c r="C19"/>
  <c r="G18"/>
  <c r="C18"/>
  <c r="G17"/>
  <c r="C17"/>
  <c r="H20"/>
  <c r="D20"/>
  <c r="H19"/>
  <c r="D19"/>
  <c r="H18"/>
  <c r="D18"/>
  <c r="H17"/>
  <c r="D17"/>
  <c r="A20"/>
  <c r="A19"/>
  <c r="A18"/>
  <c r="A17"/>
  <c r="E20"/>
  <c r="E19"/>
  <c r="E18"/>
  <c r="E17"/>
  <c r="E24"/>
  <c r="A24"/>
  <c r="H25"/>
  <c r="G25"/>
  <c r="M19"/>
  <c r="L19"/>
  <c r="D10" i="3" l="1"/>
  <c r="D11" i="7" s="1"/>
  <c r="BE10" i="4"/>
  <c r="BB29" s="1"/>
  <c r="B25" i="8"/>
  <c r="E4" i="3"/>
  <c r="G5" i="7" s="1"/>
  <c r="BF4" i="4"/>
  <c r="BA33" s="1"/>
  <c r="B33" i="8"/>
  <c r="E12" i="3"/>
  <c r="G13" i="7" s="1"/>
  <c r="BF12" i="4"/>
  <c r="BA34" s="1"/>
  <c r="E5" i="3"/>
  <c r="G6" i="7" s="1"/>
  <c r="BF5" i="4"/>
  <c r="BA19" s="1"/>
  <c r="E13" i="3"/>
  <c r="G14" i="7" s="1"/>
  <c r="BF13" i="4"/>
  <c r="BA21" s="1"/>
  <c r="D9" i="3"/>
  <c r="D10" i="7" s="1"/>
  <c r="BE9" i="4"/>
  <c r="BB25" s="1"/>
  <c r="B20" i="8"/>
  <c r="BE15" i="4"/>
  <c r="BB24" s="1"/>
  <c r="D15" i="3"/>
  <c r="D16" i="7" s="1"/>
  <c r="E18" i="3"/>
  <c r="G19" i="7" s="1"/>
  <c r="BF18" i="4"/>
  <c r="BB22" s="1"/>
  <c r="B13" i="8"/>
  <c r="E7" i="3"/>
  <c r="G8" i="7" s="1"/>
  <c r="BF7" i="4"/>
  <c r="BB31" s="1"/>
  <c r="B8" i="8"/>
  <c r="BE3" i="4"/>
  <c r="BA23" s="1"/>
  <c r="D3" i="3"/>
  <c r="D4" i="7" s="1"/>
  <c r="B16" i="8"/>
  <c r="BE11" i="4"/>
  <c r="BA24" s="1"/>
  <c r="D11" i="3"/>
  <c r="D12" i="7" s="1"/>
  <c r="B24" i="8"/>
  <c r="D4" i="3"/>
  <c r="D5" i="7" s="1"/>
  <c r="BE4" i="4"/>
  <c r="BA27" s="1"/>
  <c r="B32" i="8"/>
  <c r="D12" i="3"/>
  <c r="D13" i="7" s="1"/>
  <c r="BE12" i="4"/>
  <c r="BA28" s="1"/>
  <c r="E6" i="3"/>
  <c r="G7" i="7" s="1"/>
  <c r="BF6" i="4"/>
  <c r="BA20" s="1"/>
  <c r="E14" i="3"/>
  <c r="G15" i="7" s="1"/>
  <c r="BF14" i="4"/>
  <c r="BA22" s="1"/>
  <c r="D17" i="3"/>
  <c r="D18" i="7" s="1"/>
  <c r="BE17" i="4"/>
  <c r="D6" i="3"/>
  <c r="D7" i="7" s="1"/>
  <c r="BE6" i="4"/>
  <c r="BA29" s="1"/>
  <c r="D14" i="3"/>
  <c r="D15" i="7" s="1"/>
  <c r="BE14" i="4"/>
  <c r="BA30" s="1"/>
  <c r="B29" i="8"/>
  <c r="E8" i="3"/>
  <c r="G9" i="7" s="1"/>
  <c r="BF8" i="4"/>
  <c r="BB33" s="1"/>
  <c r="BE18"/>
  <c r="BB30" s="1"/>
  <c r="D18" i="3"/>
  <c r="D19" i="7" s="1"/>
  <c r="E9" i="3"/>
  <c r="G10" i="7" s="1"/>
  <c r="BF9" i="4"/>
  <c r="BB19" s="1"/>
  <c r="D5" i="3"/>
  <c r="D6" i="7" s="1"/>
  <c r="BE5" i="4"/>
  <c r="BA25" s="1"/>
  <c r="D13" i="3"/>
  <c r="D14" i="7" s="1"/>
  <c r="BE13" i="4"/>
  <c r="BA26" s="1"/>
  <c r="E17" i="3"/>
  <c r="G18" i="7" s="1"/>
  <c r="BF17" i="4"/>
  <c r="B9" i="8"/>
  <c r="E3" i="3"/>
  <c r="G4" i="7" s="1"/>
  <c r="BF3" i="4"/>
  <c r="BA31" s="1"/>
  <c r="B17" i="8"/>
  <c r="E11" i="3"/>
  <c r="G12" i="7" s="1"/>
  <c r="BF11" i="4"/>
  <c r="BA32" s="1"/>
  <c r="B12" i="8"/>
  <c r="BE7" i="4"/>
  <c r="BB23" s="1"/>
  <c r="D7" i="3"/>
  <c r="D8" i="7" s="1"/>
  <c r="B37" i="8"/>
  <c r="E16" i="3"/>
  <c r="G17" i="7" s="1"/>
  <c r="BF16" i="4"/>
  <c r="BB34" s="1"/>
  <c r="B28" i="8"/>
  <c r="D8" i="3"/>
  <c r="D9" i="7" s="1"/>
  <c r="BE8" i="4"/>
  <c r="BB27" s="1"/>
  <c r="B21" i="8"/>
  <c r="E15" i="3"/>
  <c r="G16" i="7" s="1"/>
  <c r="BF15" i="4"/>
  <c r="BB32" s="1"/>
  <c r="E10" i="3"/>
  <c r="G11" i="7" s="1"/>
  <c r="BF10" i="4"/>
  <c r="BB20" s="1"/>
  <c r="B36" i="8"/>
  <c r="D16" i="3"/>
  <c r="D17" i="7" s="1"/>
  <c r="BE16" i="4"/>
  <c r="BB28" s="1"/>
  <c r="E34" i="3" l="1"/>
  <c r="G35" i="7" s="1"/>
  <c r="BF34" i="4"/>
  <c r="BB46" s="1"/>
  <c r="G11" i="8"/>
  <c r="BF23" i="4"/>
  <c r="BA39" s="1"/>
  <c r="E23" i="3"/>
  <c r="G24" i="7" s="1"/>
  <c r="BA38" i="4"/>
  <c r="BB21"/>
  <c r="D25" i="3"/>
  <c r="D26" i="7" s="1"/>
  <c r="BE25" i="4"/>
  <c r="BA47" s="1"/>
  <c r="D33" i="3"/>
  <c r="D34" i="7" s="1"/>
  <c r="BE33" i="4"/>
  <c r="BA44" s="1"/>
  <c r="D29" i="3"/>
  <c r="D30" i="7" s="1"/>
  <c r="BE29" i="4"/>
  <c r="BA48" s="1"/>
  <c r="BE22"/>
  <c r="D22" i="3"/>
  <c r="D23" i="7" s="1"/>
  <c r="G34" i="8"/>
  <c r="D28" i="3"/>
  <c r="D29" i="7" s="1"/>
  <c r="BE28" i="4"/>
  <c r="BB42" s="1"/>
  <c r="BF31"/>
  <c r="BA45" s="1"/>
  <c r="E31" i="3"/>
  <c r="G32" i="7" s="1"/>
  <c r="E25" i="3"/>
  <c r="G26" i="7" s="1"/>
  <c r="BF25" i="4"/>
  <c r="BA49" s="1"/>
  <c r="BE19"/>
  <c r="BA35" s="1"/>
  <c r="D19" i="3"/>
  <c r="D20" i="7" s="1"/>
  <c r="E29" i="3"/>
  <c r="G30" i="7" s="1"/>
  <c r="BF29" i="4"/>
  <c r="BA50" s="1"/>
  <c r="E20" i="3"/>
  <c r="G21" i="7" s="1"/>
  <c r="BF20" i="4"/>
  <c r="BB38" s="1"/>
  <c r="BF32"/>
  <c r="BB45" s="1"/>
  <c r="E32" i="3"/>
  <c r="G33" i="7" s="1"/>
  <c r="BE32" i="4"/>
  <c r="BB43" s="1"/>
  <c r="D32" i="3"/>
  <c r="D33" i="7" s="1"/>
  <c r="BE26" i="4"/>
  <c r="BB47" s="1"/>
  <c r="D26" i="3"/>
  <c r="D27" i="7" s="1"/>
  <c r="E19" i="3"/>
  <c r="G20" i="7" s="1"/>
  <c r="BF19" i="4"/>
  <c r="BA37" s="1"/>
  <c r="E33" i="3"/>
  <c r="G34" i="7" s="1"/>
  <c r="BF33" i="4"/>
  <c r="BA46" s="1"/>
  <c r="G26" i="8"/>
  <c r="BE27" i="4"/>
  <c r="BA42" s="1"/>
  <c r="D27" i="3"/>
  <c r="D28" i="7" s="1"/>
  <c r="G18" i="8"/>
  <c r="D24" i="3"/>
  <c r="D25" i="7" s="1"/>
  <c r="BE24" i="4"/>
  <c r="BB41" s="1"/>
  <c r="E22" i="3"/>
  <c r="G23" i="7" s="1"/>
  <c r="BF22" i="4"/>
  <c r="G35" i="8"/>
  <c r="E28" i="3"/>
  <c r="G29" i="7" s="1"/>
  <c r="BF28" i="4"/>
  <c r="BB40" s="1"/>
  <c r="G27" i="8"/>
  <c r="BF27" i="4"/>
  <c r="BA40" s="1"/>
  <c r="E27" i="3"/>
  <c r="G28" i="7" s="1"/>
  <c r="BE31" i="4"/>
  <c r="BA43" s="1"/>
  <c r="D31" i="3"/>
  <c r="D32" i="7" s="1"/>
  <c r="E30" i="3"/>
  <c r="G31" i="7" s="1"/>
  <c r="BF30" i="4"/>
  <c r="BB50" s="1"/>
  <c r="BE30"/>
  <c r="BB48" s="1"/>
  <c r="D30" i="3"/>
  <c r="D31" i="7" s="1"/>
  <c r="BA36" i="4"/>
  <c r="BB26"/>
  <c r="D20" i="3"/>
  <c r="D21" i="7" s="1"/>
  <c r="BE20" i="4"/>
  <c r="BB36" s="1"/>
  <c r="G10" i="8"/>
  <c r="BE23" i="4"/>
  <c r="BA41" s="1"/>
  <c r="D23" i="3"/>
  <c r="D24" i="7" s="1"/>
  <c r="G19" i="8"/>
  <c r="E24" i="3"/>
  <c r="G25" i="7" s="1"/>
  <c r="BF24" i="4"/>
  <c r="BB39" s="1"/>
  <c r="D21" i="3"/>
  <c r="D22" i="7" s="1"/>
  <c r="BE21" i="4"/>
  <c r="BB35" s="1"/>
  <c r="BE34"/>
  <c r="BB44" s="1"/>
  <c r="D34" i="3"/>
  <c r="D35" i="7" s="1"/>
  <c r="E48" i="3" l="1"/>
  <c r="G49" i="7" s="1"/>
  <c r="BF48" i="4"/>
  <c r="BB57" s="1"/>
  <c r="D43" i="3"/>
  <c r="D44" i="7" s="1"/>
  <c r="BE43" i="4"/>
  <c r="BA62" s="1"/>
  <c r="E40" i="3"/>
  <c r="G41" i="7" s="1"/>
  <c r="BF40" i="4"/>
  <c r="BB64" s="1"/>
  <c r="E47" i="3"/>
  <c r="G48" i="7" s="1"/>
  <c r="BF47" i="4"/>
  <c r="BA57" s="1"/>
  <c r="E45" i="3"/>
  <c r="G46" i="7" s="1"/>
  <c r="BF45" i="4"/>
  <c r="BA59" s="1"/>
  <c r="D48" i="3"/>
  <c r="D49" i="7" s="1"/>
  <c r="BE48" i="4"/>
  <c r="BB58" s="1"/>
  <c r="D47" i="3"/>
  <c r="D48" i="7" s="1"/>
  <c r="BE47" i="4"/>
  <c r="BA58" s="1"/>
  <c r="E35" i="3"/>
  <c r="G36" i="7" s="1"/>
  <c r="BF35" i="4"/>
  <c r="BA53" s="1"/>
  <c r="E36" i="3"/>
  <c r="G37" i="7" s="1"/>
  <c r="BF36" i="4"/>
  <c r="BB53" s="1"/>
  <c r="D46" i="3"/>
  <c r="D47" i="7" s="1"/>
  <c r="BE46" i="4"/>
  <c r="BB60" s="1"/>
  <c r="D50" i="3"/>
  <c r="D51" i="7" s="1"/>
  <c r="BE50" i="4"/>
  <c r="BB56" s="1"/>
  <c r="D49" i="3"/>
  <c r="D50" i="7" s="1"/>
  <c r="BE49" i="4"/>
  <c r="BA56" s="1"/>
  <c r="L31" i="8"/>
  <c r="E42" i="3"/>
  <c r="G43" i="7" s="1"/>
  <c r="BF42" i="4"/>
  <c r="BB65" s="1"/>
  <c r="D38" i="3"/>
  <c r="D39" i="7" s="1"/>
  <c r="BE38" i="4"/>
  <c r="BB52" s="1"/>
  <c r="E46" i="3"/>
  <c r="G47" i="7" s="1"/>
  <c r="BF46" i="4"/>
  <c r="BB59" s="1"/>
  <c r="E44" i="3"/>
  <c r="G45" i="7" s="1"/>
  <c r="BF44" i="4"/>
  <c r="BB61" s="1"/>
  <c r="D36" i="3"/>
  <c r="D37" i="7" s="1"/>
  <c r="BE36" i="4"/>
  <c r="BB54" s="1"/>
  <c r="D40" i="3"/>
  <c r="D41" i="7" s="1"/>
  <c r="BE40" i="4"/>
  <c r="BB63" s="1"/>
  <c r="E43" i="3"/>
  <c r="G44" i="7" s="1"/>
  <c r="BF43" i="4"/>
  <c r="BA61" s="1"/>
  <c r="D35" i="3"/>
  <c r="D36" i="7" s="1"/>
  <c r="BE35" i="4"/>
  <c r="BA54" s="1"/>
  <c r="D45" i="3"/>
  <c r="D46" i="7" s="1"/>
  <c r="BE45" i="4"/>
  <c r="BA60" s="1"/>
  <c r="D44" i="3"/>
  <c r="D45" i="7" s="1"/>
  <c r="BE44" i="4"/>
  <c r="BB62" s="1"/>
  <c r="E21" i="3"/>
  <c r="G22" i="7" s="1"/>
  <c r="BF21" i="4"/>
  <c r="BB37" s="1"/>
  <c r="E39" i="3"/>
  <c r="G40" i="7" s="1"/>
  <c r="BF39" i="4"/>
  <c r="BA64" s="1"/>
  <c r="L14" i="8"/>
  <c r="D41" i="3"/>
  <c r="D42" i="7" s="1"/>
  <c r="BE41" i="4"/>
  <c r="BA66" s="1"/>
  <c r="E26" i="3"/>
  <c r="G27" i="7" s="1"/>
  <c r="BF26" i="4"/>
  <c r="BB49" s="1"/>
  <c r="E50" i="3"/>
  <c r="G51" i="7" s="1"/>
  <c r="BF50" i="4"/>
  <c r="BB55" s="1"/>
  <c r="L15" i="8"/>
  <c r="E41" i="3"/>
  <c r="G42" i="7" s="1"/>
  <c r="BF41" i="4"/>
  <c r="BA65" s="1"/>
  <c r="L30" i="8"/>
  <c r="D42" i="3"/>
  <c r="D43" i="7" s="1"/>
  <c r="BE42" i="4"/>
  <c r="BB66" s="1"/>
  <c r="D37" i="3"/>
  <c r="D38" i="7" s="1"/>
  <c r="BE37" i="4"/>
  <c r="BA52" s="1"/>
  <c r="E38" i="3"/>
  <c r="G39" i="7" s="1"/>
  <c r="BF38" i="4"/>
  <c r="BB51" s="1"/>
  <c r="D39" i="3"/>
  <c r="D40" i="7" s="1"/>
  <c r="BE39" i="4"/>
  <c r="BA63" s="1"/>
  <c r="D64" i="3" l="1"/>
  <c r="D65" i="7" s="1"/>
  <c r="BE64" i="4"/>
  <c r="B10" i="9" s="1"/>
  <c r="E62" i="3"/>
  <c r="G63" i="7" s="1"/>
  <c r="BF62" i="4"/>
  <c r="B13" i="9" s="1"/>
  <c r="D54" i="3"/>
  <c r="D55" i="7" s="1"/>
  <c r="BE54" i="4"/>
  <c r="B28" i="9" s="1"/>
  <c r="E63" i="3"/>
  <c r="G64" i="7" s="1"/>
  <c r="BF63" i="4"/>
  <c r="B9" i="9" s="1"/>
  <c r="E61" i="3"/>
  <c r="G62" i="7" s="1"/>
  <c r="BF61" i="4"/>
  <c r="B15" i="9" s="1"/>
  <c r="E52" i="3"/>
  <c r="G53" i="7" s="1"/>
  <c r="BF52" i="4"/>
  <c r="B33" i="9" s="1"/>
  <c r="BF51" i="4"/>
  <c r="B35" i="9" s="1"/>
  <c r="E51" i="3"/>
  <c r="G52" i="7" s="1"/>
  <c r="Q22" i="8"/>
  <c r="E66" i="3"/>
  <c r="G67" i="7" s="1"/>
  <c r="BF66" i="4"/>
  <c r="B5" i="9" s="1"/>
  <c r="E49" i="3"/>
  <c r="G50" i="7" s="1"/>
  <c r="BF49" i="4"/>
  <c r="BA55" s="1"/>
  <c r="E56" i="3"/>
  <c r="G57" i="7" s="1"/>
  <c r="BF56" i="4"/>
  <c r="B25" i="9" s="1"/>
  <c r="BF53" i="4"/>
  <c r="B31" i="9" s="1"/>
  <c r="E53" i="3"/>
  <c r="G54" i="7" s="1"/>
  <c r="D58" i="3"/>
  <c r="D59" i="7" s="1"/>
  <c r="BE58" i="4"/>
  <c r="B20" i="9" s="1"/>
  <c r="BE59" i="4"/>
  <c r="B18" i="9" s="1"/>
  <c r="D59" i="3"/>
  <c r="D60" i="7" s="1"/>
  <c r="E64" i="3"/>
  <c r="G65" i="7" s="1"/>
  <c r="BF64" i="4"/>
  <c r="B11" i="9" s="1"/>
  <c r="E57" i="3"/>
  <c r="G58" i="7" s="1"/>
  <c r="BF57" i="4"/>
  <c r="B23" i="9" s="1"/>
  <c r="D65" i="3"/>
  <c r="D66" i="7" s="1"/>
  <c r="BE65" i="4"/>
  <c r="B6" i="9" s="1"/>
  <c r="E37" i="3"/>
  <c r="G38" i="7" s="1"/>
  <c r="BF37" i="4"/>
  <c r="BA51" s="1"/>
  <c r="D60" i="3"/>
  <c r="D61" i="7" s="1"/>
  <c r="BE60" i="4"/>
  <c r="B16" i="9" s="1"/>
  <c r="BE61" i="4"/>
  <c r="B14" i="9" s="1"/>
  <c r="D61" i="3"/>
  <c r="D62" i="7" s="1"/>
  <c r="E54" i="3"/>
  <c r="G55" i="7" s="1"/>
  <c r="BF54" i="4"/>
  <c r="B29" i="9" s="1"/>
  <c r="E59" i="3"/>
  <c r="G60" i="7" s="1"/>
  <c r="BF59" i="4"/>
  <c r="B19" i="9" s="1"/>
  <c r="E65" i="3"/>
  <c r="G66" i="7" s="1"/>
  <c r="BF65" i="4"/>
  <c r="B7" i="9" s="1"/>
  <c r="D63" i="3"/>
  <c r="D64" i="7" s="1"/>
  <c r="BE63" i="4"/>
  <c r="B8" i="9" s="1"/>
  <c r="D52" i="3"/>
  <c r="D53" i="7" s="1"/>
  <c r="BE52" i="4"/>
  <c r="B32" i="9" s="1"/>
  <c r="BF55" i="4"/>
  <c r="B27" i="9" s="1"/>
  <c r="E55" i="3"/>
  <c r="G56" i="7" s="1"/>
  <c r="Q21" i="8"/>
  <c r="D66" i="3"/>
  <c r="D67" i="7" s="1"/>
  <c r="BE66" i="4"/>
  <c r="D56" i="3"/>
  <c r="D57" i="7" s="1"/>
  <c r="BE56" i="4"/>
  <c r="B24" i="9" s="1"/>
  <c r="E60" i="3"/>
  <c r="G61" i="7" s="1"/>
  <c r="BF60" i="4"/>
  <c r="B17" i="9" s="1"/>
  <c r="BE53" i="4"/>
  <c r="B30" i="9" s="1"/>
  <c r="D53" i="3"/>
  <c r="D54" i="7" s="1"/>
  <c r="E58" i="3"/>
  <c r="G59" i="7" s="1"/>
  <c r="BF58" i="4"/>
  <c r="B21" i="9" s="1"/>
  <c r="BE57" i="4"/>
  <c r="B22" i="9" s="1"/>
  <c r="D57" i="3"/>
  <c r="D58" i="7" s="1"/>
  <c r="D62" i="3"/>
  <c r="D63" i="7" s="1"/>
  <c r="BE62" i="4"/>
  <c r="B12" i="9" s="1"/>
  <c r="B4" l="1"/>
  <c r="P26" i="8"/>
  <c r="BE51" i="4"/>
  <c r="B34" i="9" s="1"/>
  <c r="D51" i="3"/>
  <c r="D52" i="7" s="1"/>
  <c r="BE55" i="4"/>
  <c r="B26" i="9" s="1"/>
  <c r="D55" i="3"/>
  <c r="D56" i="7" s="1"/>
</calcChain>
</file>

<file path=xl/sharedStrings.xml><?xml version="1.0" encoding="utf-8"?>
<sst xmlns="http://schemas.openxmlformats.org/spreadsheetml/2006/main" count="868" uniqueCount="414">
  <si>
    <t>DATI_TORNEO</t>
  </si>
  <si>
    <t>SQUADRE</t>
  </si>
  <si>
    <t>CAMPI</t>
  </si>
  <si>
    <t>ID</t>
  </si>
  <si>
    <t>Valore</t>
  </si>
  <si>
    <t>Codice</t>
  </si>
  <si>
    <t>Nome</t>
  </si>
  <si>
    <t>Note</t>
  </si>
  <si>
    <t>Girone</t>
  </si>
  <si>
    <t>ID Nel Girone</t>
  </si>
  <si>
    <t>NOME_TORNEO</t>
  </si>
  <si>
    <t>Torneo dell’Estate</t>
  </si>
  <si>
    <t>Leoni</t>
  </si>
  <si>
    <t>A</t>
  </si>
  <si>
    <t>STAGIONE</t>
  </si>
  <si>
    <t>Pantere</t>
  </si>
  <si>
    <t>Tigri</t>
  </si>
  <si>
    <t>Istruzioni</t>
  </si>
  <si>
    <t>Ghepardi</t>
  </si>
  <si>
    <t>Giaguari</t>
  </si>
  <si>
    <t>B</t>
  </si>
  <si>
    <r>
      <rPr>
        <sz val="10"/>
        <rFont val="Arial"/>
        <family val="2"/>
      </rPr>
      <t xml:space="preserve">1. Prima dell’inizio del torneo compilare i campi a sfondo </t>
    </r>
    <r>
      <rPr>
        <b/>
        <sz val="10"/>
        <rFont val="Arial"/>
        <family val="2"/>
      </rPr>
      <t>GIALLO</t>
    </r>
    <r>
      <rPr>
        <sz val="10"/>
        <rFont val="Arial"/>
        <family val="2"/>
      </rPr>
      <t xml:space="preserve"> del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</si>
  <si>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Puma</t>
  </si>
  <si>
    <t>Linci</t>
  </si>
  <si>
    <t>Serval</t>
  </si>
  <si>
    <t>Elefanti</t>
  </si>
  <si>
    <t>C</t>
  </si>
  <si>
    <r>
      <rPr>
        <sz val="10"/>
        <rFont val="Arial"/>
        <family val="2"/>
      </rPr>
      <t xml:space="preserve">2. Durante lo svolgimento del torneo compulare i risultati nei campi a sfondo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, sempre nel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</si>
  <si>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Giraffe</t>
  </si>
  <si>
    <t>Ippopotami</t>
  </si>
  <si>
    <t>Iguane</t>
  </si>
  <si>
    <t>Coccodrilli</t>
  </si>
  <si>
    <t>D</t>
  </si>
  <si>
    <t>Pitoni</t>
  </si>
  <si>
    <r>
      <rPr>
        <sz val="10"/>
        <rFont val="Arial"/>
        <family val="2"/>
      </rPr>
      <t xml:space="preserve">Nel foglio </t>
    </r>
    <r>
      <rPr>
        <b/>
        <sz val="10"/>
        <rFont val="Arial"/>
        <family val="2"/>
      </rPr>
      <t>B_ELABORAZIONI</t>
    </r>
    <r>
      <rPr>
        <sz val="10"/>
        <rFont val="Arial"/>
        <family val="2"/>
      </rPr>
      <t xml:space="preserve"> saranno visibili i conteggi delle varie fasi.</t>
    </r>
  </si>
  <si>
    <t>Aquile</t>
  </si>
  <si>
    <t>Falchi</t>
  </si>
  <si>
    <t>Bisonti</t>
  </si>
  <si>
    <t>E</t>
  </si>
  <si>
    <t>Bufali</t>
  </si>
  <si>
    <t>Nei fogli successivi saranno visibili e stampabili calendari, classifiche e tabellone principale.</t>
  </si>
  <si>
    <t>Cervi</t>
  </si>
  <si>
    <t>Cinghiali</t>
  </si>
  <si>
    <t>Balene</t>
  </si>
  <si>
    <t>F</t>
  </si>
  <si>
    <t>Gabbiani</t>
  </si>
  <si>
    <t>Delfini</t>
  </si>
  <si>
    <t>Fenicotteri</t>
  </si>
  <si>
    <t>Istrici</t>
  </si>
  <si>
    <t>G</t>
  </si>
  <si>
    <t>Gorilla</t>
  </si>
  <si>
    <t>Muli</t>
  </si>
  <si>
    <t>Orche</t>
  </si>
  <si>
    <t>Piranha</t>
  </si>
  <si>
    <t>H</t>
  </si>
  <si>
    <t>Scorpioni</t>
  </si>
  <si>
    <t>Tonni</t>
  </si>
  <si>
    <t>Zebre</t>
  </si>
  <si>
    <t>COLORI</t>
  </si>
  <si>
    <t>ROSSO</t>
  </si>
  <si>
    <t>ff0000</t>
  </si>
  <si>
    <t>ARANCIONE</t>
  </si>
  <si>
    <t>ffa500</t>
  </si>
  <si>
    <t>GIALLO</t>
  </si>
  <si>
    <t>ffff00</t>
  </si>
  <si>
    <t>VERDE</t>
  </si>
  <si>
    <t>000800</t>
  </si>
  <si>
    <t>BLU</t>
  </si>
  <si>
    <t>0000ff</t>
  </si>
  <si>
    <t>INDACO</t>
  </si>
  <si>
    <t>4b0082</t>
  </si>
  <si>
    <t>VIOLETTO</t>
  </si>
  <si>
    <t>ee82ee</t>
  </si>
  <si>
    <t>NERO</t>
  </si>
  <si>
    <t>000000</t>
  </si>
  <si>
    <t>BLU_SCURO</t>
  </si>
  <si>
    <t>1f4e79</t>
  </si>
  <si>
    <t>VERDE_MEDIO</t>
  </si>
  <si>
    <t>a9d18e</t>
  </si>
  <si>
    <t>VERDE_CHIARO</t>
  </si>
  <si>
    <t>c5e0b4</t>
  </si>
  <si>
    <t>DATE_E_RISULTATI_GIRONI</t>
  </si>
  <si>
    <t>N.
Gara</t>
  </si>
  <si>
    <t>Fase</t>
  </si>
  <si>
    <t>Squadra
A</t>
  </si>
  <si>
    <t>Squadra
B</t>
  </si>
  <si>
    <t>Risultato
Squadra
A</t>
  </si>
  <si>
    <t>Risultato
Squadra
B</t>
  </si>
  <si>
    <t>Data</t>
  </si>
  <si>
    <t>Ora</t>
  </si>
  <si>
    <t>ID
Campo</t>
  </si>
  <si>
    <t>Nome Campo</t>
  </si>
  <si>
    <t>DATE_E_RISULTATI_2A_FASE</t>
  </si>
  <si>
    <t>Turno</t>
  </si>
  <si>
    <t>PARTITE_GIRONI</t>
  </si>
  <si>
    <t>CLASSIFICHE_GIRONI</t>
  </si>
  <si>
    <t>PARTITE_2A_FASE</t>
  </si>
  <si>
    <t>Codice
Sq.
A</t>
  </si>
  <si>
    <t>Codice
Sq.
B</t>
  </si>
  <si>
    <t>Squadra A</t>
  </si>
  <si>
    <t>Squadra B</t>
  </si>
  <si>
    <t>Squadra
Vincente</t>
  </si>
  <si>
    <t>Squadra
Perdente</t>
  </si>
  <si>
    <t>Vinta
A</t>
  </si>
  <si>
    <t>Persa
A</t>
  </si>
  <si>
    <t>Forfait
A</t>
  </si>
  <si>
    <t>P. Fatti
A</t>
  </si>
  <si>
    <t>P. Subiti
A</t>
  </si>
  <si>
    <t>Differenza
Canestri
A</t>
  </si>
  <si>
    <t>Vinta
B</t>
  </si>
  <si>
    <t>Persa
B</t>
  </si>
  <si>
    <t>Forfait
B</t>
  </si>
  <si>
    <t>P. Fatti
B</t>
  </si>
  <si>
    <t>P. Subiti
B</t>
  </si>
  <si>
    <t>Differenza
Canestri
B</t>
  </si>
  <si>
    <t>Posiz.</t>
  </si>
  <si>
    <t>Codice
Squadra</t>
  </si>
  <si>
    <t>Squadra</t>
  </si>
  <si>
    <t>Giocate</t>
  </si>
  <si>
    <t>Vinte</t>
  </si>
  <si>
    <t>Perse</t>
  </si>
  <si>
    <t>Forfait</t>
  </si>
  <si>
    <t>Punti
Class.</t>
  </si>
  <si>
    <t>Punti
Gara
Fatti
Tot.
(4)</t>
  </si>
  <si>
    <t>Punti
Gara
Subiti
Tot.</t>
  </si>
  <si>
    <t>Diff.
Punti
Gara
Tot.
(3)</t>
  </si>
  <si>
    <t>Punti
Gara
Fatti
Scontro
Dir. 1</t>
  </si>
  <si>
    <t>Punti
Gara
Fatti
Scontro
Dir. 2</t>
  </si>
  <si>
    <t>Punti
Gara
Fatti
Scontro
Dir. 3</t>
  </si>
  <si>
    <t>Punti
Gara
Tot.
Sc. Dir.
(2)</t>
  </si>
  <si>
    <t>Diff.
Punti
Gara
Scontro
Dir. 1</t>
  </si>
  <si>
    <t>Diff.
Punti
Gara
Scontro
Dir. 2</t>
  </si>
  <si>
    <t>Diff.
Punti
Gara
Scontro
Dir. 3</t>
  </si>
  <si>
    <t>Diff.
Punti
Gara
Tot. Sc.
Dir. (1)</t>
  </si>
  <si>
    <t>Coefficiente</t>
  </si>
  <si>
    <t>Cod.
Gara</t>
  </si>
  <si>
    <t>A1</t>
  </si>
  <si>
    <t>A2</t>
  </si>
  <si>
    <t>1-16/8</t>
  </si>
  <si>
    <t>2aFase</t>
  </si>
  <si>
    <t>1-16</t>
  </si>
  <si>
    <t>1A</t>
  </si>
  <si>
    <t>2C</t>
  </si>
  <si>
    <t>A3</t>
  </si>
  <si>
    <t>1-16/4</t>
  </si>
  <si>
    <t>2A</t>
  </si>
  <si>
    <t>1C</t>
  </si>
  <si>
    <t>A4</t>
  </si>
  <si>
    <t>17-32/8</t>
  </si>
  <si>
    <t>17-32</t>
  </si>
  <si>
    <t>3A</t>
  </si>
  <si>
    <t>4C</t>
  </si>
  <si>
    <t>17-32/7</t>
  </si>
  <si>
    <t>3C</t>
  </si>
  <si>
    <t>4A</t>
  </si>
  <si>
    <t>B1</t>
  </si>
  <si>
    <t>1-16/7</t>
  </si>
  <si>
    <t>1B</t>
  </si>
  <si>
    <t>2D</t>
  </si>
  <si>
    <t>B2</t>
  </si>
  <si>
    <t>1-16/3</t>
  </si>
  <si>
    <t>1D</t>
  </si>
  <si>
    <t>2B</t>
  </si>
  <si>
    <t>B3</t>
  </si>
  <si>
    <t>17-32/6</t>
  </si>
  <si>
    <t>3B</t>
  </si>
  <si>
    <t>4D</t>
  </si>
  <si>
    <t>B4</t>
  </si>
  <si>
    <t>17-32/5</t>
  </si>
  <si>
    <t>3D</t>
  </si>
  <si>
    <t>4B</t>
  </si>
  <si>
    <t>C1</t>
  </si>
  <si>
    <t>1-16/6</t>
  </si>
  <si>
    <t>1E</t>
  </si>
  <si>
    <t>2G</t>
  </si>
  <si>
    <t>C2</t>
  </si>
  <si>
    <t>1-16/2</t>
  </si>
  <si>
    <t>1G</t>
  </si>
  <si>
    <t>2E</t>
  </si>
  <si>
    <t>C3</t>
  </si>
  <si>
    <t>17-32/4</t>
  </si>
  <si>
    <t>3E</t>
  </si>
  <si>
    <t>4G</t>
  </si>
  <si>
    <t>C4</t>
  </si>
  <si>
    <t>17-32/3</t>
  </si>
  <si>
    <t>3G</t>
  </si>
  <si>
    <t>4E</t>
  </si>
  <si>
    <t>D1</t>
  </si>
  <si>
    <t>1-16/5</t>
  </si>
  <si>
    <t>1F</t>
  </si>
  <si>
    <t>2H</t>
  </si>
  <si>
    <t>D2</t>
  </si>
  <si>
    <t>1-16/1</t>
  </si>
  <si>
    <t>1H</t>
  </si>
  <si>
    <t>2F</t>
  </si>
  <si>
    <t>D3</t>
  </si>
  <si>
    <t>17-32/2</t>
  </si>
  <si>
    <t>3F</t>
  </si>
  <si>
    <t>4H</t>
  </si>
  <si>
    <t>D4</t>
  </si>
  <si>
    <t>17-32/1</t>
  </si>
  <si>
    <t>3H</t>
  </si>
  <si>
    <t>4F</t>
  </si>
  <si>
    <t>E1</t>
  </si>
  <si>
    <t>25-32/4</t>
  </si>
  <si>
    <t>25-32</t>
  </si>
  <si>
    <t>P51</t>
  </si>
  <si>
    <t>P55</t>
  </si>
  <si>
    <t>E2</t>
  </si>
  <si>
    <t>25-32/3</t>
  </si>
  <si>
    <t>P52</t>
  </si>
  <si>
    <t>P56</t>
  </si>
  <si>
    <t>E3</t>
  </si>
  <si>
    <t>25-32/2</t>
  </si>
  <si>
    <t>P59</t>
  </si>
  <si>
    <t>P63</t>
  </si>
  <si>
    <t>E4</t>
  </si>
  <si>
    <t>25-32/1</t>
  </si>
  <si>
    <t>P60</t>
  </si>
  <si>
    <t>P64</t>
  </si>
  <si>
    <t>F1</t>
  </si>
  <si>
    <t>1-8/4</t>
  </si>
  <si>
    <t>1-8</t>
  </si>
  <si>
    <t>V49</t>
  </si>
  <si>
    <t>V53</t>
  </si>
  <si>
    <t>F2</t>
  </si>
  <si>
    <t>1-8/3</t>
  </si>
  <si>
    <t>V57</t>
  </si>
  <si>
    <t>V61</t>
  </si>
  <si>
    <t>F3</t>
  </si>
  <si>
    <t>17-24/4</t>
  </si>
  <si>
    <t>17-24</t>
  </si>
  <si>
    <t>V51</t>
  </si>
  <si>
    <t>V55</t>
  </si>
  <si>
    <t>F4</t>
  </si>
  <si>
    <t>17-24/3</t>
  </si>
  <si>
    <t>V59</t>
  </si>
  <si>
    <t>V63</t>
  </si>
  <si>
    <t>G1</t>
  </si>
  <si>
    <t>1-8/2</t>
  </si>
  <si>
    <t>V50</t>
  </si>
  <si>
    <t>V54</t>
  </si>
  <si>
    <t>G2</t>
  </si>
  <si>
    <t>1-8/1</t>
  </si>
  <si>
    <t>V58</t>
  </si>
  <si>
    <t>V62</t>
  </si>
  <si>
    <t>G3</t>
  </si>
  <si>
    <t>17-24/2</t>
  </si>
  <si>
    <t>V52</t>
  </si>
  <si>
    <t>V56</t>
  </si>
  <si>
    <t>G4</t>
  </si>
  <si>
    <t>17-24/1</t>
  </si>
  <si>
    <t>V60</t>
  </si>
  <si>
    <t>V64</t>
  </si>
  <si>
    <t>H1</t>
  </si>
  <si>
    <t>9-16/4</t>
  </si>
  <si>
    <t>9-16</t>
  </si>
  <si>
    <t>P49</t>
  </si>
  <si>
    <t>P53</t>
  </si>
  <si>
    <t>H2</t>
  </si>
  <si>
    <t>9-16/3</t>
  </si>
  <si>
    <t>P57</t>
  </si>
  <si>
    <t>P61</t>
  </si>
  <si>
    <t>H3</t>
  </si>
  <si>
    <t>9-16/2</t>
  </si>
  <si>
    <t>P50</t>
  </si>
  <si>
    <t>P54</t>
  </si>
  <si>
    <t>H4</t>
  </si>
  <si>
    <t>9-16/1</t>
  </si>
  <si>
    <t>P58</t>
  </si>
  <si>
    <t>P62</t>
  </si>
  <si>
    <t>25-28/2</t>
  </si>
  <si>
    <t>25-28</t>
  </si>
  <si>
    <t>V65</t>
  </si>
  <si>
    <t>V67</t>
  </si>
  <si>
    <t>25-28/1</t>
  </si>
  <si>
    <t>V66</t>
  </si>
  <si>
    <t>29-32/2</t>
  </si>
  <si>
    <t>29-32</t>
  </si>
  <si>
    <t>P65</t>
  </si>
  <si>
    <t>P67</t>
  </si>
  <si>
    <t>29-32/1</t>
  </si>
  <si>
    <t>P66</t>
  </si>
  <si>
    <t>5-8/2</t>
  </si>
  <si>
    <t>5-8</t>
  </si>
  <si>
    <t>P69</t>
  </si>
  <si>
    <t>P70</t>
  </si>
  <si>
    <t>5-8/1</t>
  </si>
  <si>
    <t>P73</t>
  </si>
  <si>
    <t>P74</t>
  </si>
  <si>
    <t>1-4/2</t>
  </si>
  <si>
    <t>1-4</t>
  </si>
  <si>
    <t>V69</t>
  </si>
  <si>
    <t>V70</t>
  </si>
  <si>
    <t>1-4/1</t>
  </si>
  <si>
    <t>V73</t>
  </si>
  <si>
    <t>V74</t>
  </si>
  <si>
    <t>9-12/2</t>
  </si>
  <si>
    <t>9-12</t>
  </si>
  <si>
    <t>V77</t>
  </si>
  <si>
    <t>V78</t>
  </si>
  <si>
    <t>9-12/1</t>
  </si>
  <si>
    <t>V79</t>
  </si>
  <si>
    <t>V80</t>
  </si>
  <si>
    <t>13-16/2</t>
  </si>
  <si>
    <t>13-16</t>
  </si>
  <si>
    <t>P77</t>
  </si>
  <si>
    <t>P78</t>
  </si>
  <si>
    <t>13-16/1</t>
  </si>
  <si>
    <t>P79</t>
  </si>
  <si>
    <t>P80</t>
  </si>
  <si>
    <t>17-20/2</t>
  </si>
  <si>
    <t>17-20</t>
  </si>
  <si>
    <t>V71</t>
  </si>
  <si>
    <t>V72</t>
  </si>
  <si>
    <t>17-20/1</t>
  </si>
  <si>
    <t>V75</t>
  </si>
  <si>
    <t>V76</t>
  </si>
  <si>
    <t>21-24/2</t>
  </si>
  <si>
    <t>21-24</t>
  </si>
  <si>
    <t>P71</t>
  </si>
  <si>
    <t>P72</t>
  </si>
  <si>
    <t>21-24/1</t>
  </si>
  <si>
    <t>P75</t>
  </si>
  <si>
    <t>P76</t>
  </si>
  <si>
    <t>31-32/1</t>
  </si>
  <si>
    <t>31-32</t>
  </si>
  <si>
    <t>P83</t>
  </si>
  <si>
    <t>P84</t>
  </si>
  <si>
    <t>29-30/1</t>
  </si>
  <si>
    <t>29-30</t>
  </si>
  <si>
    <t>V83</t>
  </si>
  <si>
    <t>V84</t>
  </si>
  <si>
    <t>27-28/1</t>
  </si>
  <si>
    <t>27-28</t>
  </si>
  <si>
    <t>P81</t>
  </si>
  <si>
    <t>P82</t>
  </si>
  <si>
    <t>25-26/1</t>
  </si>
  <si>
    <t>25-26</t>
  </si>
  <si>
    <t>V81</t>
  </si>
  <si>
    <t>V82</t>
  </si>
  <si>
    <t>23-24/1</t>
  </si>
  <si>
    <t>23-24</t>
  </si>
  <si>
    <t>P95</t>
  </si>
  <si>
    <t>P96</t>
  </si>
  <si>
    <t>21-22/1</t>
  </si>
  <si>
    <t>21-22</t>
  </si>
  <si>
    <t>V95</t>
  </si>
  <si>
    <t>V96</t>
  </si>
  <si>
    <t>19-20/1</t>
  </si>
  <si>
    <t>19-20</t>
  </si>
  <si>
    <t>P93</t>
  </si>
  <si>
    <t>P94</t>
  </si>
  <si>
    <t>17-18/1</t>
  </si>
  <si>
    <t>17-18</t>
  </si>
  <si>
    <t>V93</t>
  </si>
  <si>
    <t>V94</t>
  </si>
  <si>
    <t>15-16/1</t>
  </si>
  <si>
    <t>15-16</t>
  </si>
  <si>
    <t>P91</t>
  </si>
  <si>
    <t>P92</t>
  </si>
  <si>
    <t>13-14/1</t>
  </si>
  <si>
    <t>13-14</t>
  </si>
  <si>
    <t>V91</t>
  </si>
  <si>
    <t>V92</t>
  </si>
  <si>
    <t>11-12/1</t>
  </si>
  <si>
    <t>11-12</t>
  </si>
  <si>
    <t>P89</t>
  </si>
  <si>
    <t>P90</t>
  </si>
  <si>
    <t>9-10/1</t>
  </si>
  <si>
    <t>09-10</t>
  </si>
  <si>
    <t>V89</t>
  </si>
  <si>
    <t>V90</t>
  </si>
  <si>
    <t>5-6/1</t>
  </si>
  <si>
    <t>5-6</t>
  </si>
  <si>
    <t>V85</t>
  </si>
  <si>
    <t>V86</t>
  </si>
  <si>
    <t>7-8/1</t>
  </si>
  <si>
    <t>7-8</t>
  </si>
  <si>
    <t>P85</t>
  </si>
  <si>
    <t>P86</t>
  </si>
  <si>
    <t>3-4/1</t>
  </si>
  <si>
    <t>3-4</t>
  </si>
  <si>
    <t>P87</t>
  </si>
  <si>
    <t>P88</t>
  </si>
  <si>
    <t>1-2/1</t>
  </si>
  <si>
    <t>1-2</t>
  </si>
  <si>
    <t>V87</t>
  </si>
  <si>
    <t>V88</t>
  </si>
  <si>
    <t>Caledario Fase a Gironi</t>
  </si>
  <si>
    <t>Risultato</t>
  </si>
  <si>
    <t>Gp</t>
  </si>
  <si>
    <t>Campo</t>
  </si>
  <si>
    <t>Classifiche Gironi</t>
  </si>
  <si>
    <t>Girone A</t>
  </si>
  <si>
    <t>V</t>
  </si>
  <si>
    <t>P</t>
  </si>
  <si>
    <t>PC</t>
  </si>
  <si>
    <t>PGF</t>
  </si>
  <si>
    <t>PGS</t>
  </si>
  <si>
    <t>Girone E</t>
  </si>
  <si>
    <t>Girone B</t>
  </si>
  <si>
    <t>Girone F</t>
  </si>
  <si>
    <t>Girone C</t>
  </si>
  <si>
    <t>Girone G</t>
  </si>
  <si>
    <t>Girone D</t>
  </si>
  <si>
    <t>Girone H</t>
  </si>
  <si>
    <t>Caledario Seconda Fase</t>
  </si>
  <si>
    <t>Tabellone Principale</t>
  </si>
  <si>
    <t>Ottavi di finale</t>
  </si>
  <si>
    <t>Quarti di finale</t>
  </si>
  <si>
    <t>Semifinali</t>
  </si>
  <si>
    <t>Finale</t>
  </si>
  <si>
    <t>Classifica Finale</t>
  </si>
</sst>
</file>

<file path=xl/styles.xml><?xml version="1.0" encoding="utf-8"?>
<styleSheet xmlns="http://schemas.openxmlformats.org/spreadsheetml/2006/main">
  <numFmts count="5">
    <numFmt numFmtId="164" formatCode="ddd\ dd/mm/yyyy"/>
    <numFmt numFmtId="165" formatCode="\+0;\-0"/>
    <numFmt numFmtId="166" formatCode="#.000000000000"/>
    <numFmt numFmtId="167" formatCode="&quot;VERO&quot;;&quot;VERO&quot;;&quot;FALSO&quot;"/>
    <numFmt numFmtId="168" formatCode="ddd\ d\ mmm"/>
  </numFmts>
  <fonts count="17">
    <font>
      <sz val="10"/>
      <name val="Arial"/>
      <family val="2"/>
    </font>
    <font>
      <b/>
      <sz val="10"/>
      <color rgb="FFFFFFFF"/>
      <name val="Mangal"/>
      <family val="2"/>
    </font>
    <font>
      <b/>
      <sz val="10"/>
      <name val="Mangal"/>
      <family val="2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b/>
      <i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00FF"/>
      <name val="Arial"/>
      <family val="2"/>
    </font>
    <font>
      <i/>
      <sz val="10"/>
      <color rgb="FF7F7F7F"/>
      <name val="Arial"/>
      <family val="2"/>
    </font>
    <font>
      <sz val="10"/>
      <color rgb="FF7F7F7F"/>
      <name val="Arial"/>
      <family val="2"/>
    </font>
    <font>
      <b/>
      <sz val="10"/>
      <color rgb="FF000000"/>
      <name val="Arial"/>
      <family val="2"/>
    </font>
    <font>
      <sz val="10"/>
      <color rgb="FF969696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A500"/>
        <bgColor rgb="FFFFD7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4B0082"/>
        <bgColor rgb="FF800080"/>
      </patternFill>
    </fill>
    <fill>
      <patternFill patternType="solid">
        <fgColor rgb="FFEE82EE"/>
        <bgColor rgb="FFCC99FF"/>
      </patternFill>
    </fill>
    <fill>
      <patternFill patternType="solid">
        <fgColor rgb="FF000000"/>
        <bgColor rgb="FF003300"/>
      </patternFill>
    </fill>
    <fill>
      <patternFill patternType="solid">
        <fgColor rgb="FF1F4E79"/>
        <bgColor rgb="FF003366"/>
      </patternFill>
    </fill>
    <fill>
      <patternFill patternType="solid">
        <fgColor rgb="FF00FF00"/>
        <bgColor rgb="FF33CCCC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F99"/>
        <bgColor rgb="FFFFE699"/>
      </patternFill>
    </fill>
    <fill>
      <patternFill patternType="solid">
        <fgColor rgb="FFFFE699"/>
        <bgColor rgb="FFFFFF9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FD700"/>
        <bgColor rgb="FFFFFF00"/>
      </patternFill>
    </fill>
  </fills>
  <borders count="5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rgb="FF0000FF"/>
      </left>
      <right style="hair">
        <color rgb="FF0000FF"/>
      </right>
      <top style="hair">
        <color auto="1"/>
      </top>
      <bottom style="dotted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hair">
        <color rgb="FF0000FF"/>
      </left>
      <right style="hair">
        <color rgb="FF0000FF"/>
      </right>
      <top style="thin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thin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 style="thin">
        <color rgb="FF4472C4"/>
      </top>
      <bottom style="hair">
        <color rgb="FF4472C4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hair">
        <color rgb="FF4472C4"/>
      </top>
      <bottom style="thin">
        <color rgb="FF4472C4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8497B0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3366FF"/>
      </left>
      <right/>
      <top style="thin">
        <color rgb="FF3366FF"/>
      </top>
      <bottom/>
      <diagonal/>
    </border>
  </borders>
  <cellStyleXfs count="11">
    <xf numFmtId="0" fontId="0" fillId="0" borderId="0"/>
    <xf numFmtId="0" fontId="1" fillId="2" borderId="0" applyBorder="0" applyProtection="0">
      <alignment horizontal="center"/>
    </xf>
    <xf numFmtId="0" fontId="1" fillId="3" borderId="0" applyBorder="0" applyProtection="0">
      <alignment horizontal="center"/>
    </xf>
    <xf numFmtId="0" fontId="2" fillId="4" borderId="0" applyBorder="0" applyProtection="0">
      <alignment horizontal="center"/>
    </xf>
    <xf numFmtId="0" fontId="1" fillId="5" borderId="0" applyBorder="0" applyProtection="0">
      <alignment horizontal="center"/>
    </xf>
    <xf numFmtId="0" fontId="1" fillId="6" borderId="0" applyBorder="0" applyProtection="0">
      <alignment horizontal="center"/>
    </xf>
    <xf numFmtId="0" fontId="1" fillId="7" borderId="0" applyBorder="0" applyProtection="0">
      <alignment horizontal="center"/>
    </xf>
    <xf numFmtId="0" fontId="1" fillId="8" borderId="0" applyBorder="0" applyProtection="0">
      <alignment horizontal="center"/>
    </xf>
    <xf numFmtId="0" fontId="1" fillId="9" borderId="0" applyBorder="0" applyProtection="0">
      <alignment horizontal="center"/>
    </xf>
    <xf numFmtId="0" fontId="1" fillId="10" borderId="0" applyBorder="0" applyProtection="0">
      <alignment horizontal="center" vertical="center"/>
    </xf>
    <xf numFmtId="0" fontId="3" fillId="10" borderId="0">
      <alignment horizontal="center" vertical="center"/>
      <protection hidden="1"/>
    </xf>
  </cellStyleXfs>
  <cellXfs count="249">
    <xf numFmtId="0" fontId="0" fillId="0" borderId="0" xfId="0"/>
    <xf numFmtId="0" fontId="0" fillId="18" borderId="37" xfId="0" applyFont="1" applyFill="1" applyBorder="1" applyAlignment="1" applyProtection="1">
      <alignment horizontal="center" vertical="center"/>
      <protection hidden="1"/>
    </xf>
    <xf numFmtId="0" fontId="0" fillId="17" borderId="37" xfId="0" applyFont="1" applyFill="1" applyBorder="1" applyAlignment="1" applyProtection="1">
      <alignment horizontal="center" vertical="center"/>
      <protection hidden="1"/>
    </xf>
    <xf numFmtId="0" fontId="6" fillId="16" borderId="35" xfId="0" applyFont="1" applyFill="1" applyBorder="1" applyAlignment="1" applyProtection="1">
      <alignment horizontal="center" vertical="center"/>
      <protection hidden="1"/>
    </xf>
    <xf numFmtId="0" fontId="3" fillId="10" borderId="0" xfId="0" applyFont="1" applyFill="1" applyBorder="1" applyAlignment="1" applyProtection="1">
      <alignment horizontal="center" vertical="center"/>
      <protection hidden="1"/>
    </xf>
    <xf numFmtId="0" fontId="3" fillId="10" borderId="0" xfId="10" applyAlignment="1">
      <alignment horizontal="center" vertical="center"/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3" fillId="10" borderId="0" xfId="10" applyAlignment="1" applyProtection="1">
      <alignment horizontal="center" vertical="center"/>
      <protection hidden="1"/>
    </xf>
    <xf numFmtId="0" fontId="4" fillId="10" borderId="1" xfId="9" applyFont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justify" vertical="top"/>
      <protection hidden="1"/>
    </xf>
    <xf numFmtId="0" fontId="0" fillId="11" borderId="0" xfId="0" applyFont="1" applyFill="1" applyAlignment="1" applyProtection="1">
      <alignment horizontal="justify" vertical="top"/>
      <protection hidden="1"/>
    </xf>
    <xf numFmtId="0" fontId="0" fillId="4" borderId="0" xfId="0" applyFont="1" applyFill="1" applyAlignment="1" applyProtection="1">
      <alignment horizontal="justify" vertical="top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4" fillId="10" borderId="0" xfId="9" applyFo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right"/>
      <protection hidden="1"/>
    </xf>
    <xf numFmtId="0" fontId="6" fillId="0" borderId="2" xfId="0" applyFont="1" applyBorder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right"/>
      <protection hidden="1"/>
    </xf>
    <xf numFmtId="0" fontId="0" fillId="4" borderId="5" xfId="0" applyFont="1" applyFill="1" applyBorder="1" applyProtection="1">
      <protection locked="0" hidden="1"/>
    </xf>
    <xf numFmtId="0" fontId="7" fillId="0" borderId="4" xfId="0" applyFont="1" applyBorder="1" applyProtection="1"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0" fillId="4" borderId="6" xfId="0" applyFont="1" applyFill="1" applyBorder="1" applyProtection="1">
      <protection locked="0"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right"/>
      <protection hidden="1"/>
    </xf>
    <xf numFmtId="0" fontId="0" fillId="4" borderId="8" xfId="0" applyFill="1" applyBorder="1" applyAlignment="1" applyProtection="1">
      <alignment horizontal="left"/>
      <protection locked="0" hidden="1"/>
    </xf>
    <xf numFmtId="0" fontId="7" fillId="0" borderId="9" xfId="0" applyFont="1" applyBorder="1" applyProtection="1">
      <protection hidden="1"/>
    </xf>
    <xf numFmtId="0" fontId="0" fillId="4" borderId="10" xfId="0" applyFont="1" applyFill="1" applyBorder="1" applyProtection="1">
      <protection locked="0"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4" borderId="11" xfId="0" applyFill="1" applyBorder="1" applyProtection="1">
      <protection locked="0" hidden="1"/>
    </xf>
    <xf numFmtId="0" fontId="7" fillId="0" borderId="7" xfId="0" applyFont="1" applyBorder="1" applyProtection="1">
      <protection hidden="1"/>
    </xf>
    <xf numFmtId="0" fontId="0" fillId="4" borderId="12" xfId="0" applyFont="1" applyFill="1" applyBorder="1" applyProtection="1">
      <protection locked="0"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4" borderId="8" xfId="0" applyFill="1" applyBorder="1" applyProtection="1">
      <protection locked="0" hidden="1"/>
    </xf>
    <xf numFmtId="0" fontId="7" fillId="0" borderId="0" xfId="0" applyFont="1" applyProtection="1">
      <protection hidden="1"/>
    </xf>
    <xf numFmtId="0" fontId="4" fillId="2" borderId="13" xfId="1" applyFont="1" applyBorder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4" fillId="3" borderId="13" xfId="2" applyFont="1" applyBorder="1" applyProtection="1">
      <alignment horizontal="center"/>
      <protection hidden="1"/>
    </xf>
    <xf numFmtId="0" fontId="6" fillId="4" borderId="13" xfId="3" applyFont="1" applyBorder="1" applyProtection="1">
      <alignment horizontal="center"/>
      <protection hidden="1"/>
    </xf>
    <xf numFmtId="0" fontId="4" fillId="5" borderId="13" xfId="4" applyFont="1" applyBorder="1" applyProtection="1">
      <alignment horizontal="center"/>
      <protection hidden="1"/>
    </xf>
    <xf numFmtId="0" fontId="4" fillId="6" borderId="13" xfId="5" applyFont="1" applyBorder="1" applyProtection="1">
      <alignment horizontal="center"/>
      <protection hidden="1"/>
    </xf>
    <xf numFmtId="0" fontId="4" fillId="7" borderId="13" xfId="6" applyFont="1" applyBorder="1" applyProtection="1">
      <alignment horizontal="center"/>
      <protection hidden="1"/>
    </xf>
    <xf numFmtId="0" fontId="4" fillId="8" borderId="13" xfId="7" applyFont="1" applyBorder="1" applyProtection="1">
      <alignment horizontal="center"/>
      <protection hidden="1"/>
    </xf>
    <xf numFmtId="0" fontId="4" fillId="9" borderId="13" xfId="8" applyFont="1" applyBorder="1" applyProtection="1">
      <alignment horizontal="center"/>
      <protection hidden="1"/>
    </xf>
    <xf numFmtId="0" fontId="4" fillId="10" borderId="13" xfId="9" applyFont="1" applyBorder="1" applyAlignment="1" applyProtection="1">
      <alignment horizontal="center" vertical="center"/>
      <protection hidden="1"/>
    </xf>
    <xf numFmtId="0" fontId="6" fillId="12" borderId="13" xfId="0" applyFont="1" applyFill="1" applyBorder="1" applyAlignment="1" applyProtection="1">
      <alignment horizontal="center"/>
      <protection hidden="1"/>
    </xf>
    <xf numFmtId="0" fontId="6" fillId="13" borderId="13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right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13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right"/>
      <protection hidden="1"/>
    </xf>
    <xf numFmtId="0" fontId="7" fillId="0" borderId="14" xfId="0" applyFont="1" applyBorder="1" applyAlignment="1" applyProtection="1">
      <alignment horizontal="right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5" xfId="0" applyBorder="1" applyAlignment="1" applyProtection="1">
      <protection hidden="1"/>
    </xf>
    <xf numFmtId="0" fontId="0" fillId="0" borderId="15" xfId="0" applyBorder="1" applyAlignment="1" applyProtection="1">
      <protection hidden="1"/>
    </xf>
    <xf numFmtId="0" fontId="0" fillId="11" borderId="16" xfId="0" applyFill="1" applyBorder="1" applyAlignment="1" applyProtection="1">
      <alignment horizontal="center"/>
      <protection locked="0" hidden="1"/>
    </xf>
    <xf numFmtId="164" fontId="0" fillId="4" borderId="15" xfId="0" applyNumberFormat="1" applyFill="1" applyBorder="1" applyProtection="1">
      <protection locked="0" hidden="1"/>
    </xf>
    <xf numFmtId="20" fontId="0" fillId="4" borderId="15" xfId="0" applyNumberFormat="1" applyFill="1" applyBorder="1" applyProtection="1">
      <protection locked="0" hidden="1"/>
    </xf>
    <xf numFmtId="0" fontId="0" fillId="4" borderId="15" xfId="0" applyFill="1" applyBorder="1" applyAlignment="1" applyProtection="1">
      <alignment horizontal="center"/>
      <protection locked="0" hidden="1"/>
    </xf>
    <xf numFmtId="0" fontId="0" fillId="0" borderId="17" xfId="0" applyBorder="1" applyProtection="1">
      <protection hidden="1"/>
    </xf>
    <xf numFmtId="0" fontId="7" fillId="0" borderId="9" xfId="0" applyFont="1" applyBorder="1" applyAlignment="1" applyProtection="1">
      <alignment horizontal="right"/>
      <protection hidden="1"/>
    </xf>
    <xf numFmtId="0" fontId="0" fillId="0" borderId="10" xfId="0" applyBorder="1" applyAlignment="1" applyProtection="1">
      <protection hidden="1"/>
    </xf>
    <xf numFmtId="0" fontId="0" fillId="11" borderId="18" xfId="0" applyFill="1" applyBorder="1" applyAlignment="1" applyProtection="1">
      <alignment horizontal="center"/>
      <protection locked="0" hidden="1"/>
    </xf>
    <xf numFmtId="164" fontId="0" fillId="4" borderId="10" xfId="0" applyNumberFormat="1" applyFill="1" applyBorder="1" applyProtection="1">
      <protection locked="0" hidden="1"/>
    </xf>
    <xf numFmtId="20" fontId="0" fillId="4" borderId="10" xfId="0" applyNumberFormat="1" applyFill="1" applyBorder="1" applyProtection="1">
      <protection locked="0" hidden="1"/>
    </xf>
    <xf numFmtId="0" fontId="0" fillId="4" borderId="10" xfId="0" applyFill="1" applyBorder="1" applyAlignment="1" applyProtection="1">
      <alignment horizontal="center"/>
      <protection locked="0" hidden="1"/>
    </xf>
    <xf numFmtId="0" fontId="0" fillId="0" borderId="11" xfId="0" applyBorder="1" applyProtection="1">
      <protection hidden="1"/>
    </xf>
    <xf numFmtId="0" fontId="0" fillId="0" borderId="12" xfId="0" applyBorder="1" applyAlignment="1" applyProtection="1">
      <protection hidden="1"/>
    </xf>
    <xf numFmtId="0" fontId="0" fillId="11" borderId="19" xfId="0" applyFill="1" applyBorder="1" applyAlignment="1" applyProtection="1">
      <alignment horizontal="center"/>
      <protection locked="0" hidden="1"/>
    </xf>
    <xf numFmtId="164" fontId="0" fillId="4" borderId="12" xfId="0" applyNumberFormat="1" applyFill="1" applyBorder="1" applyProtection="1">
      <protection locked="0" hidden="1"/>
    </xf>
    <xf numFmtId="20" fontId="0" fillId="4" borderId="12" xfId="0" applyNumberFormat="1" applyFill="1" applyBorder="1" applyProtection="1">
      <protection locked="0" hidden="1"/>
    </xf>
    <xf numFmtId="0" fontId="0" fillId="4" borderId="12" xfId="0" applyFill="1" applyBorder="1" applyAlignment="1" applyProtection="1">
      <alignment horizontal="center"/>
      <protection locked="0" hidden="1"/>
    </xf>
    <xf numFmtId="0" fontId="0" fillId="0" borderId="8" xfId="0" applyBorder="1" applyProtection="1"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6" fillId="0" borderId="3" xfId="0" applyFont="1" applyBorder="1" applyAlignment="1" applyProtection="1">
      <alignment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Protection="1">
      <protection hidden="1"/>
    </xf>
    <xf numFmtId="0" fontId="8" fillId="14" borderId="20" xfId="0" applyFont="1" applyFill="1" applyBorder="1" applyAlignment="1" applyProtection="1">
      <alignment horizontal="center" wrapText="1"/>
      <protection hidden="1"/>
    </xf>
    <xf numFmtId="0" fontId="5" fillId="0" borderId="3" xfId="0" applyFont="1" applyBorder="1" applyAlignment="1" applyProtection="1">
      <alignment horizontal="center" wrapText="1"/>
      <protection hidden="1"/>
    </xf>
    <xf numFmtId="0" fontId="5" fillId="0" borderId="21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Alignment="1" applyProtection="1">
      <alignment horizontal="center"/>
      <protection hidden="1"/>
    </xf>
    <xf numFmtId="0" fontId="9" fillId="14" borderId="20" xfId="0" applyFont="1" applyFill="1" applyBorder="1" applyAlignment="1" applyProtection="1">
      <alignment horizontal="right" wrapText="1"/>
      <protection hidden="1"/>
    </xf>
    <xf numFmtId="0" fontId="7" fillId="0" borderId="14" xfId="0" applyFont="1" applyBorder="1" applyProtection="1"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5" xfId="0" applyBorder="1" applyProtection="1">
      <protection hidden="1"/>
    </xf>
    <xf numFmtId="0" fontId="0" fillId="0" borderId="15" xfId="0" applyBorder="1" applyProtection="1">
      <protection hidden="1"/>
    </xf>
    <xf numFmtId="165" fontId="0" fillId="0" borderId="15" xfId="0" applyNumberFormat="1" applyBorder="1" applyAlignment="1" applyProtection="1">
      <alignment horizontal="center"/>
      <protection hidden="1"/>
    </xf>
    <xf numFmtId="165" fontId="0" fillId="0" borderId="17" xfId="0" applyNumberForma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10" fillId="14" borderId="22" xfId="0" applyFont="1" applyFill="1" applyBorder="1" applyProtection="1">
      <protection hidden="1"/>
    </xf>
    <xf numFmtId="0" fontId="8" fillId="14" borderId="22" xfId="0" applyFont="1" applyFill="1" applyBorder="1" applyAlignment="1" applyProtection="1">
      <alignment horizontal="center"/>
      <protection hidden="1"/>
    </xf>
    <xf numFmtId="0" fontId="7" fillId="0" borderId="15" xfId="0" applyFont="1" applyBorder="1" applyAlignment="1" applyProtection="1">
      <alignment horizontal="center"/>
      <protection hidden="1"/>
    </xf>
    <xf numFmtId="165" fontId="7" fillId="0" borderId="15" xfId="0" applyNumberFormat="1" applyFont="1" applyBorder="1" applyAlignment="1" applyProtection="1">
      <alignment horizontal="center"/>
      <protection hidden="1"/>
    </xf>
    <xf numFmtId="166" fontId="10" fillId="14" borderId="22" xfId="0" applyNumberFormat="1" applyFont="1" applyFill="1" applyBorder="1" applyProtection="1">
      <protection hidden="1"/>
    </xf>
    <xf numFmtId="166" fontId="11" fillId="14" borderId="22" xfId="0" applyNumberFormat="1" applyFont="1" applyFill="1" applyBorder="1" applyAlignment="1" applyProtection="1">
      <alignment horizontal="right"/>
      <protection hidden="1"/>
    </xf>
    <xf numFmtId="0" fontId="12" fillId="0" borderId="14" xfId="0" applyFont="1" applyBorder="1" applyProtection="1">
      <protection hidden="1"/>
    </xf>
    <xf numFmtId="0" fontId="13" fillId="0" borderId="15" xfId="0" applyFont="1" applyBorder="1" applyAlignment="1" applyProtection="1">
      <alignment horizontal="center"/>
      <protection hidden="1"/>
    </xf>
    <xf numFmtId="49" fontId="13" fillId="0" borderId="15" xfId="0" applyNumberFormat="1" applyFon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10" xfId="0" applyBorder="1" applyAlignment="1" applyProtection="1">
      <alignment horizontal="center"/>
      <protection hidden="1"/>
    </xf>
    <xf numFmtId="165" fontId="0" fillId="0" borderId="10" xfId="0" applyNumberFormat="1" applyBorder="1" applyAlignment="1" applyProtection="1">
      <alignment horizontal="center"/>
      <protection hidden="1"/>
    </xf>
    <xf numFmtId="165" fontId="0" fillId="0" borderId="11" xfId="0" applyNumberForma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10" fillId="14" borderId="23" xfId="0" applyFont="1" applyFill="1" applyBorder="1" applyProtection="1">
      <protection hidden="1"/>
    </xf>
    <xf numFmtId="0" fontId="8" fillId="14" borderId="23" xfId="0" applyFont="1" applyFill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165" fontId="7" fillId="0" borderId="10" xfId="0" applyNumberFormat="1" applyFont="1" applyBorder="1" applyAlignment="1" applyProtection="1">
      <alignment horizontal="center"/>
      <protection hidden="1"/>
    </xf>
    <xf numFmtId="166" fontId="10" fillId="14" borderId="23" xfId="0" applyNumberFormat="1" applyFont="1" applyFill="1" applyBorder="1" applyProtection="1">
      <protection hidden="1"/>
    </xf>
    <xf numFmtId="166" fontId="11" fillId="14" borderId="23" xfId="0" applyNumberFormat="1" applyFont="1" applyFill="1" applyBorder="1" applyAlignment="1" applyProtection="1">
      <alignment horizontal="right"/>
      <protection hidden="1"/>
    </xf>
    <xf numFmtId="0" fontId="12" fillId="0" borderId="9" xfId="0" applyFont="1" applyBorder="1" applyProtection="1">
      <protection hidden="1"/>
    </xf>
    <xf numFmtId="0" fontId="13" fillId="0" borderId="10" xfId="0" applyFont="1" applyBorder="1" applyAlignment="1" applyProtection="1">
      <alignment horizontal="center"/>
      <protection hidden="1"/>
    </xf>
    <xf numFmtId="49" fontId="13" fillId="0" borderId="10" xfId="0" applyNumberFormat="1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Font="1" applyBorder="1" applyAlignment="1" applyProtection="1">
      <alignment horizontal="center"/>
      <protection hidden="1"/>
    </xf>
    <xf numFmtId="0" fontId="10" fillId="14" borderId="26" xfId="0" applyFont="1" applyFill="1" applyBorder="1" applyProtection="1">
      <protection hidden="1"/>
    </xf>
    <xf numFmtId="0" fontId="8" fillId="14" borderId="26" xfId="0" applyFont="1" applyFill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165" fontId="7" fillId="0" borderId="25" xfId="0" applyNumberFormat="1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165" fontId="0" fillId="0" borderId="25" xfId="0" applyNumberFormat="1" applyBorder="1" applyAlignment="1" applyProtection="1">
      <alignment horizontal="center"/>
      <protection hidden="1"/>
    </xf>
    <xf numFmtId="166" fontId="10" fillId="14" borderId="26" xfId="0" applyNumberFormat="1" applyFont="1" applyFill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Font="1" applyBorder="1" applyAlignment="1" applyProtection="1">
      <alignment horizontal="center"/>
      <protection hidden="1"/>
    </xf>
    <xf numFmtId="0" fontId="10" fillId="14" borderId="29" xfId="0" applyFont="1" applyFill="1" applyBorder="1" applyProtection="1">
      <protection hidden="1"/>
    </xf>
    <xf numFmtId="0" fontId="8" fillId="14" borderId="29" xfId="0" applyFont="1" applyFill="1" applyBorder="1" applyAlignment="1" applyProtection="1">
      <alignment horizontal="center"/>
      <protection hidden="1"/>
    </xf>
    <xf numFmtId="0" fontId="7" fillId="0" borderId="28" xfId="0" applyFont="1" applyBorder="1" applyAlignment="1" applyProtection="1">
      <alignment horizontal="center"/>
      <protection hidden="1"/>
    </xf>
    <xf numFmtId="165" fontId="7" fillId="0" borderId="28" xfId="0" applyNumberFormat="1" applyFont="1" applyBorder="1" applyAlignment="1" applyProtection="1">
      <alignment horizontal="center"/>
      <protection hidden="1"/>
    </xf>
    <xf numFmtId="165" fontId="0" fillId="0" borderId="28" xfId="0" applyNumberFormat="1" applyBorder="1" applyAlignment="1" applyProtection="1">
      <alignment horizontal="center"/>
      <protection hidden="1"/>
    </xf>
    <xf numFmtId="166" fontId="10" fillId="14" borderId="29" xfId="0" applyNumberFormat="1" applyFont="1" applyFill="1" applyBorder="1" applyProtection="1">
      <protection hidden="1"/>
    </xf>
    <xf numFmtId="167" fontId="13" fillId="0" borderId="10" xfId="0" applyNumberFormat="1" applyFon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10" fillId="14" borderId="30" xfId="0" applyFont="1" applyFill="1" applyBorder="1" applyProtection="1">
      <protection hidden="1"/>
    </xf>
    <xf numFmtId="0" fontId="8" fillId="14" borderId="30" xfId="0" applyFont="1" applyFill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165" fontId="7" fillId="0" borderId="12" xfId="0" applyNumberFormat="1" applyFont="1" applyBorder="1" applyAlignment="1" applyProtection="1">
      <alignment horizontal="center"/>
      <protection hidden="1"/>
    </xf>
    <xf numFmtId="165" fontId="0" fillId="0" borderId="12" xfId="0" applyNumberFormat="1" applyBorder="1" applyAlignment="1" applyProtection="1">
      <alignment horizontal="center"/>
      <protection hidden="1"/>
    </xf>
    <xf numFmtId="166" fontId="10" fillId="14" borderId="30" xfId="0" applyNumberFormat="1" applyFont="1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165" fontId="0" fillId="0" borderId="8" xfId="0" applyNumberFormat="1" applyBorder="1" applyAlignment="1" applyProtection="1">
      <alignment horizontal="center"/>
      <protection hidden="1"/>
    </xf>
    <xf numFmtId="0" fontId="13" fillId="0" borderId="12" xfId="0" applyFont="1" applyBorder="1" applyAlignment="1" applyProtection="1">
      <alignment horizontal="center"/>
      <protection hidden="1"/>
    </xf>
    <xf numFmtId="49" fontId="13" fillId="0" borderId="12" xfId="0" applyNumberFormat="1" applyFont="1" applyBorder="1" applyAlignment="1" applyProtection="1">
      <alignment horizontal="center"/>
      <protection hidden="1"/>
    </xf>
    <xf numFmtId="166" fontId="11" fillId="14" borderId="30" xfId="0" applyNumberFormat="1" applyFont="1" applyFill="1" applyBorder="1" applyAlignment="1" applyProtection="1">
      <alignment horizontal="right"/>
      <protection hidden="1"/>
    </xf>
    <xf numFmtId="0" fontId="12" fillId="0" borderId="7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168" fontId="0" fillId="15" borderId="13" xfId="0" applyNumberFormat="1" applyFont="1" applyFill="1" applyBorder="1" applyAlignment="1" applyProtection="1">
      <alignment horizontal="center" vertical="center" shrinkToFit="1"/>
      <protection hidden="1"/>
    </xf>
    <xf numFmtId="20" fontId="0" fillId="15" borderId="13" xfId="0" applyNumberFormat="1" applyFont="1" applyFill="1" applyBorder="1" applyAlignment="1" applyProtection="1">
      <alignment horizontal="center" vertical="center" shrinkToFit="1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10" fillId="14" borderId="31" xfId="0" applyFont="1" applyFill="1" applyBorder="1" applyAlignment="1" applyProtection="1">
      <alignment horizontal="center" vertical="center"/>
      <protection hidden="1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4" fillId="2" borderId="32" xfId="1" applyFont="1" applyBorder="1" applyAlignment="1" applyProtection="1">
      <alignment horizontal="left" vertical="center"/>
      <protection hidden="1"/>
    </xf>
    <xf numFmtId="0" fontId="4" fillId="2" borderId="33" xfId="1" applyFont="1" applyBorder="1" applyAlignment="1" applyProtection="1">
      <alignment horizontal="center" vertical="center"/>
      <protection hidden="1"/>
    </xf>
    <xf numFmtId="0" fontId="4" fillId="2" borderId="34" xfId="1" applyFont="1" applyBorder="1" applyAlignment="1" applyProtection="1">
      <alignment horizontal="center" vertical="center"/>
      <protection hidden="1"/>
    </xf>
    <xf numFmtId="0" fontId="4" fillId="6" borderId="1" xfId="5" applyFont="1" applyBorder="1" applyAlignment="1" applyProtection="1">
      <alignment horizontal="left" vertical="center"/>
      <protection hidden="1"/>
    </xf>
    <xf numFmtId="0" fontId="4" fillId="6" borderId="3" xfId="5" applyFont="1" applyBorder="1" applyAlignment="1" applyProtection="1">
      <alignment horizontal="center" vertical="center"/>
      <protection hidden="1"/>
    </xf>
    <xf numFmtId="0" fontId="4" fillId="6" borderId="2" xfId="5" applyFont="1" applyBorder="1" applyAlignment="1" applyProtection="1">
      <alignment horizontal="center" vertical="center"/>
      <protection hidden="1"/>
    </xf>
    <xf numFmtId="0" fontId="8" fillId="13" borderId="14" xfId="0" applyFont="1" applyFill="1" applyBorder="1" applyAlignment="1" applyProtection="1">
      <alignment horizontal="left" vertical="center"/>
      <protection hidden="1"/>
    </xf>
    <xf numFmtId="1" fontId="8" fillId="13" borderId="15" xfId="0" applyNumberFormat="1" applyFont="1" applyFill="1" applyBorder="1" applyAlignment="1" applyProtection="1">
      <alignment horizontal="center" vertical="center"/>
      <protection hidden="1"/>
    </xf>
    <xf numFmtId="1" fontId="8" fillId="13" borderId="17" xfId="0" applyNumberFormat="1" applyFont="1" applyFill="1" applyBorder="1" applyAlignment="1" applyProtection="1">
      <alignment horizontal="center" vertical="center"/>
      <protection hidden="1"/>
    </xf>
    <xf numFmtId="0" fontId="6" fillId="13" borderId="9" xfId="0" applyFont="1" applyFill="1" applyBorder="1" applyAlignment="1" applyProtection="1">
      <alignment horizontal="left" vertical="center"/>
      <protection hidden="1"/>
    </xf>
    <xf numFmtId="1" fontId="6" fillId="13" borderId="10" xfId="0" applyNumberFormat="1" applyFont="1" applyFill="1" applyBorder="1" applyAlignment="1" applyProtection="1">
      <alignment horizontal="center" vertical="center"/>
      <protection hidden="1"/>
    </xf>
    <xf numFmtId="1" fontId="6" fillId="13" borderId="11" xfId="0" applyNumberFormat="1" applyFont="1" applyFill="1" applyBorder="1" applyAlignment="1" applyProtection="1">
      <alignment horizontal="center" vertical="center"/>
      <protection hidden="1"/>
    </xf>
    <xf numFmtId="0" fontId="0" fillId="16" borderId="9" xfId="0" applyFont="1" applyFill="1" applyBorder="1" applyAlignment="1" applyProtection="1">
      <alignment horizontal="left" vertical="center"/>
      <protection hidden="1"/>
    </xf>
    <xf numFmtId="1" fontId="0" fillId="16" borderId="10" xfId="0" applyNumberFormat="1" applyFont="1" applyFill="1" applyBorder="1" applyAlignment="1" applyProtection="1">
      <alignment horizontal="center" vertical="center"/>
      <protection hidden="1"/>
    </xf>
    <xf numFmtId="1" fontId="0" fillId="16" borderId="11" xfId="0" applyNumberFormat="1" applyFont="1" applyFill="1" applyBorder="1" applyAlignment="1" applyProtection="1">
      <alignment horizontal="center" vertical="center"/>
      <protection hidden="1"/>
    </xf>
    <xf numFmtId="0" fontId="0" fillId="16" borderId="7" xfId="0" applyFont="1" applyFill="1" applyBorder="1" applyAlignment="1" applyProtection="1">
      <alignment horizontal="left" vertical="center"/>
      <protection hidden="1"/>
    </xf>
    <xf numFmtId="1" fontId="0" fillId="16" borderId="12" xfId="0" applyNumberFormat="1" applyFont="1" applyFill="1" applyBorder="1" applyAlignment="1" applyProtection="1">
      <alignment horizontal="center" vertical="center"/>
      <protection hidden="1"/>
    </xf>
    <xf numFmtId="1" fontId="0" fillId="16" borderId="8" xfId="0" applyNumberFormat="1" applyFont="1" applyFill="1" applyBorder="1" applyAlignment="1" applyProtection="1">
      <alignment horizontal="center" vertical="center"/>
      <protection hidden="1"/>
    </xf>
    <xf numFmtId="0" fontId="4" fillId="3" borderId="1" xfId="2" applyFont="1" applyBorder="1" applyAlignment="1" applyProtection="1">
      <alignment horizontal="left" vertical="center"/>
      <protection hidden="1"/>
    </xf>
    <xf numFmtId="0" fontId="4" fillId="3" borderId="3" xfId="2" applyFont="1" applyBorder="1" applyAlignment="1" applyProtection="1">
      <alignment horizontal="center" vertical="center"/>
      <protection hidden="1"/>
    </xf>
    <xf numFmtId="0" fontId="4" fillId="3" borderId="2" xfId="2" applyFont="1" applyBorder="1" applyAlignment="1" applyProtection="1">
      <alignment horizontal="center" vertical="center"/>
      <protection hidden="1"/>
    </xf>
    <xf numFmtId="0" fontId="4" fillId="7" borderId="1" xfId="6" applyFont="1" applyBorder="1" applyAlignment="1" applyProtection="1">
      <alignment horizontal="left" vertical="center"/>
      <protection hidden="1"/>
    </xf>
    <xf numFmtId="0" fontId="4" fillId="7" borderId="3" xfId="6" applyFont="1" applyBorder="1" applyAlignment="1" applyProtection="1">
      <alignment horizontal="center" vertical="center"/>
      <protection hidden="1"/>
    </xf>
    <xf numFmtId="0" fontId="4" fillId="7" borderId="2" xfId="6" applyFont="1" applyBorder="1" applyAlignment="1" applyProtection="1">
      <alignment horizontal="center" vertical="center"/>
      <protection hidden="1"/>
    </xf>
    <xf numFmtId="0" fontId="14" fillId="4" borderId="1" xfId="3" applyFont="1" applyBorder="1" applyAlignment="1" applyProtection="1">
      <alignment horizontal="left" vertical="center"/>
      <protection hidden="1"/>
    </xf>
    <xf numFmtId="0" fontId="14" fillId="4" borderId="3" xfId="3" applyFont="1" applyBorder="1" applyAlignment="1" applyProtection="1">
      <alignment horizontal="center" vertical="center"/>
      <protection hidden="1"/>
    </xf>
    <xf numFmtId="0" fontId="14" fillId="4" borderId="2" xfId="3" applyFont="1" applyBorder="1" applyAlignment="1" applyProtection="1">
      <alignment horizontal="center" vertical="center"/>
      <protection hidden="1"/>
    </xf>
    <xf numFmtId="0" fontId="4" fillId="8" borderId="1" xfId="7" applyFont="1" applyBorder="1" applyAlignment="1" applyProtection="1">
      <alignment horizontal="left" vertical="center"/>
      <protection hidden="1"/>
    </xf>
    <xf numFmtId="1" fontId="4" fillId="8" borderId="3" xfId="7" applyNumberFormat="1" applyFont="1" applyBorder="1" applyAlignment="1" applyProtection="1">
      <alignment horizontal="center" vertical="center"/>
      <protection hidden="1"/>
    </xf>
    <xf numFmtId="1" fontId="4" fillId="8" borderId="2" xfId="7" applyNumberFormat="1" applyFont="1" applyBorder="1" applyAlignment="1" applyProtection="1">
      <alignment horizontal="center" vertical="center"/>
      <protection hidden="1"/>
    </xf>
    <xf numFmtId="0" fontId="4" fillId="5" borderId="1" xfId="4" applyFont="1" applyBorder="1" applyAlignment="1" applyProtection="1">
      <alignment horizontal="left" vertical="center"/>
      <protection hidden="1"/>
    </xf>
    <xf numFmtId="0" fontId="4" fillId="5" borderId="3" xfId="4" applyFont="1" applyBorder="1" applyAlignment="1" applyProtection="1">
      <alignment horizontal="center" vertical="center"/>
      <protection hidden="1"/>
    </xf>
    <xf numFmtId="0" fontId="4" fillId="5" borderId="2" xfId="4" applyFont="1" applyBorder="1" applyAlignment="1" applyProtection="1">
      <alignment horizontal="center" vertical="center"/>
      <protection hidden="1"/>
    </xf>
    <xf numFmtId="0" fontId="4" fillId="9" borderId="1" xfId="8" applyFont="1" applyBorder="1" applyAlignment="1" applyProtection="1">
      <alignment horizontal="left" vertical="center"/>
      <protection hidden="1"/>
    </xf>
    <xf numFmtId="0" fontId="4" fillId="9" borderId="3" xfId="8" applyFont="1" applyBorder="1" applyAlignment="1" applyProtection="1">
      <alignment horizontal="center" vertical="center"/>
      <protection hidden="1"/>
    </xf>
    <xf numFmtId="0" fontId="4" fillId="9" borderId="2" xfId="8" applyFont="1" applyBorder="1" applyAlignment="1" applyProtection="1">
      <alignment horizontal="center" vertical="center"/>
      <protection hidden="1"/>
    </xf>
    <xf numFmtId="0" fontId="0" fillId="16" borderId="12" xfId="0" applyFont="1" applyFill="1" applyBorder="1" applyAlignment="1" applyProtection="1">
      <alignment horizontal="center" vertical="center"/>
      <protection hidden="1"/>
    </xf>
    <xf numFmtId="0" fontId="0" fillId="16" borderId="8" xfId="0" applyFont="1" applyFill="1" applyBorder="1" applyAlignment="1" applyProtection="1">
      <alignment horizontal="center" vertical="center"/>
      <protection hidden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14" borderId="31" xfId="0" applyFont="1" applyFill="1" applyBorder="1" applyAlignment="1" applyProtection="1">
      <alignment horizontal="center" vertical="center"/>
      <protection locked="0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15" fillId="15" borderId="0" xfId="0" applyFont="1" applyFill="1" applyBorder="1" applyAlignment="1" applyProtection="1">
      <alignment horizontal="right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0" fillId="15" borderId="36" xfId="0" applyFont="1" applyFill="1" applyBorder="1" applyAlignment="1" applyProtection="1">
      <alignment horizontal="right" vertical="center"/>
      <protection hidden="1"/>
    </xf>
    <xf numFmtId="0" fontId="6" fillId="16" borderId="38" xfId="0" applyFont="1" applyFill="1" applyBorder="1" applyAlignment="1" applyProtection="1">
      <alignment horizontal="center" vertical="center"/>
      <protection hidden="1"/>
    </xf>
    <xf numFmtId="0" fontId="6" fillId="14" borderId="39" xfId="0" applyFont="1" applyFill="1" applyBorder="1" applyAlignment="1" applyProtection="1">
      <alignment horizontal="center" vertical="center"/>
      <protection hidden="1"/>
    </xf>
    <xf numFmtId="0" fontId="13" fillId="15" borderId="0" xfId="0" applyFont="1" applyFill="1" applyAlignment="1" applyProtection="1">
      <alignment vertical="center"/>
      <protection hidden="1"/>
    </xf>
    <xf numFmtId="0" fontId="6" fillId="16" borderId="40" xfId="0" applyFont="1" applyFill="1" applyBorder="1" applyAlignment="1" applyProtection="1">
      <alignment horizontal="center" vertical="center"/>
      <protection hidden="1"/>
    </xf>
    <xf numFmtId="0" fontId="6" fillId="14" borderId="41" xfId="0" applyFont="1" applyFill="1" applyBorder="1" applyAlignment="1" applyProtection="1">
      <alignment horizontal="center" vertical="center"/>
      <protection hidden="1"/>
    </xf>
    <xf numFmtId="0" fontId="13" fillId="15" borderId="42" xfId="0" applyFont="1" applyFill="1" applyBorder="1" applyAlignment="1" applyProtection="1">
      <alignment vertical="center"/>
      <protection hidden="1"/>
    </xf>
    <xf numFmtId="49" fontId="0" fillId="15" borderId="0" xfId="0" applyNumberFormat="1" applyFont="1" applyFill="1" applyAlignment="1" applyProtection="1">
      <alignment horizontal="left" vertical="center"/>
      <protection hidden="1"/>
    </xf>
    <xf numFmtId="0" fontId="6" fillId="15" borderId="0" xfId="0" applyFont="1" applyFill="1" applyAlignment="1" applyProtection="1">
      <alignment vertical="center"/>
      <protection hidden="1"/>
    </xf>
    <xf numFmtId="0" fontId="0" fillId="15" borderId="43" xfId="0" applyFont="1" applyFill="1" applyBorder="1" applyAlignment="1" applyProtection="1">
      <alignment vertical="center"/>
      <protection hidden="1"/>
    </xf>
    <xf numFmtId="0" fontId="6" fillId="15" borderId="0" xfId="0" applyFont="1" applyFill="1" applyBorder="1" applyAlignment="1" applyProtection="1">
      <alignment horizontal="right" vertical="center"/>
      <protection hidden="1"/>
    </xf>
    <xf numFmtId="0" fontId="0" fillId="15" borderId="44" xfId="0" applyFont="1" applyFill="1" applyBorder="1" applyAlignment="1" applyProtection="1">
      <alignment vertical="center"/>
      <protection hidden="1"/>
    </xf>
    <xf numFmtId="0" fontId="6" fillId="16" borderId="45" xfId="0" applyFont="1" applyFill="1" applyBorder="1" applyAlignment="1" applyProtection="1">
      <alignment horizontal="center" vertical="center" shrinkToFit="1"/>
      <protection hidden="1"/>
    </xf>
    <xf numFmtId="0" fontId="13" fillId="15" borderId="46" xfId="0" applyFont="1" applyFill="1" applyBorder="1" applyAlignment="1" applyProtection="1">
      <alignment vertical="center"/>
      <protection hidden="1"/>
    </xf>
    <xf numFmtId="0" fontId="6" fillId="16" borderId="47" xfId="0" applyFont="1" applyFill="1" applyBorder="1" applyAlignment="1" applyProtection="1">
      <alignment horizontal="center" vertical="center" shrinkToFit="1"/>
      <protection hidden="1"/>
    </xf>
    <xf numFmtId="49" fontId="0" fillId="15" borderId="0" xfId="0" applyNumberFormat="1" applyFont="1" applyFill="1" applyAlignment="1" applyProtection="1">
      <alignment vertical="center"/>
      <protection hidden="1"/>
    </xf>
    <xf numFmtId="0" fontId="0" fillId="15" borderId="0" xfId="0" applyFont="1" applyFill="1" applyBorder="1" applyAlignment="1" applyProtection="1">
      <alignment vertical="center"/>
      <protection hidden="1"/>
    </xf>
    <xf numFmtId="0" fontId="0" fillId="15" borderId="48" xfId="0" applyFont="1" applyFill="1" applyBorder="1" applyAlignment="1" applyProtection="1">
      <alignment vertical="center"/>
      <protection hidden="1"/>
    </xf>
    <xf numFmtId="0" fontId="13" fillId="15" borderId="43" xfId="0" applyFont="1" applyFill="1" applyBorder="1" applyAlignment="1" applyProtection="1">
      <alignment vertical="center"/>
      <protection hidden="1"/>
    </xf>
    <xf numFmtId="0" fontId="13" fillId="15" borderId="0" xfId="0" applyFont="1" applyFill="1" applyBorder="1" applyAlignment="1" applyProtection="1">
      <alignment horizontal="left"/>
      <protection hidden="1"/>
    </xf>
    <xf numFmtId="0" fontId="6" fillId="16" borderId="51" xfId="0" applyFont="1" applyFill="1" applyBorder="1" applyAlignment="1" applyProtection="1">
      <alignment horizontal="center" vertical="center" shrinkToFit="1"/>
      <protection hidden="1"/>
    </xf>
    <xf numFmtId="0" fontId="13" fillId="15" borderId="0" xfId="0" applyFont="1" applyFill="1" applyBorder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6" fillId="15" borderId="0" xfId="0" applyFont="1" applyFill="1" applyBorder="1" applyAlignment="1" applyProtection="1">
      <alignment horizontal="left" vertical="center"/>
      <protection hidden="1"/>
    </xf>
    <xf numFmtId="0" fontId="13" fillId="15" borderId="43" xfId="0" applyFont="1" applyFill="1" applyBorder="1" applyAlignment="1" applyProtection="1">
      <alignment horizontal="left" vertical="center"/>
      <protection hidden="1"/>
    </xf>
    <xf numFmtId="0" fontId="6" fillId="15" borderId="1" xfId="0" applyFont="1" applyFill="1" applyBorder="1" applyAlignment="1" applyProtection="1">
      <alignment horizontal="center" vertical="center" shrinkToFit="1"/>
      <protection hidden="1"/>
    </xf>
    <xf numFmtId="0" fontId="8" fillId="14" borderId="31" xfId="0" applyFont="1" applyFill="1" applyBorder="1" applyAlignment="1" applyProtection="1">
      <alignment horizontal="center" vertical="center"/>
      <protection hidden="1"/>
    </xf>
    <xf numFmtId="0" fontId="0" fillId="19" borderId="37" xfId="0" applyFont="1" applyFill="1" applyBorder="1" applyAlignment="1" applyProtection="1">
      <alignment horizontal="center" vertical="center"/>
      <protection hidden="1"/>
    </xf>
    <xf numFmtId="0" fontId="0" fillId="20" borderId="37" xfId="0" applyFont="1" applyFill="1" applyBorder="1" applyAlignment="1" applyProtection="1">
      <alignment horizontal="center" vertical="center"/>
      <protection hidden="1"/>
    </xf>
    <xf numFmtId="49" fontId="0" fillId="15" borderId="0" xfId="0" applyNumberFormat="1" applyFont="1" applyFill="1" applyAlignment="1" applyProtection="1">
      <alignment horizontal="center" vertical="center"/>
      <protection hidden="1"/>
    </xf>
    <xf numFmtId="0" fontId="5" fillId="21" borderId="49" xfId="0" applyFont="1" applyFill="1" applyBorder="1" applyAlignment="1" applyProtection="1">
      <alignment horizontal="center" vertical="center"/>
      <protection hidden="1"/>
    </xf>
    <xf numFmtId="0" fontId="16" fillId="21" borderId="50" xfId="0" applyFont="1" applyFill="1" applyBorder="1" applyAlignment="1" applyProtection="1">
      <alignment horizontal="center" vertical="center"/>
      <protection hidden="1"/>
    </xf>
  </cellXfs>
  <cellStyles count="11">
    <cellStyle name="GIRONE_A" xfId="1"/>
    <cellStyle name="GIRONE_B" xfId="2"/>
    <cellStyle name="GIRONE_C" xfId="3"/>
    <cellStyle name="GIRONE_D" xfId="4"/>
    <cellStyle name="GIRONE_E" xfId="5"/>
    <cellStyle name="GIRONE_F" xfId="6"/>
    <cellStyle name="GIRONE_G" xfId="7"/>
    <cellStyle name="GIRONE_H" xfId="8"/>
    <cellStyle name="INTESTAZIONE" xfId="9"/>
    <cellStyle name="INTESTAZIONE_GRANDE" xfId="10"/>
    <cellStyle name="Normale" xfId="0" builtinId="0"/>
  </cellStyles>
  <dxfs count="32"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497B0"/>
      <rgbColor rgb="FF993366"/>
      <rgbColor rgb="FFFFF2CC"/>
      <rgbColor rgb="FFDEEBF7"/>
      <rgbColor rgb="FF4B0082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FBE5D6"/>
      <rgbColor rgb="FFEE82EE"/>
      <rgbColor rgb="FFCC99FF"/>
      <rgbColor rgb="FFFFE699"/>
      <rgbColor rgb="FF3366FF"/>
      <rgbColor rgb="FF33CCCC"/>
      <rgbColor rgb="FF99CC00"/>
      <rgbColor rgb="FFFFD700"/>
      <rgbColor rgb="FFFFA500"/>
      <rgbColor rgb="FFFF6600"/>
      <rgbColor rgb="FF4472C4"/>
      <rgbColor rgb="FF969696"/>
      <rgbColor rgb="FF003366"/>
      <rgbColor rgb="FF5B9BD5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BL51"/>
  <sheetViews>
    <sheetView tabSelected="1" zoomScale="140" zoomScaleNormal="140" workbookViewId="0">
      <selection activeCell="B3" sqref="B3"/>
    </sheetView>
  </sheetViews>
  <sheetFormatPr defaultColWidth="11.5703125" defaultRowHeight="12.75"/>
  <cols>
    <col min="1" max="1" width="16.5703125" style="15" customWidth="1"/>
    <col min="2" max="2" width="16.28515625" style="15" customWidth="1"/>
    <col min="3" max="3" width="5.140625" style="15" customWidth="1"/>
    <col min="4" max="4" width="3.5703125" style="15" customWidth="1"/>
    <col min="5" max="5" width="7.7109375" style="15" customWidth="1"/>
    <col min="6" max="6" width="10.5703125" style="15" customWidth="1"/>
    <col min="7" max="7" width="15.7109375" style="15" customWidth="1"/>
    <col min="8" max="8" width="7.42578125" style="15" customWidth="1"/>
    <col min="9" max="9" width="13" style="15" customWidth="1"/>
    <col min="10" max="10" width="5.140625" style="15" customWidth="1"/>
    <col min="11" max="11" width="3.5703125" style="15" customWidth="1"/>
    <col min="12" max="12" width="14.5703125" style="15" customWidth="1"/>
    <col min="13" max="64" width="11.5703125" style="15"/>
  </cols>
  <sheetData>
    <row r="1" spans="1:12">
      <c r="A1" s="14" t="s">
        <v>0</v>
      </c>
      <c r="B1" s="14"/>
      <c r="D1" s="14" t="s">
        <v>1</v>
      </c>
      <c r="E1" s="14"/>
      <c r="F1" s="14"/>
      <c r="G1" s="14"/>
      <c r="H1" s="14"/>
      <c r="I1" s="14"/>
      <c r="K1" s="14" t="s">
        <v>2</v>
      </c>
      <c r="L1" s="14"/>
    </row>
    <row r="2" spans="1:12">
      <c r="A2" s="16" t="s">
        <v>3</v>
      </c>
      <c r="B2" s="17" t="s">
        <v>4</v>
      </c>
      <c r="D2" s="16" t="s">
        <v>3</v>
      </c>
      <c r="E2" s="18" t="s">
        <v>5</v>
      </c>
      <c r="F2" s="19" t="s">
        <v>6</v>
      </c>
      <c r="G2" s="19" t="s">
        <v>7</v>
      </c>
      <c r="H2" s="20" t="s">
        <v>8</v>
      </c>
      <c r="I2" s="21" t="s">
        <v>9</v>
      </c>
      <c r="K2" s="16" t="s">
        <v>3</v>
      </c>
      <c r="L2" s="17" t="s">
        <v>6</v>
      </c>
    </row>
    <row r="3" spans="1:12">
      <c r="A3" s="22" t="s">
        <v>10</v>
      </c>
      <c r="B3" s="23" t="s">
        <v>11</v>
      </c>
      <c r="D3" s="24">
        <v>1</v>
      </c>
      <c r="E3" s="25" t="str">
        <f t="shared" ref="E3:E34" si="0">H3&amp;I3</f>
        <v>A1</v>
      </c>
      <c r="F3" s="26" t="s">
        <v>12</v>
      </c>
      <c r="G3" s="26"/>
      <c r="H3" s="27" t="s">
        <v>13</v>
      </c>
      <c r="I3" s="28">
        <v>1</v>
      </c>
      <c r="K3" s="24">
        <v>1</v>
      </c>
      <c r="L3" s="23" t="str">
        <f t="shared" ref="L3:L34" si="1">"CAMPO "&amp;ROMAN(K3)</f>
        <v>CAMPO I</v>
      </c>
    </row>
    <row r="4" spans="1:12">
      <c r="A4" s="29" t="s">
        <v>14</v>
      </c>
      <c r="B4" s="30">
        <v>2021</v>
      </c>
      <c r="D4" s="31">
        <v>2</v>
      </c>
      <c r="E4" s="25" t="str">
        <f t="shared" si="0"/>
        <v>A2</v>
      </c>
      <c r="F4" s="32" t="s">
        <v>15</v>
      </c>
      <c r="G4" s="32"/>
      <c r="H4" s="33" t="s">
        <v>13</v>
      </c>
      <c r="I4" s="34">
        <v>2</v>
      </c>
      <c r="K4" s="31">
        <v>2</v>
      </c>
      <c r="L4" s="35" t="str">
        <f t="shared" si="1"/>
        <v>CAMPO II</v>
      </c>
    </row>
    <row r="5" spans="1:12">
      <c r="D5" s="31">
        <v>3</v>
      </c>
      <c r="E5" s="25" t="str">
        <f t="shared" si="0"/>
        <v>A3</v>
      </c>
      <c r="F5" s="32" t="s">
        <v>16</v>
      </c>
      <c r="G5" s="32"/>
      <c r="H5" s="33" t="s">
        <v>13</v>
      </c>
      <c r="I5" s="34">
        <v>3</v>
      </c>
      <c r="K5" s="31">
        <v>3</v>
      </c>
      <c r="L5" s="35" t="str">
        <f t="shared" si="1"/>
        <v>CAMPO III</v>
      </c>
    </row>
    <row r="6" spans="1:12">
      <c r="A6" s="13" t="s">
        <v>17</v>
      </c>
      <c r="B6" s="13"/>
      <c r="D6" s="31">
        <v>4</v>
      </c>
      <c r="E6" s="25" t="str">
        <f t="shared" si="0"/>
        <v>A4</v>
      </c>
      <c r="F6" s="32" t="s">
        <v>18</v>
      </c>
      <c r="G6" s="32"/>
      <c r="H6" s="33" t="s">
        <v>13</v>
      </c>
      <c r="I6" s="34">
        <v>4</v>
      </c>
      <c r="K6" s="31">
        <v>4</v>
      </c>
      <c r="L6" s="35" t="str">
        <f t="shared" si="1"/>
        <v>CAMPO IV</v>
      </c>
    </row>
    <row r="7" spans="1:12">
      <c r="D7" s="31">
        <v>5</v>
      </c>
      <c r="E7" s="25" t="str">
        <f t="shared" si="0"/>
        <v>B1</v>
      </c>
      <c r="F7" s="32" t="s">
        <v>19</v>
      </c>
      <c r="G7" s="32"/>
      <c r="H7" s="33" t="s">
        <v>20</v>
      </c>
      <c r="I7" s="34">
        <v>1</v>
      </c>
      <c r="K7" s="31">
        <v>5</v>
      </c>
      <c r="L7" s="35" t="str">
        <f t="shared" si="1"/>
        <v>CAMPO V</v>
      </c>
    </row>
    <row r="8" spans="1:12">
      <c r="A8" s="12" t="s">
        <v>21</v>
      </c>
      <c r="B8" s="12"/>
      <c r="D8" s="31">
        <v>6</v>
      </c>
      <c r="E8" s="25" t="str">
        <f t="shared" si="0"/>
        <v>B2</v>
      </c>
      <c r="F8" s="32" t="s">
        <v>22</v>
      </c>
      <c r="G8" s="32"/>
      <c r="H8" s="33" t="s">
        <v>20</v>
      </c>
      <c r="I8" s="34">
        <v>2</v>
      </c>
      <c r="K8" s="31">
        <v>6</v>
      </c>
      <c r="L8" s="35" t="str">
        <f t="shared" si="1"/>
        <v>CAMPO VI</v>
      </c>
    </row>
    <row r="9" spans="1:12">
      <c r="A9" s="12"/>
      <c r="B9" s="12"/>
      <c r="D9" s="31">
        <v>7</v>
      </c>
      <c r="E9" s="25" t="str">
        <f t="shared" si="0"/>
        <v>B3</v>
      </c>
      <c r="F9" s="32" t="s">
        <v>23</v>
      </c>
      <c r="G9" s="32"/>
      <c r="H9" s="33" t="s">
        <v>20</v>
      </c>
      <c r="I9" s="34">
        <v>3</v>
      </c>
      <c r="K9" s="31">
        <v>7</v>
      </c>
      <c r="L9" s="35" t="str">
        <f t="shared" si="1"/>
        <v>CAMPO VII</v>
      </c>
    </row>
    <row r="10" spans="1:12">
      <c r="A10" s="12"/>
      <c r="B10" s="12"/>
      <c r="D10" s="31">
        <v>8</v>
      </c>
      <c r="E10" s="25" t="str">
        <f t="shared" si="0"/>
        <v>B4</v>
      </c>
      <c r="F10" s="32" t="s">
        <v>24</v>
      </c>
      <c r="G10" s="32"/>
      <c r="H10" s="33" t="s">
        <v>20</v>
      </c>
      <c r="I10" s="34">
        <v>4</v>
      </c>
      <c r="K10" s="31">
        <v>8</v>
      </c>
      <c r="L10" s="35" t="str">
        <f t="shared" si="1"/>
        <v>CAMPO VIII</v>
      </c>
    </row>
    <row r="11" spans="1:12">
      <c r="D11" s="31">
        <v>9</v>
      </c>
      <c r="E11" s="25" t="str">
        <f t="shared" si="0"/>
        <v>C1</v>
      </c>
      <c r="F11" s="32" t="s">
        <v>25</v>
      </c>
      <c r="G11" s="32"/>
      <c r="H11" s="33" t="s">
        <v>26</v>
      </c>
      <c r="I11" s="34">
        <v>1</v>
      </c>
      <c r="K11" s="31">
        <v>9</v>
      </c>
      <c r="L11" s="35" t="str">
        <f t="shared" si="1"/>
        <v>CAMPO IX</v>
      </c>
    </row>
    <row r="12" spans="1:12">
      <c r="A12" s="11" t="s">
        <v>27</v>
      </c>
      <c r="B12" s="11"/>
      <c r="D12" s="31">
        <v>10</v>
      </c>
      <c r="E12" s="25" t="str">
        <f t="shared" si="0"/>
        <v>C2</v>
      </c>
      <c r="F12" s="32" t="s">
        <v>28</v>
      </c>
      <c r="G12" s="32"/>
      <c r="H12" s="33" t="s">
        <v>26</v>
      </c>
      <c r="I12" s="34">
        <v>2</v>
      </c>
      <c r="K12" s="31">
        <v>10</v>
      </c>
      <c r="L12" s="35" t="str">
        <f t="shared" si="1"/>
        <v>CAMPO X</v>
      </c>
    </row>
    <row r="13" spans="1:12">
      <c r="A13" s="11"/>
      <c r="B13" s="11"/>
      <c r="D13" s="31">
        <v>11</v>
      </c>
      <c r="E13" s="25" t="str">
        <f t="shared" si="0"/>
        <v>C3</v>
      </c>
      <c r="F13" s="32" t="s">
        <v>29</v>
      </c>
      <c r="G13" s="32"/>
      <c r="H13" s="33" t="s">
        <v>26</v>
      </c>
      <c r="I13" s="34">
        <v>3</v>
      </c>
      <c r="K13" s="31">
        <v>11</v>
      </c>
      <c r="L13" s="35" t="str">
        <f t="shared" si="1"/>
        <v>CAMPO XI</v>
      </c>
    </row>
    <row r="14" spans="1:12">
      <c r="A14" s="11"/>
      <c r="B14" s="11"/>
      <c r="D14" s="31">
        <v>12</v>
      </c>
      <c r="E14" s="25" t="str">
        <f t="shared" si="0"/>
        <v>C4</v>
      </c>
      <c r="F14" s="32" t="s">
        <v>30</v>
      </c>
      <c r="G14" s="32"/>
      <c r="H14" s="33" t="s">
        <v>26</v>
      </c>
      <c r="I14" s="34">
        <v>4</v>
      </c>
      <c r="K14" s="31">
        <v>12</v>
      </c>
      <c r="L14" s="35" t="str">
        <f t="shared" si="1"/>
        <v>CAMPO XII</v>
      </c>
    </row>
    <row r="15" spans="1:12">
      <c r="A15" s="11"/>
      <c r="B15" s="11"/>
      <c r="D15" s="31">
        <v>13</v>
      </c>
      <c r="E15" s="25" t="str">
        <f t="shared" si="0"/>
        <v>D1</v>
      </c>
      <c r="F15" s="32" t="s">
        <v>31</v>
      </c>
      <c r="G15" s="32"/>
      <c r="H15" s="33" t="s">
        <v>32</v>
      </c>
      <c r="I15" s="34">
        <v>1</v>
      </c>
      <c r="K15" s="31">
        <v>13</v>
      </c>
      <c r="L15" s="35" t="str">
        <f t="shared" si="1"/>
        <v>CAMPO XIII</v>
      </c>
    </row>
    <row r="16" spans="1:12">
      <c r="D16" s="31">
        <v>14</v>
      </c>
      <c r="E16" s="25" t="str">
        <f t="shared" si="0"/>
        <v>D2</v>
      </c>
      <c r="F16" s="32" t="s">
        <v>33</v>
      </c>
      <c r="G16" s="32"/>
      <c r="H16" s="33" t="s">
        <v>32</v>
      </c>
      <c r="I16" s="34">
        <v>2</v>
      </c>
      <c r="K16" s="31">
        <v>14</v>
      </c>
      <c r="L16" s="35" t="str">
        <f t="shared" si="1"/>
        <v>CAMPO XIV</v>
      </c>
    </row>
    <row r="17" spans="1:12">
      <c r="A17" s="10" t="s">
        <v>34</v>
      </c>
      <c r="B17" s="10"/>
      <c r="D17" s="31">
        <v>15</v>
      </c>
      <c r="E17" s="25" t="str">
        <f t="shared" si="0"/>
        <v>D3</v>
      </c>
      <c r="F17" s="32" t="s">
        <v>35</v>
      </c>
      <c r="G17" s="32"/>
      <c r="H17" s="33" t="s">
        <v>32</v>
      </c>
      <c r="I17" s="34">
        <v>3</v>
      </c>
      <c r="K17" s="31">
        <v>15</v>
      </c>
      <c r="L17" s="35" t="str">
        <f t="shared" si="1"/>
        <v>CAMPO XV</v>
      </c>
    </row>
    <row r="18" spans="1:12">
      <c r="A18" s="10"/>
      <c r="B18" s="10"/>
      <c r="D18" s="31">
        <v>16</v>
      </c>
      <c r="E18" s="25" t="str">
        <f t="shared" si="0"/>
        <v>D4</v>
      </c>
      <c r="F18" s="32" t="s">
        <v>36</v>
      </c>
      <c r="G18" s="32"/>
      <c r="H18" s="33" t="s">
        <v>32</v>
      </c>
      <c r="I18" s="34">
        <v>4</v>
      </c>
      <c r="K18" s="31">
        <v>16</v>
      </c>
      <c r="L18" s="35" t="str">
        <f t="shared" si="1"/>
        <v>CAMPO XVI</v>
      </c>
    </row>
    <row r="19" spans="1:12">
      <c r="A19" s="10"/>
      <c r="B19" s="10"/>
      <c r="D19" s="31">
        <v>17</v>
      </c>
      <c r="E19" s="25" t="str">
        <f t="shared" si="0"/>
        <v>E1</v>
      </c>
      <c r="F19" s="32" t="s">
        <v>37</v>
      </c>
      <c r="G19" s="32"/>
      <c r="H19" s="33" t="s">
        <v>38</v>
      </c>
      <c r="I19" s="34">
        <v>1</v>
      </c>
      <c r="K19" s="31">
        <v>17</v>
      </c>
      <c r="L19" s="35" t="str">
        <f t="shared" si="1"/>
        <v>CAMPO XVII</v>
      </c>
    </row>
    <row r="20" spans="1:12">
      <c r="D20" s="31">
        <v>18</v>
      </c>
      <c r="E20" s="25" t="str">
        <f t="shared" si="0"/>
        <v>E2</v>
      </c>
      <c r="F20" s="32" t="s">
        <v>39</v>
      </c>
      <c r="G20" s="32"/>
      <c r="H20" s="33" t="s">
        <v>38</v>
      </c>
      <c r="I20" s="34">
        <v>2</v>
      </c>
      <c r="K20" s="31">
        <v>18</v>
      </c>
      <c r="L20" s="35" t="str">
        <f t="shared" si="1"/>
        <v>CAMPO XVIII</v>
      </c>
    </row>
    <row r="21" spans="1:12">
      <c r="A21" s="10" t="s">
        <v>40</v>
      </c>
      <c r="B21" s="10"/>
      <c r="D21" s="31">
        <v>19</v>
      </c>
      <c r="E21" s="25" t="str">
        <f t="shared" si="0"/>
        <v>E3</v>
      </c>
      <c r="F21" s="32" t="s">
        <v>41</v>
      </c>
      <c r="G21" s="32"/>
      <c r="H21" s="33" t="s">
        <v>38</v>
      </c>
      <c r="I21" s="34">
        <v>3</v>
      </c>
      <c r="K21" s="31">
        <v>19</v>
      </c>
      <c r="L21" s="35" t="str">
        <f t="shared" si="1"/>
        <v>CAMPO XIX</v>
      </c>
    </row>
    <row r="22" spans="1:12">
      <c r="A22" s="10"/>
      <c r="B22" s="10"/>
      <c r="D22" s="31">
        <v>20</v>
      </c>
      <c r="E22" s="25" t="str">
        <f t="shared" si="0"/>
        <v>E4</v>
      </c>
      <c r="F22" s="32" t="s">
        <v>42</v>
      </c>
      <c r="G22" s="32"/>
      <c r="H22" s="33" t="s">
        <v>38</v>
      </c>
      <c r="I22" s="34">
        <v>4</v>
      </c>
      <c r="K22" s="31">
        <v>20</v>
      </c>
      <c r="L22" s="35" t="str">
        <f t="shared" si="1"/>
        <v>CAMPO XX</v>
      </c>
    </row>
    <row r="23" spans="1:12">
      <c r="A23" s="10"/>
      <c r="B23" s="10"/>
      <c r="D23" s="31">
        <v>21</v>
      </c>
      <c r="E23" s="25" t="str">
        <f t="shared" si="0"/>
        <v>F1</v>
      </c>
      <c r="F23" s="32" t="s">
        <v>43</v>
      </c>
      <c r="G23" s="32"/>
      <c r="H23" s="33" t="s">
        <v>44</v>
      </c>
      <c r="I23" s="34">
        <v>1</v>
      </c>
      <c r="K23" s="31">
        <v>21</v>
      </c>
      <c r="L23" s="35" t="str">
        <f t="shared" si="1"/>
        <v>CAMPO XXI</v>
      </c>
    </row>
    <row r="24" spans="1:12">
      <c r="D24" s="31">
        <v>22</v>
      </c>
      <c r="E24" s="25" t="str">
        <f t="shared" si="0"/>
        <v>F2</v>
      </c>
      <c r="F24" s="32" t="s">
        <v>45</v>
      </c>
      <c r="G24" s="32"/>
      <c r="H24" s="33" t="s">
        <v>44</v>
      </c>
      <c r="I24" s="34">
        <v>2</v>
      </c>
      <c r="K24" s="31">
        <v>22</v>
      </c>
      <c r="L24" s="35" t="str">
        <f t="shared" si="1"/>
        <v>CAMPO XXII</v>
      </c>
    </row>
    <row r="25" spans="1:12">
      <c r="D25" s="31">
        <v>23</v>
      </c>
      <c r="E25" s="25" t="str">
        <f t="shared" si="0"/>
        <v>F3</v>
      </c>
      <c r="F25" s="32" t="s">
        <v>46</v>
      </c>
      <c r="G25" s="32"/>
      <c r="H25" s="33" t="s">
        <v>44</v>
      </c>
      <c r="I25" s="34">
        <v>3</v>
      </c>
      <c r="K25" s="31">
        <v>23</v>
      </c>
      <c r="L25" s="35" t="str">
        <f t="shared" si="1"/>
        <v>CAMPO XXIII</v>
      </c>
    </row>
    <row r="26" spans="1:12">
      <c r="D26" s="31">
        <v>24</v>
      </c>
      <c r="E26" s="25" t="str">
        <f t="shared" si="0"/>
        <v>F4</v>
      </c>
      <c r="F26" s="32" t="s">
        <v>47</v>
      </c>
      <c r="G26" s="32"/>
      <c r="H26" s="33" t="s">
        <v>44</v>
      </c>
      <c r="I26" s="34">
        <v>4</v>
      </c>
      <c r="K26" s="31">
        <v>24</v>
      </c>
      <c r="L26" s="35" t="str">
        <f t="shared" si="1"/>
        <v>CAMPO XXIV</v>
      </c>
    </row>
    <row r="27" spans="1:12">
      <c r="D27" s="31">
        <v>25</v>
      </c>
      <c r="E27" s="25" t="str">
        <f t="shared" si="0"/>
        <v>G1</v>
      </c>
      <c r="F27" s="32" t="s">
        <v>48</v>
      </c>
      <c r="G27" s="32"/>
      <c r="H27" s="33" t="s">
        <v>49</v>
      </c>
      <c r="I27" s="34">
        <v>1</v>
      </c>
      <c r="K27" s="31">
        <v>25</v>
      </c>
      <c r="L27" s="35" t="str">
        <f t="shared" si="1"/>
        <v>CAMPO XXV</v>
      </c>
    </row>
    <row r="28" spans="1:12">
      <c r="D28" s="31">
        <v>26</v>
      </c>
      <c r="E28" s="25" t="str">
        <f t="shared" si="0"/>
        <v>G2</v>
      </c>
      <c r="F28" s="32" t="s">
        <v>50</v>
      </c>
      <c r="G28" s="32"/>
      <c r="H28" s="33" t="s">
        <v>49</v>
      </c>
      <c r="I28" s="34">
        <v>2</v>
      </c>
      <c r="K28" s="31">
        <v>26</v>
      </c>
      <c r="L28" s="35" t="str">
        <f t="shared" si="1"/>
        <v>CAMPO XXVI</v>
      </c>
    </row>
    <row r="29" spans="1:12">
      <c r="D29" s="31">
        <v>27</v>
      </c>
      <c r="E29" s="25" t="str">
        <f t="shared" si="0"/>
        <v>G3</v>
      </c>
      <c r="F29" s="32" t="s">
        <v>51</v>
      </c>
      <c r="G29" s="32"/>
      <c r="H29" s="33" t="s">
        <v>49</v>
      </c>
      <c r="I29" s="34">
        <v>3</v>
      </c>
      <c r="K29" s="31">
        <v>27</v>
      </c>
      <c r="L29" s="35" t="str">
        <f t="shared" si="1"/>
        <v>CAMPO XXVII</v>
      </c>
    </row>
    <row r="30" spans="1:12">
      <c r="D30" s="31">
        <v>28</v>
      </c>
      <c r="E30" s="25" t="str">
        <f t="shared" si="0"/>
        <v>G4</v>
      </c>
      <c r="F30" s="32" t="s">
        <v>52</v>
      </c>
      <c r="G30" s="32"/>
      <c r="H30" s="33" t="s">
        <v>49</v>
      </c>
      <c r="I30" s="34">
        <v>4</v>
      </c>
      <c r="K30" s="31">
        <v>28</v>
      </c>
      <c r="L30" s="35" t="str">
        <f t="shared" si="1"/>
        <v>CAMPO XXVIII</v>
      </c>
    </row>
    <row r="31" spans="1:12">
      <c r="D31" s="31">
        <v>29</v>
      </c>
      <c r="E31" s="25" t="str">
        <f t="shared" si="0"/>
        <v>H1</v>
      </c>
      <c r="F31" s="32" t="s">
        <v>53</v>
      </c>
      <c r="G31" s="32"/>
      <c r="H31" s="33" t="s">
        <v>54</v>
      </c>
      <c r="I31" s="34">
        <v>1</v>
      </c>
      <c r="K31" s="31">
        <v>29</v>
      </c>
      <c r="L31" s="35" t="str">
        <f t="shared" si="1"/>
        <v>CAMPO XXIX</v>
      </c>
    </row>
    <row r="32" spans="1:12">
      <c r="D32" s="31">
        <v>30</v>
      </c>
      <c r="E32" s="25" t="str">
        <f t="shared" si="0"/>
        <v>H2</v>
      </c>
      <c r="F32" s="32" t="s">
        <v>55</v>
      </c>
      <c r="G32" s="32"/>
      <c r="H32" s="33" t="s">
        <v>54</v>
      </c>
      <c r="I32" s="34">
        <v>2</v>
      </c>
      <c r="K32" s="31">
        <v>30</v>
      </c>
      <c r="L32" s="35" t="str">
        <f t="shared" si="1"/>
        <v>CAMPO XXX</v>
      </c>
    </row>
    <row r="33" spans="1:12">
      <c r="D33" s="31">
        <v>31</v>
      </c>
      <c r="E33" s="25" t="str">
        <f t="shared" si="0"/>
        <v>H3</v>
      </c>
      <c r="F33" s="32" t="s">
        <v>56</v>
      </c>
      <c r="G33" s="32"/>
      <c r="H33" s="33" t="s">
        <v>54</v>
      </c>
      <c r="I33" s="34">
        <v>3</v>
      </c>
      <c r="K33" s="31">
        <v>31</v>
      </c>
      <c r="L33" s="35" t="str">
        <f t="shared" si="1"/>
        <v>CAMPO XXXI</v>
      </c>
    </row>
    <row r="34" spans="1:12">
      <c r="D34" s="36">
        <v>32</v>
      </c>
      <c r="E34" s="25" t="str">
        <f t="shared" si="0"/>
        <v>H4</v>
      </c>
      <c r="F34" s="37" t="s">
        <v>57</v>
      </c>
      <c r="G34" s="37"/>
      <c r="H34" s="38" t="s">
        <v>54</v>
      </c>
      <c r="I34" s="39">
        <v>4</v>
      </c>
      <c r="K34" s="36">
        <v>32</v>
      </c>
      <c r="L34" s="40" t="str">
        <f t="shared" si="1"/>
        <v>CAMPO XXXII</v>
      </c>
    </row>
    <row r="35" spans="1:12">
      <c r="K35" s="41"/>
    </row>
    <row r="40" spans="1:12">
      <c r="A40" s="14" t="s">
        <v>58</v>
      </c>
      <c r="B40" s="14"/>
    </row>
    <row r="41" spans="1:12">
      <c r="A41" s="42" t="s">
        <v>59</v>
      </c>
      <c r="B41" s="43" t="s">
        <v>60</v>
      </c>
    </row>
    <row r="42" spans="1:12">
      <c r="A42" s="44" t="s">
        <v>61</v>
      </c>
      <c r="B42" s="43" t="s">
        <v>62</v>
      </c>
    </row>
    <row r="43" spans="1:12">
      <c r="A43" s="45" t="s">
        <v>63</v>
      </c>
      <c r="B43" s="43" t="s">
        <v>64</v>
      </c>
    </row>
    <row r="44" spans="1:12">
      <c r="A44" s="46" t="s">
        <v>65</v>
      </c>
      <c r="B44" s="43" t="s">
        <v>66</v>
      </c>
    </row>
    <row r="45" spans="1:12">
      <c r="A45" s="47" t="s">
        <v>67</v>
      </c>
      <c r="B45" s="43" t="s">
        <v>68</v>
      </c>
    </row>
    <row r="46" spans="1:12">
      <c r="A46" s="48" t="s">
        <v>69</v>
      </c>
      <c r="B46" s="43" t="s">
        <v>70</v>
      </c>
    </row>
    <row r="47" spans="1:12">
      <c r="A47" s="49" t="s">
        <v>71</v>
      </c>
      <c r="B47" s="43" t="s">
        <v>72</v>
      </c>
    </row>
    <row r="48" spans="1:12">
      <c r="A48" s="50" t="s">
        <v>73</v>
      </c>
      <c r="B48" s="43" t="s">
        <v>74</v>
      </c>
    </row>
    <row r="49" spans="1:2">
      <c r="A49" s="51" t="s">
        <v>75</v>
      </c>
      <c r="B49" s="43" t="s">
        <v>76</v>
      </c>
    </row>
    <row r="50" spans="1:2">
      <c r="A50" s="52" t="s">
        <v>77</v>
      </c>
      <c r="B50" s="43" t="s">
        <v>78</v>
      </c>
    </row>
    <row r="51" spans="1:2">
      <c r="A51" s="53" t="s">
        <v>79</v>
      </c>
      <c r="B51" s="43" t="s">
        <v>80</v>
      </c>
    </row>
  </sheetData>
  <sheetProtection sheet="1" objects="1" scenarios="1" insertColumns="0" insertRows="0" deleteColumns="0" deleteRows="0"/>
  <mergeCells count="9">
    <mergeCell ref="A12:B15"/>
    <mergeCell ref="A17:B19"/>
    <mergeCell ref="A21:B23"/>
    <mergeCell ref="A40:B40"/>
    <mergeCell ref="A1:B1"/>
    <mergeCell ref="D1:I1"/>
    <mergeCell ref="K1:L1"/>
    <mergeCell ref="A6:B6"/>
    <mergeCell ref="A8:B10"/>
  </mergeCells>
  <conditionalFormatting sqref="H3:H34">
    <cfRule type="cellIs" dxfId="31" priority="2" operator="equal">
      <formula>"A"</formula>
    </cfRule>
  </conditionalFormatting>
  <conditionalFormatting sqref="H3:H34">
    <cfRule type="cellIs" dxfId="30" priority="3" operator="equal">
      <formula>"B"</formula>
    </cfRule>
  </conditionalFormatting>
  <conditionalFormatting sqref="H3:H34">
    <cfRule type="cellIs" dxfId="29" priority="4" operator="equal">
      <formula>"C"</formula>
    </cfRule>
  </conditionalFormatting>
  <conditionalFormatting sqref="H3:H34">
    <cfRule type="cellIs" dxfId="28" priority="5" operator="equal">
      <formula>"D"</formula>
    </cfRule>
  </conditionalFormatting>
  <conditionalFormatting sqref="H3:H34">
    <cfRule type="cellIs" dxfId="27" priority="6" operator="equal">
      <formula>"E"</formula>
    </cfRule>
  </conditionalFormatting>
  <conditionalFormatting sqref="H3:H34">
    <cfRule type="cellIs" dxfId="26" priority="7" operator="equal">
      <formula>"F"</formula>
    </cfRule>
  </conditionalFormatting>
  <conditionalFormatting sqref="H3:H34">
    <cfRule type="cellIs" dxfId="25" priority="8" operator="equal">
      <formula>"G"</formula>
    </cfRule>
  </conditionalFormatting>
  <conditionalFormatting sqref="H3:H34">
    <cfRule type="cellIs" dxfId="24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useFirstPageNumber="1" horizontalDpi="300" verticalDpi="300"/>
  <colBreaks count="2" manualBreakCount="2">
    <brk id="3" max="1048575" man="1"/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FF00"/>
  </sheetPr>
  <dimension ref="A1:BL50"/>
  <sheetViews>
    <sheetView zoomScale="140" zoomScaleNormal="140" workbookViewId="0">
      <selection activeCell="F3" sqref="F3"/>
    </sheetView>
  </sheetViews>
  <sheetFormatPr defaultColWidth="11.5703125" defaultRowHeight="12.75"/>
  <cols>
    <col min="1" max="1" width="5.5703125" style="15" customWidth="1"/>
    <col min="2" max="3" width="7.42578125" style="15" customWidth="1"/>
    <col min="4" max="5" width="14.140625" style="15" customWidth="1"/>
    <col min="6" max="7" width="9.28515625" style="15" customWidth="1"/>
    <col min="8" max="8" width="14.28515625" style="15" customWidth="1"/>
    <col min="9" max="9" width="6.140625" style="15" customWidth="1"/>
    <col min="10" max="10" width="7.85546875" style="54" customWidth="1"/>
    <col min="11" max="11" width="14.5703125" style="15" customWidth="1"/>
    <col min="12" max="64" width="11.5703125" style="15"/>
  </cols>
  <sheetData>
    <row r="1" spans="1:11">
      <c r="A1" s="14" t="s">
        <v>81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38.25">
      <c r="A2" s="55" t="s">
        <v>82</v>
      </c>
      <c r="B2" s="20" t="s">
        <v>83</v>
      </c>
      <c r="C2" s="20" t="s">
        <v>8</v>
      </c>
      <c r="D2" s="56" t="s">
        <v>84</v>
      </c>
      <c r="E2" s="56" t="s">
        <v>85</v>
      </c>
      <c r="F2" s="57" t="s">
        <v>86</v>
      </c>
      <c r="G2" s="57" t="s">
        <v>87</v>
      </c>
      <c r="H2" s="58" t="s">
        <v>88</v>
      </c>
      <c r="I2" s="58" t="s">
        <v>89</v>
      </c>
      <c r="J2" s="56" t="s">
        <v>90</v>
      </c>
      <c r="K2" s="17" t="s">
        <v>91</v>
      </c>
    </row>
    <row r="3" spans="1:11">
      <c r="A3" s="59">
        <v>1</v>
      </c>
      <c r="B3" s="60" t="str">
        <f t="shared" ref="B3:B50" si="0">VLOOKUP(A3,B_PARTITE_GIRONI,2,0)</f>
        <v>Girone</v>
      </c>
      <c r="C3" s="60" t="str">
        <f t="shared" ref="C3:C50" si="1">VLOOKUP(A3,B_PARTITE_GIRONI,3,0)</f>
        <v>A</v>
      </c>
      <c r="D3" s="61" t="str">
        <f t="shared" ref="D3:D50" si="2">VLOOKUP(A3,B_PARTITE_GIRONI,6,0)</f>
        <v>Leoni</v>
      </c>
      <c r="E3" s="62" t="str">
        <f t="shared" ref="E3:E50" si="3">VLOOKUP(A3,B_PARTITE_GIRONI,7,0)</f>
        <v>Pantere</v>
      </c>
      <c r="F3" s="63">
        <v>72</v>
      </c>
      <c r="G3" s="63">
        <v>49</v>
      </c>
      <c r="H3" s="64">
        <v>44354</v>
      </c>
      <c r="I3" s="65">
        <v>0.66666666666666696</v>
      </c>
      <c r="J3" s="66">
        <v>1</v>
      </c>
      <c r="K3" s="67" t="str">
        <f t="shared" ref="K3:K50" si="4">VLOOKUP(J3,INPUT_CAMPI,2,0)</f>
        <v>CAMPO I</v>
      </c>
    </row>
    <row r="4" spans="1:11">
      <c r="A4" s="68">
        <v>2</v>
      </c>
      <c r="B4" s="33" t="str">
        <f t="shared" si="0"/>
        <v>Girone</v>
      </c>
      <c r="C4" s="60" t="str">
        <f t="shared" si="1"/>
        <v>A</v>
      </c>
      <c r="D4" s="69" t="str">
        <f t="shared" si="2"/>
        <v>Tigri</v>
      </c>
      <c r="E4" s="69" t="str">
        <f t="shared" si="3"/>
        <v>Ghepardi</v>
      </c>
      <c r="F4" s="70">
        <v>67</v>
      </c>
      <c r="G4" s="70">
        <v>51</v>
      </c>
      <c r="H4" s="71">
        <v>44354</v>
      </c>
      <c r="I4" s="72">
        <v>0.75</v>
      </c>
      <c r="J4" s="73">
        <v>1</v>
      </c>
      <c r="K4" s="74" t="str">
        <f t="shared" si="4"/>
        <v>CAMPO I</v>
      </c>
    </row>
    <row r="5" spans="1:11">
      <c r="A5" s="68">
        <v>3</v>
      </c>
      <c r="B5" s="33" t="str">
        <f t="shared" si="0"/>
        <v>Girone</v>
      </c>
      <c r="C5" s="60" t="str">
        <f t="shared" si="1"/>
        <v>B</v>
      </c>
      <c r="D5" s="69" t="str">
        <f t="shared" si="2"/>
        <v>Giaguari</v>
      </c>
      <c r="E5" s="69" t="str">
        <f t="shared" si="3"/>
        <v>Puma</v>
      </c>
      <c r="F5" s="70">
        <v>100</v>
      </c>
      <c r="G5" s="70">
        <v>51</v>
      </c>
      <c r="H5" s="71">
        <v>44354</v>
      </c>
      <c r="I5" s="72">
        <v>0.66666666666666696</v>
      </c>
      <c r="J5" s="73">
        <v>2</v>
      </c>
      <c r="K5" s="74" t="str">
        <f t="shared" si="4"/>
        <v>CAMPO II</v>
      </c>
    </row>
    <row r="6" spans="1:11">
      <c r="A6" s="68">
        <v>4</v>
      </c>
      <c r="B6" s="33" t="str">
        <f t="shared" si="0"/>
        <v>Girone</v>
      </c>
      <c r="C6" s="60" t="str">
        <f t="shared" si="1"/>
        <v>B</v>
      </c>
      <c r="D6" s="69" t="str">
        <f t="shared" si="2"/>
        <v>Linci</v>
      </c>
      <c r="E6" s="69" t="str">
        <f t="shared" si="3"/>
        <v>Serval</v>
      </c>
      <c r="F6" s="70">
        <v>96</v>
      </c>
      <c r="G6" s="70">
        <v>86</v>
      </c>
      <c r="H6" s="71">
        <v>44354</v>
      </c>
      <c r="I6" s="72">
        <v>0.75</v>
      </c>
      <c r="J6" s="73">
        <v>2</v>
      </c>
      <c r="K6" s="74" t="str">
        <f t="shared" si="4"/>
        <v>CAMPO II</v>
      </c>
    </row>
    <row r="7" spans="1:11">
      <c r="A7" s="68">
        <v>5</v>
      </c>
      <c r="B7" s="33" t="str">
        <f t="shared" si="0"/>
        <v>Girone</v>
      </c>
      <c r="C7" s="60" t="str">
        <f t="shared" si="1"/>
        <v>C</v>
      </c>
      <c r="D7" s="69" t="str">
        <f t="shared" si="2"/>
        <v>Elefanti</v>
      </c>
      <c r="E7" s="69" t="str">
        <f t="shared" si="3"/>
        <v>Giraffe</v>
      </c>
      <c r="F7" s="70">
        <v>79</v>
      </c>
      <c r="G7" s="70">
        <v>48</v>
      </c>
      <c r="H7" s="71">
        <v>44354</v>
      </c>
      <c r="I7" s="72">
        <v>0.66666666666666696</v>
      </c>
      <c r="J7" s="73">
        <v>3</v>
      </c>
      <c r="K7" s="74" t="str">
        <f t="shared" si="4"/>
        <v>CAMPO III</v>
      </c>
    </row>
    <row r="8" spans="1:11">
      <c r="A8" s="68">
        <v>6</v>
      </c>
      <c r="B8" s="33" t="str">
        <f t="shared" si="0"/>
        <v>Girone</v>
      </c>
      <c r="C8" s="60" t="str">
        <f t="shared" si="1"/>
        <v>C</v>
      </c>
      <c r="D8" s="69" t="str">
        <f t="shared" si="2"/>
        <v>Ippopotami</v>
      </c>
      <c r="E8" s="69" t="str">
        <f t="shared" si="3"/>
        <v>Iguane</v>
      </c>
      <c r="F8" s="70">
        <v>62</v>
      </c>
      <c r="G8" s="70">
        <v>44</v>
      </c>
      <c r="H8" s="71">
        <v>44354</v>
      </c>
      <c r="I8" s="72">
        <v>0.75</v>
      </c>
      <c r="J8" s="73">
        <v>3</v>
      </c>
      <c r="K8" s="74" t="str">
        <f t="shared" si="4"/>
        <v>CAMPO III</v>
      </c>
    </row>
    <row r="9" spans="1:11">
      <c r="A9" s="68">
        <v>7</v>
      </c>
      <c r="B9" s="33" t="str">
        <f t="shared" si="0"/>
        <v>Girone</v>
      </c>
      <c r="C9" s="60" t="str">
        <f t="shared" si="1"/>
        <v>D</v>
      </c>
      <c r="D9" s="69" t="str">
        <f t="shared" si="2"/>
        <v>Coccodrilli</v>
      </c>
      <c r="E9" s="69" t="str">
        <f t="shared" si="3"/>
        <v>Pitoni</v>
      </c>
      <c r="F9" s="70">
        <v>96</v>
      </c>
      <c r="G9" s="70">
        <v>25</v>
      </c>
      <c r="H9" s="71">
        <v>44354</v>
      </c>
      <c r="I9" s="72">
        <v>0.66666666666666696</v>
      </c>
      <c r="J9" s="73">
        <v>4</v>
      </c>
      <c r="K9" s="74" t="str">
        <f t="shared" si="4"/>
        <v>CAMPO IV</v>
      </c>
    </row>
    <row r="10" spans="1:11">
      <c r="A10" s="68">
        <v>8</v>
      </c>
      <c r="B10" s="33" t="str">
        <f t="shared" si="0"/>
        <v>Girone</v>
      </c>
      <c r="C10" s="60" t="str">
        <f t="shared" si="1"/>
        <v>D</v>
      </c>
      <c r="D10" s="69" t="str">
        <f t="shared" si="2"/>
        <v>Aquile</v>
      </c>
      <c r="E10" s="69" t="str">
        <f t="shared" si="3"/>
        <v>Falchi</v>
      </c>
      <c r="F10" s="70">
        <v>72</v>
      </c>
      <c r="G10" s="70">
        <v>52</v>
      </c>
      <c r="H10" s="71">
        <v>44354</v>
      </c>
      <c r="I10" s="72">
        <v>0.75</v>
      </c>
      <c r="J10" s="73">
        <v>4</v>
      </c>
      <c r="K10" s="74" t="str">
        <f t="shared" si="4"/>
        <v>CAMPO IV</v>
      </c>
    </row>
    <row r="11" spans="1:11">
      <c r="A11" s="68">
        <v>9</v>
      </c>
      <c r="B11" s="33" t="str">
        <f t="shared" si="0"/>
        <v>Girone</v>
      </c>
      <c r="C11" s="60" t="str">
        <f t="shared" si="1"/>
        <v>A</v>
      </c>
      <c r="D11" s="69" t="str">
        <f t="shared" si="2"/>
        <v>Leoni</v>
      </c>
      <c r="E11" s="69" t="str">
        <f t="shared" si="3"/>
        <v>Tigri</v>
      </c>
      <c r="F11" s="70">
        <v>90</v>
      </c>
      <c r="G11" s="70">
        <v>22</v>
      </c>
      <c r="H11" s="71">
        <v>44355</v>
      </c>
      <c r="I11" s="72">
        <v>0.375</v>
      </c>
      <c r="J11" s="73">
        <v>1</v>
      </c>
      <c r="K11" s="74" t="str">
        <f t="shared" si="4"/>
        <v>CAMPO I</v>
      </c>
    </row>
    <row r="12" spans="1:11">
      <c r="A12" s="68">
        <v>10</v>
      </c>
      <c r="B12" s="33" t="str">
        <f t="shared" si="0"/>
        <v>Girone</v>
      </c>
      <c r="C12" s="60" t="str">
        <f t="shared" si="1"/>
        <v>B</v>
      </c>
      <c r="D12" s="69" t="str">
        <f t="shared" si="2"/>
        <v>Giaguari</v>
      </c>
      <c r="E12" s="69" t="str">
        <f t="shared" si="3"/>
        <v>Linci</v>
      </c>
      <c r="F12" s="70">
        <v>56</v>
      </c>
      <c r="G12" s="70">
        <v>47</v>
      </c>
      <c r="H12" s="71">
        <v>44355</v>
      </c>
      <c r="I12" s="72">
        <v>0.375</v>
      </c>
      <c r="J12" s="73">
        <v>2</v>
      </c>
      <c r="K12" s="74" t="str">
        <f t="shared" si="4"/>
        <v>CAMPO II</v>
      </c>
    </row>
    <row r="13" spans="1:11">
      <c r="A13" s="68">
        <v>11</v>
      </c>
      <c r="B13" s="33" t="str">
        <f t="shared" si="0"/>
        <v>Girone</v>
      </c>
      <c r="C13" s="60" t="str">
        <f t="shared" si="1"/>
        <v>C</v>
      </c>
      <c r="D13" s="69" t="str">
        <f t="shared" si="2"/>
        <v>Elefanti</v>
      </c>
      <c r="E13" s="69" t="str">
        <f t="shared" si="3"/>
        <v>Ippopotami</v>
      </c>
      <c r="F13" s="70">
        <v>66</v>
      </c>
      <c r="G13" s="70">
        <v>95</v>
      </c>
      <c r="H13" s="71">
        <v>44355</v>
      </c>
      <c r="I13" s="72">
        <v>0.375</v>
      </c>
      <c r="J13" s="73">
        <v>3</v>
      </c>
      <c r="K13" s="74" t="str">
        <f t="shared" si="4"/>
        <v>CAMPO III</v>
      </c>
    </row>
    <row r="14" spans="1:11">
      <c r="A14" s="68">
        <v>12</v>
      </c>
      <c r="B14" s="33" t="str">
        <f t="shared" si="0"/>
        <v>Girone</v>
      </c>
      <c r="C14" s="60" t="str">
        <f t="shared" si="1"/>
        <v>D</v>
      </c>
      <c r="D14" s="69" t="str">
        <f t="shared" si="2"/>
        <v>Coccodrilli</v>
      </c>
      <c r="E14" s="69" t="str">
        <f t="shared" si="3"/>
        <v>Aquile</v>
      </c>
      <c r="F14" s="70">
        <v>29</v>
      </c>
      <c r="G14" s="70">
        <v>39</v>
      </c>
      <c r="H14" s="71">
        <v>44355</v>
      </c>
      <c r="I14" s="72">
        <v>0.375</v>
      </c>
      <c r="J14" s="73">
        <v>4</v>
      </c>
      <c r="K14" s="74" t="str">
        <f t="shared" si="4"/>
        <v>CAMPO IV</v>
      </c>
    </row>
    <row r="15" spans="1:11">
      <c r="A15" s="68">
        <v>13</v>
      </c>
      <c r="B15" s="33" t="str">
        <f t="shared" si="0"/>
        <v>Girone</v>
      </c>
      <c r="C15" s="60" t="str">
        <f t="shared" si="1"/>
        <v>A</v>
      </c>
      <c r="D15" s="69" t="str">
        <f t="shared" si="2"/>
        <v>Pantere</v>
      </c>
      <c r="E15" s="69" t="str">
        <f t="shared" si="3"/>
        <v>Ghepardi</v>
      </c>
      <c r="F15" s="70">
        <v>57</v>
      </c>
      <c r="G15" s="70">
        <v>21</v>
      </c>
      <c r="H15" s="71">
        <v>44355</v>
      </c>
      <c r="I15" s="72">
        <v>0.45833333333333298</v>
      </c>
      <c r="J15" s="73">
        <v>1</v>
      </c>
      <c r="K15" s="74" t="str">
        <f t="shared" si="4"/>
        <v>CAMPO I</v>
      </c>
    </row>
    <row r="16" spans="1:11">
      <c r="A16" s="68">
        <v>14</v>
      </c>
      <c r="B16" s="33" t="str">
        <f t="shared" si="0"/>
        <v>Girone</v>
      </c>
      <c r="C16" s="60" t="str">
        <f t="shared" si="1"/>
        <v>B</v>
      </c>
      <c r="D16" s="69" t="str">
        <f t="shared" si="2"/>
        <v>Puma</v>
      </c>
      <c r="E16" s="69" t="str">
        <f t="shared" si="3"/>
        <v>Serval</v>
      </c>
      <c r="F16" s="70">
        <v>68</v>
      </c>
      <c r="G16" s="70">
        <v>45</v>
      </c>
      <c r="H16" s="71">
        <v>44355</v>
      </c>
      <c r="I16" s="72">
        <v>0.45833333333333298</v>
      </c>
      <c r="J16" s="73">
        <v>2</v>
      </c>
      <c r="K16" s="74" t="str">
        <f t="shared" si="4"/>
        <v>CAMPO II</v>
      </c>
    </row>
    <row r="17" spans="1:11">
      <c r="A17" s="68">
        <v>15</v>
      </c>
      <c r="B17" s="33" t="str">
        <f t="shared" si="0"/>
        <v>Girone</v>
      </c>
      <c r="C17" s="60" t="str">
        <f t="shared" si="1"/>
        <v>C</v>
      </c>
      <c r="D17" s="69" t="str">
        <f t="shared" si="2"/>
        <v>Giraffe</v>
      </c>
      <c r="E17" s="69" t="str">
        <f t="shared" si="3"/>
        <v>Iguane</v>
      </c>
      <c r="F17" s="70">
        <v>60</v>
      </c>
      <c r="G17" s="70">
        <v>34</v>
      </c>
      <c r="H17" s="71">
        <v>44355</v>
      </c>
      <c r="I17" s="72">
        <v>0.45833333333333298</v>
      </c>
      <c r="J17" s="73">
        <v>3</v>
      </c>
      <c r="K17" s="74" t="str">
        <f t="shared" si="4"/>
        <v>CAMPO III</v>
      </c>
    </row>
    <row r="18" spans="1:11">
      <c r="A18" s="68">
        <v>16</v>
      </c>
      <c r="B18" s="33" t="str">
        <f t="shared" si="0"/>
        <v>Girone</v>
      </c>
      <c r="C18" s="60" t="str">
        <f t="shared" si="1"/>
        <v>D</v>
      </c>
      <c r="D18" s="69" t="str">
        <f t="shared" si="2"/>
        <v>Pitoni</v>
      </c>
      <c r="E18" s="69" t="str">
        <f t="shared" si="3"/>
        <v>Falchi</v>
      </c>
      <c r="F18" s="70">
        <v>83</v>
      </c>
      <c r="G18" s="70">
        <v>57</v>
      </c>
      <c r="H18" s="71">
        <v>44355</v>
      </c>
      <c r="I18" s="72">
        <v>0.45833333333333298</v>
      </c>
      <c r="J18" s="73">
        <v>4</v>
      </c>
      <c r="K18" s="74" t="str">
        <f t="shared" si="4"/>
        <v>CAMPO IV</v>
      </c>
    </row>
    <row r="19" spans="1:11">
      <c r="A19" s="68">
        <v>17</v>
      </c>
      <c r="B19" s="33" t="str">
        <f t="shared" si="0"/>
        <v>Girone</v>
      </c>
      <c r="C19" s="60" t="str">
        <f t="shared" si="1"/>
        <v>E</v>
      </c>
      <c r="D19" s="69" t="str">
        <f t="shared" si="2"/>
        <v>Bisonti</v>
      </c>
      <c r="E19" s="69" t="str">
        <f t="shared" si="3"/>
        <v>Bufali</v>
      </c>
      <c r="F19" s="70">
        <v>34</v>
      </c>
      <c r="G19" s="70">
        <v>33</v>
      </c>
      <c r="H19" s="71">
        <v>44355</v>
      </c>
      <c r="I19" s="72">
        <v>0.64583333333333304</v>
      </c>
      <c r="J19" s="73">
        <v>1</v>
      </c>
      <c r="K19" s="74" t="str">
        <f t="shared" si="4"/>
        <v>CAMPO I</v>
      </c>
    </row>
    <row r="20" spans="1:11">
      <c r="A20" s="68">
        <v>18</v>
      </c>
      <c r="B20" s="33" t="str">
        <f t="shared" si="0"/>
        <v>Girone</v>
      </c>
      <c r="C20" s="60" t="str">
        <f t="shared" si="1"/>
        <v>F</v>
      </c>
      <c r="D20" s="69" t="str">
        <f t="shared" si="2"/>
        <v>Balene</v>
      </c>
      <c r="E20" s="69" t="str">
        <f t="shared" si="3"/>
        <v>Gabbiani</v>
      </c>
      <c r="F20" s="70">
        <v>34</v>
      </c>
      <c r="G20" s="70">
        <v>33</v>
      </c>
      <c r="H20" s="71">
        <v>44355</v>
      </c>
      <c r="I20" s="72">
        <v>0.64583333333333304</v>
      </c>
      <c r="J20" s="73">
        <v>2</v>
      </c>
      <c r="K20" s="74" t="str">
        <f t="shared" si="4"/>
        <v>CAMPO II</v>
      </c>
    </row>
    <row r="21" spans="1:11">
      <c r="A21" s="68">
        <v>19</v>
      </c>
      <c r="B21" s="33" t="str">
        <f t="shared" si="0"/>
        <v>Girone</v>
      </c>
      <c r="C21" s="60" t="str">
        <f t="shared" si="1"/>
        <v>G</v>
      </c>
      <c r="D21" s="69" t="str">
        <f t="shared" si="2"/>
        <v>Istrici</v>
      </c>
      <c r="E21" s="69" t="str">
        <f t="shared" si="3"/>
        <v>Gorilla</v>
      </c>
      <c r="F21" s="70">
        <v>20</v>
      </c>
      <c r="G21" s="70">
        <v>0</v>
      </c>
      <c r="H21" s="71">
        <v>44355</v>
      </c>
      <c r="I21" s="72">
        <v>0.64583333333333304</v>
      </c>
      <c r="J21" s="73">
        <v>3</v>
      </c>
      <c r="K21" s="74" t="str">
        <f t="shared" si="4"/>
        <v>CAMPO III</v>
      </c>
    </row>
    <row r="22" spans="1:11">
      <c r="A22" s="68">
        <v>20</v>
      </c>
      <c r="B22" s="33" t="str">
        <f t="shared" si="0"/>
        <v>Girone</v>
      </c>
      <c r="C22" s="60" t="str">
        <f t="shared" si="1"/>
        <v>H</v>
      </c>
      <c r="D22" s="69" t="str">
        <f t="shared" si="2"/>
        <v>Piranha</v>
      </c>
      <c r="E22" s="69" t="str">
        <f t="shared" si="3"/>
        <v>Scorpioni</v>
      </c>
      <c r="F22" s="70">
        <v>100</v>
      </c>
      <c r="G22" s="70">
        <v>83</v>
      </c>
      <c r="H22" s="71">
        <v>44355</v>
      </c>
      <c r="I22" s="72">
        <v>0.64583333333333304</v>
      </c>
      <c r="J22" s="73">
        <v>4</v>
      </c>
      <c r="K22" s="74" t="str">
        <f t="shared" si="4"/>
        <v>CAMPO IV</v>
      </c>
    </row>
    <row r="23" spans="1:11">
      <c r="A23" s="68">
        <v>21</v>
      </c>
      <c r="B23" s="33" t="str">
        <f t="shared" si="0"/>
        <v>Girone</v>
      </c>
      <c r="C23" s="60" t="str">
        <f t="shared" si="1"/>
        <v>E</v>
      </c>
      <c r="D23" s="69" t="str">
        <f t="shared" si="2"/>
        <v>Cervi</v>
      </c>
      <c r="E23" s="69" t="str">
        <f t="shared" si="3"/>
        <v>Cinghiali</v>
      </c>
      <c r="F23" s="70">
        <v>34</v>
      </c>
      <c r="G23" s="70">
        <v>33</v>
      </c>
      <c r="H23" s="71">
        <v>44355</v>
      </c>
      <c r="I23" s="72">
        <v>0.70833333333333304</v>
      </c>
      <c r="J23" s="73">
        <v>1</v>
      </c>
      <c r="K23" s="74" t="str">
        <f t="shared" si="4"/>
        <v>CAMPO I</v>
      </c>
    </row>
    <row r="24" spans="1:11">
      <c r="A24" s="68">
        <v>22</v>
      </c>
      <c r="B24" s="33" t="str">
        <f t="shared" si="0"/>
        <v>Girone</v>
      </c>
      <c r="C24" s="60" t="str">
        <f t="shared" si="1"/>
        <v>F</v>
      </c>
      <c r="D24" s="69" t="str">
        <f t="shared" si="2"/>
        <v>Delfini</v>
      </c>
      <c r="E24" s="69" t="str">
        <f t="shared" si="3"/>
        <v>Fenicotteri</v>
      </c>
      <c r="F24" s="70">
        <v>34</v>
      </c>
      <c r="G24" s="70">
        <v>33</v>
      </c>
      <c r="H24" s="71">
        <v>44355</v>
      </c>
      <c r="I24" s="72">
        <v>0.70833333333333304</v>
      </c>
      <c r="J24" s="73">
        <v>2</v>
      </c>
      <c r="K24" s="74" t="str">
        <f t="shared" si="4"/>
        <v>CAMPO II</v>
      </c>
    </row>
    <row r="25" spans="1:11">
      <c r="A25" s="68">
        <v>23</v>
      </c>
      <c r="B25" s="33" t="str">
        <f t="shared" si="0"/>
        <v>Girone</v>
      </c>
      <c r="C25" s="60" t="str">
        <f t="shared" si="1"/>
        <v>G</v>
      </c>
      <c r="D25" s="69" t="str">
        <f t="shared" si="2"/>
        <v>Muli</v>
      </c>
      <c r="E25" s="69" t="str">
        <f t="shared" si="3"/>
        <v>Orche</v>
      </c>
      <c r="F25" s="70">
        <v>0</v>
      </c>
      <c r="G25" s="70">
        <v>20</v>
      </c>
      <c r="H25" s="71">
        <v>44355</v>
      </c>
      <c r="I25" s="72">
        <v>0.70833333333333304</v>
      </c>
      <c r="J25" s="73">
        <v>3</v>
      </c>
      <c r="K25" s="74" t="str">
        <f t="shared" si="4"/>
        <v>CAMPO III</v>
      </c>
    </row>
    <row r="26" spans="1:11">
      <c r="A26" s="68">
        <v>24</v>
      </c>
      <c r="B26" s="33" t="str">
        <f t="shared" si="0"/>
        <v>Girone</v>
      </c>
      <c r="C26" s="60" t="str">
        <f t="shared" si="1"/>
        <v>H</v>
      </c>
      <c r="D26" s="69" t="str">
        <f t="shared" si="2"/>
        <v>Tonni</v>
      </c>
      <c r="E26" s="69" t="str">
        <f t="shared" si="3"/>
        <v>Zebre</v>
      </c>
      <c r="F26" s="70">
        <v>20</v>
      </c>
      <c r="G26" s="70">
        <v>0</v>
      </c>
      <c r="H26" s="71">
        <v>44355</v>
      </c>
      <c r="I26" s="72">
        <v>0.70833333333333304</v>
      </c>
      <c r="J26" s="73">
        <v>4</v>
      </c>
      <c r="K26" s="74" t="str">
        <f t="shared" si="4"/>
        <v>CAMPO IV</v>
      </c>
    </row>
    <row r="27" spans="1:11">
      <c r="A27" s="68">
        <v>25</v>
      </c>
      <c r="B27" s="33" t="str">
        <f t="shared" si="0"/>
        <v>Girone</v>
      </c>
      <c r="C27" s="60" t="str">
        <f t="shared" si="1"/>
        <v>A</v>
      </c>
      <c r="D27" s="69" t="str">
        <f t="shared" si="2"/>
        <v>Leoni</v>
      </c>
      <c r="E27" s="69" t="str">
        <f t="shared" si="3"/>
        <v>Ghepardi</v>
      </c>
      <c r="F27" s="70">
        <v>82</v>
      </c>
      <c r="G27" s="70">
        <v>25</v>
      </c>
      <c r="H27" s="71">
        <v>44355</v>
      </c>
      <c r="I27" s="72">
        <v>0.77083333333333304</v>
      </c>
      <c r="J27" s="73">
        <v>1</v>
      </c>
      <c r="K27" s="74" t="str">
        <f t="shared" si="4"/>
        <v>CAMPO I</v>
      </c>
    </row>
    <row r="28" spans="1:11">
      <c r="A28" s="68">
        <v>26</v>
      </c>
      <c r="B28" s="33" t="str">
        <f t="shared" si="0"/>
        <v>Girone</v>
      </c>
      <c r="C28" s="60" t="str">
        <f t="shared" si="1"/>
        <v>B</v>
      </c>
      <c r="D28" s="69" t="str">
        <f t="shared" si="2"/>
        <v>Giaguari</v>
      </c>
      <c r="E28" s="69" t="str">
        <f t="shared" si="3"/>
        <v>Serval</v>
      </c>
      <c r="F28" s="70">
        <v>76</v>
      </c>
      <c r="G28" s="70">
        <v>94</v>
      </c>
      <c r="H28" s="71">
        <v>44355</v>
      </c>
      <c r="I28" s="72">
        <v>0.77083333333333304</v>
      </c>
      <c r="J28" s="73">
        <v>2</v>
      </c>
      <c r="K28" s="74" t="str">
        <f t="shared" si="4"/>
        <v>CAMPO II</v>
      </c>
    </row>
    <row r="29" spans="1:11">
      <c r="A29" s="68">
        <v>27</v>
      </c>
      <c r="B29" s="33" t="str">
        <f t="shared" si="0"/>
        <v>Girone</v>
      </c>
      <c r="C29" s="60" t="str">
        <f t="shared" si="1"/>
        <v>C</v>
      </c>
      <c r="D29" s="69" t="str">
        <f t="shared" si="2"/>
        <v>Elefanti</v>
      </c>
      <c r="E29" s="69" t="str">
        <f t="shared" si="3"/>
        <v>Iguane</v>
      </c>
      <c r="F29" s="70">
        <v>57</v>
      </c>
      <c r="G29" s="70">
        <v>42</v>
      </c>
      <c r="H29" s="71">
        <v>44355</v>
      </c>
      <c r="I29" s="72">
        <v>0.77083333333333304</v>
      </c>
      <c r="J29" s="73">
        <v>3</v>
      </c>
      <c r="K29" s="74" t="str">
        <f t="shared" si="4"/>
        <v>CAMPO III</v>
      </c>
    </row>
    <row r="30" spans="1:11">
      <c r="A30" s="68">
        <v>28</v>
      </c>
      <c r="B30" s="33" t="str">
        <f t="shared" si="0"/>
        <v>Girone</v>
      </c>
      <c r="C30" s="60" t="str">
        <f t="shared" si="1"/>
        <v>D</v>
      </c>
      <c r="D30" s="69" t="str">
        <f t="shared" si="2"/>
        <v>Coccodrilli</v>
      </c>
      <c r="E30" s="69" t="str">
        <f t="shared" si="3"/>
        <v>Falchi</v>
      </c>
      <c r="F30" s="70">
        <v>54</v>
      </c>
      <c r="G30" s="70">
        <v>44</v>
      </c>
      <c r="H30" s="71">
        <v>44355</v>
      </c>
      <c r="I30" s="72">
        <v>0.77083333333333304</v>
      </c>
      <c r="J30" s="73">
        <v>4</v>
      </c>
      <c r="K30" s="74" t="str">
        <f t="shared" si="4"/>
        <v>CAMPO IV</v>
      </c>
    </row>
    <row r="31" spans="1:11">
      <c r="A31" s="68">
        <v>29</v>
      </c>
      <c r="B31" s="33" t="str">
        <f t="shared" si="0"/>
        <v>Girone</v>
      </c>
      <c r="C31" s="60" t="str">
        <f t="shared" si="1"/>
        <v>E</v>
      </c>
      <c r="D31" s="69" t="str">
        <f t="shared" si="2"/>
        <v>Bisonti</v>
      </c>
      <c r="E31" s="69" t="str">
        <f t="shared" si="3"/>
        <v>Cervi</v>
      </c>
      <c r="F31" s="70">
        <v>33</v>
      </c>
      <c r="G31" s="70">
        <v>34</v>
      </c>
      <c r="H31" s="71">
        <v>44356</v>
      </c>
      <c r="I31" s="72">
        <v>0.375</v>
      </c>
      <c r="J31" s="73">
        <v>1</v>
      </c>
      <c r="K31" s="74" t="str">
        <f t="shared" si="4"/>
        <v>CAMPO I</v>
      </c>
    </row>
    <row r="32" spans="1:11">
      <c r="A32" s="68">
        <v>30</v>
      </c>
      <c r="B32" s="33" t="str">
        <f t="shared" si="0"/>
        <v>Girone</v>
      </c>
      <c r="C32" s="60" t="str">
        <f t="shared" si="1"/>
        <v>F</v>
      </c>
      <c r="D32" s="69" t="str">
        <f t="shared" si="2"/>
        <v>Balene</v>
      </c>
      <c r="E32" s="69" t="str">
        <f t="shared" si="3"/>
        <v>Delfini</v>
      </c>
      <c r="F32" s="70">
        <v>33</v>
      </c>
      <c r="G32" s="70">
        <v>34</v>
      </c>
      <c r="H32" s="71">
        <v>44356</v>
      </c>
      <c r="I32" s="72">
        <v>0.375</v>
      </c>
      <c r="J32" s="73">
        <v>2</v>
      </c>
      <c r="K32" s="74" t="str">
        <f t="shared" si="4"/>
        <v>CAMPO II</v>
      </c>
    </row>
    <row r="33" spans="1:11">
      <c r="A33" s="68">
        <v>31</v>
      </c>
      <c r="B33" s="33" t="str">
        <f t="shared" si="0"/>
        <v>Girone</v>
      </c>
      <c r="C33" s="60" t="str">
        <f t="shared" si="1"/>
        <v>G</v>
      </c>
      <c r="D33" s="69" t="str">
        <f t="shared" si="2"/>
        <v>Istrici</v>
      </c>
      <c r="E33" s="69" t="str">
        <f t="shared" si="3"/>
        <v>Muli</v>
      </c>
      <c r="F33" s="70">
        <v>20</v>
      </c>
      <c r="G33" s="70">
        <v>0</v>
      </c>
      <c r="H33" s="71">
        <v>44356</v>
      </c>
      <c r="I33" s="72">
        <v>0.375</v>
      </c>
      <c r="J33" s="73">
        <v>3</v>
      </c>
      <c r="K33" s="74" t="str">
        <f t="shared" si="4"/>
        <v>CAMPO III</v>
      </c>
    </row>
    <row r="34" spans="1:11">
      <c r="A34" s="68">
        <v>32</v>
      </c>
      <c r="B34" s="33" t="str">
        <f t="shared" si="0"/>
        <v>Girone</v>
      </c>
      <c r="C34" s="60" t="str">
        <f t="shared" si="1"/>
        <v>H</v>
      </c>
      <c r="D34" s="69" t="str">
        <f t="shared" si="2"/>
        <v>Piranha</v>
      </c>
      <c r="E34" s="69" t="str">
        <f t="shared" si="3"/>
        <v>Tonni</v>
      </c>
      <c r="F34" s="70">
        <v>97</v>
      </c>
      <c r="G34" s="70">
        <v>78</v>
      </c>
      <c r="H34" s="71">
        <v>44356</v>
      </c>
      <c r="I34" s="72">
        <v>0.375</v>
      </c>
      <c r="J34" s="73">
        <v>4</v>
      </c>
      <c r="K34" s="74" t="str">
        <f t="shared" si="4"/>
        <v>CAMPO IV</v>
      </c>
    </row>
    <row r="35" spans="1:11">
      <c r="A35" s="68">
        <v>33</v>
      </c>
      <c r="B35" s="33" t="str">
        <f t="shared" si="0"/>
        <v>Girone</v>
      </c>
      <c r="C35" s="60" t="str">
        <f t="shared" si="1"/>
        <v>E</v>
      </c>
      <c r="D35" s="69" t="str">
        <f t="shared" si="2"/>
        <v>Bufali</v>
      </c>
      <c r="E35" s="69" t="str">
        <f t="shared" si="3"/>
        <v>Cinghiali</v>
      </c>
      <c r="F35" s="70">
        <v>35</v>
      </c>
      <c r="G35" s="70">
        <v>33</v>
      </c>
      <c r="H35" s="71">
        <v>44356</v>
      </c>
      <c r="I35" s="72">
        <v>0.45833333333333298</v>
      </c>
      <c r="J35" s="73">
        <v>1</v>
      </c>
      <c r="K35" s="74" t="str">
        <f t="shared" si="4"/>
        <v>CAMPO I</v>
      </c>
    </row>
    <row r="36" spans="1:11">
      <c r="A36" s="68">
        <v>34</v>
      </c>
      <c r="B36" s="33" t="str">
        <f t="shared" si="0"/>
        <v>Girone</v>
      </c>
      <c r="C36" s="60" t="str">
        <f t="shared" si="1"/>
        <v>F</v>
      </c>
      <c r="D36" s="69" t="str">
        <f t="shared" si="2"/>
        <v>Gabbiani</v>
      </c>
      <c r="E36" s="69" t="str">
        <f t="shared" si="3"/>
        <v>Fenicotteri</v>
      </c>
      <c r="F36" s="70">
        <v>35</v>
      </c>
      <c r="G36" s="70">
        <v>34</v>
      </c>
      <c r="H36" s="71">
        <v>44356</v>
      </c>
      <c r="I36" s="72">
        <v>0.45833333333333298</v>
      </c>
      <c r="J36" s="73">
        <v>2</v>
      </c>
      <c r="K36" s="74" t="str">
        <f t="shared" si="4"/>
        <v>CAMPO II</v>
      </c>
    </row>
    <row r="37" spans="1:11">
      <c r="A37" s="68">
        <v>35</v>
      </c>
      <c r="B37" s="33" t="str">
        <f t="shared" si="0"/>
        <v>Girone</v>
      </c>
      <c r="C37" s="60" t="str">
        <f t="shared" si="1"/>
        <v>G</v>
      </c>
      <c r="D37" s="69" t="str">
        <f t="shared" si="2"/>
        <v>Gorilla</v>
      </c>
      <c r="E37" s="69" t="str">
        <f t="shared" si="3"/>
        <v>Orche</v>
      </c>
      <c r="F37" s="70">
        <v>20</v>
      </c>
      <c r="G37" s="70">
        <v>0</v>
      </c>
      <c r="H37" s="71">
        <v>44356</v>
      </c>
      <c r="I37" s="72">
        <v>0.45833333333333298</v>
      </c>
      <c r="J37" s="73">
        <v>3</v>
      </c>
      <c r="K37" s="74" t="str">
        <f t="shared" si="4"/>
        <v>CAMPO III</v>
      </c>
    </row>
    <row r="38" spans="1:11">
      <c r="A38" s="68">
        <v>36</v>
      </c>
      <c r="B38" s="33" t="str">
        <f t="shared" si="0"/>
        <v>Girone</v>
      </c>
      <c r="C38" s="60" t="str">
        <f t="shared" si="1"/>
        <v>H</v>
      </c>
      <c r="D38" s="69" t="str">
        <f t="shared" si="2"/>
        <v>Scorpioni</v>
      </c>
      <c r="E38" s="69" t="str">
        <f t="shared" si="3"/>
        <v>Zebre</v>
      </c>
      <c r="F38" s="70">
        <v>74</v>
      </c>
      <c r="G38" s="70">
        <v>79</v>
      </c>
      <c r="H38" s="71">
        <v>44356</v>
      </c>
      <c r="I38" s="72">
        <v>0.45833333333333298</v>
      </c>
      <c r="J38" s="73">
        <v>4</v>
      </c>
      <c r="K38" s="74" t="str">
        <f t="shared" si="4"/>
        <v>CAMPO IV</v>
      </c>
    </row>
    <row r="39" spans="1:11">
      <c r="A39" s="68">
        <v>37</v>
      </c>
      <c r="B39" s="33" t="str">
        <f t="shared" si="0"/>
        <v>Girone</v>
      </c>
      <c r="C39" s="60" t="str">
        <f t="shared" si="1"/>
        <v>A</v>
      </c>
      <c r="D39" s="69" t="str">
        <f t="shared" si="2"/>
        <v>Pantere</v>
      </c>
      <c r="E39" s="69" t="str">
        <f t="shared" si="3"/>
        <v>Tigri</v>
      </c>
      <c r="F39" s="70">
        <v>93</v>
      </c>
      <c r="G39" s="70">
        <v>30</v>
      </c>
      <c r="H39" s="71">
        <v>44356</v>
      </c>
      <c r="I39" s="72">
        <v>0.64583333333333304</v>
      </c>
      <c r="J39" s="73">
        <v>1</v>
      </c>
      <c r="K39" s="74" t="str">
        <f t="shared" si="4"/>
        <v>CAMPO I</v>
      </c>
    </row>
    <row r="40" spans="1:11">
      <c r="A40" s="68">
        <v>38</v>
      </c>
      <c r="B40" s="33" t="str">
        <f t="shared" si="0"/>
        <v>Girone</v>
      </c>
      <c r="C40" s="60" t="str">
        <f t="shared" si="1"/>
        <v>B</v>
      </c>
      <c r="D40" s="69" t="str">
        <f t="shared" si="2"/>
        <v>Puma</v>
      </c>
      <c r="E40" s="69" t="str">
        <f t="shared" si="3"/>
        <v>Linci</v>
      </c>
      <c r="F40" s="70">
        <v>97</v>
      </c>
      <c r="G40" s="70">
        <v>72</v>
      </c>
      <c r="H40" s="71">
        <v>44356</v>
      </c>
      <c r="I40" s="72">
        <v>0.64583333333333304</v>
      </c>
      <c r="J40" s="73">
        <v>2</v>
      </c>
      <c r="K40" s="74" t="str">
        <f t="shared" si="4"/>
        <v>CAMPO II</v>
      </c>
    </row>
    <row r="41" spans="1:11">
      <c r="A41" s="68">
        <v>39</v>
      </c>
      <c r="B41" s="33" t="str">
        <f t="shared" si="0"/>
        <v>Girone</v>
      </c>
      <c r="C41" s="60" t="str">
        <f t="shared" si="1"/>
        <v>C</v>
      </c>
      <c r="D41" s="69" t="str">
        <f t="shared" si="2"/>
        <v>Giraffe</v>
      </c>
      <c r="E41" s="69" t="str">
        <f t="shared" si="3"/>
        <v>Ippopotami</v>
      </c>
      <c r="F41" s="70">
        <v>98</v>
      </c>
      <c r="G41" s="70">
        <v>49</v>
      </c>
      <c r="H41" s="71">
        <v>44356</v>
      </c>
      <c r="I41" s="72">
        <v>0.64583333333333304</v>
      </c>
      <c r="J41" s="73">
        <v>3</v>
      </c>
      <c r="K41" s="74" t="str">
        <f t="shared" si="4"/>
        <v>CAMPO III</v>
      </c>
    </row>
    <row r="42" spans="1:11">
      <c r="A42" s="68">
        <v>40</v>
      </c>
      <c r="B42" s="33" t="str">
        <f t="shared" si="0"/>
        <v>Girone</v>
      </c>
      <c r="C42" s="60" t="str">
        <f t="shared" si="1"/>
        <v>D</v>
      </c>
      <c r="D42" s="69" t="str">
        <f t="shared" si="2"/>
        <v>Pitoni</v>
      </c>
      <c r="E42" s="69" t="str">
        <f t="shared" si="3"/>
        <v>Aquile</v>
      </c>
      <c r="F42" s="70">
        <v>25</v>
      </c>
      <c r="G42" s="70">
        <v>15</v>
      </c>
      <c r="H42" s="71">
        <v>44356</v>
      </c>
      <c r="I42" s="72">
        <v>0.64583333333333304</v>
      </c>
      <c r="J42" s="73">
        <v>4</v>
      </c>
      <c r="K42" s="74" t="str">
        <f t="shared" si="4"/>
        <v>CAMPO IV</v>
      </c>
    </row>
    <row r="43" spans="1:11">
      <c r="A43" s="68">
        <v>41</v>
      </c>
      <c r="B43" s="33" t="str">
        <f t="shared" si="0"/>
        <v>Girone</v>
      </c>
      <c r="C43" s="60" t="str">
        <f t="shared" si="1"/>
        <v>E</v>
      </c>
      <c r="D43" s="69" t="str">
        <f t="shared" si="2"/>
        <v>Bisonti</v>
      </c>
      <c r="E43" s="69" t="str">
        <f t="shared" si="3"/>
        <v>Cinghiali</v>
      </c>
      <c r="F43" s="70">
        <v>36</v>
      </c>
      <c r="G43" s="70">
        <v>33</v>
      </c>
      <c r="H43" s="71">
        <v>44356</v>
      </c>
      <c r="I43" s="72">
        <v>0.70833333333333304</v>
      </c>
      <c r="J43" s="73">
        <v>1</v>
      </c>
      <c r="K43" s="74" t="str">
        <f t="shared" si="4"/>
        <v>CAMPO I</v>
      </c>
    </row>
    <row r="44" spans="1:11">
      <c r="A44" s="68">
        <v>42</v>
      </c>
      <c r="B44" s="33" t="str">
        <f t="shared" si="0"/>
        <v>Girone</v>
      </c>
      <c r="C44" s="60" t="str">
        <f t="shared" si="1"/>
        <v>F</v>
      </c>
      <c r="D44" s="69" t="str">
        <f t="shared" si="2"/>
        <v>Balene</v>
      </c>
      <c r="E44" s="69" t="str">
        <f t="shared" si="3"/>
        <v>Fenicotteri</v>
      </c>
      <c r="F44" s="70">
        <v>36</v>
      </c>
      <c r="G44" s="70">
        <v>35</v>
      </c>
      <c r="H44" s="71">
        <v>44356</v>
      </c>
      <c r="I44" s="72">
        <v>0.70833333333333304</v>
      </c>
      <c r="J44" s="73">
        <v>2</v>
      </c>
      <c r="K44" s="74" t="str">
        <f t="shared" si="4"/>
        <v>CAMPO II</v>
      </c>
    </row>
    <row r="45" spans="1:11">
      <c r="A45" s="68">
        <v>43</v>
      </c>
      <c r="B45" s="33" t="str">
        <f t="shared" si="0"/>
        <v>Girone</v>
      </c>
      <c r="C45" s="60" t="str">
        <f t="shared" si="1"/>
        <v>G</v>
      </c>
      <c r="D45" s="69" t="str">
        <f t="shared" si="2"/>
        <v>Istrici</v>
      </c>
      <c r="E45" s="69" t="str">
        <f t="shared" si="3"/>
        <v>Orche</v>
      </c>
      <c r="F45" s="70">
        <v>20</v>
      </c>
      <c r="G45" s="70">
        <v>0</v>
      </c>
      <c r="H45" s="71">
        <v>44356</v>
      </c>
      <c r="I45" s="72">
        <v>0.70833333333333304</v>
      </c>
      <c r="J45" s="73">
        <v>3</v>
      </c>
      <c r="K45" s="74" t="str">
        <f t="shared" si="4"/>
        <v>CAMPO III</v>
      </c>
    </row>
    <row r="46" spans="1:11">
      <c r="A46" s="68">
        <v>44</v>
      </c>
      <c r="B46" s="33" t="str">
        <f t="shared" si="0"/>
        <v>Girone</v>
      </c>
      <c r="C46" s="60" t="str">
        <f t="shared" si="1"/>
        <v>H</v>
      </c>
      <c r="D46" s="69" t="str">
        <f t="shared" si="2"/>
        <v>Tonni</v>
      </c>
      <c r="E46" s="69" t="str">
        <f t="shared" si="3"/>
        <v>Scorpioni</v>
      </c>
      <c r="F46" s="70">
        <v>65</v>
      </c>
      <c r="G46" s="70">
        <v>13</v>
      </c>
      <c r="H46" s="71">
        <v>44356</v>
      </c>
      <c r="I46" s="72">
        <v>0.70833333333333304</v>
      </c>
      <c r="J46" s="73">
        <v>4</v>
      </c>
      <c r="K46" s="74" t="str">
        <f t="shared" si="4"/>
        <v>CAMPO IV</v>
      </c>
    </row>
    <row r="47" spans="1:11">
      <c r="A47" s="68">
        <v>45</v>
      </c>
      <c r="B47" s="33" t="str">
        <f t="shared" si="0"/>
        <v>Girone</v>
      </c>
      <c r="C47" s="60" t="str">
        <f t="shared" si="1"/>
        <v>E</v>
      </c>
      <c r="D47" s="69" t="str">
        <f t="shared" si="2"/>
        <v>Bufali</v>
      </c>
      <c r="E47" s="69" t="str">
        <f t="shared" si="3"/>
        <v>Cervi</v>
      </c>
      <c r="F47" s="70">
        <v>34</v>
      </c>
      <c r="G47" s="70">
        <v>33</v>
      </c>
      <c r="H47" s="71">
        <v>44356</v>
      </c>
      <c r="I47" s="72">
        <v>0.77083333333333304</v>
      </c>
      <c r="J47" s="73">
        <v>1</v>
      </c>
      <c r="K47" s="74" t="str">
        <f t="shared" si="4"/>
        <v>CAMPO I</v>
      </c>
    </row>
    <row r="48" spans="1:11">
      <c r="A48" s="68">
        <v>46</v>
      </c>
      <c r="B48" s="33" t="str">
        <f t="shared" si="0"/>
        <v>Girone</v>
      </c>
      <c r="C48" s="60" t="str">
        <f t="shared" si="1"/>
        <v>F</v>
      </c>
      <c r="D48" s="69" t="str">
        <f t="shared" si="2"/>
        <v>Gabbiani</v>
      </c>
      <c r="E48" s="69" t="str">
        <f t="shared" si="3"/>
        <v>Delfini</v>
      </c>
      <c r="F48" s="70">
        <v>34</v>
      </c>
      <c r="G48" s="70">
        <v>33</v>
      </c>
      <c r="H48" s="71">
        <v>44356</v>
      </c>
      <c r="I48" s="72">
        <v>0.77083333333333304</v>
      </c>
      <c r="J48" s="73">
        <v>2</v>
      </c>
      <c r="K48" s="74" t="str">
        <f t="shared" si="4"/>
        <v>CAMPO II</v>
      </c>
    </row>
    <row r="49" spans="1:11">
      <c r="A49" s="68">
        <v>47</v>
      </c>
      <c r="B49" s="33" t="str">
        <f t="shared" si="0"/>
        <v>Girone</v>
      </c>
      <c r="C49" s="60" t="str">
        <f t="shared" si="1"/>
        <v>G</v>
      </c>
      <c r="D49" s="69" t="str">
        <f t="shared" si="2"/>
        <v>Gorilla</v>
      </c>
      <c r="E49" s="69" t="str">
        <f t="shared" si="3"/>
        <v>Muli</v>
      </c>
      <c r="F49" s="70">
        <v>20</v>
      </c>
      <c r="G49" s="70">
        <v>0</v>
      </c>
      <c r="H49" s="71">
        <v>44356</v>
      </c>
      <c r="I49" s="72">
        <v>0.77083333333333304</v>
      </c>
      <c r="J49" s="73">
        <v>3</v>
      </c>
      <c r="K49" s="74" t="str">
        <f t="shared" si="4"/>
        <v>CAMPO III</v>
      </c>
    </row>
    <row r="50" spans="1:11">
      <c r="A50" s="29">
        <v>48</v>
      </c>
      <c r="B50" s="38" t="str">
        <f t="shared" si="0"/>
        <v>Girone</v>
      </c>
      <c r="C50" s="60" t="str">
        <f t="shared" si="1"/>
        <v>H</v>
      </c>
      <c r="D50" s="75" t="str">
        <f t="shared" si="2"/>
        <v>Zebre</v>
      </c>
      <c r="E50" s="75" t="str">
        <f t="shared" si="3"/>
        <v>Piranha</v>
      </c>
      <c r="F50" s="76">
        <v>54</v>
      </c>
      <c r="G50" s="76">
        <v>48</v>
      </c>
      <c r="H50" s="77">
        <v>44356</v>
      </c>
      <c r="I50" s="78">
        <v>0.77083333333333304</v>
      </c>
      <c r="J50" s="79">
        <v>4</v>
      </c>
      <c r="K50" s="80" t="str">
        <f t="shared" si="4"/>
        <v>CAMPO IV</v>
      </c>
    </row>
  </sheetData>
  <sheetProtection sheet="1" objects="1" scenarios="1" insertColumns="0" insertRows="0" deleteColumns="0" deleteRows="0"/>
  <mergeCells count="1">
    <mergeCell ref="A1:K1"/>
  </mergeCells>
  <conditionalFormatting sqref="B3:C50">
    <cfRule type="cellIs" dxfId="23" priority="2" operator="equal">
      <formula>"A"</formula>
    </cfRule>
  </conditionalFormatting>
  <conditionalFormatting sqref="B3:C50">
    <cfRule type="cellIs" dxfId="22" priority="3" operator="equal">
      <formula>"B"</formula>
    </cfRule>
  </conditionalFormatting>
  <conditionalFormatting sqref="B3:C50">
    <cfRule type="cellIs" dxfId="21" priority="4" operator="equal">
      <formula>"C"</formula>
    </cfRule>
  </conditionalFormatting>
  <conditionalFormatting sqref="B3:C50">
    <cfRule type="cellIs" dxfId="20" priority="5" operator="equal">
      <formula>"D"</formula>
    </cfRule>
  </conditionalFormatting>
  <conditionalFormatting sqref="B3:C50">
    <cfRule type="cellIs" dxfId="19" priority="6" operator="equal">
      <formula>"E"</formula>
    </cfRule>
  </conditionalFormatting>
  <conditionalFormatting sqref="B3:C50">
    <cfRule type="cellIs" dxfId="18" priority="7" operator="equal">
      <formula>"F"</formula>
    </cfRule>
  </conditionalFormatting>
  <conditionalFormatting sqref="B3:C50">
    <cfRule type="cellIs" dxfId="17" priority="8" operator="equal">
      <formula>"G"</formula>
    </cfRule>
  </conditionalFormatting>
  <conditionalFormatting sqref="B3:C50">
    <cfRule type="cellIs" dxfId="16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00"/>
  </sheetPr>
  <dimension ref="A1:BL66"/>
  <sheetViews>
    <sheetView zoomScale="140" zoomScaleNormal="140" workbookViewId="0"/>
  </sheetViews>
  <sheetFormatPr defaultColWidth="11.5703125" defaultRowHeight="12.75"/>
  <cols>
    <col min="1" max="1" width="5.5703125" style="15" customWidth="1"/>
    <col min="2" max="3" width="7.42578125" style="15" customWidth="1"/>
    <col min="4" max="5" width="14.140625" style="15" customWidth="1"/>
    <col min="6" max="7" width="9.28515625" style="15" customWidth="1"/>
    <col min="8" max="8" width="14.28515625" style="15" customWidth="1"/>
    <col min="9" max="9" width="6.140625" style="15" customWidth="1"/>
    <col min="10" max="10" width="7.85546875" style="54" customWidth="1"/>
    <col min="11" max="11" width="14.5703125" style="15" customWidth="1"/>
    <col min="12" max="64" width="11.5703125" style="15"/>
  </cols>
  <sheetData>
    <row r="1" spans="1:11">
      <c r="A1" s="14" t="s">
        <v>92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38.25">
      <c r="A2" s="55" t="s">
        <v>82</v>
      </c>
      <c r="B2" s="20" t="s">
        <v>83</v>
      </c>
      <c r="C2" s="20" t="s">
        <v>93</v>
      </c>
      <c r="D2" s="56" t="s">
        <v>84</v>
      </c>
      <c r="E2" s="56" t="s">
        <v>85</v>
      </c>
      <c r="F2" s="57" t="s">
        <v>86</v>
      </c>
      <c r="G2" s="57" t="s">
        <v>87</v>
      </c>
      <c r="H2" s="58" t="s">
        <v>88</v>
      </c>
      <c r="I2" s="58" t="s">
        <v>89</v>
      </c>
      <c r="J2" s="56" t="s">
        <v>90</v>
      </c>
      <c r="K2" s="17" t="s">
        <v>91</v>
      </c>
    </row>
    <row r="3" spans="1:11">
      <c r="A3" s="59">
        <v>49</v>
      </c>
      <c r="B3" s="60" t="str">
        <f t="shared" ref="B3:B34" si="0">VLOOKUP(A3,B_PARTITE_2A_FASE_PER_NUMERO,2,0)</f>
        <v>2aFase</v>
      </c>
      <c r="C3" s="81" t="str">
        <f t="shared" ref="C3:C34" si="1">VLOOKUP(A3,B_PARTITE_2A_FASE_PER_NUMERO,3,0)</f>
        <v>1-16</v>
      </c>
      <c r="D3" s="61" t="str">
        <f t="shared" ref="D3:D34" ca="1" si="2">VLOOKUP(A3,B_PARTITE_2A_FASE_PER_NUMERO,6,0)</f>
        <v>Leoni</v>
      </c>
      <c r="E3" s="62" t="str">
        <f t="shared" ref="E3:E34" ca="1" si="3">VLOOKUP(A3,B_PARTITE_2A_FASE_PER_NUMERO,7,0)</f>
        <v>Elefanti</v>
      </c>
      <c r="F3" s="63">
        <v>67</v>
      </c>
      <c r="G3" s="63">
        <v>46</v>
      </c>
      <c r="H3" s="64">
        <v>44357</v>
      </c>
      <c r="I3" s="65">
        <v>0.375</v>
      </c>
      <c r="J3" s="66">
        <v>1</v>
      </c>
      <c r="K3" s="67" t="str">
        <f t="shared" ref="K3:K34" si="4">VLOOKUP(J3,INPUT_CAMPI,2,0)</f>
        <v>CAMPO I</v>
      </c>
    </row>
    <row r="4" spans="1:11">
      <c r="A4" s="68">
        <v>50</v>
      </c>
      <c r="B4" s="33" t="str">
        <f t="shared" si="0"/>
        <v>2aFase</v>
      </c>
      <c r="C4" s="82" t="str">
        <f t="shared" si="1"/>
        <v>1-16</v>
      </c>
      <c r="D4" s="69" t="str">
        <f t="shared" ca="1" si="2"/>
        <v>Pantere</v>
      </c>
      <c r="E4" s="69" t="str">
        <f t="shared" ca="1" si="3"/>
        <v>Giraffe</v>
      </c>
      <c r="F4" s="70">
        <v>55</v>
      </c>
      <c r="G4" s="70">
        <v>36</v>
      </c>
      <c r="H4" s="71">
        <v>44357</v>
      </c>
      <c r="I4" s="72">
        <v>0.375</v>
      </c>
      <c r="J4" s="73">
        <v>2</v>
      </c>
      <c r="K4" s="74" t="str">
        <f t="shared" si="4"/>
        <v>CAMPO II</v>
      </c>
    </row>
    <row r="5" spans="1:11">
      <c r="A5" s="68">
        <v>51</v>
      </c>
      <c r="B5" s="33" t="str">
        <f t="shared" si="0"/>
        <v>2aFase</v>
      </c>
      <c r="C5" s="82" t="str">
        <f t="shared" si="1"/>
        <v>17-32</v>
      </c>
      <c r="D5" s="69" t="str">
        <f t="shared" ca="1" si="2"/>
        <v>Tigri</v>
      </c>
      <c r="E5" s="69" t="str">
        <f t="shared" ca="1" si="3"/>
        <v>Iguane</v>
      </c>
      <c r="F5" s="70">
        <v>56</v>
      </c>
      <c r="G5" s="70">
        <v>38</v>
      </c>
      <c r="H5" s="71">
        <v>44357</v>
      </c>
      <c r="I5" s="72">
        <v>0.375</v>
      </c>
      <c r="J5" s="73">
        <v>3</v>
      </c>
      <c r="K5" s="74" t="str">
        <f t="shared" si="4"/>
        <v>CAMPO III</v>
      </c>
    </row>
    <row r="6" spans="1:11">
      <c r="A6" s="68">
        <v>52</v>
      </c>
      <c r="B6" s="33" t="str">
        <f t="shared" si="0"/>
        <v>2aFase</v>
      </c>
      <c r="C6" s="82" t="str">
        <f t="shared" si="1"/>
        <v>17-32</v>
      </c>
      <c r="D6" s="69" t="str">
        <f t="shared" ca="1" si="2"/>
        <v>Ippopotami</v>
      </c>
      <c r="E6" s="69" t="str">
        <f t="shared" ca="1" si="3"/>
        <v>Ghepardi</v>
      </c>
      <c r="F6" s="70">
        <v>56</v>
      </c>
      <c r="G6" s="70">
        <v>43</v>
      </c>
      <c r="H6" s="71">
        <v>44357</v>
      </c>
      <c r="I6" s="72">
        <v>0.375</v>
      </c>
      <c r="J6" s="73">
        <v>4</v>
      </c>
      <c r="K6" s="74" t="str">
        <f t="shared" si="4"/>
        <v>CAMPO IV</v>
      </c>
    </row>
    <row r="7" spans="1:11">
      <c r="A7" s="68">
        <v>53</v>
      </c>
      <c r="B7" s="33" t="str">
        <f t="shared" si="0"/>
        <v>2aFase</v>
      </c>
      <c r="C7" s="82" t="str">
        <f t="shared" si="1"/>
        <v>1-16</v>
      </c>
      <c r="D7" s="69" t="str">
        <f t="shared" ca="1" si="2"/>
        <v>Giaguari</v>
      </c>
      <c r="E7" s="69" t="str">
        <f t="shared" ca="1" si="3"/>
        <v>Aquile</v>
      </c>
      <c r="F7" s="70">
        <v>52</v>
      </c>
      <c r="G7" s="70">
        <v>43</v>
      </c>
      <c r="H7" s="71">
        <v>44357</v>
      </c>
      <c r="I7" s="72">
        <v>0.45833333333333298</v>
      </c>
      <c r="J7" s="73">
        <v>1</v>
      </c>
      <c r="K7" s="74" t="str">
        <f t="shared" si="4"/>
        <v>CAMPO I</v>
      </c>
    </row>
    <row r="8" spans="1:11">
      <c r="A8" s="68">
        <v>54</v>
      </c>
      <c r="B8" s="33" t="str">
        <f t="shared" si="0"/>
        <v>2aFase</v>
      </c>
      <c r="C8" s="82" t="str">
        <f t="shared" si="1"/>
        <v>1-16</v>
      </c>
      <c r="D8" s="69" t="str">
        <f t="shared" ca="1" si="2"/>
        <v>Coccodrilli</v>
      </c>
      <c r="E8" s="69" t="str">
        <f t="shared" ca="1" si="3"/>
        <v>Puma</v>
      </c>
      <c r="F8" s="70">
        <v>67</v>
      </c>
      <c r="G8" s="70">
        <v>34</v>
      </c>
      <c r="H8" s="71">
        <v>44357</v>
      </c>
      <c r="I8" s="72">
        <v>0.45833333333333298</v>
      </c>
      <c r="J8" s="73">
        <v>2</v>
      </c>
      <c r="K8" s="74" t="str">
        <f t="shared" si="4"/>
        <v>CAMPO II</v>
      </c>
    </row>
    <row r="9" spans="1:11">
      <c r="A9" s="68">
        <v>55</v>
      </c>
      <c r="B9" s="33" t="str">
        <f t="shared" si="0"/>
        <v>2aFase</v>
      </c>
      <c r="C9" s="82" t="str">
        <f t="shared" si="1"/>
        <v>17-32</v>
      </c>
      <c r="D9" s="69" t="str">
        <f t="shared" ca="1" si="2"/>
        <v>Linci</v>
      </c>
      <c r="E9" s="69" t="str">
        <f t="shared" ca="1" si="3"/>
        <v>Falchi</v>
      </c>
      <c r="F9" s="70">
        <v>59</v>
      </c>
      <c r="G9" s="70">
        <v>41</v>
      </c>
      <c r="H9" s="71">
        <v>44357</v>
      </c>
      <c r="I9" s="72">
        <v>0.45833333333333298</v>
      </c>
      <c r="J9" s="73">
        <v>3</v>
      </c>
      <c r="K9" s="74" t="str">
        <f t="shared" si="4"/>
        <v>CAMPO III</v>
      </c>
    </row>
    <row r="10" spans="1:11">
      <c r="A10" s="68">
        <v>56</v>
      </c>
      <c r="B10" s="33" t="str">
        <f t="shared" si="0"/>
        <v>2aFase</v>
      </c>
      <c r="C10" s="82" t="str">
        <f t="shared" si="1"/>
        <v>17-32</v>
      </c>
      <c r="D10" s="69" t="str">
        <f t="shared" ca="1" si="2"/>
        <v>Pitoni</v>
      </c>
      <c r="E10" s="69" t="str">
        <f t="shared" ca="1" si="3"/>
        <v>Serval</v>
      </c>
      <c r="F10" s="70">
        <v>52</v>
      </c>
      <c r="G10" s="70">
        <v>30</v>
      </c>
      <c r="H10" s="71">
        <v>44357</v>
      </c>
      <c r="I10" s="72">
        <v>0.45833333333333298</v>
      </c>
      <c r="J10" s="73">
        <v>4</v>
      </c>
      <c r="K10" s="74" t="str">
        <f t="shared" si="4"/>
        <v>CAMPO IV</v>
      </c>
    </row>
    <row r="11" spans="1:11">
      <c r="A11" s="68">
        <v>57</v>
      </c>
      <c r="B11" s="33" t="str">
        <f t="shared" si="0"/>
        <v>2aFase</v>
      </c>
      <c r="C11" s="82" t="str">
        <f t="shared" si="1"/>
        <v>1-16</v>
      </c>
      <c r="D11" s="69" t="str">
        <f t="shared" ca="1" si="2"/>
        <v>Bisonti</v>
      </c>
      <c r="E11" s="69" t="str">
        <f t="shared" ca="1" si="3"/>
        <v>Gorilla</v>
      </c>
      <c r="F11" s="70">
        <v>58</v>
      </c>
      <c r="G11" s="70">
        <v>39</v>
      </c>
      <c r="H11" s="71">
        <v>44357</v>
      </c>
      <c r="I11" s="72">
        <v>0.64583333333333304</v>
      </c>
      <c r="J11" s="73">
        <v>1</v>
      </c>
      <c r="K11" s="74" t="str">
        <f t="shared" si="4"/>
        <v>CAMPO I</v>
      </c>
    </row>
    <row r="12" spans="1:11">
      <c r="A12" s="68">
        <v>58</v>
      </c>
      <c r="B12" s="33" t="str">
        <f t="shared" si="0"/>
        <v>2aFase</v>
      </c>
      <c r="C12" s="82" t="str">
        <f t="shared" si="1"/>
        <v>1-16</v>
      </c>
      <c r="D12" s="69" t="str">
        <f t="shared" ca="1" si="2"/>
        <v>Istrici</v>
      </c>
      <c r="E12" s="69" t="str">
        <f t="shared" ca="1" si="3"/>
        <v>Bufali</v>
      </c>
      <c r="F12" s="70">
        <v>64</v>
      </c>
      <c r="G12" s="70">
        <v>43</v>
      </c>
      <c r="H12" s="71">
        <v>44357</v>
      </c>
      <c r="I12" s="72">
        <v>0.64583333333333304</v>
      </c>
      <c r="J12" s="73">
        <v>2</v>
      </c>
      <c r="K12" s="74" t="str">
        <f t="shared" si="4"/>
        <v>CAMPO II</v>
      </c>
    </row>
    <row r="13" spans="1:11">
      <c r="A13" s="68">
        <v>59</v>
      </c>
      <c r="B13" s="33" t="str">
        <f t="shared" si="0"/>
        <v>2aFase</v>
      </c>
      <c r="C13" s="82" t="str">
        <f t="shared" si="1"/>
        <v>17-32</v>
      </c>
      <c r="D13" s="69" t="str">
        <f t="shared" ca="1" si="2"/>
        <v>Cervi</v>
      </c>
      <c r="E13" s="69" t="str">
        <f t="shared" ca="1" si="3"/>
        <v>Muli</v>
      </c>
      <c r="F13" s="70">
        <v>50</v>
      </c>
      <c r="G13" s="70">
        <v>43</v>
      </c>
      <c r="H13" s="71">
        <v>44357</v>
      </c>
      <c r="I13" s="72">
        <v>0.64583333333333304</v>
      </c>
      <c r="J13" s="73">
        <v>3</v>
      </c>
      <c r="K13" s="74" t="str">
        <f t="shared" si="4"/>
        <v>CAMPO III</v>
      </c>
    </row>
    <row r="14" spans="1:11">
      <c r="A14" s="68">
        <v>60</v>
      </c>
      <c r="B14" s="33" t="str">
        <f t="shared" si="0"/>
        <v>2aFase</v>
      </c>
      <c r="C14" s="82" t="str">
        <f t="shared" si="1"/>
        <v>17-32</v>
      </c>
      <c r="D14" s="69" t="str">
        <f t="shared" ca="1" si="2"/>
        <v>Orche</v>
      </c>
      <c r="E14" s="69" t="str">
        <f t="shared" ca="1" si="3"/>
        <v>Cinghiali</v>
      </c>
      <c r="F14" s="70">
        <v>52</v>
      </c>
      <c r="G14" s="70">
        <v>42</v>
      </c>
      <c r="H14" s="71">
        <v>44357</v>
      </c>
      <c r="I14" s="72">
        <v>0.64583333333333304</v>
      </c>
      <c r="J14" s="73">
        <v>4</v>
      </c>
      <c r="K14" s="74" t="str">
        <f t="shared" si="4"/>
        <v>CAMPO IV</v>
      </c>
    </row>
    <row r="15" spans="1:11">
      <c r="A15" s="68">
        <v>61</v>
      </c>
      <c r="B15" s="33" t="str">
        <f t="shared" si="0"/>
        <v>2aFase</v>
      </c>
      <c r="C15" s="82" t="str">
        <f t="shared" si="1"/>
        <v>1-16</v>
      </c>
      <c r="D15" s="69" t="str">
        <f t="shared" ca="1" si="2"/>
        <v>Balene</v>
      </c>
      <c r="E15" s="69" t="str">
        <f t="shared" ca="1" si="3"/>
        <v>Tonni</v>
      </c>
      <c r="F15" s="70">
        <v>51</v>
      </c>
      <c r="G15" s="70">
        <v>47</v>
      </c>
      <c r="H15" s="71">
        <v>44357</v>
      </c>
      <c r="I15" s="72">
        <v>0.70833333333333304</v>
      </c>
      <c r="J15" s="73">
        <v>1</v>
      </c>
      <c r="K15" s="74" t="str">
        <f t="shared" si="4"/>
        <v>CAMPO I</v>
      </c>
    </row>
    <row r="16" spans="1:11">
      <c r="A16" s="68">
        <v>62</v>
      </c>
      <c r="B16" s="33" t="str">
        <f t="shared" si="0"/>
        <v>2aFase</v>
      </c>
      <c r="C16" s="82" t="str">
        <f t="shared" si="1"/>
        <v>1-16</v>
      </c>
      <c r="D16" s="69" t="str">
        <f t="shared" ca="1" si="2"/>
        <v>Piranha</v>
      </c>
      <c r="E16" s="69" t="str">
        <f t="shared" ca="1" si="3"/>
        <v>Gabbiani</v>
      </c>
      <c r="F16" s="70">
        <v>60</v>
      </c>
      <c r="G16" s="70">
        <v>30</v>
      </c>
      <c r="H16" s="71">
        <v>44357</v>
      </c>
      <c r="I16" s="72">
        <v>0.70833333333333304</v>
      </c>
      <c r="J16" s="73">
        <v>2</v>
      </c>
      <c r="K16" s="74" t="str">
        <f t="shared" si="4"/>
        <v>CAMPO II</v>
      </c>
    </row>
    <row r="17" spans="1:11">
      <c r="A17" s="68">
        <v>63</v>
      </c>
      <c r="B17" s="33" t="str">
        <f t="shared" si="0"/>
        <v>2aFase</v>
      </c>
      <c r="C17" s="82" t="str">
        <f t="shared" si="1"/>
        <v>17-32</v>
      </c>
      <c r="D17" s="69" t="str">
        <f t="shared" ca="1" si="2"/>
        <v>Delfini</v>
      </c>
      <c r="E17" s="69" t="str">
        <f t="shared" ca="1" si="3"/>
        <v>Scorpioni</v>
      </c>
      <c r="F17" s="70">
        <v>66</v>
      </c>
      <c r="G17" s="70">
        <v>39</v>
      </c>
      <c r="H17" s="71">
        <v>44357</v>
      </c>
      <c r="I17" s="72">
        <v>0.70833333333333304</v>
      </c>
      <c r="J17" s="73">
        <v>3</v>
      </c>
      <c r="K17" s="74" t="str">
        <f t="shared" si="4"/>
        <v>CAMPO III</v>
      </c>
    </row>
    <row r="18" spans="1:11">
      <c r="A18" s="68">
        <v>64</v>
      </c>
      <c r="B18" s="33" t="str">
        <f t="shared" si="0"/>
        <v>2aFase</v>
      </c>
      <c r="C18" s="82" t="str">
        <f t="shared" si="1"/>
        <v>17-32</v>
      </c>
      <c r="D18" s="69" t="str">
        <f t="shared" ca="1" si="2"/>
        <v>Zebre</v>
      </c>
      <c r="E18" s="69" t="str">
        <f t="shared" ca="1" si="3"/>
        <v>Fenicotteri</v>
      </c>
      <c r="F18" s="70">
        <v>62</v>
      </c>
      <c r="G18" s="70">
        <v>31</v>
      </c>
      <c r="H18" s="71">
        <v>44357</v>
      </c>
      <c r="I18" s="72">
        <v>0.70833333333333304</v>
      </c>
      <c r="J18" s="73">
        <v>4</v>
      </c>
      <c r="K18" s="74" t="str">
        <f t="shared" si="4"/>
        <v>CAMPO IV</v>
      </c>
    </row>
    <row r="19" spans="1:11">
      <c r="A19" s="68">
        <v>65</v>
      </c>
      <c r="B19" s="33" t="str">
        <f t="shared" si="0"/>
        <v>2aFase</v>
      </c>
      <c r="C19" s="82" t="str">
        <f t="shared" si="1"/>
        <v>25-32</v>
      </c>
      <c r="D19" s="69" t="str">
        <f t="shared" ca="1" si="2"/>
        <v>Iguane</v>
      </c>
      <c r="E19" s="69" t="str">
        <f t="shared" ca="1" si="3"/>
        <v>Falchi</v>
      </c>
      <c r="F19" s="70">
        <v>63</v>
      </c>
      <c r="G19" s="70">
        <v>35</v>
      </c>
      <c r="H19" s="71">
        <v>44357</v>
      </c>
      <c r="I19" s="72">
        <v>0.77083333333333304</v>
      </c>
      <c r="J19" s="73">
        <v>1</v>
      </c>
      <c r="K19" s="74" t="str">
        <f t="shared" si="4"/>
        <v>CAMPO I</v>
      </c>
    </row>
    <row r="20" spans="1:11">
      <c r="A20" s="68">
        <v>66</v>
      </c>
      <c r="B20" s="33" t="str">
        <f t="shared" si="0"/>
        <v>2aFase</v>
      </c>
      <c r="C20" s="82" t="str">
        <f t="shared" si="1"/>
        <v>25-32</v>
      </c>
      <c r="D20" s="69" t="str">
        <f t="shared" ca="1" si="2"/>
        <v>Ghepardi</v>
      </c>
      <c r="E20" s="69" t="str">
        <f t="shared" ca="1" si="3"/>
        <v>Serval</v>
      </c>
      <c r="F20" s="70">
        <v>60</v>
      </c>
      <c r="G20" s="70">
        <v>45</v>
      </c>
      <c r="H20" s="71">
        <v>44357</v>
      </c>
      <c r="I20" s="72">
        <v>0.77083333333333304</v>
      </c>
      <c r="J20" s="73">
        <v>2</v>
      </c>
      <c r="K20" s="74" t="str">
        <f t="shared" si="4"/>
        <v>CAMPO II</v>
      </c>
    </row>
    <row r="21" spans="1:11">
      <c r="A21" s="68">
        <v>67</v>
      </c>
      <c r="B21" s="33" t="str">
        <f t="shared" si="0"/>
        <v>2aFase</v>
      </c>
      <c r="C21" s="82" t="str">
        <f t="shared" si="1"/>
        <v>25-32</v>
      </c>
      <c r="D21" s="69" t="str">
        <f t="shared" ca="1" si="2"/>
        <v>Muli</v>
      </c>
      <c r="E21" s="69" t="str">
        <f t="shared" ca="1" si="3"/>
        <v>Scorpioni</v>
      </c>
      <c r="F21" s="70">
        <v>54</v>
      </c>
      <c r="G21" s="70">
        <v>43</v>
      </c>
      <c r="H21" s="71">
        <v>44357</v>
      </c>
      <c r="I21" s="72">
        <v>0.77083333333333304</v>
      </c>
      <c r="J21" s="73">
        <v>3</v>
      </c>
      <c r="K21" s="74" t="str">
        <f t="shared" si="4"/>
        <v>CAMPO III</v>
      </c>
    </row>
    <row r="22" spans="1:11">
      <c r="A22" s="68">
        <v>68</v>
      </c>
      <c r="B22" s="33" t="str">
        <f t="shared" si="0"/>
        <v>2aFase</v>
      </c>
      <c r="C22" s="82" t="str">
        <f t="shared" si="1"/>
        <v>25-32</v>
      </c>
      <c r="D22" s="69" t="str">
        <f t="shared" ca="1" si="2"/>
        <v>Cinghiali</v>
      </c>
      <c r="E22" s="69" t="str">
        <f t="shared" ca="1" si="3"/>
        <v>Fenicotteri</v>
      </c>
      <c r="F22" s="70">
        <v>52</v>
      </c>
      <c r="G22" s="70">
        <v>49</v>
      </c>
      <c r="H22" s="71">
        <v>44357</v>
      </c>
      <c r="I22" s="72">
        <v>0.77083333333333304</v>
      </c>
      <c r="J22" s="73">
        <v>4</v>
      </c>
      <c r="K22" s="74" t="str">
        <f t="shared" si="4"/>
        <v>CAMPO IV</v>
      </c>
    </row>
    <row r="23" spans="1:11">
      <c r="A23" s="68">
        <v>69</v>
      </c>
      <c r="B23" s="33" t="str">
        <f t="shared" si="0"/>
        <v>2aFase</v>
      </c>
      <c r="C23" s="82" t="str">
        <f t="shared" si="1"/>
        <v>1-8</v>
      </c>
      <c r="D23" s="69" t="str">
        <f t="shared" ca="1" si="2"/>
        <v>Leoni</v>
      </c>
      <c r="E23" s="69" t="str">
        <f t="shared" ca="1" si="3"/>
        <v>Giaguari</v>
      </c>
      <c r="F23" s="70">
        <v>58</v>
      </c>
      <c r="G23" s="70">
        <v>46</v>
      </c>
      <c r="H23" s="71">
        <v>44358</v>
      </c>
      <c r="I23" s="72">
        <v>0.375</v>
      </c>
      <c r="J23" s="73">
        <v>1</v>
      </c>
      <c r="K23" s="74" t="str">
        <f t="shared" si="4"/>
        <v>CAMPO I</v>
      </c>
    </row>
    <row r="24" spans="1:11">
      <c r="A24" s="68">
        <v>70</v>
      </c>
      <c r="B24" s="33" t="str">
        <f t="shared" si="0"/>
        <v>2aFase</v>
      </c>
      <c r="C24" s="82" t="str">
        <f t="shared" si="1"/>
        <v>1-8</v>
      </c>
      <c r="D24" s="69" t="str">
        <f t="shared" ca="1" si="2"/>
        <v>Bisonti</v>
      </c>
      <c r="E24" s="69" t="str">
        <f t="shared" ca="1" si="3"/>
        <v>Balene</v>
      </c>
      <c r="F24" s="70">
        <v>60</v>
      </c>
      <c r="G24" s="70">
        <v>31</v>
      </c>
      <c r="H24" s="71">
        <v>44358</v>
      </c>
      <c r="I24" s="72">
        <v>0.375</v>
      </c>
      <c r="J24" s="73">
        <v>2</v>
      </c>
      <c r="K24" s="74" t="str">
        <f t="shared" si="4"/>
        <v>CAMPO II</v>
      </c>
    </row>
    <row r="25" spans="1:11">
      <c r="A25" s="68">
        <v>71</v>
      </c>
      <c r="B25" s="33" t="str">
        <f t="shared" si="0"/>
        <v>2aFase</v>
      </c>
      <c r="C25" s="82" t="str">
        <f t="shared" si="1"/>
        <v>17-24</v>
      </c>
      <c r="D25" s="69" t="str">
        <f t="shared" ca="1" si="2"/>
        <v>Tigri</v>
      </c>
      <c r="E25" s="69" t="str">
        <f t="shared" ca="1" si="3"/>
        <v>Linci</v>
      </c>
      <c r="F25" s="70">
        <v>63</v>
      </c>
      <c r="G25" s="70">
        <v>42</v>
      </c>
      <c r="H25" s="71">
        <v>44358</v>
      </c>
      <c r="I25" s="72">
        <v>0.375</v>
      </c>
      <c r="J25" s="73">
        <v>3</v>
      </c>
      <c r="K25" s="74" t="str">
        <f t="shared" si="4"/>
        <v>CAMPO III</v>
      </c>
    </row>
    <row r="26" spans="1:11">
      <c r="A26" s="68">
        <v>72</v>
      </c>
      <c r="B26" s="33" t="str">
        <f t="shared" si="0"/>
        <v>2aFase</v>
      </c>
      <c r="C26" s="82" t="str">
        <f t="shared" si="1"/>
        <v>17-24</v>
      </c>
      <c r="D26" s="69" t="str">
        <f t="shared" ca="1" si="2"/>
        <v>Cervi</v>
      </c>
      <c r="E26" s="69" t="str">
        <f t="shared" ca="1" si="3"/>
        <v>Delfini</v>
      </c>
      <c r="F26" s="70">
        <v>68</v>
      </c>
      <c r="G26" s="70">
        <v>46</v>
      </c>
      <c r="H26" s="71">
        <v>44358</v>
      </c>
      <c r="I26" s="72">
        <v>0.375</v>
      </c>
      <c r="J26" s="73">
        <v>4</v>
      </c>
      <c r="K26" s="74" t="str">
        <f t="shared" si="4"/>
        <v>CAMPO IV</v>
      </c>
    </row>
    <row r="27" spans="1:11">
      <c r="A27" s="68">
        <v>73</v>
      </c>
      <c r="B27" s="33" t="str">
        <f t="shared" si="0"/>
        <v>2aFase</v>
      </c>
      <c r="C27" s="82" t="str">
        <f t="shared" si="1"/>
        <v>1-8</v>
      </c>
      <c r="D27" s="69" t="str">
        <f t="shared" ca="1" si="2"/>
        <v>Pantere</v>
      </c>
      <c r="E27" s="69" t="str">
        <f t="shared" ca="1" si="3"/>
        <v>Coccodrilli</v>
      </c>
      <c r="F27" s="70">
        <v>56</v>
      </c>
      <c r="G27" s="70">
        <v>34</v>
      </c>
      <c r="H27" s="71">
        <v>44358</v>
      </c>
      <c r="I27" s="72">
        <v>0.45833333333333298</v>
      </c>
      <c r="J27" s="73">
        <v>1</v>
      </c>
      <c r="K27" s="74" t="str">
        <f t="shared" si="4"/>
        <v>CAMPO I</v>
      </c>
    </row>
    <row r="28" spans="1:11">
      <c r="A28" s="68">
        <v>74</v>
      </c>
      <c r="B28" s="33" t="str">
        <f t="shared" si="0"/>
        <v>2aFase</v>
      </c>
      <c r="C28" s="82" t="str">
        <f t="shared" si="1"/>
        <v>1-8</v>
      </c>
      <c r="D28" s="69" t="str">
        <f t="shared" ca="1" si="2"/>
        <v>Istrici</v>
      </c>
      <c r="E28" s="69" t="str">
        <f t="shared" ca="1" si="3"/>
        <v>Piranha</v>
      </c>
      <c r="F28" s="70">
        <v>52</v>
      </c>
      <c r="G28" s="70">
        <v>36</v>
      </c>
      <c r="H28" s="71">
        <v>44358</v>
      </c>
      <c r="I28" s="72">
        <v>0.45833333333333298</v>
      </c>
      <c r="J28" s="73">
        <v>2</v>
      </c>
      <c r="K28" s="74" t="str">
        <f t="shared" si="4"/>
        <v>CAMPO II</v>
      </c>
    </row>
    <row r="29" spans="1:11">
      <c r="A29" s="68">
        <v>75</v>
      </c>
      <c r="B29" s="33" t="str">
        <f t="shared" si="0"/>
        <v>2aFase</v>
      </c>
      <c r="C29" s="82" t="str">
        <f t="shared" si="1"/>
        <v>17-24</v>
      </c>
      <c r="D29" s="69" t="str">
        <f t="shared" ca="1" si="2"/>
        <v>Ippopotami</v>
      </c>
      <c r="E29" s="69" t="str">
        <f t="shared" ca="1" si="3"/>
        <v>Pitoni</v>
      </c>
      <c r="F29" s="70">
        <v>68</v>
      </c>
      <c r="G29" s="70">
        <v>45</v>
      </c>
      <c r="H29" s="71">
        <v>44358</v>
      </c>
      <c r="I29" s="72">
        <v>0.45833333333333298</v>
      </c>
      <c r="J29" s="73">
        <v>3</v>
      </c>
      <c r="K29" s="74" t="str">
        <f t="shared" si="4"/>
        <v>CAMPO III</v>
      </c>
    </row>
    <row r="30" spans="1:11">
      <c r="A30" s="68">
        <v>76</v>
      </c>
      <c r="B30" s="33" t="str">
        <f t="shared" si="0"/>
        <v>2aFase</v>
      </c>
      <c r="C30" s="82" t="str">
        <f t="shared" si="1"/>
        <v>17-24</v>
      </c>
      <c r="D30" s="69" t="str">
        <f t="shared" ca="1" si="2"/>
        <v>Orche</v>
      </c>
      <c r="E30" s="69" t="str">
        <f t="shared" ca="1" si="3"/>
        <v>Zebre</v>
      </c>
      <c r="F30" s="70">
        <v>64</v>
      </c>
      <c r="G30" s="70">
        <v>32</v>
      </c>
      <c r="H30" s="71">
        <v>44358</v>
      </c>
      <c r="I30" s="72">
        <v>0.45833333333333298</v>
      </c>
      <c r="J30" s="73">
        <v>4</v>
      </c>
      <c r="K30" s="74" t="str">
        <f t="shared" si="4"/>
        <v>CAMPO IV</v>
      </c>
    </row>
    <row r="31" spans="1:11">
      <c r="A31" s="68">
        <v>77</v>
      </c>
      <c r="B31" s="33" t="str">
        <f t="shared" si="0"/>
        <v>2aFase</v>
      </c>
      <c r="C31" s="82" t="str">
        <f t="shared" si="1"/>
        <v>9-16</v>
      </c>
      <c r="D31" s="69" t="str">
        <f t="shared" ca="1" si="2"/>
        <v>Elefanti</v>
      </c>
      <c r="E31" s="69" t="str">
        <f t="shared" ca="1" si="3"/>
        <v>Aquile</v>
      </c>
      <c r="F31" s="70">
        <v>56</v>
      </c>
      <c r="G31" s="70">
        <v>36</v>
      </c>
      <c r="H31" s="71">
        <v>44358</v>
      </c>
      <c r="I31" s="72">
        <v>0.64583333333333304</v>
      </c>
      <c r="J31" s="73">
        <v>1</v>
      </c>
      <c r="K31" s="74" t="str">
        <f t="shared" si="4"/>
        <v>CAMPO I</v>
      </c>
    </row>
    <row r="32" spans="1:11">
      <c r="A32" s="68">
        <v>78</v>
      </c>
      <c r="B32" s="33" t="str">
        <f t="shared" si="0"/>
        <v>2aFase</v>
      </c>
      <c r="C32" s="82" t="str">
        <f t="shared" si="1"/>
        <v>9-16</v>
      </c>
      <c r="D32" s="69" t="str">
        <f t="shared" ca="1" si="2"/>
        <v>Gorilla</v>
      </c>
      <c r="E32" s="69" t="str">
        <f t="shared" ca="1" si="3"/>
        <v>Tonni</v>
      </c>
      <c r="F32" s="70">
        <v>64</v>
      </c>
      <c r="G32" s="70">
        <v>40</v>
      </c>
      <c r="H32" s="71">
        <v>44358</v>
      </c>
      <c r="I32" s="72">
        <v>0.64583333333333304</v>
      </c>
      <c r="J32" s="73">
        <v>2</v>
      </c>
      <c r="K32" s="74" t="str">
        <f t="shared" si="4"/>
        <v>CAMPO II</v>
      </c>
    </row>
    <row r="33" spans="1:11">
      <c r="A33" s="68">
        <v>79</v>
      </c>
      <c r="B33" s="33" t="str">
        <f t="shared" si="0"/>
        <v>2aFase</v>
      </c>
      <c r="C33" s="82" t="str">
        <f t="shared" si="1"/>
        <v>9-16</v>
      </c>
      <c r="D33" s="69" t="str">
        <f t="shared" ca="1" si="2"/>
        <v>Giraffe</v>
      </c>
      <c r="E33" s="69" t="str">
        <f t="shared" ca="1" si="3"/>
        <v>Puma</v>
      </c>
      <c r="F33" s="70">
        <v>63</v>
      </c>
      <c r="G33" s="70">
        <v>42</v>
      </c>
      <c r="H33" s="71">
        <v>44358</v>
      </c>
      <c r="I33" s="72">
        <v>0.64583333333333304</v>
      </c>
      <c r="J33" s="73">
        <v>3</v>
      </c>
      <c r="K33" s="74" t="str">
        <f t="shared" si="4"/>
        <v>CAMPO III</v>
      </c>
    </row>
    <row r="34" spans="1:11">
      <c r="A34" s="68">
        <v>80</v>
      </c>
      <c r="B34" s="33" t="str">
        <f t="shared" si="0"/>
        <v>2aFase</v>
      </c>
      <c r="C34" s="82" t="str">
        <f t="shared" si="1"/>
        <v>9-16</v>
      </c>
      <c r="D34" s="69" t="str">
        <f t="shared" ca="1" si="2"/>
        <v>Bufali</v>
      </c>
      <c r="E34" s="69" t="str">
        <f t="shared" ca="1" si="3"/>
        <v>Gabbiani</v>
      </c>
      <c r="F34" s="70">
        <v>65</v>
      </c>
      <c r="G34" s="70">
        <v>49</v>
      </c>
      <c r="H34" s="71">
        <v>44358</v>
      </c>
      <c r="I34" s="72">
        <v>0.64583333333333304</v>
      </c>
      <c r="J34" s="73">
        <v>4</v>
      </c>
      <c r="K34" s="74" t="str">
        <f t="shared" si="4"/>
        <v>CAMPO IV</v>
      </c>
    </row>
    <row r="35" spans="1:11">
      <c r="A35" s="68">
        <v>81</v>
      </c>
      <c r="B35" s="33" t="str">
        <f t="shared" ref="B35:B66" si="5">VLOOKUP(A35,B_PARTITE_2A_FASE_PER_NUMERO,2,0)</f>
        <v>2aFase</v>
      </c>
      <c r="C35" s="82" t="str">
        <f t="shared" ref="C35:C66" si="6">VLOOKUP(A35,B_PARTITE_2A_FASE_PER_NUMERO,3,0)</f>
        <v>25-28</v>
      </c>
      <c r="D35" s="69" t="str">
        <f t="shared" ref="D35:D66" ca="1" si="7">VLOOKUP(A35,B_PARTITE_2A_FASE_PER_NUMERO,6,0)</f>
        <v>Iguane</v>
      </c>
      <c r="E35" s="69" t="str">
        <f t="shared" ref="E35:E66" ca="1" si="8">VLOOKUP(A35,B_PARTITE_2A_FASE_PER_NUMERO,7,0)</f>
        <v>Muli</v>
      </c>
      <c r="F35" s="70">
        <v>55</v>
      </c>
      <c r="G35" s="70">
        <v>41</v>
      </c>
      <c r="H35" s="71">
        <v>44358</v>
      </c>
      <c r="I35" s="72">
        <v>0.70833333333333304</v>
      </c>
      <c r="J35" s="73">
        <v>1</v>
      </c>
      <c r="K35" s="74" t="str">
        <f t="shared" ref="K35:K66" si="9">VLOOKUP(J35,INPUT_CAMPI,2,0)</f>
        <v>CAMPO I</v>
      </c>
    </row>
    <row r="36" spans="1:11">
      <c r="A36" s="68">
        <v>82</v>
      </c>
      <c r="B36" s="33" t="str">
        <f t="shared" si="5"/>
        <v>2aFase</v>
      </c>
      <c r="C36" s="82" t="str">
        <f t="shared" si="6"/>
        <v>25-28</v>
      </c>
      <c r="D36" s="69" t="str">
        <f t="shared" ca="1" si="7"/>
        <v>Delfini</v>
      </c>
      <c r="E36" s="69" t="str">
        <f t="shared" ca="1" si="8"/>
        <v>Ghepardi</v>
      </c>
      <c r="F36" s="70">
        <v>63</v>
      </c>
      <c r="G36" s="70">
        <v>37</v>
      </c>
      <c r="H36" s="71">
        <v>44358</v>
      </c>
      <c r="I36" s="72">
        <v>0.70833333333333304</v>
      </c>
      <c r="J36" s="73">
        <v>2</v>
      </c>
      <c r="K36" s="74" t="str">
        <f t="shared" si="9"/>
        <v>CAMPO II</v>
      </c>
    </row>
    <row r="37" spans="1:11">
      <c r="A37" s="68">
        <v>83</v>
      </c>
      <c r="B37" s="33" t="str">
        <f t="shared" si="5"/>
        <v>2aFase</v>
      </c>
      <c r="C37" s="82" t="str">
        <f t="shared" si="6"/>
        <v>29-32</v>
      </c>
      <c r="D37" s="69" t="str">
        <f t="shared" ca="1" si="7"/>
        <v>Falchi</v>
      </c>
      <c r="E37" s="69" t="str">
        <f t="shared" ca="1" si="8"/>
        <v>Scorpioni</v>
      </c>
      <c r="F37" s="70">
        <v>52</v>
      </c>
      <c r="G37" s="70">
        <v>40</v>
      </c>
      <c r="H37" s="71">
        <v>44358</v>
      </c>
      <c r="I37" s="72">
        <v>0.70833333333333304</v>
      </c>
      <c r="J37" s="73">
        <v>3</v>
      </c>
      <c r="K37" s="74" t="str">
        <f t="shared" si="9"/>
        <v>CAMPO III</v>
      </c>
    </row>
    <row r="38" spans="1:11">
      <c r="A38" s="68">
        <v>84</v>
      </c>
      <c r="B38" s="33" t="str">
        <f t="shared" si="5"/>
        <v>2aFase</v>
      </c>
      <c r="C38" s="82" t="str">
        <f t="shared" si="6"/>
        <v>29-32</v>
      </c>
      <c r="D38" s="69" t="str">
        <f t="shared" ca="1" si="7"/>
        <v>Scorpioni</v>
      </c>
      <c r="E38" s="69" t="str">
        <f t="shared" ca="1" si="8"/>
        <v>Serval</v>
      </c>
      <c r="F38" s="70">
        <v>52</v>
      </c>
      <c r="G38" s="70">
        <v>36</v>
      </c>
      <c r="H38" s="71">
        <v>44358</v>
      </c>
      <c r="I38" s="72">
        <v>0.70833333333333304</v>
      </c>
      <c r="J38" s="73">
        <v>4</v>
      </c>
      <c r="K38" s="74" t="str">
        <f t="shared" si="9"/>
        <v>CAMPO IV</v>
      </c>
    </row>
    <row r="39" spans="1:11">
      <c r="A39" s="68">
        <v>85</v>
      </c>
      <c r="B39" s="33" t="str">
        <f t="shared" si="5"/>
        <v>2aFase</v>
      </c>
      <c r="C39" s="82" t="str">
        <f t="shared" si="6"/>
        <v>5-8</v>
      </c>
      <c r="D39" s="69" t="str">
        <f t="shared" ca="1" si="7"/>
        <v>Giaguari</v>
      </c>
      <c r="E39" s="69" t="str">
        <f t="shared" ca="1" si="8"/>
        <v>Balene</v>
      </c>
      <c r="F39" s="70">
        <v>70</v>
      </c>
      <c r="G39" s="70">
        <v>42</v>
      </c>
      <c r="H39" s="71">
        <v>44358</v>
      </c>
      <c r="I39" s="72">
        <v>0.77083333333333304</v>
      </c>
      <c r="J39" s="73">
        <v>1</v>
      </c>
      <c r="K39" s="74" t="str">
        <f t="shared" si="9"/>
        <v>CAMPO I</v>
      </c>
    </row>
    <row r="40" spans="1:11">
      <c r="A40" s="68">
        <v>86</v>
      </c>
      <c r="B40" s="33" t="str">
        <f t="shared" si="5"/>
        <v>2aFase</v>
      </c>
      <c r="C40" s="82" t="str">
        <f t="shared" si="6"/>
        <v>5-8</v>
      </c>
      <c r="D40" s="69" t="str">
        <f t="shared" ca="1" si="7"/>
        <v>Coccodrilli</v>
      </c>
      <c r="E40" s="69" t="str">
        <f t="shared" ca="1" si="8"/>
        <v>Piranha</v>
      </c>
      <c r="F40" s="70">
        <v>55</v>
      </c>
      <c r="G40" s="70">
        <v>35</v>
      </c>
      <c r="H40" s="71">
        <v>44358</v>
      </c>
      <c r="I40" s="72">
        <v>0.77083333333333304</v>
      </c>
      <c r="J40" s="73">
        <v>2</v>
      </c>
      <c r="K40" s="74" t="str">
        <f t="shared" si="9"/>
        <v>CAMPO II</v>
      </c>
    </row>
    <row r="41" spans="1:11">
      <c r="A41" s="68">
        <v>87</v>
      </c>
      <c r="B41" s="33" t="str">
        <f t="shared" si="5"/>
        <v>2aFase</v>
      </c>
      <c r="C41" s="82" t="str">
        <f t="shared" si="6"/>
        <v>1-4</v>
      </c>
      <c r="D41" s="69" t="str">
        <f t="shared" ca="1" si="7"/>
        <v>Leoni</v>
      </c>
      <c r="E41" s="69" t="str">
        <f t="shared" ca="1" si="8"/>
        <v>Bisonti</v>
      </c>
      <c r="F41" s="70">
        <v>66</v>
      </c>
      <c r="G41" s="70">
        <v>31</v>
      </c>
      <c r="H41" s="71">
        <v>44358</v>
      </c>
      <c r="I41" s="72">
        <v>0.85416666666666696</v>
      </c>
      <c r="J41" s="73">
        <v>3</v>
      </c>
      <c r="K41" s="74" t="str">
        <f t="shared" si="9"/>
        <v>CAMPO III</v>
      </c>
    </row>
    <row r="42" spans="1:11">
      <c r="A42" s="68">
        <v>88</v>
      </c>
      <c r="B42" s="33" t="str">
        <f t="shared" si="5"/>
        <v>2aFase</v>
      </c>
      <c r="C42" s="82" t="str">
        <f t="shared" si="6"/>
        <v>1-4</v>
      </c>
      <c r="D42" s="69" t="str">
        <f t="shared" ca="1" si="7"/>
        <v>Pantere</v>
      </c>
      <c r="E42" s="69" t="str">
        <f t="shared" ca="1" si="8"/>
        <v>Istrici</v>
      </c>
      <c r="F42" s="70">
        <v>68</v>
      </c>
      <c r="G42" s="70">
        <v>47</v>
      </c>
      <c r="H42" s="71">
        <v>44358</v>
      </c>
      <c r="I42" s="72">
        <v>0.91666666666666696</v>
      </c>
      <c r="J42" s="73">
        <v>3</v>
      </c>
      <c r="K42" s="74" t="str">
        <f t="shared" si="9"/>
        <v>CAMPO III</v>
      </c>
    </row>
    <row r="43" spans="1:11">
      <c r="A43" s="68">
        <v>89</v>
      </c>
      <c r="B43" s="33" t="str">
        <f t="shared" si="5"/>
        <v>2aFase</v>
      </c>
      <c r="C43" s="82" t="str">
        <f t="shared" si="6"/>
        <v>9-12</v>
      </c>
      <c r="D43" s="69" t="str">
        <f t="shared" ca="1" si="7"/>
        <v>Elefanti</v>
      </c>
      <c r="E43" s="69" t="str">
        <f t="shared" ca="1" si="8"/>
        <v>Gorilla</v>
      </c>
      <c r="F43" s="70">
        <v>66</v>
      </c>
      <c r="G43" s="70">
        <v>32</v>
      </c>
      <c r="H43" s="71">
        <v>44359</v>
      </c>
      <c r="I43" s="72">
        <v>0.375</v>
      </c>
      <c r="J43" s="73">
        <v>1</v>
      </c>
      <c r="K43" s="74" t="str">
        <f t="shared" si="9"/>
        <v>CAMPO I</v>
      </c>
    </row>
    <row r="44" spans="1:11">
      <c r="A44" s="68">
        <v>90</v>
      </c>
      <c r="B44" s="33" t="str">
        <f t="shared" si="5"/>
        <v>2aFase</v>
      </c>
      <c r="C44" s="82" t="str">
        <f t="shared" si="6"/>
        <v>9-12</v>
      </c>
      <c r="D44" s="69" t="str">
        <f t="shared" ca="1" si="7"/>
        <v>Giraffe</v>
      </c>
      <c r="E44" s="69" t="str">
        <f t="shared" ca="1" si="8"/>
        <v>Bufali</v>
      </c>
      <c r="F44" s="70">
        <v>52</v>
      </c>
      <c r="G44" s="70">
        <v>30</v>
      </c>
      <c r="H44" s="71">
        <v>44359</v>
      </c>
      <c r="I44" s="72">
        <v>0.375</v>
      </c>
      <c r="J44" s="73">
        <v>2</v>
      </c>
      <c r="K44" s="74" t="str">
        <f t="shared" si="9"/>
        <v>CAMPO II</v>
      </c>
    </row>
    <row r="45" spans="1:11">
      <c r="A45" s="68">
        <v>91</v>
      </c>
      <c r="B45" s="33" t="str">
        <f t="shared" si="5"/>
        <v>2aFase</v>
      </c>
      <c r="C45" s="82" t="str">
        <f t="shared" si="6"/>
        <v>13-16</v>
      </c>
      <c r="D45" s="69" t="str">
        <f t="shared" ca="1" si="7"/>
        <v>Aquile</v>
      </c>
      <c r="E45" s="69" t="str">
        <f t="shared" ca="1" si="8"/>
        <v>Tonni</v>
      </c>
      <c r="F45" s="70">
        <v>54</v>
      </c>
      <c r="G45" s="70">
        <v>36</v>
      </c>
      <c r="H45" s="71">
        <v>44359</v>
      </c>
      <c r="I45" s="72">
        <v>0.375</v>
      </c>
      <c r="J45" s="73">
        <v>3</v>
      </c>
      <c r="K45" s="74" t="str">
        <f t="shared" si="9"/>
        <v>CAMPO III</v>
      </c>
    </row>
    <row r="46" spans="1:11">
      <c r="A46" s="68">
        <v>92</v>
      </c>
      <c r="B46" s="33" t="str">
        <f t="shared" si="5"/>
        <v>2aFase</v>
      </c>
      <c r="C46" s="82" t="str">
        <f t="shared" si="6"/>
        <v>13-16</v>
      </c>
      <c r="D46" s="69" t="str">
        <f t="shared" ca="1" si="7"/>
        <v>Puma</v>
      </c>
      <c r="E46" s="69" t="str">
        <f t="shared" ca="1" si="8"/>
        <v>Gabbiani</v>
      </c>
      <c r="F46" s="70">
        <v>64</v>
      </c>
      <c r="G46" s="70">
        <v>33</v>
      </c>
      <c r="H46" s="71">
        <v>44359</v>
      </c>
      <c r="I46" s="72">
        <v>0.375</v>
      </c>
      <c r="J46" s="73">
        <v>4</v>
      </c>
      <c r="K46" s="74" t="str">
        <f t="shared" si="9"/>
        <v>CAMPO IV</v>
      </c>
    </row>
    <row r="47" spans="1:11">
      <c r="A47" s="68">
        <v>93</v>
      </c>
      <c r="B47" s="33" t="str">
        <f t="shared" si="5"/>
        <v>2aFase</v>
      </c>
      <c r="C47" s="82" t="str">
        <f t="shared" si="6"/>
        <v>17-20</v>
      </c>
      <c r="D47" s="69" t="str">
        <f t="shared" ca="1" si="7"/>
        <v>Tigri</v>
      </c>
      <c r="E47" s="69" t="str">
        <f t="shared" ca="1" si="8"/>
        <v>Cervi</v>
      </c>
      <c r="F47" s="70">
        <v>57</v>
      </c>
      <c r="G47" s="70">
        <v>49</v>
      </c>
      <c r="H47" s="71">
        <v>44359</v>
      </c>
      <c r="I47" s="72">
        <v>0.45833333333333298</v>
      </c>
      <c r="J47" s="73">
        <v>1</v>
      </c>
      <c r="K47" s="74" t="str">
        <f t="shared" si="9"/>
        <v>CAMPO I</v>
      </c>
    </row>
    <row r="48" spans="1:11">
      <c r="A48" s="68">
        <v>94</v>
      </c>
      <c r="B48" s="33" t="str">
        <f t="shared" si="5"/>
        <v>2aFase</v>
      </c>
      <c r="C48" s="82" t="str">
        <f t="shared" si="6"/>
        <v>17-20</v>
      </c>
      <c r="D48" s="69" t="str">
        <f t="shared" ca="1" si="7"/>
        <v>Ippopotami</v>
      </c>
      <c r="E48" s="69" t="str">
        <f t="shared" ca="1" si="8"/>
        <v>Orche</v>
      </c>
      <c r="F48" s="70">
        <v>56</v>
      </c>
      <c r="G48" s="70">
        <v>42</v>
      </c>
      <c r="H48" s="71">
        <v>44359</v>
      </c>
      <c r="I48" s="72">
        <v>0.45833333333333298</v>
      </c>
      <c r="J48" s="73">
        <v>2</v>
      </c>
      <c r="K48" s="74" t="str">
        <f t="shared" si="9"/>
        <v>CAMPO II</v>
      </c>
    </row>
    <row r="49" spans="1:11">
      <c r="A49" s="68">
        <v>95</v>
      </c>
      <c r="B49" s="33" t="str">
        <f t="shared" si="5"/>
        <v>2aFase</v>
      </c>
      <c r="C49" s="82" t="str">
        <f t="shared" si="6"/>
        <v>21-24</v>
      </c>
      <c r="D49" s="69" t="str">
        <f t="shared" ca="1" si="7"/>
        <v>Linci</v>
      </c>
      <c r="E49" s="69" t="str">
        <f t="shared" ca="1" si="8"/>
        <v>Delfini</v>
      </c>
      <c r="F49" s="70">
        <v>53</v>
      </c>
      <c r="G49" s="70">
        <v>49</v>
      </c>
      <c r="H49" s="71">
        <v>44359</v>
      </c>
      <c r="I49" s="72">
        <v>0.45833333333333298</v>
      </c>
      <c r="J49" s="73">
        <v>3</v>
      </c>
      <c r="K49" s="74" t="str">
        <f t="shared" si="9"/>
        <v>CAMPO III</v>
      </c>
    </row>
    <row r="50" spans="1:11">
      <c r="A50" s="68">
        <v>96</v>
      </c>
      <c r="B50" s="33" t="str">
        <f t="shared" si="5"/>
        <v>2aFase</v>
      </c>
      <c r="C50" s="82" t="str">
        <f t="shared" si="6"/>
        <v>21-24</v>
      </c>
      <c r="D50" s="69" t="str">
        <f t="shared" ca="1" si="7"/>
        <v>Pitoni</v>
      </c>
      <c r="E50" s="69" t="str">
        <f t="shared" ca="1" si="8"/>
        <v>Zebre</v>
      </c>
      <c r="F50" s="70">
        <v>63</v>
      </c>
      <c r="G50" s="70">
        <v>34</v>
      </c>
      <c r="H50" s="71">
        <v>44359</v>
      </c>
      <c r="I50" s="72">
        <v>0.45833333333333298</v>
      </c>
      <c r="J50" s="73">
        <v>4</v>
      </c>
      <c r="K50" s="74" t="str">
        <f t="shared" si="9"/>
        <v>CAMPO IV</v>
      </c>
    </row>
    <row r="51" spans="1:11">
      <c r="A51" s="68">
        <v>97</v>
      </c>
      <c r="B51" s="33" t="str">
        <f t="shared" si="5"/>
        <v>2aFase</v>
      </c>
      <c r="C51" s="82" t="str">
        <f t="shared" si="6"/>
        <v>31-32</v>
      </c>
      <c r="D51" s="69" t="str">
        <f t="shared" ca="1" si="7"/>
        <v>Scorpioni</v>
      </c>
      <c r="E51" s="69" t="str">
        <f t="shared" ca="1" si="8"/>
        <v>Serval</v>
      </c>
      <c r="F51" s="70">
        <v>53</v>
      </c>
      <c r="G51" s="70">
        <v>32</v>
      </c>
      <c r="H51" s="71">
        <v>44359</v>
      </c>
      <c r="I51" s="72">
        <v>0.64583333333333304</v>
      </c>
      <c r="J51" s="73">
        <v>1</v>
      </c>
      <c r="K51" s="74" t="str">
        <f t="shared" si="9"/>
        <v>CAMPO I</v>
      </c>
    </row>
    <row r="52" spans="1:11">
      <c r="A52" s="68">
        <v>98</v>
      </c>
      <c r="B52" s="33" t="str">
        <f t="shared" si="5"/>
        <v>2aFase</v>
      </c>
      <c r="C52" s="82" t="str">
        <f t="shared" si="6"/>
        <v>29-30</v>
      </c>
      <c r="D52" s="69" t="str">
        <f t="shared" ca="1" si="7"/>
        <v>Falchi</v>
      </c>
      <c r="E52" s="69" t="str">
        <f t="shared" ca="1" si="8"/>
        <v>Scorpioni</v>
      </c>
      <c r="F52" s="70">
        <v>50</v>
      </c>
      <c r="G52" s="70">
        <v>38</v>
      </c>
      <c r="H52" s="71">
        <v>44359</v>
      </c>
      <c r="I52" s="72">
        <v>0.64583333333333304</v>
      </c>
      <c r="J52" s="73">
        <v>2</v>
      </c>
      <c r="K52" s="74" t="str">
        <f t="shared" si="9"/>
        <v>CAMPO II</v>
      </c>
    </row>
    <row r="53" spans="1:11">
      <c r="A53" s="68">
        <v>99</v>
      </c>
      <c r="B53" s="33" t="str">
        <f t="shared" si="5"/>
        <v>2aFase</v>
      </c>
      <c r="C53" s="82" t="str">
        <f t="shared" si="6"/>
        <v>27-28</v>
      </c>
      <c r="D53" s="69" t="str">
        <f t="shared" ca="1" si="7"/>
        <v>Muli</v>
      </c>
      <c r="E53" s="69" t="str">
        <f t="shared" ca="1" si="8"/>
        <v>Ghepardi</v>
      </c>
      <c r="F53" s="70">
        <v>62</v>
      </c>
      <c r="G53" s="70">
        <v>47</v>
      </c>
      <c r="H53" s="71">
        <v>44359</v>
      </c>
      <c r="I53" s="72">
        <v>0.64583333333333304</v>
      </c>
      <c r="J53" s="73">
        <v>3</v>
      </c>
      <c r="K53" s="74" t="str">
        <f t="shared" si="9"/>
        <v>CAMPO III</v>
      </c>
    </row>
    <row r="54" spans="1:11">
      <c r="A54" s="68">
        <v>100</v>
      </c>
      <c r="B54" s="33" t="str">
        <f t="shared" si="5"/>
        <v>2aFase</v>
      </c>
      <c r="C54" s="82" t="str">
        <f t="shared" si="6"/>
        <v>25-26</v>
      </c>
      <c r="D54" s="69" t="str">
        <f t="shared" ca="1" si="7"/>
        <v>Iguane</v>
      </c>
      <c r="E54" s="69" t="str">
        <f t="shared" ca="1" si="8"/>
        <v>Delfini</v>
      </c>
      <c r="F54" s="70">
        <v>69</v>
      </c>
      <c r="G54" s="70">
        <v>31</v>
      </c>
      <c r="H54" s="71">
        <v>44359</v>
      </c>
      <c r="I54" s="72">
        <v>0.64583333333333304</v>
      </c>
      <c r="J54" s="73">
        <v>4</v>
      </c>
      <c r="K54" s="74" t="str">
        <f t="shared" si="9"/>
        <v>CAMPO IV</v>
      </c>
    </row>
    <row r="55" spans="1:11">
      <c r="A55" s="68">
        <v>101</v>
      </c>
      <c r="B55" s="33" t="str">
        <f t="shared" si="5"/>
        <v>2aFase</v>
      </c>
      <c r="C55" s="82" t="str">
        <f t="shared" si="6"/>
        <v>23-24</v>
      </c>
      <c r="D55" s="69" t="str">
        <f t="shared" ca="1" si="7"/>
        <v>Delfini</v>
      </c>
      <c r="E55" s="69" t="str">
        <f t="shared" ca="1" si="8"/>
        <v>Zebre</v>
      </c>
      <c r="F55" s="70">
        <v>62</v>
      </c>
      <c r="G55" s="70">
        <v>38</v>
      </c>
      <c r="H55" s="71">
        <v>44359</v>
      </c>
      <c r="I55" s="72">
        <v>0.70833333333333304</v>
      </c>
      <c r="J55" s="73">
        <v>1</v>
      </c>
      <c r="K55" s="74" t="str">
        <f t="shared" si="9"/>
        <v>CAMPO I</v>
      </c>
    </row>
    <row r="56" spans="1:11">
      <c r="A56" s="68">
        <v>102</v>
      </c>
      <c r="B56" s="33" t="str">
        <f t="shared" si="5"/>
        <v>2aFase</v>
      </c>
      <c r="C56" s="82" t="str">
        <f t="shared" si="6"/>
        <v>21-22</v>
      </c>
      <c r="D56" s="69" t="str">
        <f t="shared" ca="1" si="7"/>
        <v>Linci</v>
      </c>
      <c r="E56" s="69" t="str">
        <f t="shared" ca="1" si="8"/>
        <v>Pitoni</v>
      </c>
      <c r="F56" s="70">
        <v>52</v>
      </c>
      <c r="G56" s="70">
        <v>39</v>
      </c>
      <c r="H56" s="71">
        <v>44359</v>
      </c>
      <c r="I56" s="72">
        <v>0.70833333333333304</v>
      </c>
      <c r="J56" s="73">
        <v>2</v>
      </c>
      <c r="K56" s="74" t="str">
        <f t="shared" si="9"/>
        <v>CAMPO II</v>
      </c>
    </row>
    <row r="57" spans="1:11">
      <c r="A57" s="68">
        <v>103</v>
      </c>
      <c r="B57" s="33" t="str">
        <f t="shared" si="5"/>
        <v>2aFase</v>
      </c>
      <c r="C57" s="82" t="str">
        <f t="shared" si="6"/>
        <v>19-20</v>
      </c>
      <c r="D57" s="69" t="str">
        <f t="shared" ca="1" si="7"/>
        <v>Cervi</v>
      </c>
      <c r="E57" s="69" t="str">
        <f t="shared" ca="1" si="8"/>
        <v>Orche</v>
      </c>
      <c r="F57" s="70">
        <v>68</v>
      </c>
      <c r="G57" s="70">
        <v>37</v>
      </c>
      <c r="H57" s="71">
        <v>44359</v>
      </c>
      <c r="I57" s="72">
        <v>0.70833333333333304</v>
      </c>
      <c r="J57" s="73">
        <v>3</v>
      </c>
      <c r="K57" s="74" t="str">
        <f t="shared" si="9"/>
        <v>CAMPO III</v>
      </c>
    </row>
    <row r="58" spans="1:11">
      <c r="A58" s="68">
        <v>104</v>
      </c>
      <c r="B58" s="33" t="str">
        <f t="shared" si="5"/>
        <v>2aFase</v>
      </c>
      <c r="C58" s="82" t="str">
        <f t="shared" si="6"/>
        <v>17-18</v>
      </c>
      <c r="D58" s="69" t="str">
        <f t="shared" ca="1" si="7"/>
        <v>Tigri</v>
      </c>
      <c r="E58" s="69" t="str">
        <f t="shared" ca="1" si="8"/>
        <v>Ippopotami</v>
      </c>
      <c r="F58" s="70">
        <v>52</v>
      </c>
      <c r="G58" s="70">
        <v>46</v>
      </c>
      <c r="H58" s="71">
        <v>44359</v>
      </c>
      <c r="I58" s="72">
        <v>0.70833333333333304</v>
      </c>
      <c r="J58" s="73">
        <v>4</v>
      </c>
      <c r="K58" s="74" t="str">
        <f t="shared" si="9"/>
        <v>CAMPO IV</v>
      </c>
    </row>
    <row r="59" spans="1:11">
      <c r="A59" s="68">
        <v>105</v>
      </c>
      <c r="B59" s="33" t="str">
        <f t="shared" si="5"/>
        <v>2aFase</v>
      </c>
      <c r="C59" s="82" t="str">
        <f t="shared" si="6"/>
        <v>15-16</v>
      </c>
      <c r="D59" s="69" t="str">
        <f t="shared" ca="1" si="7"/>
        <v>Tonni</v>
      </c>
      <c r="E59" s="69" t="str">
        <f t="shared" ca="1" si="8"/>
        <v>Gabbiani</v>
      </c>
      <c r="F59" s="70">
        <v>60</v>
      </c>
      <c r="G59" s="70">
        <v>42</v>
      </c>
      <c r="H59" s="71">
        <v>44359</v>
      </c>
      <c r="I59" s="72">
        <v>0.77083333333333304</v>
      </c>
      <c r="J59" s="73">
        <v>1</v>
      </c>
      <c r="K59" s="74" t="str">
        <f t="shared" si="9"/>
        <v>CAMPO I</v>
      </c>
    </row>
    <row r="60" spans="1:11">
      <c r="A60" s="68">
        <v>106</v>
      </c>
      <c r="B60" s="33" t="str">
        <f t="shared" si="5"/>
        <v>2aFase</v>
      </c>
      <c r="C60" s="82" t="str">
        <f t="shared" si="6"/>
        <v>13-14</v>
      </c>
      <c r="D60" s="69" t="str">
        <f t="shared" ca="1" si="7"/>
        <v>Aquile</v>
      </c>
      <c r="E60" s="69" t="str">
        <f t="shared" ca="1" si="8"/>
        <v>Puma</v>
      </c>
      <c r="F60" s="70">
        <v>65</v>
      </c>
      <c r="G60" s="70">
        <v>45</v>
      </c>
      <c r="H60" s="71">
        <v>44359</v>
      </c>
      <c r="I60" s="72">
        <v>0.77083333333333304</v>
      </c>
      <c r="J60" s="73">
        <v>2</v>
      </c>
      <c r="K60" s="74" t="str">
        <f t="shared" si="9"/>
        <v>CAMPO II</v>
      </c>
    </row>
    <row r="61" spans="1:11">
      <c r="A61" s="68">
        <v>107</v>
      </c>
      <c r="B61" s="33" t="str">
        <f t="shared" si="5"/>
        <v>2aFase</v>
      </c>
      <c r="C61" s="82" t="str">
        <f t="shared" si="6"/>
        <v>11-12</v>
      </c>
      <c r="D61" s="69" t="str">
        <f t="shared" ca="1" si="7"/>
        <v>Gorilla</v>
      </c>
      <c r="E61" s="69" t="str">
        <f t="shared" ca="1" si="8"/>
        <v>Bufali</v>
      </c>
      <c r="F61" s="70">
        <v>50</v>
      </c>
      <c r="G61" s="70">
        <v>47</v>
      </c>
      <c r="H61" s="71">
        <v>44359</v>
      </c>
      <c r="I61" s="72">
        <v>0.77083333333333304</v>
      </c>
      <c r="J61" s="73">
        <v>3</v>
      </c>
      <c r="K61" s="74" t="str">
        <f t="shared" si="9"/>
        <v>CAMPO III</v>
      </c>
    </row>
    <row r="62" spans="1:11">
      <c r="A62" s="68">
        <v>108</v>
      </c>
      <c r="B62" s="33" t="str">
        <f t="shared" si="5"/>
        <v>2aFase</v>
      </c>
      <c r="C62" s="82" t="str">
        <f t="shared" si="6"/>
        <v>09-10</v>
      </c>
      <c r="D62" s="69" t="str">
        <f t="shared" ca="1" si="7"/>
        <v>Elefanti</v>
      </c>
      <c r="E62" s="69" t="str">
        <f t="shared" ca="1" si="8"/>
        <v>Giraffe</v>
      </c>
      <c r="F62" s="70">
        <v>69</v>
      </c>
      <c r="G62" s="70">
        <v>40</v>
      </c>
      <c r="H62" s="71">
        <v>44359</v>
      </c>
      <c r="I62" s="72">
        <v>0.77083333333333304</v>
      </c>
      <c r="J62" s="73">
        <v>4</v>
      </c>
      <c r="K62" s="74" t="str">
        <f t="shared" si="9"/>
        <v>CAMPO IV</v>
      </c>
    </row>
    <row r="63" spans="1:11">
      <c r="A63" s="68">
        <v>109</v>
      </c>
      <c r="B63" s="33" t="str">
        <f t="shared" si="5"/>
        <v>2aFase</v>
      </c>
      <c r="C63" s="82" t="str">
        <f t="shared" si="6"/>
        <v>5-6</v>
      </c>
      <c r="D63" s="69" t="str">
        <f t="shared" ca="1" si="7"/>
        <v>Giaguari</v>
      </c>
      <c r="E63" s="69" t="str">
        <f t="shared" ca="1" si="8"/>
        <v>Coccodrilli</v>
      </c>
      <c r="F63" s="70">
        <v>55</v>
      </c>
      <c r="G63" s="70">
        <v>48</v>
      </c>
      <c r="H63" s="71">
        <v>44359</v>
      </c>
      <c r="I63" s="72">
        <v>0.875</v>
      </c>
      <c r="J63" s="73">
        <v>3</v>
      </c>
      <c r="K63" s="74" t="str">
        <f t="shared" si="9"/>
        <v>CAMPO III</v>
      </c>
    </row>
    <row r="64" spans="1:11">
      <c r="A64" s="68">
        <v>110</v>
      </c>
      <c r="B64" s="33" t="str">
        <f t="shared" si="5"/>
        <v>2aFase</v>
      </c>
      <c r="C64" s="82" t="str">
        <f t="shared" si="6"/>
        <v>7-8</v>
      </c>
      <c r="D64" s="69" t="str">
        <f t="shared" ca="1" si="7"/>
        <v>Balene</v>
      </c>
      <c r="E64" s="69" t="str">
        <f t="shared" ca="1" si="8"/>
        <v>Piranha</v>
      </c>
      <c r="F64" s="70">
        <v>52</v>
      </c>
      <c r="G64" s="70">
        <v>49</v>
      </c>
      <c r="H64" s="71">
        <v>44359</v>
      </c>
      <c r="I64" s="72">
        <v>0.875</v>
      </c>
      <c r="J64" s="73">
        <v>4</v>
      </c>
      <c r="K64" s="74" t="str">
        <f t="shared" si="9"/>
        <v>CAMPO IV</v>
      </c>
    </row>
    <row r="65" spans="1:11">
      <c r="A65" s="68">
        <v>111</v>
      </c>
      <c r="B65" s="33" t="str">
        <f t="shared" si="5"/>
        <v>2aFase</v>
      </c>
      <c r="C65" s="82" t="str">
        <f t="shared" si="6"/>
        <v>3-4</v>
      </c>
      <c r="D65" s="69" t="str">
        <f t="shared" ca="1" si="7"/>
        <v>Bisonti</v>
      </c>
      <c r="E65" s="69" t="str">
        <f t="shared" ca="1" si="8"/>
        <v>Istrici</v>
      </c>
      <c r="F65" s="70">
        <v>65</v>
      </c>
      <c r="G65" s="70">
        <v>45</v>
      </c>
      <c r="H65" s="71">
        <v>44360</v>
      </c>
      <c r="I65" s="72">
        <v>0.375</v>
      </c>
      <c r="J65" s="73">
        <v>3</v>
      </c>
      <c r="K65" s="74" t="str">
        <f t="shared" si="9"/>
        <v>CAMPO III</v>
      </c>
    </row>
    <row r="66" spans="1:11">
      <c r="A66" s="29">
        <v>112</v>
      </c>
      <c r="B66" s="38" t="str">
        <f t="shared" si="5"/>
        <v>2aFase</v>
      </c>
      <c r="C66" s="83" t="str">
        <f t="shared" si="6"/>
        <v>1-2</v>
      </c>
      <c r="D66" s="75" t="str">
        <f t="shared" ca="1" si="7"/>
        <v>Leoni</v>
      </c>
      <c r="E66" s="75" t="str">
        <f t="shared" ca="1" si="8"/>
        <v>Pantere</v>
      </c>
      <c r="F66" s="76">
        <v>69</v>
      </c>
      <c r="G66" s="76">
        <v>42</v>
      </c>
      <c r="H66" s="77">
        <v>44360</v>
      </c>
      <c r="I66" s="78">
        <v>0.4375</v>
      </c>
      <c r="J66" s="79">
        <v>3</v>
      </c>
      <c r="K66" s="80" t="str">
        <f t="shared" si="9"/>
        <v>CAMPO III</v>
      </c>
    </row>
  </sheetData>
  <sheetProtection sheet="1" objects="1" scenarios="1" insertColumns="0" insertRows="0" deleteColumns="0" deleteRows="0"/>
  <mergeCells count="1">
    <mergeCell ref="A1:K1"/>
  </mergeCells>
  <conditionalFormatting sqref="B3:B66">
    <cfRule type="cellIs" dxfId="15" priority="2" operator="equal">
      <formula>"A"</formula>
    </cfRule>
  </conditionalFormatting>
  <conditionalFormatting sqref="B3:B66">
    <cfRule type="cellIs" dxfId="14" priority="3" operator="equal">
      <formula>"B"</formula>
    </cfRule>
  </conditionalFormatting>
  <conditionalFormatting sqref="B3:B66">
    <cfRule type="cellIs" dxfId="13" priority="4" operator="equal">
      <formula>"C"</formula>
    </cfRule>
  </conditionalFormatting>
  <conditionalFormatting sqref="B3:B66">
    <cfRule type="cellIs" dxfId="12" priority="5" operator="equal">
      <formula>"D"</formula>
    </cfRule>
  </conditionalFormatting>
  <conditionalFormatting sqref="B3:B66">
    <cfRule type="cellIs" dxfId="11" priority="6" operator="equal">
      <formula>"E"</formula>
    </cfRule>
  </conditionalFormatting>
  <conditionalFormatting sqref="B3:B66">
    <cfRule type="cellIs" dxfId="10" priority="7" operator="equal">
      <formula>"F"</formula>
    </cfRule>
  </conditionalFormatting>
  <conditionalFormatting sqref="B3:B66">
    <cfRule type="cellIs" dxfId="9" priority="8" operator="equal">
      <formula>"G"</formula>
    </cfRule>
  </conditionalFormatting>
  <conditionalFormatting sqref="B3:B66">
    <cfRule type="cellIs" dxfId="8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R66"/>
  <sheetViews>
    <sheetView showGridLines="0" zoomScale="140" zoomScaleNormal="140" workbookViewId="0"/>
  </sheetViews>
  <sheetFormatPr defaultColWidth="11.5703125" defaultRowHeight="12.75"/>
  <cols>
    <col min="1" max="1" width="5.7109375" style="15" customWidth="1"/>
    <col min="2" max="2" width="7.140625" style="84" customWidth="1"/>
    <col min="3" max="3" width="7.5703125" style="84" customWidth="1"/>
    <col min="4" max="5" width="7.85546875" style="15" customWidth="1"/>
    <col min="6" max="7" width="11" style="15" customWidth="1"/>
    <col min="8" max="9" width="9.5703125" style="15" customWidth="1"/>
    <col min="10" max="11" width="11" style="15" customWidth="1"/>
    <col min="12" max="12" width="6.140625" style="15" customWidth="1"/>
    <col min="13" max="13" width="6.7109375" style="15" customWidth="1"/>
    <col min="14" max="14" width="7.28515625" style="15" customWidth="1"/>
    <col min="15" max="15" width="7.7109375" style="15" customWidth="1"/>
    <col min="16" max="16" width="9" style="15" customWidth="1"/>
    <col min="17" max="17" width="10.5703125" style="15" customWidth="1"/>
    <col min="18" max="18" width="6.140625" style="15" customWidth="1"/>
    <col min="19" max="19" width="6.7109375" style="15" customWidth="1"/>
    <col min="20" max="20" width="7.28515625" style="15" customWidth="1"/>
    <col min="21" max="21" width="7.7109375" style="15" customWidth="1"/>
    <col min="22" max="22" width="9" style="15" customWidth="1"/>
    <col min="23" max="23" width="10.5703125" style="15" customWidth="1"/>
    <col min="24" max="24" width="11.5703125" style="15"/>
    <col min="25" max="25" width="7" style="15" customWidth="1"/>
    <col min="26" max="26" width="7.5703125" style="15" customWidth="1"/>
    <col min="27" max="27" width="9.140625" style="15" customWidth="1"/>
    <col min="28" max="28" width="11" style="15" customWidth="1"/>
    <col min="29" max="29" width="8.42578125" style="15" customWidth="1"/>
    <col min="30" max="30" width="6" style="15" customWidth="1"/>
    <col min="31" max="31" width="6.7109375" style="15" customWidth="1"/>
    <col min="32" max="32" width="7.28515625" style="15" customWidth="1"/>
    <col min="33" max="33" width="7" style="15" customWidth="1"/>
    <col min="34" max="34" width="6.140625" style="15" customWidth="1"/>
    <col min="35" max="35" width="6.7109375" style="15" customWidth="1"/>
    <col min="36" max="36" width="6.140625" style="15" customWidth="1"/>
    <col min="37" max="39" width="8.7109375" style="15" customWidth="1"/>
    <col min="40" max="40" width="7.85546875" style="15" customWidth="1"/>
    <col min="41" max="43" width="8.7109375" style="15" customWidth="1"/>
    <col min="44" max="44" width="8.28515625" style="15" customWidth="1"/>
    <col min="45" max="45" width="16.140625" style="15" customWidth="1"/>
    <col min="46" max="46" width="11.5703125" style="15"/>
    <col min="47" max="47" width="8" style="15" customWidth="1"/>
    <col min="48" max="48" width="5.7109375" style="15" customWidth="1"/>
    <col min="49" max="49" width="8" style="84" customWidth="1"/>
    <col min="50" max="50" width="7.5703125" style="84" customWidth="1"/>
    <col min="51" max="52" width="7.85546875" style="15" customWidth="1"/>
    <col min="53" max="54" width="11" style="15" customWidth="1"/>
    <col min="55" max="56" width="9.5703125" style="15" customWidth="1"/>
    <col min="57" max="58" width="11" style="15" customWidth="1"/>
    <col min="59" max="59" width="6.140625" style="15" customWidth="1"/>
    <col min="60" max="60" width="6.7109375" style="15" customWidth="1"/>
    <col min="61" max="61" width="7.28515625" style="15" customWidth="1"/>
    <col min="62" max="62" width="7.7109375" style="15" customWidth="1"/>
    <col min="63" max="63" width="9" style="15" customWidth="1"/>
    <col min="64" max="64" width="10.5703125" style="15" customWidth="1"/>
    <col min="65" max="65" width="6.140625" style="15" customWidth="1"/>
    <col min="66" max="66" width="6.7109375" style="15" customWidth="1"/>
    <col min="67" max="67" width="7.28515625" style="15" customWidth="1"/>
    <col min="68" max="68" width="7.7109375" style="15" customWidth="1"/>
    <col min="69" max="69" width="9" style="15" customWidth="1"/>
    <col min="70" max="70" width="10.5703125" style="15" customWidth="1"/>
  </cols>
  <sheetData>
    <row r="1" spans="1:70">
      <c r="A1" s="9" t="s">
        <v>94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Y1" s="14" t="s">
        <v>95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U1" s="9" t="s">
        <v>96</v>
      </c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</row>
    <row r="2" spans="1:70" ht="63.75">
      <c r="A2" s="55" t="s">
        <v>82</v>
      </c>
      <c r="B2" s="20" t="s">
        <v>83</v>
      </c>
      <c r="C2" s="20" t="s">
        <v>8</v>
      </c>
      <c r="D2" s="56" t="s">
        <v>97</v>
      </c>
      <c r="E2" s="56" t="s">
        <v>98</v>
      </c>
      <c r="F2" s="19" t="s">
        <v>99</v>
      </c>
      <c r="G2" s="19" t="s">
        <v>100</v>
      </c>
      <c r="H2" s="56" t="s">
        <v>86</v>
      </c>
      <c r="I2" s="56" t="s">
        <v>87</v>
      </c>
      <c r="J2" s="85" t="s">
        <v>101</v>
      </c>
      <c r="K2" s="85" t="s">
        <v>102</v>
      </c>
      <c r="L2" s="56" t="s">
        <v>103</v>
      </c>
      <c r="M2" s="56" t="s">
        <v>104</v>
      </c>
      <c r="N2" s="56" t="s">
        <v>105</v>
      </c>
      <c r="O2" s="56" t="s">
        <v>106</v>
      </c>
      <c r="P2" s="56" t="s">
        <v>107</v>
      </c>
      <c r="Q2" s="56" t="s">
        <v>108</v>
      </c>
      <c r="R2" s="56" t="s">
        <v>109</v>
      </c>
      <c r="S2" s="56" t="s">
        <v>110</v>
      </c>
      <c r="T2" s="56" t="s">
        <v>111</v>
      </c>
      <c r="U2" s="56" t="s">
        <v>112</v>
      </c>
      <c r="V2" s="56" t="s">
        <v>113</v>
      </c>
      <c r="W2" s="86" t="s">
        <v>114</v>
      </c>
      <c r="Y2" s="18" t="s">
        <v>115</v>
      </c>
      <c r="Z2" s="20" t="s">
        <v>8</v>
      </c>
      <c r="AA2" s="56" t="s">
        <v>116</v>
      </c>
      <c r="AB2" s="87" t="s">
        <v>117</v>
      </c>
      <c r="AC2" s="19" t="s">
        <v>118</v>
      </c>
      <c r="AD2" s="20" t="s">
        <v>119</v>
      </c>
      <c r="AE2" s="20" t="s">
        <v>120</v>
      </c>
      <c r="AF2" s="20" t="s">
        <v>121</v>
      </c>
      <c r="AG2" s="88" t="s">
        <v>122</v>
      </c>
      <c r="AH2" s="89" t="s">
        <v>123</v>
      </c>
      <c r="AI2" s="56" t="s">
        <v>124</v>
      </c>
      <c r="AJ2" s="89" t="s">
        <v>125</v>
      </c>
      <c r="AK2" s="56" t="s">
        <v>126</v>
      </c>
      <c r="AL2" s="56" t="s">
        <v>127</v>
      </c>
      <c r="AM2" s="56" t="s">
        <v>128</v>
      </c>
      <c r="AN2" s="56" t="s">
        <v>129</v>
      </c>
      <c r="AO2" s="56" t="s">
        <v>130</v>
      </c>
      <c r="AP2" s="56" t="s">
        <v>131</v>
      </c>
      <c r="AQ2" s="56" t="s">
        <v>132</v>
      </c>
      <c r="AR2" s="90" t="s">
        <v>133</v>
      </c>
      <c r="AS2" s="91" t="s">
        <v>134</v>
      </c>
      <c r="AU2" s="92" t="s">
        <v>135</v>
      </c>
      <c r="AV2" s="55" t="s">
        <v>82</v>
      </c>
      <c r="AW2" s="20" t="s">
        <v>83</v>
      </c>
      <c r="AX2" s="20" t="s">
        <v>93</v>
      </c>
      <c r="AY2" s="56" t="s">
        <v>97</v>
      </c>
      <c r="AZ2" s="56" t="s">
        <v>98</v>
      </c>
      <c r="BA2" s="19" t="s">
        <v>99</v>
      </c>
      <c r="BB2" s="19" t="s">
        <v>100</v>
      </c>
      <c r="BC2" s="56" t="s">
        <v>86</v>
      </c>
      <c r="BD2" s="56" t="s">
        <v>87</v>
      </c>
      <c r="BE2" s="85" t="s">
        <v>101</v>
      </c>
      <c r="BF2" s="85" t="s">
        <v>102</v>
      </c>
      <c r="BG2" s="56" t="s">
        <v>103</v>
      </c>
      <c r="BH2" s="56" t="s">
        <v>104</v>
      </c>
      <c r="BI2" s="56" t="s">
        <v>105</v>
      </c>
      <c r="BJ2" s="56" t="s">
        <v>106</v>
      </c>
      <c r="BK2" s="56" t="s">
        <v>107</v>
      </c>
      <c r="BL2" s="56" t="s">
        <v>108</v>
      </c>
      <c r="BM2" s="56" t="s">
        <v>109</v>
      </c>
      <c r="BN2" s="56" t="s">
        <v>110</v>
      </c>
      <c r="BO2" s="56" t="s">
        <v>111</v>
      </c>
      <c r="BP2" s="56" t="s">
        <v>112</v>
      </c>
      <c r="BQ2" s="56" t="s">
        <v>113</v>
      </c>
      <c r="BR2" s="86" t="s">
        <v>114</v>
      </c>
    </row>
    <row r="3" spans="1:70">
      <c r="A3" s="93">
        <v>1</v>
      </c>
      <c r="B3" s="94" t="s">
        <v>8</v>
      </c>
      <c r="C3" s="94" t="s">
        <v>13</v>
      </c>
      <c r="D3" s="94" t="s">
        <v>136</v>
      </c>
      <c r="E3" s="94" t="s">
        <v>137</v>
      </c>
      <c r="F3" s="95" t="str">
        <f t="shared" ref="F3:F50" si="0">IF(B3="Girone",VLOOKUP(D3,SQUADRE_PER_CODICE,2),"ERRORE!")</f>
        <v>Leoni</v>
      </c>
      <c r="G3" s="95" t="str">
        <f t="shared" ref="G3:G50" si="1">IF(B3="Girone",VLOOKUP(E3,SQUADRE_PER_CODICE,2),"ERRORE!")</f>
        <v>Pantere</v>
      </c>
      <c r="H3" s="94">
        <f t="shared" ref="H3:H50" si="2">VLOOKUP(A3,INPUT_DATE_E_RISULTATI_GIRONI,6,0)</f>
        <v>72</v>
      </c>
      <c r="I3" s="94">
        <f t="shared" ref="I3:I50" si="3">VLOOKUP(A3,INPUT_DATE_E_RISULTATI_GIRONI,7,0)</f>
        <v>49</v>
      </c>
      <c r="J3" s="96" t="str">
        <f t="shared" ref="J3:J50" si="4">IF(H3&gt;I3,F3,G3)</f>
        <v>Leoni</v>
      </c>
      <c r="K3" s="95" t="str">
        <f t="shared" ref="K3:K50" si="5">IF(H3&lt;I3,F3,G3)</f>
        <v>Pantere</v>
      </c>
      <c r="L3" s="94">
        <f t="shared" ref="L3:L50" si="6">1*(H3&gt;I3)</f>
        <v>1</v>
      </c>
      <c r="M3" s="81">
        <f t="shared" ref="M3:M50" si="7">1*(H3&lt;I3)*NOT(AND(H3=0,I3=20))</f>
        <v>0</v>
      </c>
      <c r="N3" s="81">
        <f t="shared" ref="N3:N50" si="8">1*AND(H3=0,I3=20)</f>
        <v>0</v>
      </c>
      <c r="O3" s="94">
        <f t="shared" ref="O3:O50" si="9">H3</f>
        <v>72</v>
      </c>
      <c r="P3" s="94">
        <f t="shared" ref="P3:P50" si="10">I3</f>
        <v>49</v>
      </c>
      <c r="Q3" s="97">
        <f t="shared" ref="Q3:Q50" si="11">O3-P3</f>
        <v>23</v>
      </c>
      <c r="R3" s="94">
        <f t="shared" ref="R3:R50" si="12">1*(I3&gt;H3)</f>
        <v>0</v>
      </c>
      <c r="S3" s="81">
        <f t="shared" ref="S3:S50" si="13">1*(I3&lt;H3)*NOT(AND(H3=20,I3=0))</f>
        <v>1</v>
      </c>
      <c r="T3" s="81">
        <f t="shared" ref="T3:T50" si="14">1*AND(H3=20,I3=0)</f>
        <v>0</v>
      </c>
      <c r="U3" s="94">
        <f t="shared" ref="U3:U50" si="15">I3</f>
        <v>49</v>
      </c>
      <c r="V3" s="94">
        <f t="shared" ref="V3:V50" si="16">H3</f>
        <v>72</v>
      </c>
      <c r="W3" s="98">
        <f t="shared" ref="W3:W50" si="17">U3-V3</f>
        <v>-23</v>
      </c>
      <c r="Y3" s="99" t="str">
        <f ca="1">COUNTIF(B_COEFF_GIRONE_A,"&gt;="&amp;AS3)&amp;Z3</f>
        <v>1A</v>
      </c>
      <c r="Z3" s="60" t="s">
        <v>13</v>
      </c>
      <c r="AA3" s="94" t="s">
        <v>136</v>
      </c>
      <c r="AB3" s="100" t="str">
        <f t="shared" ref="AB3:AB34" si="18">VLOOKUP(AA3,SQUADRE_PER_CODICE,2)</f>
        <v>Leoni</v>
      </c>
      <c r="AC3" s="94">
        <f t="shared" ref="AC3:AC34" si="19">AD3+AE3+AF3</f>
        <v>3</v>
      </c>
      <c r="AD3" s="94">
        <f t="shared" ref="AD3:AD34" si="20">SUMIF(B_SQUADRA_A_GIRONI,AB3,B_VINTE_SQUADRA_A_GIRONI)+SUMIF(B_SQUADRA_B_GIRONI,AB3,B_VINTE_SQUADRA_B_GIRONI)</f>
        <v>3</v>
      </c>
      <c r="AE3" s="94">
        <f t="shared" ref="AE3:AE34" si="21">SUMIF(B_SQUADRA_A_GIRONI,AB3,B_PERSE_SQUADRA_A_GIRONI)+SUMIF(B_SQUADRA_B_GIRONI,AB3,B_PERSE_SQUADRA_B_GIRONI)</f>
        <v>0</v>
      </c>
      <c r="AF3" s="94">
        <f t="shared" ref="AF3:AF34" si="22">SUMIF(B_SQUADRA_A_GIRONI,AB3,B_FORFAIT_SQUADRA_A_GIRONI)+SUMIF(B_SQUADRA_B_GIRONI,AB3,B_FORFAIT_SQUADRA_B_GIRONI)</f>
        <v>0</v>
      </c>
      <c r="AG3" s="101">
        <f t="shared" ref="AG3:AG34" si="23">2*AD3+1*AE3+0*AF3</f>
        <v>6</v>
      </c>
      <c r="AH3" s="102">
        <f t="shared" ref="AH3:AH34" si="24">SUMIF(B_SQUADRA_A_GIRONI,AB3,B_PUNTI_FATTI_SQUADRA_A_GIRONI)+SUMIF(B_SQUADRA_B_GIRONI,AB3,B_PUNTI_FATTI_SQUADRA_B_GIRONI)</f>
        <v>244</v>
      </c>
      <c r="AI3" s="94">
        <f t="shared" ref="AI3:AI34" si="25">SUMIF(B_SQUADRA_A_GIRONI,AB3,B_PUNTI_SUBITI_SQUADRA_A_GIRONI)+SUMIF(B_SQUADRA_B_GIRONI,AB3,B_PUNTI_SUBITI_SQUADRA_B_GIRONI)</f>
        <v>96</v>
      </c>
      <c r="AJ3" s="103">
        <f t="shared" ref="AJ3:AJ34" si="26">SUMIF(B_SQUADRA_A_GIRONI,AB3,B_DIFF_CANESTRI_SQUADRA_A_GIRONI)+SUMIF(B_SQUADRA_B_GIRONI,AB3,B_DIFF_CANESTRI_SQUADRA_B_GIRONI)</f>
        <v>148</v>
      </c>
      <c r="AK3" s="81">
        <f ca="1">IF(AG3=AG4,INDIRECT("O"&amp;3+6*(FIND(Z3,"ABCDEFGH")-1)),0)</f>
        <v>0</v>
      </c>
      <c r="AL3" s="81">
        <f ca="1">IF(AG3=AG5,INDIRECT("O"&amp;4+6*(FIND(Z3,"ABCDEFGH")-1)),0)</f>
        <v>0</v>
      </c>
      <c r="AM3" s="94">
        <f ca="1">IF(AG3=AG6,INDIRECT("O"&amp;5+6*(FIND(Z3,"ABCDEFGH")-1)),0)</f>
        <v>0</v>
      </c>
      <c r="AN3" s="102">
        <f t="shared" ref="AN3:AN34" ca="1" si="27">AK3+AL3+AM3</f>
        <v>0</v>
      </c>
      <c r="AO3" s="97">
        <f ca="1">IF(AG3=AG4,INDIRECT("Q"&amp;3+6*(FIND(Z3,"ABCDEFGH")-1)),0)</f>
        <v>0</v>
      </c>
      <c r="AP3" s="97">
        <f ca="1">IF(AG3=AG5,INDIRECT("Q"&amp;4+6*(FIND(Z3,"ABCDEFGH")-1)),0)</f>
        <v>0</v>
      </c>
      <c r="AQ3" s="97">
        <f ca="1">IF(AG3=AG6,INDIRECT("Q"&amp;5+6*(FIND(Z3,"ABCDEFGH")-1)),0)</f>
        <v>0</v>
      </c>
      <c r="AR3" s="103">
        <f t="shared" ref="AR3:AR34" ca="1" si="28">AO3+AP3+AQ3</f>
        <v>0</v>
      </c>
      <c r="AS3" s="104">
        <f t="shared" ref="AS3:AS34" ca="1" si="29">AG3+(500+AR3)*10^-3+AN3*10^-6+(500+AJ3)*10^-9+AH3*10^-12</f>
        <v>6.5000006482440007</v>
      </c>
      <c r="AU3" s="105" t="s">
        <v>138</v>
      </c>
      <c r="AV3" s="106">
        <v>49</v>
      </c>
      <c r="AW3" s="107" t="s">
        <v>139</v>
      </c>
      <c r="AX3" s="108" t="s">
        <v>140</v>
      </c>
      <c r="AY3" s="107" t="s">
        <v>141</v>
      </c>
      <c r="AZ3" s="107" t="s">
        <v>142</v>
      </c>
      <c r="BA3" s="96" t="str">
        <f t="shared" ref="BA3:BA34" ca="1" si="30">IF(LEFT(AY3,1)="V",VLOOKUP(VALUE(SUBSTITUTE(AY3,"V","")),B_PARTITE_2A_FASE_PER_NUMERO,10,FALSE()),IF(LEFT(AY3,1)="P",VLOOKUP(VALUE(SUBSTITUTE(AY3,"P","")),B_PARTITE_2A_FASE_PER_NUMERO,11,FALSE()),VLOOKUP(AY3,B_CLASSIFICHE_GIRONI,4,FALSE())))</f>
        <v>Leoni</v>
      </c>
      <c r="BB3" s="95" t="str">
        <f t="shared" ref="BB3:BB34" ca="1" si="31">IF(LEFT(AZ3,1)="V",VLOOKUP(VALUE(SUBSTITUTE(AZ3,"V","")),B_PARTITE_2A_FASE_PER_NUMERO,10,FALSE()),IF(LEFT(AZ3,1)="P",VLOOKUP(VALUE(SUBSTITUTE(AZ3,"P","")),B_PARTITE_2A_FASE_PER_NUMERO,11,FALSE()),VLOOKUP(AZ3,B_CLASSIFICHE_GIRONI,4,FALSE())))</f>
        <v>Elefanti</v>
      </c>
      <c r="BC3" s="94">
        <f t="shared" ref="BC3:BC34" si="32">VLOOKUP(AV3,INPUT_DATE_E_RISULTATI_2A_FASE,6,0)</f>
        <v>67</v>
      </c>
      <c r="BD3" s="94">
        <f t="shared" ref="BD3:BD34" si="33">VLOOKUP(AV3,INPUT_DATE_E_RISULTATI_2A_FASE,7,0)</f>
        <v>46</v>
      </c>
      <c r="BE3" s="96" t="str">
        <f t="shared" ref="BE3:BE34" ca="1" si="34">IF(BC3&gt;BD3,BA3,BB3)</f>
        <v>Leoni</v>
      </c>
      <c r="BF3" s="95" t="str">
        <f t="shared" ref="BF3:BF34" ca="1" si="35">IF(BC3&lt;BD3,BA3,BB3)</f>
        <v>Elefanti</v>
      </c>
      <c r="BG3" s="94">
        <f t="shared" ref="BG3:BG34" si="36">1*(BC3&gt;BD3)</f>
        <v>1</v>
      </c>
      <c r="BH3" s="81">
        <f t="shared" ref="BH3:BH34" si="37">1*(BC3&lt;BD3)*NOT(AND(BC3=0,BD3=20))</f>
        <v>0</v>
      </c>
      <c r="BI3" s="81">
        <f t="shared" ref="BI3:BI34" si="38">1*AND(BC3=0,BD3=20)</f>
        <v>0</v>
      </c>
      <c r="BJ3" s="94">
        <f t="shared" ref="BJ3:BJ34" si="39">BC3</f>
        <v>67</v>
      </c>
      <c r="BK3" s="94">
        <f t="shared" ref="BK3:BK34" si="40">BD3</f>
        <v>46</v>
      </c>
      <c r="BL3" s="97">
        <f t="shared" ref="BL3:BL34" si="41">BJ3-BK3</f>
        <v>21</v>
      </c>
      <c r="BM3" s="94">
        <f t="shared" ref="BM3:BM34" si="42">1*(BD3&gt;BC3)</f>
        <v>0</v>
      </c>
      <c r="BN3" s="81">
        <f t="shared" ref="BN3:BN34" si="43">1*(BD3&lt;BC3)*NOT(AND(BC3=20,BD3=0))</f>
        <v>1</v>
      </c>
      <c r="BO3" s="81">
        <f t="shared" ref="BO3:BO34" si="44">1*AND(BC3=20,BD3=0)</f>
        <v>0</v>
      </c>
      <c r="BP3" s="94">
        <f t="shared" ref="BP3:BP34" si="45">BD3</f>
        <v>46</v>
      </c>
      <c r="BQ3" s="94">
        <f t="shared" ref="BQ3:BQ34" si="46">BC3</f>
        <v>67</v>
      </c>
      <c r="BR3" s="98">
        <f t="shared" ref="BR3:BR34" si="47">BP3-BQ3</f>
        <v>-21</v>
      </c>
    </row>
    <row r="4" spans="1:70">
      <c r="A4" s="31">
        <v>9</v>
      </c>
      <c r="B4" s="33" t="s">
        <v>8</v>
      </c>
      <c r="C4" s="33" t="s">
        <v>13</v>
      </c>
      <c r="D4" s="82" t="s">
        <v>136</v>
      </c>
      <c r="E4" s="82" t="s">
        <v>143</v>
      </c>
      <c r="F4" s="109" t="str">
        <f t="shared" si="0"/>
        <v>Leoni</v>
      </c>
      <c r="G4" s="109" t="str">
        <f t="shared" si="1"/>
        <v>Tigri</v>
      </c>
      <c r="H4" s="82">
        <f t="shared" si="2"/>
        <v>90</v>
      </c>
      <c r="I4" s="82">
        <f t="shared" si="3"/>
        <v>22</v>
      </c>
      <c r="J4" s="109" t="str">
        <f t="shared" si="4"/>
        <v>Leoni</v>
      </c>
      <c r="K4" s="109" t="str">
        <f t="shared" si="5"/>
        <v>Tigri</v>
      </c>
      <c r="L4" s="82">
        <f t="shared" si="6"/>
        <v>1</v>
      </c>
      <c r="M4" s="110">
        <f t="shared" si="7"/>
        <v>0</v>
      </c>
      <c r="N4" s="110">
        <f t="shared" si="8"/>
        <v>0</v>
      </c>
      <c r="O4" s="82">
        <f t="shared" si="9"/>
        <v>90</v>
      </c>
      <c r="P4" s="82">
        <f t="shared" si="10"/>
        <v>22</v>
      </c>
      <c r="Q4" s="111">
        <f t="shared" si="11"/>
        <v>68</v>
      </c>
      <c r="R4" s="82">
        <f t="shared" si="12"/>
        <v>0</v>
      </c>
      <c r="S4" s="82">
        <f t="shared" si="13"/>
        <v>1</v>
      </c>
      <c r="T4" s="82">
        <f t="shared" si="14"/>
        <v>0</v>
      </c>
      <c r="U4" s="82">
        <f t="shared" si="15"/>
        <v>22</v>
      </c>
      <c r="V4" s="82">
        <f t="shared" si="16"/>
        <v>90</v>
      </c>
      <c r="W4" s="112">
        <f t="shared" si="17"/>
        <v>-68</v>
      </c>
      <c r="Y4" s="113" t="str">
        <f ca="1">COUNTIF(B_COEFF_GIRONE_A,"&gt;="&amp;AS4)&amp;Z4</f>
        <v>2A</v>
      </c>
      <c r="Z4" s="33" t="s">
        <v>13</v>
      </c>
      <c r="AA4" s="82" t="s">
        <v>137</v>
      </c>
      <c r="AB4" s="114" t="str">
        <f t="shared" si="18"/>
        <v>Pantere</v>
      </c>
      <c r="AC4" s="82">
        <f t="shared" si="19"/>
        <v>3</v>
      </c>
      <c r="AD4" s="82">
        <f t="shared" si="20"/>
        <v>2</v>
      </c>
      <c r="AE4" s="82">
        <f t="shared" si="21"/>
        <v>1</v>
      </c>
      <c r="AF4" s="82">
        <f t="shared" si="22"/>
        <v>0</v>
      </c>
      <c r="AG4" s="115">
        <f t="shared" si="23"/>
        <v>5</v>
      </c>
      <c r="AH4" s="116">
        <f t="shared" si="24"/>
        <v>199</v>
      </c>
      <c r="AI4" s="82">
        <f t="shared" si="25"/>
        <v>123</v>
      </c>
      <c r="AJ4" s="117">
        <f t="shared" si="26"/>
        <v>76</v>
      </c>
      <c r="AK4" s="82">
        <f ca="1">IF(AG4=AG5,INDIRECT("O"&amp;6+6*(FIND(Z4,"ABCDEFGH")-1)),0)</f>
        <v>0</v>
      </c>
      <c r="AL4" s="82">
        <f ca="1">IF(AG4=AG6,INDIRECT("O"&amp;7+6*(FIND(Z4,"ABCDEFGH")-1)),0)</f>
        <v>0</v>
      </c>
      <c r="AM4" s="82">
        <f ca="1">IF(AG4=AG3,INDIRECT("U"&amp;3+6*(FIND(Z4,"ABCDEFGH")-1)),0)</f>
        <v>0</v>
      </c>
      <c r="AN4" s="116">
        <f t="shared" ca="1" si="27"/>
        <v>0</v>
      </c>
      <c r="AO4" s="111">
        <f ca="1">IF(AG4=AG5,INDIRECT("Q"&amp;6+6*(FIND(Z4,"ABCDEFGH")-1)),0)</f>
        <v>0</v>
      </c>
      <c r="AP4" s="111">
        <f ca="1">IF(AG4=AG6,INDIRECT("Q"&amp;7+6*(FIND(Z4,"ABCDEFGH")-1)),0)</f>
        <v>0</v>
      </c>
      <c r="AQ4" s="111">
        <f ca="1">IF(AG4=AG3,INDIRECT("W"&amp;3+6*(FIND(Z4,"ABCDEFGH")-1)),0)</f>
        <v>0</v>
      </c>
      <c r="AR4" s="117">
        <f t="shared" ca="1" si="28"/>
        <v>0</v>
      </c>
      <c r="AS4" s="118">
        <f t="shared" ca="1" si="29"/>
        <v>5.5000005761989996</v>
      </c>
      <c r="AU4" s="119" t="s">
        <v>144</v>
      </c>
      <c r="AV4" s="120">
        <v>50</v>
      </c>
      <c r="AW4" s="121" t="s">
        <v>139</v>
      </c>
      <c r="AX4" s="122" t="s">
        <v>140</v>
      </c>
      <c r="AY4" s="121" t="s">
        <v>145</v>
      </c>
      <c r="AZ4" s="121" t="s">
        <v>146</v>
      </c>
      <c r="BA4" s="109" t="str">
        <f t="shared" ca="1" si="30"/>
        <v>Pantere</v>
      </c>
      <c r="BB4" s="109" t="str">
        <f t="shared" ca="1" si="31"/>
        <v>Giraffe</v>
      </c>
      <c r="BC4" s="82">
        <f t="shared" si="32"/>
        <v>55</v>
      </c>
      <c r="BD4" s="82">
        <f t="shared" si="33"/>
        <v>36</v>
      </c>
      <c r="BE4" s="109" t="str">
        <f t="shared" ca="1" si="34"/>
        <v>Pantere</v>
      </c>
      <c r="BF4" s="109" t="str">
        <f t="shared" ca="1" si="35"/>
        <v>Giraffe</v>
      </c>
      <c r="BG4" s="82">
        <f t="shared" si="36"/>
        <v>1</v>
      </c>
      <c r="BH4" s="110">
        <f t="shared" si="37"/>
        <v>0</v>
      </c>
      <c r="BI4" s="110">
        <f t="shared" si="38"/>
        <v>0</v>
      </c>
      <c r="BJ4" s="82">
        <f t="shared" si="39"/>
        <v>55</v>
      </c>
      <c r="BK4" s="82">
        <f t="shared" si="40"/>
        <v>36</v>
      </c>
      <c r="BL4" s="111">
        <f t="shared" si="41"/>
        <v>19</v>
      </c>
      <c r="BM4" s="82">
        <f t="shared" si="42"/>
        <v>0</v>
      </c>
      <c r="BN4" s="82">
        <f t="shared" si="43"/>
        <v>1</v>
      </c>
      <c r="BO4" s="82">
        <f t="shared" si="44"/>
        <v>0</v>
      </c>
      <c r="BP4" s="82">
        <f t="shared" si="45"/>
        <v>36</v>
      </c>
      <c r="BQ4" s="82">
        <f t="shared" si="46"/>
        <v>55</v>
      </c>
      <c r="BR4" s="112">
        <f t="shared" si="47"/>
        <v>-19</v>
      </c>
    </row>
    <row r="5" spans="1:70">
      <c r="A5" s="31">
        <v>25</v>
      </c>
      <c r="B5" s="33" t="s">
        <v>8</v>
      </c>
      <c r="C5" s="33" t="s">
        <v>13</v>
      </c>
      <c r="D5" s="82" t="s">
        <v>136</v>
      </c>
      <c r="E5" s="82" t="s">
        <v>147</v>
      </c>
      <c r="F5" s="109" t="str">
        <f t="shared" si="0"/>
        <v>Leoni</v>
      </c>
      <c r="G5" s="109" t="str">
        <f t="shared" si="1"/>
        <v>Ghepardi</v>
      </c>
      <c r="H5" s="82">
        <f t="shared" si="2"/>
        <v>82</v>
      </c>
      <c r="I5" s="82">
        <f t="shared" si="3"/>
        <v>25</v>
      </c>
      <c r="J5" s="109" t="str">
        <f t="shared" si="4"/>
        <v>Leoni</v>
      </c>
      <c r="K5" s="109" t="str">
        <f t="shared" si="5"/>
        <v>Ghepardi</v>
      </c>
      <c r="L5" s="82">
        <f t="shared" si="6"/>
        <v>1</v>
      </c>
      <c r="M5" s="110">
        <f t="shared" si="7"/>
        <v>0</v>
      </c>
      <c r="N5" s="110">
        <f t="shared" si="8"/>
        <v>0</v>
      </c>
      <c r="O5" s="82">
        <f t="shared" si="9"/>
        <v>82</v>
      </c>
      <c r="P5" s="82">
        <f t="shared" si="10"/>
        <v>25</v>
      </c>
      <c r="Q5" s="111">
        <f t="shared" si="11"/>
        <v>57</v>
      </c>
      <c r="R5" s="82">
        <f t="shared" si="12"/>
        <v>0</v>
      </c>
      <c r="S5" s="82">
        <f t="shared" si="13"/>
        <v>1</v>
      </c>
      <c r="T5" s="82">
        <f t="shared" si="14"/>
        <v>0</v>
      </c>
      <c r="U5" s="82">
        <f t="shared" si="15"/>
        <v>25</v>
      </c>
      <c r="V5" s="82">
        <f t="shared" si="16"/>
        <v>82</v>
      </c>
      <c r="W5" s="112">
        <f t="shared" si="17"/>
        <v>-57</v>
      </c>
      <c r="Y5" s="113" t="str">
        <f ca="1">COUNTIF(B_COEFF_GIRONE_A,"&gt;="&amp;AS5)&amp;Z5</f>
        <v>3A</v>
      </c>
      <c r="Z5" s="33" t="s">
        <v>13</v>
      </c>
      <c r="AA5" s="82" t="s">
        <v>143</v>
      </c>
      <c r="AB5" s="114" t="str">
        <f t="shared" si="18"/>
        <v>Tigri</v>
      </c>
      <c r="AC5" s="82">
        <f t="shared" si="19"/>
        <v>3</v>
      </c>
      <c r="AD5" s="82">
        <f t="shared" si="20"/>
        <v>1</v>
      </c>
      <c r="AE5" s="82">
        <f t="shared" si="21"/>
        <v>2</v>
      </c>
      <c r="AF5" s="82">
        <f t="shared" si="22"/>
        <v>0</v>
      </c>
      <c r="AG5" s="115">
        <f t="shared" si="23"/>
        <v>4</v>
      </c>
      <c r="AH5" s="116">
        <f t="shared" si="24"/>
        <v>119</v>
      </c>
      <c r="AI5" s="82">
        <f t="shared" si="25"/>
        <v>234</v>
      </c>
      <c r="AJ5" s="117">
        <f t="shared" si="26"/>
        <v>-115</v>
      </c>
      <c r="AK5" s="82">
        <f ca="1">IF(AG5=AG6,INDIRECT("O"&amp;8+6*(FIND(Z5,"ABCDEFGH")-1)),0)</f>
        <v>0</v>
      </c>
      <c r="AL5" s="82">
        <f ca="1">IF(AG5=AG3,INDIRECT("U"&amp;4+6*(FIND(Z5,"ABCDEFGH")-1)),0)</f>
        <v>0</v>
      </c>
      <c r="AM5" s="82">
        <f ca="1">IF(AG5=AG4,INDIRECT("U"&amp;6+6*(FIND(Z5,"ABCDEFGH")-1)),0)</f>
        <v>0</v>
      </c>
      <c r="AN5" s="116">
        <f t="shared" ca="1" si="27"/>
        <v>0</v>
      </c>
      <c r="AO5" s="111">
        <f ca="1">IF(AG5=AG6,INDIRECT("Q"&amp;8+6*(FIND(Z5,"ABCDEFGH")-1)),0)</f>
        <v>0</v>
      </c>
      <c r="AP5" s="111">
        <f ca="1">IF(AG5=AG3,INDIRECT("W"&amp;4+6*(FIND(Z5,"ABCDEFGH")-1)),0)</f>
        <v>0</v>
      </c>
      <c r="AQ5" s="111">
        <f ca="1">IF(AG5=AG4,INDIRECT("W"&amp;6+6*(FIND(Z5,"ABCDEFGH")-1)),0)</f>
        <v>0</v>
      </c>
      <c r="AR5" s="117">
        <f t="shared" ca="1" si="28"/>
        <v>0</v>
      </c>
      <c r="AS5" s="118">
        <f t="shared" ca="1" si="29"/>
        <v>4.5000003851189998</v>
      </c>
      <c r="AU5" s="119" t="s">
        <v>148</v>
      </c>
      <c r="AV5" s="120">
        <v>51</v>
      </c>
      <c r="AW5" s="121" t="s">
        <v>139</v>
      </c>
      <c r="AX5" s="122" t="s">
        <v>149</v>
      </c>
      <c r="AY5" s="121" t="s">
        <v>150</v>
      </c>
      <c r="AZ5" s="121" t="s">
        <v>151</v>
      </c>
      <c r="BA5" s="109" t="str">
        <f t="shared" ca="1" si="30"/>
        <v>Tigri</v>
      </c>
      <c r="BB5" s="109" t="str">
        <f t="shared" ca="1" si="31"/>
        <v>Iguane</v>
      </c>
      <c r="BC5" s="82">
        <f t="shared" si="32"/>
        <v>56</v>
      </c>
      <c r="BD5" s="82">
        <f t="shared" si="33"/>
        <v>38</v>
      </c>
      <c r="BE5" s="109" t="str">
        <f t="shared" ca="1" si="34"/>
        <v>Tigri</v>
      </c>
      <c r="BF5" s="109" t="str">
        <f t="shared" ca="1" si="35"/>
        <v>Iguane</v>
      </c>
      <c r="BG5" s="82">
        <f t="shared" si="36"/>
        <v>1</v>
      </c>
      <c r="BH5" s="110">
        <f t="shared" si="37"/>
        <v>0</v>
      </c>
      <c r="BI5" s="110">
        <f t="shared" si="38"/>
        <v>0</v>
      </c>
      <c r="BJ5" s="82">
        <f t="shared" si="39"/>
        <v>56</v>
      </c>
      <c r="BK5" s="82">
        <f t="shared" si="40"/>
        <v>38</v>
      </c>
      <c r="BL5" s="111">
        <f t="shared" si="41"/>
        <v>18</v>
      </c>
      <c r="BM5" s="82">
        <f t="shared" si="42"/>
        <v>0</v>
      </c>
      <c r="BN5" s="82">
        <f t="shared" si="43"/>
        <v>1</v>
      </c>
      <c r="BO5" s="82">
        <f t="shared" si="44"/>
        <v>0</v>
      </c>
      <c r="BP5" s="82">
        <f t="shared" si="45"/>
        <v>38</v>
      </c>
      <c r="BQ5" s="82">
        <f t="shared" si="46"/>
        <v>56</v>
      </c>
      <c r="BR5" s="112">
        <f t="shared" si="47"/>
        <v>-18</v>
      </c>
    </row>
    <row r="6" spans="1:70">
      <c r="A6" s="31">
        <v>37</v>
      </c>
      <c r="B6" s="33" t="s">
        <v>8</v>
      </c>
      <c r="C6" s="33" t="s">
        <v>13</v>
      </c>
      <c r="D6" s="82" t="s">
        <v>137</v>
      </c>
      <c r="E6" s="82" t="s">
        <v>143</v>
      </c>
      <c r="F6" s="109" t="str">
        <f t="shared" si="0"/>
        <v>Pantere</v>
      </c>
      <c r="G6" s="109" t="str">
        <f t="shared" si="1"/>
        <v>Tigri</v>
      </c>
      <c r="H6" s="82">
        <f t="shared" si="2"/>
        <v>93</v>
      </c>
      <c r="I6" s="82">
        <f t="shared" si="3"/>
        <v>30</v>
      </c>
      <c r="J6" s="109" t="str">
        <f t="shared" si="4"/>
        <v>Pantere</v>
      </c>
      <c r="K6" s="109" t="str">
        <f t="shared" si="5"/>
        <v>Tigri</v>
      </c>
      <c r="L6" s="82">
        <f t="shared" si="6"/>
        <v>1</v>
      </c>
      <c r="M6" s="110">
        <f t="shared" si="7"/>
        <v>0</v>
      </c>
      <c r="N6" s="110">
        <f t="shared" si="8"/>
        <v>0</v>
      </c>
      <c r="O6" s="82">
        <f t="shared" si="9"/>
        <v>93</v>
      </c>
      <c r="P6" s="82">
        <f t="shared" si="10"/>
        <v>30</v>
      </c>
      <c r="Q6" s="111">
        <f t="shared" si="11"/>
        <v>63</v>
      </c>
      <c r="R6" s="82">
        <f t="shared" si="12"/>
        <v>0</v>
      </c>
      <c r="S6" s="82">
        <f t="shared" si="13"/>
        <v>1</v>
      </c>
      <c r="T6" s="82">
        <f t="shared" si="14"/>
        <v>0</v>
      </c>
      <c r="U6" s="82">
        <f t="shared" si="15"/>
        <v>30</v>
      </c>
      <c r="V6" s="82">
        <f t="shared" si="16"/>
        <v>93</v>
      </c>
      <c r="W6" s="112">
        <f t="shared" si="17"/>
        <v>-63</v>
      </c>
      <c r="Y6" s="113" t="str">
        <f ca="1">COUNTIF(B_COEFF_GIRONE_A,"&gt;="&amp;AS6)&amp;Z6</f>
        <v>4A</v>
      </c>
      <c r="Z6" s="33" t="s">
        <v>13</v>
      </c>
      <c r="AA6" s="82" t="s">
        <v>147</v>
      </c>
      <c r="AB6" s="114" t="str">
        <f t="shared" si="18"/>
        <v>Ghepardi</v>
      </c>
      <c r="AC6" s="82">
        <f t="shared" si="19"/>
        <v>3</v>
      </c>
      <c r="AD6" s="82">
        <f t="shared" si="20"/>
        <v>0</v>
      </c>
      <c r="AE6" s="82">
        <f t="shared" si="21"/>
        <v>3</v>
      </c>
      <c r="AF6" s="82">
        <f t="shared" si="22"/>
        <v>0</v>
      </c>
      <c r="AG6" s="115">
        <f t="shared" si="23"/>
        <v>3</v>
      </c>
      <c r="AH6" s="116">
        <f t="shared" si="24"/>
        <v>97</v>
      </c>
      <c r="AI6" s="82">
        <f t="shared" si="25"/>
        <v>206</v>
      </c>
      <c r="AJ6" s="117">
        <f t="shared" si="26"/>
        <v>-109</v>
      </c>
      <c r="AK6" s="82">
        <f ca="1">IF(AG6=AG3,INDIRECT("U"&amp;5+6*(FIND(Z6,"ABCDEFGH")-1)),0)</f>
        <v>0</v>
      </c>
      <c r="AL6" s="82">
        <f ca="1">IF(AG6=AG4,INDIRECT("U"&amp;7+6*(FIND(Z6,"ABCDEFGH")-1)),0)</f>
        <v>0</v>
      </c>
      <c r="AM6" s="82">
        <f ca="1">IF(AG6=AG5,INDIRECT("U"&amp;8+6*(FIND(Z6,"ABCDEFGH")-1)),0)</f>
        <v>0</v>
      </c>
      <c r="AN6" s="116">
        <f t="shared" ca="1" si="27"/>
        <v>0</v>
      </c>
      <c r="AO6" s="111">
        <f ca="1">IF(AG6=AG3,INDIRECT("W"&amp;5+6*(FIND(Z6,"ABCDEFGH")-1)),0)</f>
        <v>0</v>
      </c>
      <c r="AP6" s="111">
        <f ca="1">IF(AG6=AG4,INDIRECT("W"&amp;7+6*(FIND(Z6,"ABCDEFGH")-1)),0)</f>
        <v>0</v>
      </c>
      <c r="AQ6" s="111">
        <f ca="1">IF(AG6=AG5,INDIRECT("W"&amp;8+6*(FIND(Z6,"ABCDEFGH")-1)),0)</f>
        <v>0</v>
      </c>
      <c r="AR6" s="117">
        <f t="shared" ca="1" si="28"/>
        <v>0</v>
      </c>
      <c r="AS6" s="118">
        <f t="shared" ca="1" si="29"/>
        <v>3.5000003910970001</v>
      </c>
      <c r="AU6" s="119" t="s">
        <v>152</v>
      </c>
      <c r="AV6" s="120">
        <v>52</v>
      </c>
      <c r="AW6" s="121" t="s">
        <v>139</v>
      </c>
      <c r="AX6" s="122" t="s">
        <v>149</v>
      </c>
      <c r="AY6" s="121" t="s">
        <v>153</v>
      </c>
      <c r="AZ6" s="121" t="s">
        <v>154</v>
      </c>
      <c r="BA6" s="109" t="str">
        <f t="shared" ca="1" si="30"/>
        <v>Ippopotami</v>
      </c>
      <c r="BB6" s="109" t="str">
        <f t="shared" ca="1" si="31"/>
        <v>Ghepardi</v>
      </c>
      <c r="BC6" s="82">
        <f t="shared" si="32"/>
        <v>56</v>
      </c>
      <c r="BD6" s="82">
        <f t="shared" si="33"/>
        <v>43</v>
      </c>
      <c r="BE6" s="109" t="str">
        <f t="shared" ca="1" si="34"/>
        <v>Ippopotami</v>
      </c>
      <c r="BF6" s="109" t="str">
        <f t="shared" ca="1" si="35"/>
        <v>Ghepardi</v>
      </c>
      <c r="BG6" s="82">
        <f t="shared" si="36"/>
        <v>1</v>
      </c>
      <c r="BH6" s="110">
        <f t="shared" si="37"/>
        <v>0</v>
      </c>
      <c r="BI6" s="110">
        <f t="shared" si="38"/>
        <v>0</v>
      </c>
      <c r="BJ6" s="82">
        <f t="shared" si="39"/>
        <v>56</v>
      </c>
      <c r="BK6" s="82">
        <f t="shared" si="40"/>
        <v>43</v>
      </c>
      <c r="BL6" s="111">
        <f t="shared" si="41"/>
        <v>13</v>
      </c>
      <c r="BM6" s="82">
        <f t="shared" si="42"/>
        <v>0</v>
      </c>
      <c r="BN6" s="82">
        <f t="shared" si="43"/>
        <v>1</v>
      </c>
      <c r="BO6" s="82">
        <f t="shared" si="44"/>
        <v>0</v>
      </c>
      <c r="BP6" s="82">
        <f t="shared" si="45"/>
        <v>43</v>
      </c>
      <c r="BQ6" s="82">
        <f t="shared" si="46"/>
        <v>56</v>
      </c>
      <c r="BR6" s="112">
        <f t="shared" si="47"/>
        <v>-13</v>
      </c>
    </row>
    <row r="7" spans="1:70">
      <c r="A7" s="31">
        <v>13</v>
      </c>
      <c r="B7" s="33" t="s">
        <v>8</v>
      </c>
      <c r="C7" s="33" t="s">
        <v>13</v>
      </c>
      <c r="D7" s="82" t="s">
        <v>137</v>
      </c>
      <c r="E7" s="82" t="s">
        <v>147</v>
      </c>
      <c r="F7" s="109" t="str">
        <f t="shared" si="0"/>
        <v>Pantere</v>
      </c>
      <c r="G7" s="109" t="str">
        <f t="shared" si="1"/>
        <v>Ghepardi</v>
      </c>
      <c r="H7" s="82">
        <f t="shared" si="2"/>
        <v>57</v>
      </c>
      <c r="I7" s="82">
        <f t="shared" si="3"/>
        <v>21</v>
      </c>
      <c r="J7" s="109" t="str">
        <f t="shared" si="4"/>
        <v>Pantere</v>
      </c>
      <c r="K7" s="109" t="str">
        <f t="shared" si="5"/>
        <v>Ghepardi</v>
      </c>
      <c r="L7" s="82">
        <f t="shared" si="6"/>
        <v>1</v>
      </c>
      <c r="M7" s="110">
        <f t="shared" si="7"/>
        <v>0</v>
      </c>
      <c r="N7" s="110">
        <f t="shared" si="8"/>
        <v>0</v>
      </c>
      <c r="O7" s="82">
        <f t="shared" si="9"/>
        <v>57</v>
      </c>
      <c r="P7" s="82">
        <f t="shared" si="10"/>
        <v>21</v>
      </c>
      <c r="Q7" s="111">
        <f t="shared" si="11"/>
        <v>36</v>
      </c>
      <c r="R7" s="82">
        <f t="shared" si="12"/>
        <v>0</v>
      </c>
      <c r="S7" s="82">
        <f t="shared" si="13"/>
        <v>1</v>
      </c>
      <c r="T7" s="82">
        <f t="shared" si="14"/>
        <v>0</v>
      </c>
      <c r="U7" s="82">
        <f t="shared" si="15"/>
        <v>21</v>
      </c>
      <c r="V7" s="82">
        <f t="shared" si="16"/>
        <v>57</v>
      </c>
      <c r="W7" s="112">
        <f t="shared" si="17"/>
        <v>-36</v>
      </c>
      <c r="Y7" s="123" t="str">
        <f ca="1">COUNTIF(B_COEFF_GIRONE_B,"&gt;="&amp;AS7)&amp;Z7</f>
        <v>1B</v>
      </c>
      <c r="Z7" s="124" t="s">
        <v>20</v>
      </c>
      <c r="AA7" s="124" t="s">
        <v>155</v>
      </c>
      <c r="AB7" s="125" t="str">
        <f t="shared" si="18"/>
        <v>Giaguari</v>
      </c>
      <c r="AC7" s="124">
        <f t="shared" si="19"/>
        <v>3</v>
      </c>
      <c r="AD7" s="124">
        <f t="shared" si="20"/>
        <v>2</v>
      </c>
      <c r="AE7" s="124">
        <f t="shared" si="21"/>
        <v>1</v>
      </c>
      <c r="AF7" s="124">
        <f t="shared" si="22"/>
        <v>0</v>
      </c>
      <c r="AG7" s="126">
        <f t="shared" si="23"/>
        <v>5</v>
      </c>
      <c r="AH7" s="127">
        <f t="shared" si="24"/>
        <v>232</v>
      </c>
      <c r="AI7" s="124">
        <f t="shared" si="25"/>
        <v>192</v>
      </c>
      <c r="AJ7" s="128">
        <f t="shared" si="26"/>
        <v>40</v>
      </c>
      <c r="AK7" s="124">
        <f ca="1">IF(AG7=AG8,INDIRECT("O"&amp;3+6*(FIND(Z7,"ABCDEFGH")-1)),0)</f>
        <v>100</v>
      </c>
      <c r="AL7" s="129">
        <f ca="1">IF(AG7=AG9,INDIRECT("O"&amp;4+6*(FIND(Z7,"ABCDEFGH")-1)),0)</f>
        <v>0</v>
      </c>
      <c r="AM7" s="124">
        <f ca="1">IF(AG7=AG10,INDIRECT("O"&amp;5+6*(FIND(Z7,"ABCDEFGH")-1)),0)</f>
        <v>0</v>
      </c>
      <c r="AN7" s="127">
        <f t="shared" ca="1" si="27"/>
        <v>100</v>
      </c>
      <c r="AO7" s="130">
        <f ca="1">IF(AG7=AG8,INDIRECT("Q"&amp;3+6*(FIND(Z7,"ABCDEFGH")-1)),0)</f>
        <v>49</v>
      </c>
      <c r="AP7" s="130">
        <f ca="1">IF(AG7=AG9,INDIRECT("Q"&amp;4+6*(FIND(Z7,"ABCDEFGH")-1)),0)</f>
        <v>0</v>
      </c>
      <c r="AQ7" s="130">
        <f ca="1">IF(AG7=AG10,INDIRECT("Q"&amp;5+6*(FIND(Z7,"ABCDEFGH")-1)),0)</f>
        <v>0</v>
      </c>
      <c r="AR7" s="128">
        <f t="shared" ca="1" si="28"/>
        <v>49</v>
      </c>
      <c r="AS7" s="131">
        <f t="shared" ca="1" si="29"/>
        <v>5.5491005402320006</v>
      </c>
      <c r="AU7" s="119" t="s">
        <v>156</v>
      </c>
      <c r="AV7" s="120">
        <v>53</v>
      </c>
      <c r="AW7" s="121" t="s">
        <v>139</v>
      </c>
      <c r="AX7" s="122" t="s">
        <v>140</v>
      </c>
      <c r="AY7" s="121" t="s">
        <v>157</v>
      </c>
      <c r="AZ7" s="121" t="s">
        <v>158</v>
      </c>
      <c r="BA7" s="109" t="str">
        <f t="shared" ca="1" si="30"/>
        <v>Giaguari</v>
      </c>
      <c r="BB7" s="109" t="str">
        <f t="shared" ca="1" si="31"/>
        <v>Aquile</v>
      </c>
      <c r="BC7" s="82">
        <f t="shared" si="32"/>
        <v>52</v>
      </c>
      <c r="BD7" s="82">
        <f t="shared" si="33"/>
        <v>43</v>
      </c>
      <c r="BE7" s="109" t="str">
        <f t="shared" ca="1" si="34"/>
        <v>Giaguari</v>
      </c>
      <c r="BF7" s="109" t="str">
        <f t="shared" ca="1" si="35"/>
        <v>Aquile</v>
      </c>
      <c r="BG7" s="82">
        <f t="shared" si="36"/>
        <v>1</v>
      </c>
      <c r="BH7" s="110">
        <f t="shared" si="37"/>
        <v>0</v>
      </c>
      <c r="BI7" s="110">
        <f t="shared" si="38"/>
        <v>0</v>
      </c>
      <c r="BJ7" s="82">
        <f t="shared" si="39"/>
        <v>52</v>
      </c>
      <c r="BK7" s="82">
        <f t="shared" si="40"/>
        <v>43</v>
      </c>
      <c r="BL7" s="111">
        <f t="shared" si="41"/>
        <v>9</v>
      </c>
      <c r="BM7" s="82">
        <f t="shared" si="42"/>
        <v>0</v>
      </c>
      <c r="BN7" s="82">
        <f t="shared" si="43"/>
        <v>1</v>
      </c>
      <c r="BO7" s="82">
        <f t="shared" si="44"/>
        <v>0</v>
      </c>
      <c r="BP7" s="82">
        <f t="shared" si="45"/>
        <v>43</v>
      </c>
      <c r="BQ7" s="82">
        <f t="shared" si="46"/>
        <v>52</v>
      </c>
      <c r="BR7" s="112">
        <f t="shared" si="47"/>
        <v>-9</v>
      </c>
    </row>
    <row r="8" spans="1:70">
      <c r="A8" s="31">
        <v>2</v>
      </c>
      <c r="B8" s="33" t="s">
        <v>8</v>
      </c>
      <c r="C8" s="33" t="s">
        <v>13</v>
      </c>
      <c r="D8" s="82" t="s">
        <v>143</v>
      </c>
      <c r="E8" s="82" t="s">
        <v>147</v>
      </c>
      <c r="F8" s="109" t="str">
        <f t="shared" si="0"/>
        <v>Tigri</v>
      </c>
      <c r="G8" s="109" t="str">
        <f t="shared" si="1"/>
        <v>Ghepardi</v>
      </c>
      <c r="H8" s="82">
        <f t="shared" si="2"/>
        <v>67</v>
      </c>
      <c r="I8" s="82">
        <f t="shared" si="3"/>
        <v>51</v>
      </c>
      <c r="J8" s="109" t="str">
        <f t="shared" si="4"/>
        <v>Tigri</v>
      </c>
      <c r="K8" s="109" t="str">
        <f t="shared" si="5"/>
        <v>Ghepardi</v>
      </c>
      <c r="L8" s="82">
        <f t="shared" si="6"/>
        <v>1</v>
      </c>
      <c r="M8" s="110">
        <f t="shared" si="7"/>
        <v>0</v>
      </c>
      <c r="N8" s="110">
        <f t="shared" si="8"/>
        <v>0</v>
      </c>
      <c r="O8" s="82">
        <f t="shared" si="9"/>
        <v>67</v>
      </c>
      <c r="P8" s="82">
        <f t="shared" si="10"/>
        <v>51</v>
      </c>
      <c r="Q8" s="111">
        <f t="shared" si="11"/>
        <v>16</v>
      </c>
      <c r="R8" s="82">
        <f t="shared" si="12"/>
        <v>0</v>
      </c>
      <c r="S8" s="82">
        <f t="shared" si="13"/>
        <v>1</v>
      </c>
      <c r="T8" s="82">
        <f t="shared" si="14"/>
        <v>0</v>
      </c>
      <c r="U8" s="82">
        <f t="shared" si="15"/>
        <v>51</v>
      </c>
      <c r="V8" s="82">
        <f t="shared" si="16"/>
        <v>67</v>
      </c>
      <c r="W8" s="112">
        <f t="shared" si="17"/>
        <v>-16</v>
      </c>
      <c r="Y8" s="113" t="str">
        <f ca="1">COUNTIF(B_COEFF_GIRONE_B,"&gt;="&amp;AS8)&amp;Z8</f>
        <v>2B</v>
      </c>
      <c r="Z8" s="33" t="s">
        <v>20</v>
      </c>
      <c r="AA8" s="82" t="s">
        <v>159</v>
      </c>
      <c r="AB8" s="114" t="str">
        <f t="shared" si="18"/>
        <v>Puma</v>
      </c>
      <c r="AC8" s="82">
        <f t="shared" si="19"/>
        <v>3</v>
      </c>
      <c r="AD8" s="82">
        <f t="shared" si="20"/>
        <v>2</v>
      </c>
      <c r="AE8" s="82">
        <f t="shared" si="21"/>
        <v>1</v>
      </c>
      <c r="AF8" s="82">
        <f t="shared" si="22"/>
        <v>0</v>
      </c>
      <c r="AG8" s="115">
        <f t="shared" si="23"/>
        <v>5</v>
      </c>
      <c r="AH8" s="116">
        <f t="shared" si="24"/>
        <v>216</v>
      </c>
      <c r="AI8" s="82">
        <f t="shared" si="25"/>
        <v>217</v>
      </c>
      <c r="AJ8" s="117">
        <f t="shared" si="26"/>
        <v>-1</v>
      </c>
      <c r="AK8" s="82">
        <f ca="1">IF(AG8=AG9,INDIRECT("O"&amp;6+6*(FIND(Z8,"ABCDEFGH")-1)),0)</f>
        <v>0</v>
      </c>
      <c r="AL8" s="82">
        <f ca="1">IF(AG8=AG10,INDIRECT("O"&amp;7+6*(FIND(Z8,"ABCDEFGH")-1)),0)</f>
        <v>0</v>
      </c>
      <c r="AM8" s="82">
        <f ca="1">IF(AG8=AG7,INDIRECT("U"&amp;3+6*(FIND(Z8,"ABCDEFGH")-1)),0)</f>
        <v>51</v>
      </c>
      <c r="AN8" s="116">
        <f t="shared" ca="1" si="27"/>
        <v>51</v>
      </c>
      <c r="AO8" s="111">
        <f ca="1">IF(AG8=AG9,INDIRECT("Q"&amp;6+6*(FIND(Z8,"ABCDEFGH")-1)),0)</f>
        <v>0</v>
      </c>
      <c r="AP8" s="111">
        <f ca="1">IF(AG8=AG10,INDIRECT("Q"&amp;7+6*(FIND(Z8,"ABCDEFGH")-1)),0)</f>
        <v>0</v>
      </c>
      <c r="AQ8" s="111">
        <f ca="1">IF(AG8=AG7,INDIRECT("W"&amp;3+6*(FIND(Z8,"ABCDEFGH")-1)),0)</f>
        <v>-49</v>
      </c>
      <c r="AR8" s="117">
        <f t="shared" ca="1" si="28"/>
        <v>-49</v>
      </c>
      <c r="AS8" s="118">
        <f t="shared" ca="1" si="29"/>
        <v>5.4510514992159997</v>
      </c>
      <c r="AU8" s="119" t="s">
        <v>160</v>
      </c>
      <c r="AV8" s="120">
        <v>54</v>
      </c>
      <c r="AW8" s="121" t="s">
        <v>139</v>
      </c>
      <c r="AX8" s="122" t="s">
        <v>140</v>
      </c>
      <c r="AY8" s="121" t="s">
        <v>161</v>
      </c>
      <c r="AZ8" s="121" t="s">
        <v>162</v>
      </c>
      <c r="BA8" s="109" t="str">
        <f t="shared" ca="1" si="30"/>
        <v>Coccodrilli</v>
      </c>
      <c r="BB8" s="109" t="str">
        <f t="shared" ca="1" si="31"/>
        <v>Puma</v>
      </c>
      <c r="BC8" s="82">
        <f t="shared" si="32"/>
        <v>67</v>
      </c>
      <c r="BD8" s="82">
        <f t="shared" si="33"/>
        <v>34</v>
      </c>
      <c r="BE8" s="109" t="str">
        <f t="shared" ca="1" si="34"/>
        <v>Coccodrilli</v>
      </c>
      <c r="BF8" s="109" t="str">
        <f t="shared" ca="1" si="35"/>
        <v>Puma</v>
      </c>
      <c r="BG8" s="82">
        <f t="shared" si="36"/>
        <v>1</v>
      </c>
      <c r="BH8" s="110">
        <f t="shared" si="37"/>
        <v>0</v>
      </c>
      <c r="BI8" s="110">
        <f t="shared" si="38"/>
        <v>0</v>
      </c>
      <c r="BJ8" s="82">
        <f t="shared" si="39"/>
        <v>67</v>
      </c>
      <c r="BK8" s="82">
        <f t="shared" si="40"/>
        <v>34</v>
      </c>
      <c r="BL8" s="111">
        <f t="shared" si="41"/>
        <v>33</v>
      </c>
      <c r="BM8" s="82">
        <f t="shared" si="42"/>
        <v>0</v>
      </c>
      <c r="BN8" s="82">
        <f t="shared" si="43"/>
        <v>1</v>
      </c>
      <c r="BO8" s="82">
        <f t="shared" si="44"/>
        <v>0</v>
      </c>
      <c r="BP8" s="82">
        <f t="shared" si="45"/>
        <v>34</v>
      </c>
      <c r="BQ8" s="82">
        <f t="shared" si="46"/>
        <v>67</v>
      </c>
      <c r="BR8" s="112">
        <f t="shared" si="47"/>
        <v>-33</v>
      </c>
    </row>
    <row r="9" spans="1:70">
      <c r="A9" s="31">
        <v>3</v>
      </c>
      <c r="B9" s="33" t="s">
        <v>8</v>
      </c>
      <c r="C9" s="33" t="s">
        <v>20</v>
      </c>
      <c r="D9" s="82" t="s">
        <v>155</v>
      </c>
      <c r="E9" s="82" t="s">
        <v>159</v>
      </c>
      <c r="F9" s="109" t="str">
        <f t="shared" si="0"/>
        <v>Giaguari</v>
      </c>
      <c r="G9" s="109" t="str">
        <f t="shared" si="1"/>
        <v>Puma</v>
      </c>
      <c r="H9" s="82">
        <f t="shared" si="2"/>
        <v>100</v>
      </c>
      <c r="I9" s="82">
        <f t="shared" si="3"/>
        <v>51</v>
      </c>
      <c r="J9" s="109" t="str">
        <f t="shared" si="4"/>
        <v>Giaguari</v>
      </c>
      <c r="K9" s="109" t="str">
        <f t="shared" si="5"/>
        <v>Puma</v>
      </c>
      <c r="L9" s="82">
        <f t="shared" si="6"/>
        <v>1</v>
      </c>
      <c r="M9" s="110">
        <f t="shared" si="7"/>
        <v>0</v>
      </c>
      <c r="N9" s="110">
        <f t="shared" si="8"/>
        <v>0</v>
      </c>
      <c r="O9" s="82">
        <f t="shared" si="9"/>
        <v>100</v>
      </c>
      <c r="P9" s="82">
        <f t="shared" si="10"/>
        <v>51</v>
      </c>
      <c r="Q9" s="111">
        <f t="shared" si="11"/>
        <v>49</v>
      </c>
      <c r="R9" s="82">
        <f t="shared" si="12"/>
        <v>0</v>
      </c>
      <c r="S9" s="82">
        <f t="shared" si="13"/>
        <v>1</v>
      </c>
      <c r="T9" s="82">
        <f t="shared" si="14"/>
        <v>0</v>
      </c>
      <c r="U9" s="82">
        <f t="shared" si="15"/>
        <v>51</v>
      </c>
      <c r="V9" s="82">
        <f t="shared" si="16"/>
        <v>100</v>
      </c>
      <c r="W9" s="112">
        <f t="shared" si="17"/>
        <v>-49</v>
      </c>
      <c r="Y9" s="113" t="str">
        <f ca="1">COUNTIF(B_COEFF_GIRONE_B,"&gt;="&amp;AS9)&amp;Z9</f>
        <v>3B</v>
      </c>
      <c r="Z9" s="33" t="s">
        <v>20</v>
      </c>
      <c r="AA9" s="82" t="s">
        <v>163</v>
      </c>
      <c r="AB9" s="114" t="str">
        <f t="shared" si="18"/>
        <v>Linci</v>
      </c>
      <c r="AC9" s="82">
        <f t="shared" si="19"/>
        <v>3</v>
      </c>
      <c r="AD9" s="82">
        <f t="shared" si="20"/>
        <v>1</v>
      </c>
      <c r="AE9" s="82">
        <f t="shared" si="21"/>
        <v>2</v>
      </c>
      <c r="AF9" s="82">
        <f t="shared" si="22"/>
        <v>0</v>
      </c>
      <c r="AG9" s="115">
        <f t="shared" si="23"/>
        <v>4</v>
      </c>
      <c r="AH9" s="116">
        <f t="shared" si="24"/>
        <v>215</v>
      </c>
      <c r="AI9" s="82">
        <f t="shared" si="25"/>
        <v>239</v>
      </c>
      <c r="AJ9" s="117">
        <f t="shared" si="26"/>
        <v>-24</v>
      </c>
      <c r="AK9" s="82">
        <f ca="1">IF(AG9=AG10,INDIRECT("O"&amp;8+6*(FIND(Z9,"ABCDEFGH")-1)),0)</f>
        <v>96</v>
      </c>
      <c r="AL9" s="82">
        <f ca="1">IF(AG9=AG7,INDIRECT("U"&amp;4+6*(FIND(Z9,"ABCDEFGH")-1)),0)</f>
        <v>0</v>
      </c>
      <c r="AM9" s="82">
        <f ca="1">IF(AG9=AG8,INDIRECT("U"&amp;6+6*(FIND(Z9,"ABCDEFGH")-1)),0)</f>
        <v>0</v>
      </c>
      <c r="AN9" s="116">
        <f t="shared" ca="1" si="27"/>
        <v>96</v>
      </c>
      <c r="AO9" s="111">
        <f ca="1">IF(AG9=AG10,INDIRECT("Q"&amp;8+6*(FIND(Z9,"ABCDEFGH")-1)),0)</f>
        <v>10</v>
      </c>
      <c r="AP9" s="111">
        <f ca="1">IF(AG9=AG7,INDIRECT("W"&amp;4+6*(FIND(Z9,"ABCDEFGH")-1)),0)</f>
        <v>0</v>
      </c>
      <c r="AQ9" s="111">
        <f ca="1">IF(AG9=AG8,INDIRECT("W"&amp;6+6*(FIND(Z9,"ABCDEFGH")-1)),0)</f>
        <v>0</v>
      </c>
      <c r="AR9" s="117">
        <f t="shared" ca="1" si="28"/>
        <v>10</v>
      </c>
      <c r="AS9" s="118">
        <f t="shared" ca="1" si="29"/>
        <v>4.5100964762149998</v>
      </c>
      <c r="AU9" s="119" t="s">
        <v>164</v>
      </c>
      <c r="AV9" s="120">
        <v>55</v>
      </c>
      <c r="AW9" s="121" t="s">
        <v>139</v>
      </c>
      <c r="AX9" s="122" t="s">
        <v>149</v>
      </c>
      <c r="AY9" s="121" t="s">
        <v>165</v>
      </c>
      <c r="AZ9" s="121" t="s">
        <v>166</v>
      </c>
      <c r="BA9" s="109" t="str">
        <f t="shared" ca="1" si="30"/>
        <v>Linci</v>
      </c>
      <c r="BB9" s="109" t="str">
        <f t="shared" ca="1" si="31"/>
        <v>Falchi</v>
      </c>
      <c r="BC9" s="82">
        <f t="shared" si="32"/>
        <v>59</v>
      </c>
      <c r="BD9" s="82">
        <f t="shared" si="33"/>
        <v>41</v>
      </c>
      <c r="BE9" s="109" t="str">
        <f t="shared" ca="1" si="34"/>
        <v>Linci</v>
      </c>
      <c r="BF9" s="109" t="str">
        <f t="shared" ca="1" si="35"/>
        <v>Falchi</v>
      </c>
      <c r="BG9" s="82">
        <f t="shared" si="36"/>
        <v>1</v>
      </c>
      <c r="BH9" s="110">
        <f t="shared" si="37"/>
        <v>0</v>
      </c>
      <c r="BI9" s="110">
        <f t="shared" si="38"/>
        <v>0</v>
      </c>
      <c r="BJ9" s="82">
        <f t="shared" si="39"/>
        <v>59</v>
      </c>
      <c r="BK9" s="82">
        <f t="shared" si="40"/>
        <v>41</v>
      </c>
      <c r="BL9" s="111">
        <f t="shared" si="41"/>
        <v>18</v>
      </c>
      <c r="BM9" s="82">
        <f t="shared" si="42"/>
        <v>0</v>
      </c>
      <c r="BN9" s="82">
        <f t="shared" si="43"/>
        <v>1</v>
      </c>
      <c r="BO9" s="82">
        <f t="shared" si="44"/>
        <v>0</v>
      </c>
      <c r="BP9" s="82">
        <f t="shared" si="45"/>
        <v>41</v>
      </c>
      <c r="BQ9" s="82">
        <f t="shared" si="46"/>
        <v>59</v>
      </c>
      <c r="BR9" s="112">
        <f t="shared" si="47"/>
        <v>-18</v>
      </c>
    </row>
    <row r="10" spans="1:70">
      <c r="A10" s="31">
        <v>10</v>
      </c>
      <c r="B10" s="33" t="s">
        <v>8</v>
      </c>
      <c r="C10" s="33" t="s">
        <v>20</v>
      </c>
      <c r="D10" s="82" t="s">
        <v>155</v>
      </c>
      <c r="E10" s="82" t="s">
        <v>163</v>
      </c>
      <c r="F10" s="109" t="str">
        <f t="shared" si="0"/>
        <v>Giaguari</v>
      </c>
      <c r="G10" s="109" t="str">
        <f t="shared" si="1"/>
        <v>Linci</v>
      </c>
      <c r="H10" s="82">
        <f t="shared" si="2"/>
        <v>56</v>
      </c>
      <c r="I10" s="82">
        <f t="shared" si="3"/>
        <v>47</v>
      </c>
      <c r="J10" s="109" t="str">
        <f t="shared" si="4"/>
        <v>Giaguari</v>
      </c>
      <c r="K10" s="109" t="str">
        <f t="shared" si="5"/>
        <v>Linci</v>
      </c>
      <c r="L10" s="82">
        <f t="shared" si="6"/>
        <v>1</v>
      </c>
      <c r="M10" s="110">
        <f t="shared" si="7"/>
        <v>0</v>
      </c>
      <c r="N10" s="110">
        <f t="shared" si="8"/>
        <v>0</v>
      </c>
      <c r="O10" s="82">
        <f t="shared" si="9"/>
        <v>56</v>
      </c>
      <c r="P10" s="82">
        <f t="shared" si="10"/>
        <v>47</v>
      </c>
      <c r="Q10" s="111">
        <f t="shared" si="11"/>
        <v>9</v>
      </c>
      <c r="R10" s="82">
        <f t="shared" si="12"/>
        <v>0</v>
      </c>
      <c r="S10" s="82">
        <f t="shared" si="13"/>
        <v>1</v>
      </c>
      <c r="T10" s="82">
        <f t="shared" si="14"/>
        <v>0</v>
      </c>
      <c r="U10" s="82">
        <f t="shared" si="15"/>
        <v>47</v>
      </c>
      <c r="V10" s="82">
        <f t="shared" si="16"/>
        <v>56</v>
      </c>
      <c r="W10" s="112">
        <f t="shared" si="17"/>
        <v>-9</v>
      </c>
      <c r="Y10" s="132" t="str">
        <f ca="1">COUNTIF(B_COEFF_GIRONE_B,"&gt;="&amp;AS10)&amp;Z10</f>
        <v>4B</v>
      </c>
      <c r="Z10" s="133" t="s">
        <v>20</v>
      </c>
      <c r="AA10" s="133" t="s">
        <v>167</v>
      </c>
      <c r="AB10" s="134" t="str">
        <f t="shared" si="18"/>
        <v>Serval</v>
      </c>
      <c r="AC10" s="133">
        <f t="shared" si="19"/>
        <v>3</v>
      </c>
      <c r="AD10" s="133">
        <f t="shared" si="20"/>
        <v>1</v>
      </c>
      <c r="AE10" s="133">
        <f t="shared" si="21"/>
        <v>2</v>
      </c>
      <c r="AF10" s="133">
        <f t="shared" si="22"/>
        <v>0</v>
      </c>
      <c r="AG10" s="135">
        <f t="shared" si="23"/>
        <v>4</v>
      </c>
      <c r="AH10" s="136">
        <f t="shared" si="24"/>
        <v>225</v>
      </c>
      <c r="AI10" s="133">
        <f t="shared" si="25"/>
        <v>240</v>
      </c>
      <c r="AJ10" s="137">
        <f t="shared" si="26"/>
        <v>-15</v>
      </c>
      <c r="AK10" s="133">
        <f ca="1">IF(AG10=AG7,INDIRECT("U"&amp;5+6*(FIND(Z10,"ABCDEFGH")-1)),0)</f>
        <v>0</v>
      </c>
      <c r="AL10" s="133">
        <f ca="1">IF(AG10=AG8,INDIRECT("U"&amp;7+6*(FIND(Z10,"ABCDEFGH")-1)),0)</f>
        <v>0</v>
      </c>
      <c r="AM10" s="133">
        <f ca="1">IF(AG10=AG9,INDIRECT("U"&amp;8+6*(FIND(Z10,"ABCDEFGH")-1)),0)</f>
        <v>86</v>
      </c>
      <c r="AN10" s="136">
        <f t="shared" ca="1" si="27"/>
        <v>86</v>
      </c>
      <c r="AO10" s="138">
        <f ca="1">IF(AG10=AG7,INDIRECT("W"&amp;5+6*(FIND(Z10,"ABCDEFGH")-1)),0)</f>
        <v>0</v>
      </c>
      <c r="AP10" s="138">
        <f ca="1">IF(AG10=AG8,INDIRECT("W"&amp;7+6*(FIND(Z10,"ABCDEFGH")-1)),0)</f>
        <v>0</v>
      </c>
      <c r="AQ10" s="138">
        <f ca="1">IF(AG10=AG9,INDIRECT("W"&amp;8+6*(FIND(Z10,"ABCDEFGH")-1)),0)</f>
        <v>-10</v>
      </c>
      <c r="AR10" s="137">
        <f t="shared" ca="1" si="28"/>
        <v>-10</v>
      </c>
      <c r="AS10" s="139">
        <f t="shared" ca="1" si="29"/>
        <v>4.4900864852249995</v>
      </c>
      <c r="AU10" s="119" t="s">
        <v>168</v>
      </c>
      <c r="AV10" s="120">
        <v>56</v>
      </c>
      <c r="AW10" s="121" t="s">
        <v>139</v>
      </c>
      <c r="AX10" s="122" t="s">
        <v>149</v>
      </c>
      <c r="AY10" s="121" t="s">
        <v>169</v>
      </c>
      <c r="AZ10" s="121" t="s">
        <v>170</v>
      </c>
      <c r="BA10" s="109" t="str">
        <f t="shared" ca="1" si="30"/>
        <v>Pitoni</v>
      </c>
      <c r="BB10" s="109" t="str">
        <f t="shared" ca="1" si="31"/>
        <v>Serval</v>
      </c>
      <c r="BC10" s="82">
        <f t="shared" si="32"/>
        <v>52</v>
      </c>
      <c r="BD10" s="82">
        <f t="shared" si="33"/>
        <v>30</v>
      </c>
      <c r="BE10" s="109" t="str">
        <f t="shared" ca="1" si="34"/>
        <v>Pitoni</v>
      </c>
      <c r="BF10" s="109" t="str">
        <f t="shared" ca="1" si="35"/>
        <v>Serval</v>
      </c>
      <c r="BG10" s="82">
        <f t="shared" si="36"/>
        <v>1</v>
      </c>
      <c r="BH10" s="110">
        <f t="shared" si="37"/>
        <v>0</v>
      </c>
      <c r="BI10" s="110">
        <f t="shared" si="38"/>
        <v>0</v>
      </c>
      <c r="BJ10" s="82">
        <f t="shared" si="39"/>
        <v>52</v>
      </c>
      <c r="BK10" s="82">
        <f t="shared" si="40"/>
        <v>30</v>
      </c>
      <c r="BL10" s="111">
        <f t="shared" si="41"/>
        <v>22</v>
      </c>
      <c r="BM10" s="82">
        <f t="shared" si="42"/>
        <v>0</v>
      </c>
      <c r="BN10" s="82">
        <f t="shared" si="43"/>
        <v>1</v>
      </c>
      <c r="BO10" s="82">
        <f t="shared" si="44"/>
        <v>0</v>
      </c>
      <c r="BP10" s="82">
        <f t="shared" si="45"/>
        <v>30</v>
      </c>
      <c r="BQ10" s="82">
        <f t="shared" si="46"/>
        <v>52</v>
      </c>
      <c r="BR10" s="112">
        <f t="shared" si="47"/>
        <v>-22</v>
      </c>
    </row>
    <row r="11" spans="1:70">
      <c r="A11" s="31">
        <v>26</v>
      </c>
      <c r="B11" s="33" t="s">
        <v>8</v>
      </c>
      <c r="C11" s="33" t="s">
        <v>20</v>
      </c>
      <c r="D11" s="82" t="s">
        <v>155</v>
      </c>
      <c r="E11" s="82" t="s">
        <v>167</v>
      </c>
      <c r="F11" s="109" t="str">
        <f t="shared" si="0"/>
        <v>Giaguari</v>
      </c>
      <c r="G11" s="109" t="str">
        <f t="shared" si="1"/>
        <v>Serval</v>
      </c>
      <c r="H11" s="82">
        <f t="shared" si="2"/>
        <v>76</v>
      </c>
      <c r="I11" s="82">
        <f t="shared" si="3"/>
        <v>94</v>
      </c>
      <c r="J11" s="109" t="str">
        <f t="shared" si="4"/>
        <v>Serval</v>
      </c>
      <c r="K11" s="109" t="str">
        <f t="shared" si="5"/>
        <v>Giaguari</v>
      </c>
      <c r="L11" s="82">
        <f t="shared" si="6"/>
        <v>0</v>
      </c>
      <c r="M11" s="110">
        <f t="shared" si="7"/>
        <v>1</v>
      </c>
      <c r="N11" s="110">
        <f t="shared" si="8"/>
        <v>0</v>
      </c>
      <c r="O11" s="82">
        <f t="shared" si="9"/>
        <v>76</v>
      </c>
      <c r="P11" s="82">
        <f t="shared" si="10"/>
        <v>94</v>
      </c>
      <c r="Q11" s="111">
        <f t="shared" si="11"/>
        <v>-18</v>
      </c>
      <c r="R11" s="82">
        <f t="shared" si="12"/>
        <v>1</v>
      </c>
      <c r="S11" s="82">
        <f t="shared" si="13"/>
        <v>0</v>
      </c>
      <c r="T11" s="82">
        <f t="shared" si="14"/>
        <v>0</v>
      </c>
      <c r="U11" s="82">
        <f t="shared" si="15"/>
        <v>94</v>
      </c>
      <c r="V11" s="82">
        <f t="shared" si="16"/>
        <v>76</v>
      </c>
      <c r="W11" s="112">
        <f t="shared" si="17"/>
        <v>18</v>
      </c>
      <c r="Y11" s="113" t="str">
        <f ca="1">COUNTIF(B_COEFF_GIRONE_C,"&gt;="&amp;AS11)&amp;Z11</f>
        <v>2C</v>
      </c>
      <c r="Z11" s="33" t="s">
        <v>26</v>
      </c>
      <c r="AA11" s="82" t="s">
        <v>171</v>
      </c>
      <c r="AB11" s="114" t="str">
        <f t="shared" si="18"/>
        <v>Elefanti</v>
      </c>
      <c r="AC11" s="82">
        <f t="shared" si="19"/>
        <v>3</v>
      </c>
      <c r="AD11" s="82">
        <f t="shared" si="20"/>
        <v>2</v>
      </c>
      <c r="AE11" s="82">
        <f t="shared" si="21"/>
        <v>1</v>
      </c>
      <c r="AF11" s="82">
        <f t="shared" si="22"/>
        <v>0</v>
      </c>
      <c r="AG11" s="115">
        <f t="shared" si="23"/>
        <v>5</v>
      </c>
      <c r="AH11" s="116">
        <f t="shared" si="24"/>
        <v>202</v>
      </c>
      <c r="AI11" s="82">
        <f t="shared" si="25"/>
        <v>185</v>
      </c>
      <c r="AJ11" s="117">
        <f t="shared" si="26"/>
        <v>17</v>
      </c>
      <c r="AK11" s="82">
        <f ca="1">IF(AG11=AG12,INDIRECT("O"&amp;3+6*(FIND(Z11,"ABCDEFGH")-1)),0)</f>
        <v>79</v>
      </c>
      <c r="AL11" s="110">
        <f ca="1">IF(AG11=AG13,INDIRECT("O"&amp;4+6*(FIND(Z11,"ABCDEFGH")-1)),0)</f>
        <v>66</v>
      </c>
      <c r="AM11" s="82">
        <f ca="1">IF(AG11=AG14,INDIRECT("O"&amp;5+6*(FIND(Z11,"ABCDEFGH")-1)),0)</f>
        <v>0</v>
      </c>
      <c r="AN11" s="116">
        <f t="shared" ca="1" si="27"/>
        <v>145</v>
      </c>
      <c r="AO11" s="111">
        <f ca="1">IF(AG11=AG12,INDIRECT("Q"&amp;3+6*(FIND(Z11,"ABCDEFGH")-1)),0)</f>
        <v>31</v>
      </c>
      <c r="AP11" s="111">
        <f ca="1">IF(AG11=AG13,INDIRECT("Q"&amp;4+6*(FIND(Z11,"ABCDEFGH")-1)),0)</f>
        <v>-29</v>
      </c>
      <c r="AQ11" s="111">
        <f ca="1">IF(AG11=AG14,INDIRECT("Q"&amp;5+6*(FIND(Z11,"ABCDEFGH")-1)),0)</f>
        <v>0</v>
      </c>
      <c r="AR11" s="117">
        <f t="shared" ca="1" si="28"/>
        <v>2</v>
      </c>
      <c r="AS11" s="118">
        <f t="shared" ca="1" si="29"/>
        <v>5.502145517202</v>
      </c>
      <c r="AU11" s="119" t="s">
        <v>172</v>
      </c>
      <c r="AV11" s="120">
        <v>57</v>
      </c>
      <c r="AW11" s="121" t="s">
        <v>139</v>
      </c>
      <c r="AX11" s="122" t="s">
        <v>140</v>
      </c>
      <c r="AY11" s="121" t="s">
        <v>173</v>
      </c>
      <c r="AZ11" s="140" t="s">
        <v>174</v>
      </c>
      <c r="BA11" s="109" t="str">
        <f t="shared" ca="1" si="30"/>
        <v>Bisonti</v>
      </c>
      <c r="BB11" s="109" t="str">
        <f t="shared" ca="1" si="31"/>
        <v>Gorilla</v>
      </c>
      <c r="BC11" s="82">
        <f t="shared" si="32"/>
        <v>58</v>
      </c>
      <c r="BD11" s="82">
        <f t="shared" si="33"/>
        <v>39</v>
      </c>
      <c r="BE11" s="109" t="str">
        <f t="shared" ca="1" si="34"/>
        <v>Bisonti</v>
      </c>
      <c r="BF11" s="109" t="str">
        <f t="shared" ca="1" si="35"/>
        <v>Gorilla</v>
      </c>
      <c r="BG11" s="82">
        <f t="shared" si="36"/>
        <v>1</v>
      </c>
      <c r="BH11" s="110">
        <f t="shared" si="37"/>
        <v>0</v>
      </c>
      <c r="BI11" s="110">
        <f t="shared" si="38"/>
        <v>0</v>
      </c>
      <c r="BJ11" s="82">
        <f t="shared" si="39"/>
        <v>58</v>
      </c>
      <c r="BK11" s="82">
        <f t="shared" si="40"/>
        <v>39</v>
      </c>
      <c r="BL11" s="111">
        <f t="shared" si="41"/>
        <v>19</v>
      </c>
      <c r="BM11" s="82">
        <f t="shared" si="42"/>
        <v>0</v>
      </c>
      <c r="BN11" s="82">
        <f t="shared" si="43"/>
        <v>1</v>
      </c>
      <c r="BO11" s="82">
        <f t="shared" si="44"/>
        <v>0</v>
      </c>
      <c r="BP11" s="82">
        <f t="shared" si="45"/>
        <v>39</v>
      </c>
      <c r="BQ11" s="82">
        <f t="shared" si="46"/>
        <v>58</v>
      </c>
      <c r="BR11" s="112">
        <f t="shared" si="47"/>
        <v>-19</v>
      </c>
    </row>
    <row r="12" spans="1:70">
      <c r="A12" s="31">
        <v>38</v>
      </c>
      <c r="B12" s="33" t="s">
        <v>8</v>
      </c>
      <c r="C12" s="33" t="s">
        <v>20</v>
      </c>
      <c r="D12" s="82" t="s">
        <v>159</v>
      </c>
      <c r="E12" s="82" t="s">
        <v>163</v>
      </c>
      <c r="F12" s="109" t="str">
        <f t="shared" si="0"/>
        <v>Puma</v>
      </c>
      <c r="G12" s="109" t="str">
        <f t="shared" si="1"/>
        <v>Linci</v>
      </c>
      <c r="H12" s="82">
        <f t="shared" si="2"/>
        <v>97</v>
      </c>
      <c r="I12" s="82">
        <f t="shared" si="3"/>
        <v>72</v>
      </c>
      <c r="J12" s="109" t="str">
        <f t="shared" si="4"/>
        <v>Puma</v>
      </c>
      <c r="K12" s="109" t="str">
        <f t="shared" si="5"/>
        <v>Linci</v>
      </c>
      <c r="L12" s="82">
        <f t="shared" si="6"/>
        <v>1</v>
      </c>
      <c r="M12" s="110">
        <f t="shared" si="7"/>
        <v>0</v>
      </c>
      <c r="N12" s="110">
        <f t="shared" si="8"/>
        <v>0</v>
      </c>
      <c r="O12" s="82">
        <f t="shared" si="9"/>
        <v>97</v>
      </c>
      <c r="P12" s="82">
        <f t="shared" si="10"/>
        <v>72</v>
      </c>
      <c r="Q12" s="111">
        <f t="shared" si="11"/>
        <v>25</v>
      </c>
      <c r="R12" s="82">
        <f t="shared" si="12"/>
        <v>0</v>
      </c>
      <c r="S12" s="82">
        <f t="shared" si="13"/>
        <v>1</v>
      </c>
      <c r="T12" s="82">
        <f t="shared" si="14"/>
        <v>0</v>
      </c>
      <c r="U12" s="82">
        <f t="shared" si="15"/>
        <v>72</v>
      </c>
      <c r="V12" s="82">
        <f t="shared" si="16"/>
        <v>97</v>
      </c>
      <c r="W12" s="112">
        <f t="shared" si="17"/>
        <v>-25</v>
      </c>
      <c r="Y12" s="113" t="str">
        <f ca="1">COUNTIF(B_COEFF_GIRONE_C,"&gt;="&amp;AS12)&amp;Z12</f>
        <v>1C</v>
      </c>
      <c r="Z12" s="33" t="s">
        <v>26</v>
      </c>
      <c r="AA12" s="82" t="s">
        <v>175</v>
      </c>
      <c r="AB12" s="114" t="str">
        <f t="shared" si="18"/>
        <v>Giraffe</v>
      </c>
      <c r="AC12" s="82">
        <f t="shared" si="19"/>
        <v>3</v>
      </c>
      <c r="AD12" s="82">
        <f t="shared" si="20"/>
        <v>2</v>
      </c>
      <c r="AE12" s="82">
        <f t="shared" si="21"/>
        <v>1</v>
      </c>
      <c r="AF12" s="82">
        <f t="shared" si="22"/>
        <v>0</v>
      </c>
      <c r="AG12" s="115">
        <f t="shared" si="23"/>
        <v>5</v>
      </c>
      <c r="AH12" s="116">
        <f t="shared" si="24"/>
        <v>206</v>
      </c>
      <c r="AI12" s="82">
        <f t="shared" si="25"/>
        <v>162</v>
      </c>
      <c r="AJ12" s="117">
        <f t="shared" si="26"/>
        <v>44</v>
      </c>
      <c r="AK12" s="82">
        <f ca="1">IF(AG12=AG13,INDIRECT("O"&amp;6+6*(FIND(Z12,"ABCDEFGH")-1)),0)</f>
        <v>98</v>
      </c>
      <c r="AL12" s="82">
        <f ca="1">IF(AG12=AG14,INDIRECT("O"&amp;7+6*(FIND(Z12,"ABCDEFGH")-1)),0)</f>
        <v>0</v>
      </c>
      <c r="AM12" s="82">
        <f ca="1">IF(AG12=AG11,INDIRECT("U"&amp;3+6*(FIND(Z12,"ABCDEFGH")-1)),0)</f>
        <v>48</v>
      </c>
      <c r="AN12" s="116">
        <f t="shared" ca="1" si="27"/>
        <v>146</v>
      </c>
      <c r="AO12" s="111">
        <f ca="1">IF(AG12=AG13,INDIRECT("Q"&amp;6+6*(FIND(Z12,"ABCDEFGH")-1)),0)</f>
        <v>49</v>
      </c>
      <c r="AP12" s="111">
        <f ca="1">IF(AG12=AG14,INDIRECT("Q"&amp;7+6*(FIND(Z12,"ABCDEFGH")-1)),0)</f>
        <v>0</v>
      </c>
      <c r="AQ12" s="111">
        <f ca="1">IF(AG12=AG11,INDIRECT("W"&amp;3+6*(FIND(Z12,"ABCDEFGH")-1)),0)</f>
        <v>-31</v>
      </c>
      <c r="AR12" s="117">
        <f t="shared" ca="1" si="28"/>
        <v>18</v>
      </c>
      <c r="AS12" s="118">
        <f t="shared" ca="1" si="29"/>
        <v>5.5181465442059991</v>
      </c>
      <c r="AU12" s="119" t="s">
        <v>176</v>
      </c>
      <c r="AV12" s="120">
        <v>58</v>
      </c>
      <c r="AW12" s="121" t="s">
        <v>139</v>
      </c>
      <c r="AX12" s="122" t="s">
        <v>140</v>
      </c>
      <c r="AY12" s="121" t="s">
        <v>177</v>
      </c>
      <c r="AZ12" s="121" t="s">
        <v>178</v>
      </c>
      <c r="BA12" s="109" t="str">
        <f t="shared" ca="1" si="30"/>
        <v>Istrici</v>
      </c>
      <c r="BB12" s="109" t="str">
        <f t="shared" ca="1" si="31"/>
        <v>Bufali</v>
      </c>
      <c r="BC12" s="82">
        <f t="shared" si="32"/>
        <v>64</v>
      </c>
      <c r="BD12" s="82">
        <f t="shared" si="33"/>
        <v>43</v>
      </c>
      <c r="BE12" s="109" t="str">
        <f t="shared" ca="1" si="34"/>
        <v>Istrici</v>
      </c>
      <c r="BF12" s="109" t="str">
        <f t="shared" ca="1" si="35"/>
        <v>Bufali</v>
      </c>
      <c r="BG12" s="82">
        <f t="shared" si="36"/>
        <v>1</v>
      </c>
      <c r="BH12" s="110">
        <f t="shared" si="37"/>
        <v>0</v>
      </c>
      <c r="BI12" s="110">
        <f t="shared" si="38"/>
        <v>0</v>
      </c>
      <c r="BJ12" s="82">
        <f t="shared" si="39"/>
        <v>64</v>
      </c>
      <c r="BK12" s="82">
        <f t="shared" si="40"/>
        <v>43</v>
      </c>
      <c r="BL12" s="111">
        <f t="shared" si="41"/>
        <v>21</v>
      </c>
      <c r="BM12" s="82">
        <f t="shared" si="42"/>
        <v>0</v>
      </c>
      <c r="BN12" s="82">
        <f t="shared" si="43"/>
        <v>1</v>
      </c>
      <c r="BO12" s="82">
        <f t="shared" si="44"/>
        <v>0</v>
      </c>
      <c r="BP12" s="82">
        <f t="shared" si="45"/>
        <v>43</v>
      </c>
      <c r="BQ12" s="82">
        <f t="shared" si="46"/>
        <v>64</v>
      </c>
      <c r="BR12" s="112">
        <f t="shared" si="47"/>
        <v>-21</v>
      </c>
    </row>
    <row r="13" spans="1:70">
      <c r="A13" s="31">
        <v>14</v>
      </c>
      <c r="B13" s="33" t="s">
        <v>8</v>
      </c>
      <c r="C13" s="33" t="s">
        <v>20</v>
      </c>
      <c r="D13" s="82" t="s">
        <v>159</v>
      </c>
      <c r="E13" s="82" t="s">
        <v>167</v>
      </c>
      <c r="F13" s="109" t="str">
        <f t="shared" si="0"/>
        <v>Puma</v>
      </c>
      <c r="G13" s="109" t="str">
        <f t="shared" si="1"/>
        <v>Serval</v>
      </c>
      <c r="H13" s="82">
        <f t="shared" si="2"/>
        <v>68</v>
      </c>
      <c r="I13" s="82">
        <f t="shared" si="3"/>
        <v>45</v>
      </c>
      <c r="J13" s="109" t="str">
        <f t="shared" si="4"/>
        <v>Puma</v>
      </c>
      <c r="K13" s="109" t="str">
        <f t="shared" si="5"/>
        <v>Serval</v>
      </c>
      <c r="L13" s="82">
        <f t="shared" si="6"/>
        <v>1</v>
      </c>
      <c r="M13" s="110">
        <f t="shared" si="7"/>
        <v>0</v>
      </c>
      <c r="N13" s="110">
        <f t="shared" si="8"/>
        <v>0</v>
      </c>
      <c r="O13" s="82">
        <f t="shared" si="9"/>
        <v>68</v>
      </c>
      <c r="P13" s="82">
        <f t="shared" si="10"/>
        <v>45</v>
      </c>
      <c r="Q13" s="111">
        <f t="shared" si="11"/>
        <v>23</v>
      </c>
      <c r="R13" s="82">
        <f t="shared" si="12"/>
        <v>0</v>
      </c>
      <c r="S13" s="82">
        <f t="shared" si="13"/>
        <v>1</v>
      </c>
      <c r="T13" s="82">
        <f t="shared" si="14"/>
        <v>0</v>
      </c>
      <c r="U13" s="82">
        <f t="shared" si="15"/>
        <v>45</v>
      </c>
      <c r="V13" s="82">
        <f t="shared" si="16"/>
        <v>68</v>
      </c>
      <c r="W13" s="112">
        <f t="shared" si="17"/>
        <v>-23</v>
      </c>
      <c r="Y13" s="113" t="str">
        <f ca="1">COUNTIF(B_COEFF_GIRONE_C,"&gt;="&amp;AS13)&amp;Z13</f>
        <v>3C</v>
      </c>
      <c r="Z13" s="33" t="s">
        <v>26</v>
      </c>
      <c r="AA13" s="82" t="s">
        <v>179</v>
      </c>
      <c r="AB13" s="114" t="str">
        <f t="shared" si="18"/>
        <v>Ippopotami</v>
      </c>
      <c r="AC13" s="82">
        <f t="shared" si="19"/>
        <v>3</v>
      </c>
      <c r="AD13" s="82">
        <f t="shared" si="20"/>
        <v>2</v>
      </c>
      <c r="AE13" s="82">
        <f t="shared" si="21"/>
        <v>1</v>
      </c>
      <c r="AF13" s="82">
        <f t="shared" si="22"/>
        <v>0</v>
      </c>
      <c r="AG13" s="115">
        <f t="shared" si="23"/>
        <v>5</v>
      </c>
      <c r="AH13" s="116">
        <f t="shared" si="24"/>
        <v>206</v>
      </c>
      <c r="AI13" s="82">
        <f t="shared" si="25"/>
        <v>208</v>
      </c>
      <c r="AJ13" s="117">
        <f t="shared" si="26"/>
        <v>-2</v>
      </c>
      <c r="AK13" s="82">
        <f ca="1">IF(AG13=AG14,INDIRECT("O"&amp;8+6*(FIND(Z13,"ABCDEFGH")-1)),0)</f>
        <v>0</v>
      </c>
      <c r="AL13" s="82">
        <f ca="1">IF(AG13=AG11,INDIRECT("U"&amp;4+6*(FIND(Z13,"ABCDEFGH")-1)),0)</f>
        <v>95</v>
      </c>
      <c r="AM13" s="82">
        <f ca="1">IF(AG13=AG12,INDIRECT("U"&amp;6+6*(FIND(Z13,"ABCDEFGH")-1)),0)</f>
        <v>49</v>
      </c>
      <c r="AN13" s="116">
        <f t="shared" ca="1" si="27"/>
        <v>144</v>
      </c>
      <c r="AO13" s="111">
        <f ca="1">IF(AG13=AG14,INDIRECT("Q"&amp;8+6*(FIND(Z13,"ABCDEFGH")-1)),0)</f>
        <v>0</v>
      </c>
      <c r="AP13" s="111">
        <f ca="1">IF(AG13=AG11,INDIRECT("W"&amp;4+6*(FIND(Z13,"ABCDEFGH")-1)),0)</f>
        <v>29</v>
      </c>
      <c r="AQ13" s="111">
        <f ca="1">IF(AG13=AG12,INDIRECT("W"&amp;6+6*(FIND(Z13,"ABCDEFGH")-1)),0)</f>
        <v>-49</v>
      </c>
      <c r="AR13" s="117">
        <f t="shared" ca="1" si="28"/>
        <v>-20</v>
      </c>
      <c r="AS13" s="118">
        <f t="shared" ca="1" si="29"/>
        <v>5.4801444982060001</v>
      </c>
      <c r="AU13" s="119" t="s">
        <v>180</v>
      </c>
      <c r="AV13" s="120">
        <v>59</v>
      </c>
      <c r="AW13" s="121" t="s">
        <v>139</v>
      </c>
      <c r="AX13" s="122" t="s">
        <v>149</v>
      </c>
      <c r="AY13" s="121" t="s">
        <v>181</v>
      </c>
      <c r="AZ13" s="121" t="s">
        <v>182</v>
      </c>
      <c r="BA13" s="109" t="str">
        <f t="shared" ca="1" si="30"/>
        <v>Cervi</v>
      </c>
      <c r="BB13" s="109" t="str">
        <f t="shared" ca="1" si="31"/>
        <v>Muli</v>
      </c>
      <c r="BC13" s="82">
        <f t="shared" si="32"/>
        <v>50</v>
      </c>
      <c r="BD13" s="82">
        <f t="shared" si="33"/>
        <v>43</v>
      </c>
      <c r="BE13" s="109" t="str">
        <f t="shared" ca="1" si="34"/>
        <v>Cervi</v>
      </c>
      <c r="BF13" s="109" t="str">
        <f t="shared" ca="1" si="35"/>
        <v>Muli</v>
      </c>
      <c r="BG13" s="82">
        <f t="shared" si="36"/>
        <v>1</v>
      </c>
      <c r="BH13" s="110">
        <f t="shared" si="37"/>
        <v>0</v>
      </c>
      <c r="BI13" s="110">
        <f t="shared" si="38"/>
        <v>0</v>
      </c>
      <c r="BJ13" s="82">
        <f t="shared" si="39"/>
        <v>50</v>
      </c>
      <c r="BK13" s="82">
        <f t="shared" si="40"/>
        <v>43</v>
      </c>
      <c r="BL13" s="111">
        <f t="shared" si="41"/>
        <v>7</v>
      </c>
      <c r="BM13" s="82">
        <f t="shared" si="42"/>
        <v>0</v>
      </c>
      <c r="BN13" s="82">
        <f t="shared" si="43"/>
        <v>1</v>
      </c>
      <c r="BO13" s="82">
        <f t="shared" si="44"/>
        <v>0</v>
      </c>
      <c r="BP13" s="82">
        <f t="shared" si="45"/>
        <v>43</v>
      </c>
      <c r="BQ13" s="82">
        <f t="shared" si="46"/>
        <v>50</v>
      </c>
      <c r="BR13" s="112">
        <f t="shared" si="47"/>
        <v>-7</v>
      </c>
    </row>
    <row r="14" spans="1:70">
      <c r="A14" s="31">
        <v>4</v>
      </c>
      <c r="B14" s="33" t="s">
        <v>8</v>
      </c>
      <c r="C14" s="33" t="s">
        <v>20</v>
      </c>
      <c r="D14" s="82" t="s">
        <v>163</v>
      </c>
      <c r="E14" s="82" t="s">
        <v>167</v>
      </c>
      <c r="F14" s="109" t="str">
        <f t="shared" si="0"/>
        <v>Linci</v>
      </c>
      <c r="G14" s="109" t="str">
        <f t="shared" si="1"/>
        <v>Serval</v>
      </c>
      <c r="H14" s="82">
        <f t="shared" si="2"/>
        <v>96</v>
      </c>
      <c r="I14" s="82">
        <f t="shared" si="3"/>
        <v>86</v>
      </c>
      <c r="J14" s="109" t="str">
        <f t="shared" si="4"/>
        <v>Linci</v>
      </c>
      <c r="K14" s="109" t="str">
        <f t="shared" si="5"/>
        <v>Serval</v>
      </c>
      <c r="L14" s="82">
        <f t="shared" si="6"/>
        <v>1</v>
      </c>
      <c r="M14" s="110">
        <f t="shared" si="7"/>
        <v>0</v>
      </c>
      <c r="N14" s="110">
        <f t="shared" si="8"/>
        <v>0</v>
      </c>
      <c r="O14" s="82">
        <f t="shared" si="9"/>
        <v>96</v>
      </c>
      <c r="P14" s="82">
        <f t="shared" si="10"/>
        <v>86</v>
      </c>
      <c r="Q14" s="111">
        <f t="shared" si="11"/>
        <v>10</v>
      </c>
      <c r="R14" s="82">
        <f t="shared" si="12"/>
        <v>0</v>
      </c>
      <c r="S14" s="82">
        <f t="shared" si="13"/>
        <v>1</v>
      </c>
      <c r="T14" s="82">
        <f t="shared" si="14"/>
        <v>0</v>
      </c>
      <c r="U14" s="82">
        <f t="shared" si="15"/>
        <v>86</v>
      </c>
      <c r="V14" s="82">
        <f t="shared" si="16"/>
        <v>96</v>
      </c>
      <c r="W14" s="112">
        <f t="shared" si="17"/>
        <v>-10</v>
      </c>
      <c r="Y14" s="113" t="str">
        <f ca="1">COUNTIF(B_COEFF_GIRONE_C,"&gt;="&amp;AS14)&amp;Z14</f>
        <v>4C</v>
      </c>
      <c r="Z14" s="33" t="s">
        <v>26</v>
      </c>
      <c r="AA14" s="82" t="s">
        <v>183</v>
      </c>
      <c r="AB14" s="114" t="str">
        <f t="shared" si="18"/>
        <v>Iguane</v>
      </c>
      <c r="AC14" s="82">
        <f t="shared" si="19"/>
        <v>3</v>
      </c>
      <c r="AD14" s="82">
        <f t="shared" si="20"/>
        <v>0</v>
      </c>
      <c r="AE14" s="82">
        <f t="shared" si="21"/>
        <v>3</v>
      </c>
      <c r="AF14" s="82">
        <f t="shared" si="22"/>
        <v>0</v>
      </c>
      <c r="AG14" s="115">
        <f t="shared" si="23"/>
        <v>3</v>
      </c>
      <c r="AH14" s="116">
        <f t="shared" si="24"/>
        <v>120</v>
      </c>
      <c r="AI14" s="82">
        <f t="shared" si="25"/>
        <v>179</v>
      </c>
      <c r="AJ14" s="117">
        <f t="shared" si="26"/>
        <v>-59</v>
      </c>
      <c r="AK14" s="82">
        <f ca="1">IF(AG14=AG11,INDIRECT("U"&amp;5+6*(FIND(Z14,"ABCDEFGH")-1)),0)</f>
        <v>0</v>
      </c>
      <c r="AL14" s="82">
        <f ca="1">IF(AG14=AG12,INDIRECT("U"&amp;7+6*(FIND(Z14,"ABCDEFGH")-1)),0)</f>
        <v>0</v>
      </c>
      <c r="AM14" s="82">
        <f ca="1">IF(AG14=AG13,INDIRECT("U"&amp;8+6*(FIND(Z14,"ABCDEFGH")-1)),0)</f>
        <v>0</v>
      </c>
      <c r="AN14" s="116">
        <f t="shared" ca="1" si="27"/>
        <v>0</v>
      </c>
      <c r="AO14" s="111">
        <f ca="1">IF(AG14=AG11,INDIRECT("W"&amp;5+6*(FIND(Z14,"ABCDEFGH")-1)),0)</f>
        <v>0</v>
      </c>
      <c r="AP14" s="111">
        <f ca="1">IF(AG14=AG12,INDIRECT("W"&amp;7+6*(FIND(Z14,"ABCDEFGH")-1)),0)</f>
        <v>0</v>
      </c>
      <c r="AQ14" s="111">
        <f ca="1">IF(AG14=AG13,INDIRECT("W"&amp;8+6*(FIND(Z14,"ABCDEFGH")-1)),0)</f>
        <v>0</v>
      </c>
      <c r="AR14" s="117">
        <f t="shared" ca="1" si="28"/>
        <v>0</v>
      </c>
      <c r="AS14" s="118">
        <f t="shared" ca="1" si="29"/>
        <v>3.5000004411200001</v>
      </c>
      <c r="AU14" s="119" t="s">
        <v>184</v>
      </c>
      <c r="AV14" s="120">
        <v>60</v>
      </c>
      <c r="AW14" s="121" t="s">
        <v>139</v>
      </c>
      <c r="AX14" s="122" t="s">
        <v>149</v>
      </c>
      <c r="AY14" s="121" t="s">
        <v>185</v>
      </c>
      <c r="AZ14" s="121" t="s">
        <v>186</v>
      </c>
      <c r="BA14" s="109" t="str">
        <f t="shared" ca="1" si="30"/>
        <v>Orche</v>
      </c>
      <c r="BB14" s="109" t="str">
        <f t="shared" ca="1" si="31"/>
        <v>Cinghiali</v>
      </c>
      <c r="BC14" s="82">
        <f t="shared" si="32"/>
        <v>52</v>
      </c>
      <c r="BD14" s="82">
        <f t="shared" si="33"/>
        <v>42</v>
      </c>
      <c r="BE14" s="109" t="str">
        <f t="shared" ca="1" si="34"/>
        <v>Orche</v>
      </c>
      <c r="BF14" s="109" t="str">
        <f t="shared" ca="1" si="35"/>
        <v>Cinghiali</v>
      </c>
      <c r="BG14" s="82">
        <f t="shared" si="36"/>
        <v>1</v>
      </c>
      <c r="BH14" s="110">
        <f t="shared" si="37"/>
        <v>0</v>
      </c>
      <c r="BI14" s="110">
        <f t="shared" si="38"/>
        <v>0</v>
      </c>
      <c r="BJ14" s="82">
        <f t="shared" si="39"/>
        <v>52</v>
      </c>
      <c r="BK14" s="82">
        <f t="shared" si="40"/>
        <v>42</v>
      </c>
      <c r="BL14" s="111">
        <f t="shared" si="41"/>
        <v>10</v>
      </c>
      <c r="BM14" s="82">
        <f t="shared" si="42"/>
        <v>0</v>
      </c>
      <c r="BN14" s="82">
        <f t="shared" si="43"/>
        <v>1</v>
      </c>
      <c r="BO14" s="82">
        <f t="shared" si="44"/>
        <v>0</v>
      </c>
      <c r="BP14" s="82">
        <f t="shared" si="45"/>
        <v>42</v>
      </c>
      <c r="BQ14" s="82">
        <f t="shared" si="46"/>
        <v>52</v>
      </c>
      <c r="BR14" s="112">
        <f t="shared" si="47"/>
        <v>-10</v>
      </c>
    </row>
    <row r="15" spans="1:70">
      <c r="A15" s="31">
        <v>5</v>
      </c>
      <c r="B15" s="33" t="s">
        <v>8</v>
      </c>
      <c r="C15" s="33" t="s">
        <v>26</v>
      </c>
      <c r="D15" s="82" t="s">
        <v>171</v>
      </c>
      <c r="E15" s="82" t="s">
        <v>175</v>
      </c>
      <c r="F15" s="109" t="str">
        <f t="shared" si="0"/>
        <v>Elefanti</v>
      </c>
      <c r="G15" s="109" t="str">
        <f t="shared" si="1"/>
        <v>Giraffe</v>
      </c>
      <c r="H15" s="82">
        <f t="shared" si="2"/>
        <v>79</v>
      </c>
      <c r="I15" s="82">
        <f t="shared" si="3"/>
        <v>48</v>
      </c>
      <c r="J15" s="109" t="str">
        <f t="shared" si="4"/>
        <v>Elefanti</v>
      </c>
      <c r="K15" s="109" t="str">
        <f t="shared" si="5"/>
        <v>Giraffe</v>
      </c>
      <c r="L15" s="82">
        <f t="shared" si="6"/>
        <v>1</v>
      </c>
      <c r="M15" s="110">
        <f t="shared" si="7"/>
        <v>0</v>
      </c>
      <c r="N15" s="110">
        <f t="shared" si="8"/>
        <v>0</v>
      </c>
      <c r="O15" s="82">
        <f t="shared" si="9"/>
        <v>79</v>
      </c>
      <c r="P15" s="82">
        <f t="shared" si="10"/>
        <v>48</v>
      </c>
      <c r="Q15" s="111">
        <f t="shared" si="11"/>
        <v>31</v>
      </c>
      <c r="R15" s="82">
        <f t="shared" si="12"/>
        <v>0</v>
      </c>
      <c r="S15" s="82">
        <f t="shared" si="13"/>
        <v>1</v>
      </c>
      <c r="T15" s="82">
        <f t="shared" si="14"/>
        <v>0</v>
      </c>
      <c r="U15" s="82">
        <f t="shared" si="15"/>
        <v>48</v>
      </c>
      <c r="V15" s="82">
        <f t="shared" si="16"/>
        <v>79</v>
      </c>
      <c r="W15" s="112">
        <f t="shared" si="17"/>
        <v>-31</v>
      </c>
      <c r="Y15" s="123" t="str">
        <f ca="1">COUNTIF(B_COEFF_GIRONE_D,"&gt;="&amp;AS15)&amp;Z15</f>
        <v>1D</v>
      </c>
      <c r="Z15" s="124" t="s">
        <v>32</v>
      </c>
      <c r="AA15" s="124" t="s">
        <v>187</v>
      </c>
      <c r="AB15" s="125" t="str">
        <f t="shared" si="18"/>
        <v>Coccodrilli</v>
      </c>
      <c r="AC15" s="124">
        <f t="shared" si="19"/>
        <v>3</v>
      </c>
      <c r="AD15" s="124">
        <f t="shared" si="20"/>
        <v>2</v>
      </c>
      <c r="AE15" s="124">
        <f t="shared" si="21"/>
        <v>1</v>
      </c>
      <c r="AF15" s="124">
        <f t="shared" si="22"/>
        <v>0</v>
      </c>
      <c r="AG15" s="126">
        <f t="shared" si="23"/>
        <v>5</v>
      </c>
      <c r="AH15" s="127">
        <f t="shared" si="24"/>
        <v>179</v>
      </c>
      <c r="AI15" s="124">
        <f t="shared" si="25"/>
        <v>108</v>
      </c>
      <c r="AJ15" s="128">
        <f t="shared" si="26"/>
        <v>71</v>
      </c>
      <c r="AK15" s="124">
        <f ca="1">IF(AG15=AG16,INDIRECT("O"&amp;3+6*(FIND(Z15,"ABCDEFGH")-1)),0)</f>
        <v>96</v>
      </c>
      <c r="AL15" s="129">
        <f ca="1">IF(AG15=AG17,INDIRECT("O"&amp;4+6*(FIND(Z15,"ABCDEFGH")-1)),0)</f>
        <v>29</v>
      </c>
      <c r="AM15" s="124">
        <f ca="1">IF(AG15=AG18,INDIRECT("O"&amp;5+6*(FIND(Z15,"ABCDEFGH")-1)),0)</f>
        <v>0</v>
      </c>
      <c r="AN15" s="127">
        <f t="shared" ca="1" si="27"/>
        <v>125</v>
      </c>
      <c r="AO15" s="130">
        <f ca="1">IF(AG15=AG16,INDIRECT("Q"&amp;3+6*(FIND(Z15,"ABCDEFGH")-1)),0)</f>
        <v>71</v>
      </c>
      <c r="AP15" s="130">
        <f ca="1">IF(AG15=AG17,INDIRECT("Q"&amp;4+6*(FIND(Z15,"ABCDEFGH")-1)),0)</f>
        <v>-10</v>
      </c>
      <c r="AQ15" s="130">
        <f ca="1">IF(AG15=AG18,INDIRECT("Q"&amp;5+6*(FIND(Z15,"ABCDEFGH")-1)),0)</f>
        <v>0</v>
      </c>
      <c r="AR15" s="128">
        <f t="shared" ca="1" si="28"/>
        <v>61</v>
      </c>
      <c r="AS15" s="131">
        <f t="shared" ca="1" si="29"/>
        <v>5.5611255711789997</v>
      </c>
      <c r="AU15" s="119" t="s">
        <v>188</v>
      </c>
      <c r="AV15" s="120">
        <v>61</v>
      </c>
      <c r="AW15" s="121" t="s">
        <v>139</v>
      </c>
      <c r="AX15" s="122" t="s">
        <v>140</v>
      </c>
      <c r="AY15" s="121" t="s">
        <v>189</v>
      </c>
      <c r="AZ15" s="121" t="s">
        <v>190</v>
      </c>
      <c r="BA15" s="109" t="str">
        <f t="shared" ca="1" si="30"/>
        <v>Balene</v>
      </c>
      <c r="BB15" s="109" t="str">
        <f t="shared" ca="1" si="31"/>
        <v>Tonni</v>
      </c>
      <c r="BC15" s="82">
        <f t="shared" si="32"/>
        <v>51</v>
      </c>
      <c r="BD15" s="82">
        <f t="shared" si="33"/>
        <v>47</v>
      </c>
      <c r="BE15" s="109" t="str">
        <f t="shared" ca="1" si="34"/>
        <v>Balene</v>
      </c>
      <c r="BF15" s="109" t="str">
        <f t="shared" ca="1" si="35"/>
        <v>Tonni</v>
      </c>
      <c r="BG15" s="82">
        <f t="shared" si="36"/>
        <v>1</v>
      </c>
      <c r="BH15" s="110">
        <f t="shared" si="37"/>
        <v>0</v>
      </c>
      <c r="BI15" s="110">
        <f t="shared" si="38"/>
        <v>0</v>
      </c>
      <c r="BJ15" s="82">
        <f t="shared" si="39"/>
        <v>51</v>
      </c>
      <c r="BK15" s="82">
        <f t="shared" si="40"/>
        <v>47</v>
      </c>
      <c r="BL15" s="111">
        <f t="shared" si="41"/>
        <v>4</v>
      </c>
      <c r="BM15" s="82">
        <f t="shared" si="42"/>
        <v>0</v>
      </c>
      <c r="BN15" s="82">
        <f t="shared" si="43"/>
        <v>1</v>
      </c>
      <c r="BO15" s="82">
        <f t="shared" si="44"/>
        <v>0</v>
      </c>
      <c r="BP15" s="82">
        <f t="shared" si="45"/>
        <v>47</v>
      </c>
      <c r="BQ15" s="82">
        <f t="shared" si="46"/>
        <v>51</v>
      </c>
      <c r="BR15" s="112">
        <f t="shared" si="47"/>
        <v>-4</v>
      </c>
    </row>
    <row r="16" spans="1:70">
      <c r="A16" s="31">
        <v>11</v>
      </c>
      <c r="B16" s="33" t="s">
        <v>8</v>
      </c>
      <c r="C16" s="33" t="s">
        <v>26</v>
      </c>
      <c r="D16" s="82" t="s">
        <v>171</v>
      </c>
      <c r="E16" s="82" t="s">
        <v>179</v>
      </c>
      <c r="F16" s="109" t="str">
        <f t="shared" si="0"/>
        <v>Elefanti</v>
      </c>
      <c r="G16" s="109" t="str">
        <f t="shared" si="1"/>
        <v>Ippopotami</v>
      </c>
      <c r="H16" s="82">
        <f t="shared" si="2"/>
        <v>66</v>
      </c>
      <c r="I16" s="82">
        <f t="shared" si="3"/>
        <v>95</v>
      </c>
      <c r="J16" s="109" t="str">
        <f t="shared" si="4"/>
        <v>Ippopotami</v>
      </c>
      <c r="K16" s="109" t="str">
        <f t="shared" si="5"/>
        <v>Elefanti</v>
      </c>
      <c r="L16" s="82">
        <f t="shared" si="6"/>
        <v>0</v>
      </c>
      <c r="M16" s="110">
        <f t="shared" si="7"/>
        <v>1</v>
      </c>
      <c r="N16" s="110">
        <f t="shared" si="8"/>
        <v>0</v>
      </c>
      <c r="O16" s="82">
        <f t="shared" si="9"/>
        <v>66</v>
      </c>
      <c r="P16" s="82">
        <f t="shared" si="10"/>
        <v>95</v>
      </c>
      <c r="Q16" s="111">
        <f t="shared" si="11"/>
        <v>-29</v>
      </c>
      <c r="R16" s="82">
        <f t="shared" si="12"/>
        <v>1</v>
      </c>
      <c r="S16" s="82">
        <f t="shared" si="13"/>
        <v>0</v>
      </c>
      <c r="T16" s="82">
        <f t="shared" si="14"/>
        <v>0</v>
      </c>
      <c r="U16" s="82">
        <f t="shared" si="15"/>
        <v>95</v>
      </c>
      <c r="V16" s="82">
        <f t="shared" si="16"/>
        <v>66</v>
      </c>
      <c r="W16" s="112">
        <f t="shared" si="17"/>
        <v>29</v>
      </c>
      <c r="Y16" s="113" t="str">
        <f ca="1">COUNTIF(B_COEFF_GIRONE_D,"&gt;="&amp;AS16)&amp;Z16</f>
        <v>3D</v>
      </c>
      <c r="Z16" s="33" t="s">
        <v>32</v>
      </c>
      <c r="AA16" s="82" t="s">
        <v>191</v>
      </c>
      <c r="AB16" s="114" t="str">
        <f t="shared" si="18"/>
        <v>Pitoni</v>
      </c>
      <c r="AC16" s="82">
        <f t="shared" si="19"/>
        <v>3</v>
      </c>
      <c r="AD16" s="82">
        <f t="shared" si="20"/>
        <v>2</v>
      </c>
      <c r="AE16" s="82">
        <f t="shared" si="21"/>
        <v>1</v>
      </c>
      <c r="AF16" s="82">
        <f t="shared" si="22"/>
        <v>0</v>
      </c>
      <c r="AG16" s="115">
        <f t="shared" si="23"/>
        <v>5</v>
      </c>
      <c r="AH16" s="116">
        <f t="shared" si="24"/>
        <v>133</v>
      </c>
      <c r="AI16" s="82">
        <f t="shared" si="25"/>
        <v>168</v>
      </c>
      <c r="AJ16" s="117">
        <f t="shared" si="26"/>
        <v>-35</v>
      </c>
      <c r="AK16" s="82">
        <f ca="1">IF(AG16=AG17,INDIRECT("O"&amp;6+6*(FIND(Z16,"ABCDEFGH")-1)),0)</f>
        <v>25</v>
      </c>
      <c r="AL16" s="82">
        <f ca="1">IF(AG16=AG18,INDIRECT("O"&amp;7+6*(FIND(Z16,"ABCDEFGH")-1)),0)</f>
        <v>0</v>
      </c>
      <c r="AM16" s="82">
        <f ca="1">IF(AG16=AG15,INDIRECT("U"&amp;3+6*(FIND(Z16,"ABCDEFGH")-1)),0)</f>
        <v>25</v>
      </c>
      <c r="AN16" s="116">
        <f t="shared" ca="1" si="27"/>
        <v>50</v>
      </c>
      <c r="AO16" s="111">
        <f ca="1">IF(AG16=AG17,INDIRECT("Q"&amp;6+6*(FIND(Z16,"ABCDEFGH")-1)),0)</f>
        <v>10</v>
      </c>
      <c r="AP16" s="111">
        <f ca="1">IF(AG16=AG18,INDIRECT("Q"&amp;7+6*(FIND(Z16,"ABCDEFGH")-1)),0)</f>
        <v>0</v>
      </c>
      <c r="AQ16" s="111">
        <f ca="1">IF(AG16=AG15,INDIRECT("W"&amp;3+6*(FIND(Z16,"ABCDEFGH")-1)),0)</f>
        <v>-71</v>
      </c>
      <c r="AR16" s="117">
        <f t="shared" ca="1" si="28"/>
        <v>-61</v>
      </c>
      <c r="AS16" s="118">
        <f t="shared" ca="1" si="29"/>
        <v>5.4390504651330005</v>
      </c>
      <c r="AU16" s="119" t="s">
        <v>192</v>
      </c>
      <c r="AV16" s="120">
        <v>62</v>
      </c>
      <c r="AW16" s="121" t="s">
        <v>139</v>
      </c>
      <c r="AX16" s="122" t="s">
        <v>140</v>
      </c>
      <c r="AY16" s="121" t="s">
        <v>193</v>
      </c>
      <c r="AZ16" s="121" t="s">
        <v>194</v>
      </c>
      <c r="BA16" s="109" t="str">
        <f t="shared" ca="1" si="30"/>
        <v>Piranha</v>
      </c>
      <c r="BB16" s="109" t="str">
        <f t="shared" ca="1" si="31"/>
        <v>Gabbiani</v>
      </c>
      <c r="BC16" s="82">
        <f t="shared" si="32"/>
        <v>60</v>
      </c>
      <c r="BD16" s="82">
        <f t="shared" si="33"/>
        <v>30</v>
      </c>
      <c r="BE16" s="109" t="str">
        <f t="shared" ca="1" si="34"/>
        <v>Piranha</v>
      </c>
      <c r="BF16" s="109" t="str">
        <f t="shared" ca="1" si="35"/>
        <v>Gabbiani</v>
      </c>
      <c r="BG16" s="82">
        <f t="shared" si="36"/>
        <v>1</v>
      </c>
      <c r="BH16" s="110">
        <f t="shared" si="37"/>
        <v>0</v>
      </c>
      <c r="BI16" s="110">
        <f t="shared" si="38"/>
        <v>0</v>
      </c>
      <c r="BJ16" s="82">
        <f t="shared" si="39"/>
        <v>60</v>
      </c>
      <c r="BK16" s="82">
        <f t="shared" si="40"/>
        <v>30</v>
      </c>
      <c r="BL16" s="111">
        <f t="shared" si="41"/>
        <v>30</v>
      </c>
      <c r="BM16" s="82">
        <f t="shared" si="42"/>
        <v>0</v>
      </c>
      <c r="BN16" s="82">
        <f t="shared" si="43"/>
        <v>1</v>
      </c>
      <c r="BO16" s="82">
        <f t="shared" si="44"/>
        <v>0</v>
      </c>
      <c r="BP16" s="82">
        <f t="shared" si="45"/>
        <v>30</v>
      </c>
      <c r="BQ16" s="82">
        <f t="shared" si="46"/>
        <v>60</v>
      </c>
      <c r="BR16" s="112">
        <f t="shared" si="47"/>
        <v>-30</v>
      </c>
    </row>
    <row r="17" spans="1:70">
      <c r="A17" s="31">
        <v>27</v>
      </c>
      <c r="B17" s="33" t="s">
        <v>8</v>
      </c>
      <c r="C17" s="33" t="s">
        <v>26</v>
      </c>
      <c r="D17" s="82" t="s">
        <v>171</v>
      </c>
      <c r="E17" s="82" t="s">
        <v>183</v>
      </c>
      <c r="F17" s="109" t="str">
        <f t="shared" si="0"/>
        <v>Elefanti</v>
      </c>
      <c r="G17" s="109" t="str">
        <f t="shared" si="1"/>
        <v>Iguane</v>
      </c>
      <c r="H17" s="82">
        <f t="shared" si="2"/>
        <v>57</v>
      </c>
      <c r="I17" s="82">
        <f t="shared" si="3"/>
        <v>42</v>
      </c>
      <c r="J17" s="109" t="str">
        <f t="shared" si="4"/>
        <v>Elefanti</v>
      </c>
      <c r="K17" s="109" t="str">
        <f t="shared" si="5"/>
        <v>Iguane</v>
      </c>
      <c r="L17" s="82">
        <f t="shared" si="6"/>
        <v>1</v>
      </c>
      <c r="M17" s="110">
        <f t="shared" si="7"/>
        <v>0</v>
      </c>
      <c r="N17" s="110">
        <f t="shared" si="8"/>
        <v>0</v>
      </c>
      <c r="O17" s="82">
        <f t="shared" si="9"/>
        <v>57</v>
      </c>
      <c r="P17" s="82">
        <f t="shared" si="10"/>
        <v>42</v>
      </c>
      <c r="Q17" s="111">
        <f t="shared" si="11"/>
        <v>15</v>
      </c>
      <c r="R17" s="82">
        <f t="shared" si="12"/>
        <v>0</v>
      </c>
      <c r="S17" s="82">
        <f t="shared" si="13"/>
        <v>1</v>
      </c>
      <c r="T17" s="82">
        <f t="shared" si="14"/>
        <v>0</v>
      </c>
      <c r="U17" s="82">
        <f t="shared" si="15"/>
        <v>42</v>
      </c>
      <c r="V17" s="82">
        <f t="shared" si="16"/>
        <v>57</v>
      </c>
      <c r="W17" s="112">
        <f t="shared" si="17"/>
        <v>-15</v>
      </c>
      <c r="Y17" s="113" t="str">
        <f ca="1">COUNTIF(B_COEFF_GIRONE_D,"&gt;="&amp;AS17)&amp;Z17</f>
        <v>2D</v>
      </c>
      <c r="Z17" s="33" t="s">
        <v>32</v>
      </c>
      <c r="AA17" s="82" t="s">
        <v>195</v>
      </c>
      <c r="AB17" s="114" t="str">
        <f t="shared" si="18"/>
        <v>Aquile</v>
      </c>
      <c r="AC17" s="82">
        <f t="shared" si="19"/>
        <v>3</v>
      </c>
      <c r="AD17" s="82">
        <f t="shared" si="20"/>
        <v>2</v>
      </c>
      <c r="AE17" s="82">
        <f t="shared" si="21"/>
        <v>1</v>
      </c>
      <c r="AF17" s="82">
        <f t="shared" si="22"/>
        <v>0</v>
      </c>
      <c r="AG17" s="115">
        <f t="shared" si="23"/>
        <v>5</v>
      </c>
      <c r="AH17" s="116">
        <f t="shared" si="24"/>
        <v>126</v>
      </c>
      <c r="AI17" s="82">
        <f t="shared" si="25"/>
        <v>106</v>
      </c>
      <c r="AJ17" s="117">
        <f t="shared" si="26"/>
        <v>20</v>
      </c>
      <c r="AK17" s="82">
        <f ca="1">IF(AG17=AG18,INDIRECT("O"&amp;8+6*(FIND(Z17,"ABCDEFGH")-1)),0)</f>
        <v>0</v>
      </c>
      <c r="AL17" s="82">
        <f ca="1">IF(AG17=AG15,INDIRECT("U"&amp;4+6*(FIND(Z17,"ABCDEFGH")-1)),0)</f>
        <v>39</v>
      </c>
      <c r="AM17" s="82">
        <f ca="1">IF(AG17=AG16,INDIRECT("U"&amp;6+6*(FIND(Z17,"ABCDEFGH")-1)),0)</f>
        <v>15</v>
      </c>
      <c r="AN17" s="116">
        <f t="shared" ca="1" si="27"/>
        <v>54</v>
      </c>
      <c r="AO17" s="111">
        <f ca="1">IF(AG17=AG18,INDIRECT("Q"&amp;8+6*(FIND(Z17,"ABCDEFGH")-1)),0)</f>
        <v>0</v>
      </c>
      <c r="AP17" s="111">
        <f ca="1">IF(AG17=AG15,INDIRECT("W"&amp;4+6*(FIND(Z17,"ABCDEFGH")-1)),0)</f>
        <v>10</v>
      </c>
      <c r="AQ17" s="111">
        <f ca="1">IF(AG17=AG16,INDIRECT("W"&amp;6+6*(FIND(Z17,"ABCDEFGH")-1)),0)</f>
        <v>-10</v>
      </c>
      <c r="AR17" s="117">
        <f t="shared" ca="1" si="28"/>
        <v>0</v>
      </c>
      <c r="AS17" s="118">
        <f t="shared" ca="1" si="29"/>
        <v>5.5000545201260005</v>
      </c>
      <c r="AU17" s="119" t="s">
        <v>196</v>
      </c>
      <c r="AV17" s="120">
        <v>63</v>
      </c>
      <c r="AW17" s="121" t="s">
        <v>139</v>
      </c>
      <c r="AX17" s="122" t="s">
        <v>149</v>
      </c>
      <c r="AY17" s="121" t="s">
        <v>197</v>
      </c>
      <c r="AZ17" s="121" t="s">
        <v>198</v>
      </c>
      <c r="BA17" s="109" t="str">
        <f t="shared" ca="1" si="30"/>
        <v>Delfini</v>
      </c>
      <c r="BB17" s="109" t="str">
        <f t="shared" ca="1" si="31"/>
        <v>Scorpioni</v>
      </c>
      <c r="BC17" s="82">
        <f t="shared" si="32"/>
        <v>66</v>
      </c>
      <c r="BD17" s="82">
        <f t="shared" si="33"/>
        <v>39</v>
      </c>
      <c r="BE17" s="109" t="str">
        <f t="shared" ca="1" si="34"/>
        <v>Delfini</v>
      </c>
      <c r="BF17" s="109" t="str">
        <f t="shared" ca="1" si="35"/>
        <v>Scorpioni</v>
      </c>
      <c r="BG17" s="82">
        <f t="shared" si="36"/>
        <v>1</v>
      </c>
      <c r="BH17" s="110">
        <f t="shared" si="37"/>
        <v>0</v>
      </c>
      <c r="BI17" s="110">
        <f t="shared" si="38"/>
        <v>0</v>
      </c>
      <c r="BJ17" s="82">
        <f t="shared" si="39"/>
        <v>66</v>
      </c>
      <c r="BK17" s="82">
        <f t="shared" si="40"/>
        <v>39</v>
      </c>
      <c r="BL17" s="111">
        <f t="shared" si="41"/>
        <v>27</v>
      </c>
      <c r="BM17" s="82">
        <f t="shared" si="42"/>
        <v>0</v>
      </c>
      <c r="BN17" s="82">
        <f t="shared" si="43"/>
        <v>1</v>
      </c>
      <c r="BO17" s="82">
        <f t="shared" si="44"/>
        <v>0</v>
      </c>
      <c r="BP17" s="82">
        <f t="shared" si="45"/>
        <v>39</v>
      </c>
      <c r="BQ17" s="82">
        <f t="shared" si="46"/>
        <v>66</v>
      </c>
      <c r="BR17" s="112">
        <f t="shared" si="47"/>
        <v>-27</v>
      </c>
    </row>
    <row r="18" spans="1:70">
      <c r="A18" s="31">
        <v>39</v>
      </c>
      <c r="B18" s="33" t="s">
        <v>8</v>
      </c>
      <c r="C18" s="33" t="s">
        <v>26</v>
      </c>
      <c r="D18" s="82" t="s">
        <v>175</v>
      </c>
      <c r="E18" s="82" t="s">
        <v>179</v>
      </c>
      <c r="F18" s="109" t="str">
        <f t="shared" si="0"/>
        <v>Giraffe</v>
      </c>
      <c r="G18" s="109" t="str">
        <f t="shared" si="1"/>
        <v>Ippopotami</v>
      </c>
      <c r="H18" s="82">
        <f t="shared" si="2"/>
        <v>98</v>
      </c>
      <c r="I18" s="82">
        <f t="shared" si="3"/>
        <v>49</v>
      </c>
      <c r="J18" s="109" t="str">
        <f t="shared" si="4"/>
        <v>Giraffe</v>
      </c>
      <c r="K18" s="109" t="str">
        <f t="shared" si="5"/>
        <v>Ippopotami</v>
      </c>
      <c r="L18" s="82">
        <f t="shared" si="6"/>
        <v>1</v>
      </c>
      <c r="M18" s="110">
        <f t="shared" si="7"/>
        <v>0</v>
      </c>
      <c r="N18" s="110">
        <f t="shared" si="8"/>
        <v>0</v>
      </c>
      <c r="O18" s="82">
        <f t="shared" si="9"/>
        <v>98</v>
      </c>
      <c r="P18" s="82">
        <f t="shared" si="10"/>
        <v>49</v>
      </c>
      <c r="Q18" s="111">
        <f t="shared" si="11"/>
        <v>49</v>
      </c>
      <c r="R18" s="82">
        <f t="shared" si="12"/>
        <v>0</v>
      </c>
      <c r="S18" s="82">
        <f t="shared" si="13"/>
        <v>1</v>
      </c>
      <c r="T18" s="82">
        <f t="shared" si="14"/>
        <v>0</v>
      </c>
      <c r="U18" s="82">
        <f t="shared" si="15"/>
        <v>49</v>
      </c>
      <c r="V18" s="82">
        <f t="shared" si="16"/>
        <v>98</v>
      </c>
      <c r="W18" s="112">
        <f t="shared" si="17"/>
        <v>-49</v>
      </c>
      <c r="Y18" s="132" t="str">
        <f ca="1">COUNTIF(B_COEFF_GIRONE_D,"&gt;="&amp;AS18)&amp;Z18</f>
        <v>4D</v>
      </c>
      <c r="Z18" s="133" t="s">
        <v>32</v>
      </c>
      <c r="AA18" s="133" t="s">
        <v>199</v>
      </c>
      <c r="AB18" s="134" t="str">
        <f t="shared" si="18"/>
        <v>Falchi</v>
      </c>
      <c r="AC18" s="133">
        <f t="shared" si="19"/>
        <v>3</v>
      </c>
      <c r="AD18" s="133">
        <f t="shared" si="20"/>
        <v>0</v>
      </c>
      <c r="AE18" s="133">
        <f t="shared" si="21"/>
        <v>3</v>
      </c>
      <c r="AF18" s="133">
        <f t="shared" si="22"/>
        <v>0</v>
      </c>
      <c r="AG18" s="135">
        <f t="shared" si="23"/>
        <v>3</v>
      </c>
      <c r="AH18" s="136">
        <f t="shared" si="24"/>
        <v>153</v>
      </c>
      <c r="AI18" s="133">
        <f t="shared" si="25"/>
        <v>209</v>
      </c>
      <c r="AJ18" s="137">
        <f t="shared" si="26"/>
        <v>-56</v>
      </c>
      <c r="AK18" s="133">
        <f ca="1">IF(AG18=AG15,INDIRECT("U"&amp;5+6*(FIND(Z18,"ABCDEFGH")-1)),0)</f>
        <v>0</v>
      </c>
      <c r="AL18" s="133">
        <f ca="1">IF(AG18=AG16,INDIRECT("U"&amp;7+6*(FIND(Z18,"ABCDEFGH")-1)),0)</f>
        <v>0</v>
      </c>
      <c r="AM18" s="133">
        <f ca="1">IF(AG18=AG17,INDIRECT("U"&amp;8+6*(FIND(Z18,"ABCDEFGH")-1)),0)</f>
        <v>0</v>
      </c>
      <c r="AN18" s="136">
        <f t="shared" ca="1" si="27"/>
        <v>0</v>
      </c>
      <c r="AO18" s="138">
        <f ca="1">IF(AG18=AG15,INDIRECT("W"&amp;5+6*(FIND(Z18,"ABCDEFGH")-1)),0)</f>
        <v>0</v>
      </c>
      <c r="AP18" s="138">
        <f ca="1">IF(AG18=AG16,INDIRECT("W"&amp;7+6*(FIND(Z18,"ABCDEFGH")-1)),0)</f>
        <v>0</v>
      </c>
      <c r="AQ18" s="138">
        <f ca="1">IF(AG18=AG17,INDIRECT("W"&amp;8+6*(FIND(Z18,"ABCDEFGH")-1)),0)</f>
        <v>0</v>
      </c>
      <c r="AR18" s="137">
        <f t="shared" ca="1" si="28"/>
        <v>0</v>
      </c>
      <c r="AS18" s="139">
        <f t="shared" ca="1" si="29"/>
        <v>3.5000004441529997</v>
      </c>
      <c r="AU18" s="119" t="s">
        <v>200</v>
      </c>
      <c r="AV18" s="120">
        <v>64</v>
      </c>
      <c r="AW18" s="121" t="s">
        <v>139</v>
      </c>
      <c r="AX18" s="122" t="s">
        <v>149</v>
      </c>
      <c r="AY18" s="121" t="s">
        <v>201</v>
      </c>
      <c r="AZ18" s="121" t="s">
        <v>202</v>
      </c>
      <c r="BA18" s="109" t="str">
        <f t="shared" ca="1" si="30"/>
        <v>Zebre</v>
      </c>
      <c r="BB18" s="109" t="str">
        <f t="shared" ca="1" si="31"/>
        <v>Fenicotteri</v>
      </c>
      <c r="BC18" s="82">
        <f t="shared" si="32"/>
        <v>62</v>
      </c>
      <c r="BD18" s="82">
        <f t="shared" si="33"/>
        <v>31</v>
      </c>
      <c r="BE18" s="109" t="str">
        <f t="shared" ca="1" si="34"/>
        <v>Zebre</v>
      </c>
      <c r="BF18" s="109" t="str">
        <f t="shared" ca="1" si="35"/>
        <v>Fenicotteri</v>
      </c>
      <c r="BG18" s="82">
        <f t="shared" si="36"/>
        <v>1</v>
      </c>
      <c r="BH18" s="110">
        <f t="shared" si="37"/>
        <v>0</v>
      </c>
      <c r="BI18" s="110">
        <f t="shared" si="38"/>
        <v>0</v>
      </c>
      <c r="BJ18" s="82">
        <f t="shared" si="39"/>
        <v>62</v>
      </c>
      <c r="BK18" s="82">
        <f t="shared" si="40"/>
        <v>31</v>
      </c>
      <c r="BL18" s="111">
        <f t="shared" si="41"/>
        <v>31</v>
      </c>
      <c r="BM18" s="82">
        <f t="shared" si="42"/>
        <v>0</v>
      </c>
      <c r="BN18" s="82">
        <f t="shared" si="43"/>
        <v>1</v>
      </c>
      <c r="BO18" s="82">
        <f t="shared" si="44"/>
        <v>0</v>
      </c>
      <c r="BP18" s="82">
        <f t="shared" si="45"/>
        <v>31</v>
      </c>
      <c r="BQ18" s="82">
        <f t="shared" si="46"/>
        <v>62</v>
      </c>
      <c r="BR18" s="112">
        <f t="shared" si="47"/>
        <v>-31</v>
      </c>
    </row>
    <row r="19" spans="1:70">
      <c r="A19" s="31">
        <v>15</v>
      </c>
      <c r="B19" s="33" t="s">
        <v>8</v>
      </c>
      <c r="C19" s="33" t="s">
        <v>26</v>
      </c>
      <c r="D19" s="82" t="s">
        <v>175</v>
      </c>
      <c r="E19" s="82" t="s">
        <v>183</v>
      </c>
      <c r="F19" s="109" t="str">
        <f t="shared" si="0"/>
        <v>Giraffe</v>
      </c>
      <c r="G19" s="109" t="str">
        <f t="shared" si="1"/>
        <v>Iguane</v>
      </c>
      <c r="H19" s="82">
        <f t="shared" si="2"/>
        <v>60</v>
      </c>
      <c r="I19" s="82">
        <f t="shared" si="3"/>
        <v>34</v>
      </c>
      <c r="J19" s="109" t="str">
        <f t="shared" si="4"/>
        <v>Giraffe</v>
      </c>
      <c r="K19" s="109" t="str">
        <f t="shared" si="5"/>
        <v>Iguane</v>
      </c>
      <c r="L19" s="82">
        <f t="shared" si="6"/>
        <v>1</v>
      </c>
      <c r="M19" s="110">
        <f t="shared" si="7"/>
        <v>0</v>
      </c>
      <c r="N19" s="110">
        <f t="shared" si="8"/>
        <v>0</v>
      </c>
      <c r="O19" s="82">
        <f t="shared" si="9"/>
        <v>60</v>
      </c>
      <c r="P19" s="82">
        <f t="shared" si="10"/>
        <v>34</v>
      </c>
      <c r="Q19" s="111">
        <f t="shared" si="11"/>
        <v>26</v>
      </c>
      <c r="R19" s="82">
        <f t="shared" si="12"/>
        <v>0</v>
      </c>
      <c r="S19" s="82">
        <f t="shared" si="13"/>
        <v>1</v>
      </c>
      <c r="T19" s="82">
        <f t="shared" si="14"/>
        <v>0</v>
      </c>
      <c r="U19" s="82">
        <f t="shared" si="15"/>
        <v>34</v>
      </c>
      <c r="V19" s="82">
        <f t="shared" si="16"/>
        <v>60</v>
      </c>
      <c r="W19" s="112">
        <f t="shared" si="17"/>
        <v>-26</v>
      </c>
      <c r="Y19" s="113" t="str">
        <f ca="1">COUNTIF(B_COEFF_GIRONE_E,"&gt;="&amp;AS19)&amp;Z19</f>
        <v>1E</v>
      </c>
      <c r="Z19" s="33" t="s">
        <v>38</v>
      </c>
      <c r="AA19" s="82" t="s">
        <v>203</v>
      </c>
      <c r="AB19" s="114" t="str">
        <f t="shared" si="18"/>
        <v>Bisonti</v>
      </c>
      <c r="AC19" s="82">
        <f t="shared" si="19"/>
        <v>3</v>
      </c>
      <c r="AD19" s="82">
        <f t="shared" si="20"/>
        <v>2</v>
      </c>
      <c r="AE19" s="82">
        <f t="shared" si="21"/>
        <v>1</v>
      </c>
      <c r="AF19" s="82">
        <f t="shared" si="22"/>
        <v>0</v>
      </c>
      <c r="AG19" s="115">
        <f t="shared" si="23"/>
        <v>5</v>
      </c>
      <c r="AH19" s="116">
        <f t="shared" si="24"/>
        <v>103</v>
      </c>
      <c r="AI19" s="82">
        <f t="shared" si="25"/>
        <v>100</v>
      </c>
      <c r="AJ19" s="117">
        <f t="shared" si="26"/>
        <v>3</v>
      </c>
      <c r="AK19" s="82">
        <f ca="1">IF(AG19=AG20,INDIRECT("O"&amp;3+6*(FIND(Z19,"ABCDEFGH")-1)),0)</f>
        <v>34</v>
      </c>
      <c r="AL19" s="110">
        <f ca="1">IF(AG19=AG21,INDIRECT("O"&amp;4+6*(FIND(Z19,"ABCDEFGH")-1)),0)</f>
        <v>33</v>
      </c>
      <c r="AM19" s="82">
        <f ca="1">IF(AG19=AG22,INDIRECT("O"&amp;5+6*(FIND(Z19,"ABCDEFGH")-1)),0)</f>
        <v>0</v>
      </c>
      <c r="AN19" s="116">
        <f t="shared" ca="1" si="27"/>
        <v>67</v>
      </c>
      <c r="AO19" s="111">
        <f ca="1">IF(AG19=AG20,INDIRECT("Q"&amp;3+6*(FIND(Z19,"ABCDEFGH")-1)),0)</f>
        <v>1</v>
      </c>
      <c r="AP19" s="111">
        <f ca="1">IF(AG19=AG21,INDIRECT("Q"&amp;4+6*(FIND(Z19,"ABCDEFGH")-1)),0)</f>
        <v>-1</v>
      </c>
      <c r="AQ19" s="111">
        <f ca="1">IF(AG19=AG22,INDIRECT("Q"&amp;5+6*(FIND(Z19,"ABCDEFGH")-1)),0)</f>
        <v>0</v>
      </c>
      <c r="AR19" s="117">
        <f t="shared" ca="1" si="28"/>
        <v>0</v>
      </c>
      <c r="AS19" s="118">
        <f t="shared" ca="1" si="29"/>
        <v>5.5000675031029997</v>
      </c>
      <c r="AU19" s="119" t="s">
        <v>204</v>
      </c>
      <c r="AV19" s="120">
        <v>65</v>
      </c>
      <c r="AW19" s="121" t="s">
        <v>139</v>
      </c>
      <c r="AX19" s="122" t="s">
        <v>205</v>
      </c>
      <c r="AY19" s="121" t="s">
        <v>206</v>
      </c>
      <c r="AZ19" s="121" t="s">
        <v>207</v>
      </c>
      <c r="BA19" s="141" t="str">
        <f t="shared" ca="1" si="30"/>
        <v>Iguane</v>
      </c>
      <c r="BB19" s="109" t="str">
        <f t="shared" ca="1" si="31"/>
        <v>Falchi</v>
      </c>
      <c r="BC19" s="82">
        <f t="shared" si="32"/>
        <v>63</v>
      </c>
      <c r="BD19" s="82">
        <f t="shared" si="33"/>
        <v>35</v>
      </c>
      <c r="BE19" s="109" t="str">
        <f t="shared" ca="1" si="34"/>
        <v>Iguane</v>
      </c>
      <c r="BF19" s="109" t="str">
        <f t="shared" ca="1" si="35"/>
        <v>Falchi</v>
      </c>
      <c r="BG19" s="82">
        <f t="shared" si="36"/>
        <v>1</v>
      </c>
      <c r="BH19" s="110">
        <f t="shared" si="37"/>
        <v>0</v>
      </c>
      <c r="BI19" s="110">
        <f t="shared" si="38"/>
        <v>0</v>
      </c>
      <c r="BJ19" s="82">
        <f t="shared" si="39"/>
        <v>63</v>
      </c>
      <c r="BK19" s="82">
        <f t="shared" si="40"/>
        <v>35</v>
      </c>
      <c r="BL19" s="111">
        <f t="shared" si="41"/>
        <v>28</v>
      </c>
      <c r="BM19" s="82">
        <f t="shared" si="42"/>
        <v>0</v>
      </c>
      <c r="BN19" s="82">
        <f t="shared" si="43"/>
        <v>1</v>
      </c>
      <c r="BO19" s="82">
        <f t="shared" si="44"/>
        <v>0</v>
      </c>
      <c r="BP19" s="82">
        <f t="shared" si="45"/>
        <v>35</v>
      </c>
      <c r="BQ19" s="82">
        <f t="shared" si="46"/>
        <v>63</v>
      </c>
      <c r="BR19" s="112">
        <f t="shared" si="47"/>
        <v>-28</v>
      </c>
    </row>
    <row r="20" spans="1:70">
      <c r="A20" s="31">
        <v>6</v>
      </c>
      <c r="B20" s="33" t="s">
        <v>8</v>
      </c>
      <c r="C20" s="33" t="s">
        <v>26</v>
      </c>
      <c r="D20" s="82" t="s">
        <v>179</v>
      </c>
      <c r="E20" s="82" t="s">
        <v>183</v>
      </c>
      <c r="F20" s="109" t="str">
        <f t="shared" si="0"/>
        <v>Ippopotami</v>
      </c>
      <c r="G20" s="109" t="str">
        <f t="shared" si="1"/>
        <v>Iguane</v>
      </c>
      <c r="H20" s="82">
        <f t="shared" si="2"/>
        <v>62</v>
      </c>
      <c r="I20" s="82">
        <f t="shared" si="3"/>
        <v>44</v>
      </c>
      <c r="J20" s="109" t="str">
        <f t="shared" si="4"/>
        <v>Ippopotami</v>
      </c>
      <c r="K20" s="109" t="str">
        <f t="shared" si="5"/>
        <v>Iguane</v>
      </c>
      <c r="L20" s="82">
        <f t="shared" si="6"/>
        <v>1</v>
      </c>
      <c r="M20" s="110">
        <f t="shared" si="7"/>
        <v>0</v>
      </c>
      <c r="N20" s="110">
        <f t="shared" si="8"/>
        <v>0</v>
      </c>
      <c r="O20" s="82">
        <f t="shared" si="9"/>
        <v>62</v>
      </c>
      <c r="P20" s="82">
        <f t="shared" si="10"/>
        <v>44</v>
      </c>
      <c r="Q20" s="111">
        <f t="shared" si="11"/>
        <v>18</v>
      </c>
      <c r="R20" s="82">
        <f t="shared" si="12"/>
        <v>0</v>
      </c>
      <c r="S20" s="82">
        <f t="shared" si="13"/>
        <v>1</v>
      </c>
      <c r="T20" s="82">
        <f t="shared" si="14"/>
        <v>0</v>
      </c>
      <c r="U20" s="82">
        <f t="shared" si="15"/>
        <v>44</v>
      </c>
      <c r="V20" s="82">
        <f t="shared" si="16"/>
        <v>62</v>
      </c>
      <c r="W20" s="112">
        <f t="shared" si="17"/>
        <v>-18</v>
      </c>
      <c r="Y20" s="113" t="str">
        <f ca="1">COUNTIF(B_COEFF_GIRONE_E,"&gt;="&amp;AS20)&amp;Z20</f>
        <v>2E</v>
      </c>
      <c r="Z20" s="33" t="s">
        <v>38</v>
      </c>
      <c r="AA20" s="82" t="s">
        <v>208</v>
      </c>
      <c r="AB20" s="114" t="str">
        <f t="shared" si="18"/>
        <v>Bufali</v>
      </c>
      <c r="AC20" s="82">
        <f t="shared" si="19"/>
        <v>3</v>
      </c>
      <c r="AD20" s="82">
        <f t="shared" si="20"/>
        <v>2</v>
      </c>
      <c r="AE20" s="82">
        <f t="shared" si="21"/>
        <v>1</v>
      </c>
      <c r="AF20" s="82">
        <f t="shared" si="22"/>
        <v>0</v>
      </c>
      <c r="AG20" s="115">
        <f t="shared" si="23"/>
        <v>5</v>
      </c>
      <c r="AH20" s="116">
        <f t="shared" si="24"/>
        <v>102</v>
      </c>
      <c r="AI20" s="82">
        <f t="shared" si="25"/>
        <v>100</v>
      </c>
      <c r="AJ20" s="117">
        <f t="shared" si="26"/>
        <v>2</v>
      </c>
      <c r="AK20" s="82">
        <f ca="1">IF(AG20=AG21,INDIRECT("O"&amp;6+6*(FIND(Z20,"ABCDEFGH")-1)),0)</f>
        <v>34</v>
      </c>
      <c r="AL20" s="82">
        <f ca="1">IF(AG20=AG22,INDIRECT("O"&amp;7+6*(FIND(Z20,"ABCDEFGH")-1)),0)</f>
        <v>0</v>
      </c>
      <c r="AM20" s="82">
        <f ca="1">IF(AG20=AG19,INDIRECT("U"&amp;3+6*(FIND(Z20,"ABCDEFGH")-1)),0)</f>
        <v>33</v>
      </c>
      <c r="AN20" s="116">
        <f t="shared" ca="1" si="27"/>
        <v>67</v>
      </c>
      <c r="AO20" s="111">
        <f ca="1">IF(AG20=AG21,INDIRECT("Q"&amp;6+6*(FIND(Z20,"ABCDEFGH")-1)),0)</f>
        <v>1</v>
      </c>
      <c r="AP20" s="111">
        <f ca="1">IF(AG20=AG22,INDIRECT("Q"&amp;7+6*(FIND(Z20,"ABCDEFGH")-1)),0)</f>
        <v>0</v>
      </c>
      <c r="AQ20" s="111">
        <f ca="1">IF(AG20=AG19,INDIRECT("W"&amp;3+6*(FIND(Z20,"ABCDEFGH")-1)),0)</f>
        <v>-1</v>
      </c>
      <c r="AR20" s="117">
        <f t="shared" ca="1" si="28"/>
        <v>0</v>
      </c>
      <c r="AS20" s="118">
        <f t="shared" ca="1" si="29"/>
        <v>5.5000675021019996</v>
      </c>
      <c r="AU20" s="119" t="s">
        <v>209</v>
      </c>
      <c r="AV20" s="120">
        <v>66</v>
      </c>
      <c r="AW20" s="121" t="s">
        <v>139</v>
      </c>
      <c r="AX20" s="122" t="s">
        <v>205</v>
      </c>
      <c r="AY20" s="121" t="s">
        <v>210</v>
      </c>
      <c r="AZ20" s="121" t="s">
        <v>211</v>
      </c>
      <c r="BA20" s="109" t="str">
        <f t="shared" ca="1" si="30"/>
        <v>Ghepardi</v>
      </c>
      <c r="BB20" s="109" t="str">
        <f t="shared" ca="1" si="31"/>
        <v>Serval</v>
      </c>
      <c r="BC20" s="82">
        <f t="shared" si="32"/>
        <v>60</v>
      </c>
      <c r="BD20" s="82">
        <f t="shared" si="33"/>
        <v>45</v>
      </c>
      <c r="BE20" s="109" t="str">
        <f t="shared" ca="1" si="34"/>
        <v>Ghepardi</v>
      </c>
      <c r="BF20" s="109" t="str">
        <f t="shared" ca="1" si="35"/>
        <v>Serval</v>
      </c>
      <c r="BG20" s="82">
        <f t="shared" si="36"/>
        <v>1</v>
      </c>
      <c r="BH20" s="110">
        <f t="shared" si="37"/>
        <v>0</v>
      </c>
      <c r="BI20" s="110">
        <f t="shared" si="38"/>
        <v>0</v>
      </c>
      <c r="BJ20" s="82">
        <f t="shared" si="39"/>
        <v>60</v>
      </c>
      <c r="BK20" s="82">
        <f t="shared" si="40"/>
        <v>45</v>
      </c>
      <c r="BL20" s="111">
        <f t="shared" si="41"/>
        <v>15</v>
      </c>
      <c r="BM20" s="82">
        <f t="shared" si="42"/>
        <v>0</v>
      </c>
      <c r="BN20" s="82">
        <f t="shared" si="43"/>
        <v>1</v>
      </c>
      <c r="BO20" s="82">
        <f t="shared" si="44"/>
        <v>0</v>
      </c>
      <c r="BP20" s="82">
        <f t="shared" si="45"/>
        <v>45</v>
      </c>
      <c r="BQ20" s="82">
        <f t="shared" si="46"/>
        <v>60</v>
      </c>
      <c r="BR20" s="112">
        <f t="shared" si="47"/>
        <v>-15</v>
      </c>
    </row>
    <row r="21" spans="1:70">
      <c r="A21" s="31">
        <v>7</v>
      </c>
      <c r="B21" s="33" t="s">
        <v>8</v>
      </c>
      <c r="C21" s="33" t="s">
        <v>32</v>
      </c>
      <c r="D21" s="82" t="s">
        <v>187</v>
      </c>
      <c r="E21" s="82" t="s">
        <v>191</v>
      </c>
      <c r="F21" s="109" t="str">
        <f t="shared" si="0"/>
        <v>Coccodrilli</v>
      </c>
      <c r="G21" s="109" t="str">
        <f t="shared" si="1"/>
        <v>Pitoni</v>
      </c>
      <c r="H21" s="82">
        <f t="shared" si="2"/>
        <v>96</v>
      </c>
      <c r="I21" s="82">
        <f t="shared" si="3"/>
        <v>25</v>
      </c>
      <c r="J21" s="109" t="str">
        <f t="shared" si="4"/>
        <v>Coccodrilli</v>
      </c>
      <c r="K21" s="109" t="str">
        <f t="shared" si="5"/>
        <v>Pitoni</v>
      </c>
      <c r="L21" s="82">
        <f t="shared" si="6"/>
        <v>1</v>
      </c>
      <c r="M21" s="110">
        <f t="shared" si="7"/>
        <v>0</v>
      </c>
      <c r="N21" s="110">
        <f t="shared" si="8"/>
        <v>0</v>
      </c>
      <c r="O21" s="82">
        <f t="shared" si="9"/>
        <v>96</v>
      </c>
      <c r="P21" s="82">
        <f t="shared" si="10"/>
        <v>25</v>
      </c>
      <c r="Q21" s="111">
        <f t="shared" si="11"/>
        <v>71</v>
      </c>
      <c r="R21" s="82">
        <f t="shared" si="12"/>
        <v>0</v>
      </c>
      <c r="S21" s="82">
        <f t="shared" si="13"/>
        <v>1</v>
      </c>
      <c r="T21" s="82">
        <f t="shared" si="14"/>
        <v>0</v>
      </c>
      <c r="U21" s="82">
        <f t="shared" si="15"/>
        <v>25</v>
      </c>
      <c r="V21" s="82">
        <f t="shared" si="16"/>
        <v>96</v>
      </c>
      <c r="W21" s="112">
        <f t="shared" si="17"/>
        <v>-71</v>
      </c>
      <c r="Y21" s="113" t="str">
        <f ca="1">COUNTIF(B_COEFF_GIRONE_E,"&gt;="&amp;AS21)&amp;Z21</f>
        <v>3E</v>
      </c>
      <c r="Z21" s="33" t="s">
        <v>38</v>
      </c>
      <c r="AA21" s="82" t="s">
        <v>212</v>
      </c>
      <c r="AB21" s="114" t="str">
        <f t="shared" si="18"/>
        <v>Cervi</v>
      </c>
      <c r="AC21" s="82">
        <f t="shared" si="19"/>
        <v>3</v>
      </c>
      <c r="AD21" s="82">
        <f t="shared" si="20"/>
        <v>2</v>
      </c>
      <c r="AE21" s="82">
        <f t="shared" si="21"/>
        <v>1</v>
      </c>
      <c r="AF21" s="82">
        <f t="shared" si="22"/>
        <v>0</v>
      </c>
      <c r="AG21" s="115">
        <f t="shared" si="23"/>
        <v>5</v>
      </c>
      <c r="AH21" s="116">
        <f t="shared" si="24"/>
        <v>101</v>
      </c>
      <c r="AI21" s="82">
        <f t="shared" si="25"/>
        <v>100</v>
      </c>
      <c r="AJ21" s="117">
        <f t="shared" si="26"/>
        <v>1</v>
      </c>
      <c r="AK21" s="82">
        <f ca="1">IF(AG21=AG22,INDIRECT("O"&amp;8+6*(FIND(Z21,"ABCDEFGH")-1)),0)</f>
        <v>0</v>
      </c>
      <c r="AL21" s="82">
        <f ca="1">IF(AG21=AG19,INDIRECT("U"&amp;4+6*(FIND(Z21,"ABCDEFGH")-1)),0)</f>
        <v>34</v>
      </c>
      <c r="AM21" s="82">
        <f ca="1">IF(AG21=AG20,INDIRECT("U"&amp;6+6*(FIND(Z21,"ABCDEFGH")-1)),0)</f>
        <v>33</v>
      </c>
      <c r="AN21" s="116">
        <f t="shared" ca="1" si="27"/>
        <v>67</v>
      </c>
      <c r="AO21" s="111">
        <f ca="1">IF(AG21=AG22,INDIRECT("Q"&amp;8+6*(FIND(Z21,"ABCDEFGH")-1)),0)</f>
        <v>0</v>
      </c>
      <c r="AP21" s="111">
        <f ca="1">IF(AG21=AG19,INDIRECT("W"&amp;4+6*(FIND(Z21,"ABCDEFGH")-1)),0)</f>
        <v>1</v>
      </c>
      <c r="AQ21" s="111">
        <f ca="1">IF(AG21=AG20,INDIRECT("W"&amp;6+6*(FIND(Z21,"ABCDEFGH")-1)),0)</f>
        <v>-1</v>
      </c>
      <c r="AR21" s="117">
        <f t="shared" ca="1" si="28"/>
        <v>0</v>
      </c>
      <c r="AS21" s="118">
        <f t="shared" ca="1" si="29"/>
        <v>5.5000675011009994</v>
      </c>
      <c r="AU21" s="119" t="s">
        <v>213</v>
      </c>
      <c r="AV21" s="120">
        <v>67</v>
      </c>
      <c r="AW21" s="121" t="s">
        <v>139</v>
      </c>
      <c r="AX21" s="122" t="s">
        <v>205</v>
      </c>
      <c r="AY21" s="121" t="s">
        <v>214</v>
      </c>
      <c r="AZ21" s="121" t="s">
        <v>215</v>
      </c>
      <c r="BA21" s="109" t="str">
        <f t="shared" ca="1" si="30"/>
        <v>Muli</v>
      </c>
      <c r="BB21" s="109" t="str">
        <f t="shared" ca="1" si="31"/>
        <v>Scorpioni</v>
      </c>
      <c r="BC21" s="82">
        <f t="shared" si="32"/>
        <v>54</v>
      </c>
      <c r="BD21" s="82">
        <f t="shared" si="33"/>
        <v>43</v>
      </c>
      <c r="BE21" s="109" t="str">
        <f t="shared" ca="1" si="34"/>
        <v>Muli</v>
      </c>
      <c r="BF21" s="109" t="str">
        <f t="shared" ca="1" si="35"/>
        <v>Scorpioni</v>
      </c>
      <c r="BG21" s="82">
        <f t="shared" si="36"/>
        <v>1</v>
      </c>
      <c r="BH21" s="110">
        <f t="shared" si="37"/>
        <v>0</v>
      </c>
      <c r="BI21" s="110">
        <f t="shared" si="38"/>
        <v>0</v>
      </c>
      <c r="BJ21" s="82">
        <f t="shared" si="39"/>
        <v>54</v>
      </c>
      <c r="BK21" s="82">
        <f t="shared" si="40"/>
        <v>43</v>
      </c>
      <c r="BL21" s="111">
        <f t="shared" si="41"/>
        <v>11</v>
      </c>
      <c r="BM21" s="82">
        <f t="shared" si="42"/>
        <v>0</v>
      </c>
      <c r="BN21" s="82">
        <f t="shared" si="43"/>
        <v>1</v>
      </c>
      <c r="BO21" s="82">
        <f t="shared" si="44"/>
        <v>0</v>
      </c>
      <c r="BP21" s="82">
        <f t="shared" si="45"/>
        <v>43</v>
      </c>
      <c r="BQ21" s="82">
        <f t="shared" si="46"/>
        <v>54</v>
      </c>
      <c r="BR21" s="112">
        <f t="shared" si="47"/>
        <v>-11</v>
      </c>
    </row>
    <row r="22" spans="1:70">
      <c r="A22" s="31">
        <v>12</v>
      </c>
      <c r="B22" s="33" t="s">
        <v>8</v>
      </c>
      <c r="C22" s="33" t="s">
        <v>32</v>
      </c>
      <c r="D22" s="82" t="s">
        <v>187</v>
      </c>
      <c r="E22" s="82" t="s">
        <v>195</v>
      </c>
      <c r="F22" s="109" t="str">
        <f t="shared" si="0"/>
        <v>Coccodrilli</v>
      </c>
      <c r="G22" s="109" t="str">
        <f t="shared" si="1"/>
        <v>Aquile</v>
      </c>
      <c r="H22" s="82">
        <f t="shared" si="2"/>
        <v>29</v>
      </c>
      <c r="I22" s="82">
        <f t="shared" si="3"/>
        <v>39</v>
      </c>
      <c r="J22" s="109" t="str">
        <f t="shared" si="4"/>
        <v>Aquile</v>
      </c>
      <c r="K22" s="109" t="str">
        <f t="shared" si="5"/>
        <v>Coccodrilli</v>
      </c>
      <c r="L22" s="82">
        <f t="shared" si="6"/>
        <v>0</v>
      </c>
      <c r="M22" s="110">
        <f t="shared" si="7"/>
        <v>1</v>
      </c>
      <c r="N22" s="110">
        <f t="shared" si="8"/>
        <v>0</v>
      </c>
      <c r="O22" s="82">
        <f t="shared" si="9"/>
        <v>29</v>
      </c>
      <c r="P22" s="82">
        <f t="shared" si="10"/>
        <v>39</v>
      </c>
      <c r="Q22" s="111">
        <f t="shared" si="11"/>
        <v>-10</v>
      </c>
      <c r="R22" s="82">
        <f t="shared" si="12"/>
        <v>1</v>
      </c>
      <c r="S22" s="82">
        <f t="shared" si="13"/>
        <v>0</v>
      </c>
      <c r="T22" s="82">
        <f t="shared" si="14"/>
        <v>0</v>
      </c>
      <c r="U22" s="82">
        <f t="shared" si="15"/>
        <v>39</v>
      </c>
      <c r="V22" s="82">
        <f t="shared" si="16"/>
        <v>29</v>
      </c>
      <c r="W22" s="112">
        <f t="shared" si="17"/>
        <v>10</v>
      </c>
      <c r="Y22" s="113" t="str">
        <f ca="1">COUNTIF(B_COEFF_GIRONE_E,"&gt;="&amp;AS22)&amp;Z22</f>
        <v>4E</v>
      </c>
      <c r="Z22" s="33" t="s">
        <v>38</v>
      </c>
      <c r="AA22" s="82" t="s">
        <v>216</v>
      </c>
      <c r="AB22" s="114" t="str">
        <f t="shared" si="18"/>
        <v>Cinghiali</v>
      </c>
      <c r="AC22" s="82">
        <f t="shared" si="19"/>
        <v>3</v>
      </c>
      <c r="AD22" s="82">
        <f t="shared" si="20"/>
        <v>0</v>
      </c>
      <c r="AE22" s="82">
        <f t="shared" si="21"/>
        <v>3</v>
      </c>
      <c r="AF22" s="82">
        <f t="shared" si="22"/>
        <v>0</v>
      </c>
      <c r="AG22" s="115">
        <f t="shared" si="23"/>
        <v>3</v>
      </c>
      <c r="AH22" s="116">
        <f t="shared" si="24"/>
        <v>99</v>
      </c>
      <c r="AI22" s="82">
        <f t="shared" si="25"/>
        <v>105</v>
      </c>
      <c r="AJ22" s="117">
        <f t="shared" si="26"/>
        <v>-6</v>
      </c>
      <c r="AK22" s="82">
        <f ca="1">IF(AG22=AG19,INDIRECT("U"&amp;5+6*(FIND(Z22,"ABCDEFGH")-1)),0)</f>
        <v>0</v>
      </c>
      <c r="AL22" s="82">
        <f ca="1">IF(AG22=AG20,INDIRECT("U"&amp;7+6*(FIND(Z22,"ABCDEFGH")-1)),0)</f>
        <v>0</v>
      </c>
      <c r="AM22" s="82">
        <f ca="1">IF(AG22=AG21,INDIRECT("U"&amp;8+6*(FIND(Z22,"ABCDEFGH")-1)),0)</f>
        <v>0</v>
      </c>
      <c r="AN22" s="116">
        <f t="shared" ca="1" si="27"/>
        <v>0</v>
      </c>
      <c r="AO22" s="111">
        <f ca="1">IF(AG22=AG19,INDIRECT("W"&amp;5+6*(FIND(Z22,"ABCDEFGH")-1)),0)</f>
        <v>0</v>
      </c>
      <c r="AP22" s="111">
        <f ca="1">IF(AG22=AG20,INDIRECT("W"&amp;7+6*(FIND(Z22,"ABCDEFGH")-1)),0)</f>
        <v>0</v>
      </c>
      <c r="AQ22" s="111">
        <f ca="1">IF(AG22=AG21,INDIRECT("W"&amp;8+6*(FIND(Z22,"ABCDEFGH")-1)),0)</f>
        <v>0</v>
      </c>
      <c r="AR22" s="117">
        <f t="shared" ca="1" si="28"/>
        <v>0</v>
      </c>
      <c r="AS22" s="118">
        <f t="shared" ca="1" si="29"/>
        <v>3.5000004940989999</v>
      </c>
      <c r="AU22" s="119" t="s">
        <v>217</v>
      </c>
      <c r="AV22" s="120">
        <v>68</v>
      </c>
      <c r="AW22" s="121" t="s">
        <v>139</v>
      </c>
      <c r="AX22" s="122" t="s">
        <v>205</v>
      </c>
      <c r="AY22" s="121" t="s">
        <v>218</v>
      </c>
      <c r="AZ22" s="121" t="s">
        <v>219</v>
      </c>
      <c r="BA22" s="109" t="str">
        <f t="shared" ca="1" si="30"/>
        <v>Cinghiali</v>
      </c>
      <c r="BB22" s="109" t="str">
        <f t="shared" ca="1" si="31"/>
        <v>Fenicotteri</v>
      </c>
      <c r="BC22" s="82">
        <f t="shared" si="32"/>
        <v>52</v>
      </c>
      <c r="BD22" s="82">
        <f t="shared" si="33"/>
        <v>49</v>
      </c>
      <c r="BE22" s="109" t="str">
        <f t="shared" ca="1" si="34"/>
        <v>Cinghiali</v>
      </c>
      <c r="BF22" s="109" t="str">
        <f t="shared" ca="1" si="35"/>
        <v>Fenicotteri</v>
      </c>
      <c r="BG22" s="82">
        <f t="shared" si="36"/>
        <v>1</v>
      </c>
      <c r="BH22" s="110">
        <f t="shared" si="37"/>
        <v>0</v>
      </c>
      <c r="BI22" s="110">
        <f t="shared" si="38"/>
        <v>0</v>
      </c>
      <c r="BJ22" s="82">
        <f t="shared" si="39"/>
        <v>52</v>
      </c>
      <c r="BK22" s="82">
        <f t="shared" si="40"/>
        <v>49</v>
      </c>
      <c r="BL22" s="111">
        <f t="shared" si="41"/>
        <v>3</v>
      </c>
      <c r="BM22" s="82">
        <f t="shared" si="42"/>
        <v>0</v>
      </c>
      <c r="BN22" s="82">
        <f t="shared" si="43"/>
        <v>1</v>
      </c>
      <c r="BO22" s="82">
        <f t="shared" si="44"/>
        <v>0</v>
      </c>
      <c r="BP22" s="82">
        <f t="shared" si="45"/>
        <v>49</v>
      </c>
      <c r="BQ22" s="82">
        <f t="shared" si="46"/>
        <v>52</v>
      </c>
      <c r="BR22" s="112">
        <f t="shared" si="47"/>
        <v>-3</v>
      </c>
    </row>
    <row r="23" spans="1:70">
      <c r="A23" s="31">
        <v>28</v>
      </c>
      <c r="B23" s="33" t="s">
        <v>8</v>
      </c>
      <c r="C23" s="33" t="s">
        <v>32</v>
      </c>
      <c r="D23" s="82" t="s">
        <v>187</v>
      </c>
      <c r="E23" s="82" t="s">
        <v>199</v>
      </c>
      <c r="F23" s="109" t="str">
        <f t="shared" si="0"/>
        <v>Coccodrilli</v>
      </c>
      <c r="G23" s="109" t="str">
        <f t="shared" si="1"/>
        <v>Falchi</v>
      </c>
      <c r="H23" s="82">
        <f t="shared" si="2"/>
        <v>54</v>
      </c>
      <c r="I23" s="82">
        <f t="shared" si="3"/>
        <v>44</v>
      </c>
      <c r="J23" s="109" t="str">
        <f t="shared" si="4"/>
        <v>Coccodrilli</v>
      </c>
      <c r="K23" s="109" t="str">
        <f t="shared" si="5"/>
        <v>Falchi</v>
      </c>
      <c r="L23" s="82">
        <f t="shared" si="6"/>
        <v>1</v>
      </c>
      <c r="M23" s="110">
        <f t="shared" si="7"/>
        <v>0</v>
      </c>
      <c r="N23" s="110">
        <f t="shared" si="8"/>
        <v>0</v>
      </c>
      <c r="O23" s="82">
        <f t="shared" si="9"/>
        <v>54</v>
      </c>
      <c r="P23" s="82">
        <f t="shared" si="10"/>
        <v>44</v>
      </c>
      <c r="Q23" s="111">
        <f t="shared" si="11"/>
        <v>10</v>
      </c>
      <c r="R23" s="82">
        <f t="shared" si="12"/>
        <v>0</v>
      </c>
      <c r="S23" s="82">
        <f t="shared" si="13"/>
        <v>1</v>
      </c>
      <c r="T23" s="82">
        <f t="shared" si="14"/>
        <v>0</v>
      </c>
      <c r="U23" s="82">
        <f t="shared" si="15"/>
        <v>44</v>
      </c>
      <c r="V23" s="82">
        <f t="shared" si="16"/>
        <v>54</v>
      </c>
      <c r="W23" s="112">
        <f t="shared" si="17"/>
        <v>-10</v>
      </c>
      <c r="Y23" s="123" t="str">
        <f ca="1">COUNTIF(B_COEFF_GIRONE_F,"&gt;="&amp;AS23)&amp;Z23</f>
        <v>1F</v>
      </c>
      <c r="Z23" s="124" t="s">
        <v>44</v>
      </c>
      <c r="AA23" s="124" t="s">
        <v>220</v>
      </c>
      <c r="AB23" s="125" t="str">
        <f t="shared" si="18"/>
        <v>Balene</v>
      </c>
      <c r="AC23" s="124">
        <f t="shared" si="19"/>
        <v>3</v>
      </c>
      <c r="AD23" s="124">
        <f t="shared" si="20"/>
        <v>2</v>
      </c>
      <c r="AE23" s="124">
        <f t="shared" si="21"/>
        <v>1</v>
      </c>
      <c r="AF23" s="124">
        <f t="shared" si="22"/>
        <v>0</v>
      </c>
      <c r="AG23" s="126">
        <f t="shared" si="23"/>
        <v>5</v>
      </c>
      <c r="AH23" s="127">
        <f t="shared" si="24"/>
        <v>103</v>
      </c>
      <c r="AI23" s="124">
        <f t="shared" si="25"/>
        <v>102</v>
      </c>
      <c r="AJ23" s="128">
        <f t="shared" si="26"/>
        <v>1</v>
      </c>
      <c r="AK23" s="124">
        <f ca="1">IF(AG23=AG24,INDIRECT("O"&amp;3+6*(FIND(Z23,"ABCDEFGH")-1)),0)</f>
        <v>34</v>
      </c>
      <c r="AL23" s="129">
        <f ca="1">IF(AG23=AG25,INDIRECT("O"&amp;4+6*(FIND(Z23,"ABCDEFGH")-1)),0)</f>
        <v>33</v>
      </c>
      <c r="AM23" s="124">
        <f ca="1">IF(AG23=AG26,INDIRECT("O"&amp;5+6*(FIND(Z23,"ABCDEFGH")-1)),0)</f>
        <v>0</v>
      </c>
      <c r="AN23" s="127">
        <f t="shared" ca="1" si="27"/>
        <v>67</v>
      </c>
      <c r="AO23" s="130">
        <f ca="1">IF(AG23=AG24,INDIRECT("Q"&amp;3+6*(FIND(Z23,"ABCDEFGH")-1)),0)</f>
        <v>1</v>
      </c>
      <c r="AP23" s="130">
        <f ca="1">IF(AG23=AG25,INDIRECT("Q"&amp;4+6*(FIND(Z23,"ABCDEFGH")-1)),0)</f>
        <v>-1</v>
      </c>
      <c r="AQ23" s="130">
        <f ca="1">IF(AG23=AG26,INDIRECT("Q"&amp;5+6*(FIND(Z23,"ABCDEFGH")-1)),0)</f>
        <v>0</v>
      </c>
      <c r="AR23" s="128">
        <f t="shared" ca="1" si="28"/>
        <v>0</v>
      </c>
      <c r="AS23" s="131">
        <f t="shared" ca="1" si="29"/>
        <v>5.5000675011029996</v>
      </c>
      <c r="AU23" s="119" t="s">
        <v>221</v>
      </c>
      <c r="AV23" s="120">
        <v>69</v>
      </c>
      <c r="AW23" s="121" t="s">
        <v>139</v>
      </c>
      <c r="AX23" s="122" t="s">
        <v>222</v>
      </c>
      <c r="AY23" s="121" t="s">
        <v>223</v>
      </c>
      <c r="AZ23" s="121" t="s">
        <v>224</v>
      </c>
      <c r="BA23" s="109" t="str">
        <f t="shared" ca="1" si="30"/>
        <v>Leoni</v>
      </c>
      <c r="BB23" s="109" t="str">
        <f t="shared" ca="1" si="31"/>
        <v>Giaguari</v>
      </c>
      <c r="BC23" s="82">
        <f t="shared" si="32"/>
        <v>58</v>
      </c>
      <c r="BD23" s="82">
        <f t="shared" si="33"/>
        <v>46</v>
      </c>
      <c r="BE23" s="109" t="str">
        <f t="shared" ca="1" si="34"/>
        <v>Leoni</v>
      </c>
      <c r="BF23" s="109" t="str">
        <f t="shared" ca="1" si="35"/>
        <v>Giaguari</v>
      </c>
      <c r="BG23" s="82">
        <f t="shared" si="36"/>
        <v>1</v>
      </c>
      <c r="BH23" s="110">
        <f t="shared" si="37"/>
        <v>0</v>
      </c>
      <c r="BI23" s="110">
        <f t="shared" si="38"/>
        <v>0</v>
      </c>
      <c r="BJ23" s="82">
        <f t="shared" si="39"/>
        <v>58</v>
      </c>
      <c r="BK23" s="82">
        <f t="shared" si="40"/>
        <v>46</v>
      </c>
      <c r="BL23" s="111">
        <f t="shared" si="41"/>
        <v>12</v>
      </c>
      <c r="BM23" s="82">
        <f t="shared" si="42"/>
        <v>0</v>
      </c>
      <c r="BN23" s="82">
        <f t="shared" si="43"/>
        <v>1</v>
      </c>
      <c r="BO23" s="82">
        <f t="shared" si="44"/>
        <v>0</v>
      </c>
      <c r="BP23" s="82">
        <f t="shared" si="45"/>
        <v>46</v>
      </c>
      <c r="BQ23" s="82">
        <f t="shared" si="46"/>
        <v>58</v>
      </c>
      <c r="BR23" s="112">
        <f t="shared" si="47"/>
        <v>-12</v>
      </c>
    </row>
    <row r="24" spans="1:70">
      <c r="A24" s="31">
        <v>40</v>
      </c>
      <c r="B24" s="33" t="s">
        <v>8</v>
      </c>
      <c r="C24" s="33" t="s">
        <v>32</v>
      </c>
      <c r="D24" s="82" t="s">
        <v>191</v>
      </c>
      <c r="E24" s="82" t="s">
        <v>195</v>
      </c>
      <c r="F24" s="109" t="str">
        <f t="shared" si="0"/>
        <v>Pitoni</v>
      </c>
      <c r="G24" s="109" t="str">
        <f t="shared" si="1"/>
        <v>Aquile</v>
      </c>
      <c r="H24" s="82">
        <f t="shared" si="2"/>
        <v>25</v>
      </c>
      <c r="I24" s="82">
        <f t="shared" si="3"/>
        <v>15</v>
      </c>
      <c r="J24" s="109" t="str">
        <f t="shared" si="4"/>
        <v>Pitoni</v>
      </c>
      <c r="K24" s="109" t="str">
        <f t="shared" si="5"/>
        <v>Aquile</v>
      </c>
      <c r="L24" s="82">
        <f t="shared" si="6"/>
        <v>1</v>
      </c>
      <c r="M24" s="110">
        <f t="shared" si="7"/>
        <v>0</v>
      </c>
      <c r="N24" s="110">
        <f t="shared" si="8"/>
        <v>0</v>
      </c>
      <c r="O24" s="82">
        <f t="shared" si="9"/>
        <v>25</v>
      </c>
      <c r="P24" s="82">
        <f t="shared" si="10"/>
        <v>15</v>
      </c>
      <c r="Q24" s="111">
        <f t="shared" si="11"/>
        <v>10</v>
      </c>
      <c r="R24" s="82">
        <f t="shared" si="12"/>
        <v>0</v>
      </c>
      <c r="S24" s="82">
        <f t="shared" si="13"/>
        <v>1</v>
      </c>
      <c r="T24" s="82">
        <f t="shared" si="14"/>
        <v>0</v>
      </c>
      <c r="U24" s="82">
        <f t="shared" si="15"/>
        <v>15</v>
      </c>
      <c r="V24" s="82">
        <f t="shared" si="16"/>
        <v>25</v>
      </c>
      <c r="W24" s="112">
        <f t="shared" si="17"/>
        <v>-10</v>
      </c>
      <c r="Y24" s="113" t="str">
        <f ca="1">COUNTIF(B_COEFF_GIRONE_F,"&gt;="&amp;AS24)&amp;Z24</f>
        <v>2F</v>
      </c>
      <c r="Z24" s="33" t="s">
        <v>44</v>
      </c>
      <c r="AA24" s="82" t="s">
        <v>225</v>
      </c>
      <c r="AB24" s="114" t="str">
        <f t="shared" si="18"/>
        <v>Gabbiani</v>
      </c>
      <c r="AC24" s="82">
        <f t="shared" si="19"/>
        <v>3</v>
      </c>
      <c r="AD24" s="82">
        <f t="shared" si="20"/>
        <v>2</v>
      </c>
      <c r="AE24" s="82">
        <f t="shared" si="21"/>
        <v>1</v>
      </c>
      <c r="AF24" s="82">
        <f t="shared" si="22"/>
        <v>0</v>
      </c>
      <c r="AG24" s="115">
        <f t="shared" si="23"/>
        <v>5</v>
      </c>
      <c r="AH24" s="116">
        <f t="shared" si="24"/>
        <v>102</v>
      </c>
      <c r="AI24" s="82">
        <f t="shared" si="25"/>
        <v>101</v>
      </c>
      <c r="AJ24" s="117">
        <f t="shared" si="26"/>
        <v>1</v>
      </c>
      <c r="AK24" s="82">
        <f ca="1">IF(AG24=AG25,INDIRECT("O"&amp;6+6*(FIND(Z24,"ABCDEFGH")-1)),0)</f>
        <v>34</v>
      </c>
      <c r="AL24" s="82">
        <f ca="1">IF(AG24=AG26,INDIRECT("O"&amp;7+6*(FIND(Z24,"ABCDEFGH")-1)),0)</f>
        <v>0</v>
      </c>
      <c r="AM24" s="82">
        <f ca="1">IF(AG24=AG23,INDIRECT("U"&amp;3+6*(FIND(Z24,"ABCDEFGH")-1)),0)</f>
        <v>33</v>
      </c>
      <c r="AN24" s="116">
        <f t="shared" ca="1" si="27"/>
        <v>67</v>
      </c>
      <c r="AO24" s="111">
        <f ca="1">IF(AG24=AG25,INDIRECT("Q"&amp;6+6*(FIND(Z24,"ABCDEFGH")-1)),0)</f>
        <v>1</v>
      </c>
      <c r="AP24" s="111">
        <f ca="1">IF(AG24=AG26,INDIRECT("Q"&amp;7+6*(FIND(Z24,"ABCDEFGH")-1)),0)</f>
        <v>0</v>
      </c>
      <c r="AQ24" s="111">
        <f ca="1">IF(AG24=AG23,INDIRECT("W"&amp;3+6*(FIND(Z24,"ABCDEFGH")-1)),0)</f>
        <v>-1</v>
      </c>
      <c r="AR24" s="117">
        <f t="shared" ca="1" si="28"/>
        <v>0</v>
      </c>
      <c r="AS24" s="118">
        <f t="shared" ca="1" si="29"/>
        <v>5.5000675011019995</v>
      </c>
      <c r="AU24" s="119" t="s">
        <v>226</v>
      </c>
      <c r="AV24" s="120">
        <v>70</v>
      </c>
      <c r="AW24" s="121" t="s">
        <v>139</v>
      </c>
      <c r="AX24" s="122" t="s">
        <v>222</v>
      </c>
      <c r="AY24" s="121" t="s">
        <v>227</v>
      </c>
      <c r="AZ24" s="121" t="s">
        <v>228</v>
      </c>
      <c r="BA24" s="109" t="str">
        <f t="shared" ca="1" si="30"/>
        <v>Bisonti</v>
      </c>
      <c r="BB24" s="109" t="str">
        <f t="shared" ca="1" si="31"/>
        <v>Balene</v>
      </c>
      <c r="BC24" s="82">
        <f t="shared" si="32"/>
        <v>60</v>
      </c>
      <c r="BD24" s="82">
        <f t="shared" si="33"/>
        <v>31</v>
      </c>
      <c r="BE24" s="109" t="str">
        <f t="shared" ca="1" si="34"/>
        <v>Bisonti</v>
      </c>
      <c r="BF24" s="109" t="str">
        <f t="shared" ca="1" si="35"/>
        <v>Balene</v>
      </c>
      <c r="BG24" s="82">
        <f t="shared" si="36"/>
        <v>1</v>
      </c>
      <c r="BH24" s="110">
        <f t="shared" si="37"/>
        <v>0</v>
      </c>
      <c r="BI24" s="110">
        <f t="shared" si="38"/>
        <v>0</v>
      </c>
      <c r="BJ24" s="82">
        <f t="shared" si="39"/>
        <v>60</v>
      </c>
      <c r="BK24" s="82">
        <f t="shared" si="40"/>
        <v>31</v>
      </c>
      <c r="BL24" s="111">
        <f t="shared" si="41"/>
        <v>29</v>
      </c>
      <c r="BM24" s="82">
        <f t="shared" si="42"/>
        <v>0</v>
      </c>
      <c r="BN24" s="82">
        <f t="shared" si="43"/>
        <v>1</v>
      </c>
      <c r="BO24" s="82">
        <f t="shared" si="44"/>
        <v>0</v>
      </c>
      <c r="BP24" s="82">
        <f t="shared" si="45"/>
        <v>31</v>
      </c>
      <c r="BQ24" s="82">
        <f t="shared" si="46"/>
        <v>60</v>
      </c>
      <c r="BR24" s="112">
        <f t="shared" si="47"/>
        <v>-29</v>
      </c>
    </row>
    <row r="25" spans="1:70">
      <c r="A25" s="31">
        <v>16</v>
      </c>
      <c r="B25" s="33" t="s">
        <v>8</v>
      </c>
      <c r="C25" s="33" t="s">
        <v>32</v>
      </c>
      <c r="D25" s="82" t="s">
        <v>191</v>
      </c>
      <c r="E25" s="82" t="s">
        <v>199</v>
      </c>
      <c r="F25" s="109" t="str">
        <f t="shared" si="0"/>
        <v>Pitoni</v>
      </c>
      <c r="G25" s="109" t="str">
        <f t="shared" si="1"/>
        <v>Falchi</v>
      </c>
      <c r="H25" s="82">
        <f t="shared" si="2"/>
        <v>83</v>
      </c>
      <c r="I25" s="82">
        <f t="shared" si="3"/>
        <v>57</v>
      </c>
      <c r="J25" s="109" t="str">
        <f t="shared" si="4"/>
        <v>Pitoni</v>
      </c>
      <c r="K25" s="109" t="str">
        <f t="shared" si="5"/>
        <v>Falchi</v>
      </c>
      <c r="L25" s="82">
        <f t="shared" si="6"/>
        <v>1</v>
      </c>
      <c r="M25" s="110">
        <f t="shared" si="7"/>
        <v>0</v>
      </c>
      <c r="N25" s="110">
        <f t="shared" si="8"/>
        <v>0</v>
      </c>
      <c r="O25" s="82">
        <f t="shared" si="9"/>
        <v>83</v>
      </c>
      <c r="P25" s="82">
        <f t="shared" si="10"/>
        <v>57</v>
      </c>
      <c r="Q25" s="111">
        <f t="shared" si="11"/>
        <v>26</v>
      </c>
      <c r="R25" s="82">
        <f t="shared" si="12"/>
        <v>0</v>
      </c>
      <c r="S25" s="82">
        <f t="shared" si="13"/>
        <v>1</v>
      </c>
      <c r="T25" s="82">
        <f t="shared" si="14"/>
        <v>0</v>
      </c>
      <c r="U25" s="82">
        <f t="shared" si="15"/>
        <v>57</v>
      </c>
      <c r="V25" s="82">
        <f t="shared" si="16"/>
        <v>83</v>
      </c>
      <c r="W25" s="112">
        <f t="shared" si="17"/>
        <v>-26</v>
      </c>
      <c r="Y25" s="113" t="str">
        <f ca="1">COUNTIF(B_COEFF_GIRONE_F,"&gt;="&amp;AS25)&amp;Z25</f>
        <v>3F</v>
      </c>
      <c r="Z25" s="33" t="s">
        <v>44</v>
      </c>
      <c r="AA25" s="82" t="s">
        <v>229</v>
      </c>
      <c r="AB25" s="114" t="str">
        <f t="shared" si="18"/>
        <v>Delfini</v>
      </c>
      <c r="AC25" s="82">
        <f t="shared" si="19"/>
        <v>3</v>
      </c>
      <c r="AD25" s="82">
        <f t="shared" si="20"/>
        <v>2</v>
      </c>
      <c r="AE25" s="82">
        <f t="shared" si="21"/>
        <v>1</v>
      </c>
      <c r="AF25" s="82">
        <f t="shared" si="22"/>
        <v>0</v>
      </c>
      <c r="AG25" s="115">
        <f t="shared" si="23"/>
        <v>5</v>
      </c>
      <c r="AH25" s="116">
        <f t="shared" si="24"/>
        <v>101</v>
      </c>
      <c r="AI25" s="82">
        <f t="shared" si="25"/>
        <v>100</v>
      </c>
      <c r="AJ25" s="117">
        <f t="shared" si="26"/>
        <v>1</v>
      </c>
      <c r="AK25" s="82">
        <f ca="1">IF(AG25=AG26,INDIRECT("O"&amp;8+6*(FIND(Z25,"ABCDEFGH")-1)),0)</f>
        <v>0</v>
      </c>
      <c r="AL25" s="82">
        <f ca="1">IF(AG25=AG23,INDIRECT("U"&amp;4+6*(FIND(Z25,"ABCDEFGH")-1)),0)</f>
        <v>34</v>
      </c>
      <c r="AM25" s="82">
        <f ca="1">IF(AG25=AG24,INDIRECT("U"&amp;6+6*(FIND(Z25,"ABCDEFGH")-1)),0)</f>
        <v>33</v>
      </c>
      <c r="AN25" s="116">
        <f t="shared" ca="1" si="27"/>
        <v>67</v>
      </c>
      <c r="AO25" s="111">
        <f ca="1">IF(AG25=AG26,INDIRECT("Q"&amp;8+6*(FIND(Z25,"ABCDEFGH")-1)),0)</f>
        <v>0</v>
      </c>
      <c r="AP25" s="111">
        <f ca="1">IF(AG25=AG23,INDIRECT("W"&amp;4+6*(FIND(Z25,"ABCDEFGH")-1)),0)</f>
        <v>1</v>
      </c>
      <c r="AQ25" s="111">
        <f ca="1">IF(AG25=AG24,INDIRECT("W"&amp;6+6*(FIND(Z25,"ABCDEFGH")-1)),0)</f>
        <v>-1</v>
      </c>
      <c r="AR25" s="117">
        <f t="shared" ca="1" si="28"/>
        <v>0</v>
      </c>
      <c r="AS25" s="118">
        <f t="shared" ca="1" si="29"/>
        <v>5.5000675011009994</v>
      </c>
      <c r="AU25" s="119" t="s">
        <v>230</v>
      </c>
      <c r="AV25" s="120">
        <v>71</v>
      </c>
      <c r="AW25" s="121" t="s">
        <v>139</v>
      </c>
      <c r="AX25" s="122" t="s">
        <v>231</v>
      </c>
      <c r="AY25" s="121" t="s">
        <v>232</v>
      </c>
      <c r="AZ25" s="121" t="s">
        <v>233</v>
      </c>
      <c r="BA25" s="109" t="str">
        <f t="shared" ca="1" si="30"/>
        <v>Tigri</v>
      </c>
      <c r="BB25" s="109" t="str">
        <f t="shared" ca="1" si="31"/>
        <v>Linci</v>
      </c>
      <c r="BC25" s="82">
        <f t="shared" si="32"/>
        <v>63</v>
      </c>
      <c r="BD25" s="82">
        <f t="shared" si="33"/>
        <v>42</v>
      </c>
      <c r="BE25" s="109" t="str">
        <f t="shared" ca="1" si="34"/>
        <v>Tigri</v>
      </c>
      <c r="BF25" s="109" t="str">
        <f t="shared" ca="1" si="35"/>
        <v>Linci</v>
      </c>
      <c r="BG25" s="82">
        <f t="shared" si="36"/>
        <v>1</v>
      </c>
      <c r="BH25" s="110">
        <f t="shared" si="37"/>
        <v>0</v>
      </c>
      <c r="BI25" s="110">
        <f t="shared" si="38"/>
        <v>0</v>
      </c>
      <c r="BJ25" s="82">
        <f t="shared" si="39"/>
        <v>63</v>
      </c>
      <c r="BK25" s="82">
        <f t="shared" si="40"/>
        <v>42</v>
      </c>
      <c r="BL25" s="111">
        <f t="shared" si="41"/>
        <v>21</v>
      </c>
      <c r="BM25" s="82">
        <f t="shared" si="42"/>
        <v>0</v>
      </c>
      <c r="BN25" s="82">
        <f t="shared" si="43"/>
        <v>1</v>
      </c>
      <c r="BO25" s="82">
        <f t="shared" si="44"/>
        <v>0</v>
      </c>
      <c r="BP25" s="82">
        <f t="shared" si="45"/>
        <v>42</v>
      </c>
      <c r="BQ25" s="82">
        <f t="shared" si="46"/>
        <v>63</v>
      </c>
      <c r="BR25" s="112">
        <f t="shared" si="47"/>
        <v>-21</v>
      </c>
    </row>
    <row r="26" spans="1:70">
      <c r="A26" s="31">
        <v>8</v>
      </c>
      <c r="B26" s="33" t="s">
        <v>8</v>
      </c>
      <c r="C26" s="33" t="s">
        <v>32</v>
      </c>
      <c r="D26" s="82" t="s">
        <v>195</v>
      </c>
      <c r="E26" s="82" t="s">
        <v>199</v>
      </c>
      <c r="F26" s="109" t="str">
        <f t="shared" si="0"/>
        <v>Aquile</v>
      </c>
      <c r="G26" s="109" t="str">
        <f t="shared" si="1"/>
        <v>Falchi</v>
      </c>
      <c r="H26" s="82">
        <f t="shared" si="2"/>
        <v>72</v>
      </c>
      <c r="I26" s="82">
        <f t="shared" si="3"/>
        <v>52</v>
      </c>
      <c r="J26" s="109" t="str">
        <f t="shared" si="4"/>
        <v>Aquile</v>
      </c>
      <c r="K26" s="109" t="str">
        <f t="shared" si="5"/>
        <v>Falchi</v>
      </c>
      <c r="L26" s="82">
        <f t="shared" si="6"/>
        <v>1</v>
      </c>
      <c r="M26" s="110">
        <f t="shared" si="7"/>
        <v>0</v>
      </c>
      <c r="N26" s="110">
        <f t="shared" si="8"/>
        <v>0</v>
      </c>
      <c r="O26" s="82">
        <f t="shared" si="9"/>
        <v>72</v>
      </c>
      <c r="P26" s="82">
        <f t="shared" si="10"/>
        <v>52</v>
      </c>
      <c r="Q26" s="111">
        <f t="shared" si="11"/>
        <v>20</v>
      </c>
      <c r="R26" s="82">
        <f t="shared" si="12"/>
        <v>0</v>
      </c>
      <c r="S26" s="82">
        <f t="shared" si="13"/>
        <v>1</v>
      </c>
      <c r="T26" s="82">
        <f t="shared" si="14"/>
        <v>0</v>
      </c>
      <c r="U26" s="82">
        <f t="shared" si="15"/>
        <v>52</v>
      </c>
      <c r="V26" s="82">
        <f t="shared" si="16"/>
        <v>72</v>
      </c>
      <c r="W26" s="112">
        <f t="shared" si="17"/>
        <v>-20</v>
      </c>
      <c r="Y26" s="132" t="str">
        <f ca="1">COUNTIF(B_COEFF_GIRONE_F,"&gt;="&amp;AS26)&amp;Z26</f>
        <v>4F</v>
      </c>
      <c r="Z26" s="133" t="s">
        <v>44</v>
      </c>
      <c r="AA26" s="133" t="s">
        <v>234</v>
      </c>
      <c r="AB26" s="134" t="str">
        <f t="shared" si="18"/>
        <v>Fenicotteri</v>
      </c>
      <c r="AC26" s="133">
        <f t="shared" si="19"/>
        <v>3</v>
      </c>
      <c r="AD26" s="133">
        <f t="shared" si="20"/>
        <v>0</v>
      </c>
      <c r="AE26" s="133">
        <f t="shared" si="21"/>
        <v>3</v>
      </c>
      <c r="AF26" s="133">
        <f t="shared" si="22"/>
        <v>0</v>
      </c>
      <c r="AG26" s="135">
        <f t="shared" si="23"/>
        <v>3</v>
      </c>
      <c r="AH26" s="136">
        <f t="shared" si="24"/>
        <v>102</v>
      </c>
      <c r="AI26" s="133">
        <f t="shared" si="25"/>
        <v>105</v>
      </c>
      <c r="AJ26" s="137">
        <f t="shared" si="26"/>
        <v>-3</v>
      </c>
      <c r="AK26" s="133">
        <f ca="1">IF(AG26=AG23,INDIRECT("U"&amp;5+6*(FIND(Z26,"ABCDEFGH")-1)),0)</f>
        <v>0</v>
      </c>
      <c r="AL26" s="133">
        <f ca="1">IF(AG26=AG24,INDIRECT("U"&amp;7+6*(FIND(Z26,"ABCDEFGH")-1)),0)</f>
        <v>0</v>
      </c>
      <c r="AM26" s="133">
        <f ca="1">IF(AG26=AG25,INDIRECT("U"&amp;8+6*(FIND(Z26,"ABCDEFGH")-1)),0)</f>
        <v>0</v>
      </c>
      <c r="AN26" s="136">
        <f t="shared" ca="1" si="27"/>
        <v>0</v>
      </c>
      <c r="AO26" s="138">
        <f ca="1">IF(AG26=AG23,INDIRECT("W"&amp;5+6*(FIND(Z26,"ABCDEFGH")-1)),0)</f>
        <v>0</v>
      </c>
      <c r="AP26" s="138">
        <f ca="1">IF(AG26=AG24,INDIRECT("W"&amp;7+6*(FIND(Z26,"ABCDEFGH")-1)),0)</f>
        <v>0</v>
      </c>
      <c r="AQ26" s="138">
        <f ca="1">IF(AG26=AG25,INDIRECT("W"&amp;8+6*(FIND(Z26,"ABCDEFGH")-1)),0)</f>
        <v>0</v>
      </c>
      <c r="AR26" s="137">
        <f t="shared" ca="1" si="28"/>
        <v>0</v>
      </c>
      <c r="AS26" s="139">
        <f t="shared" ca="1" si="29"/>
        <v>3.500000497102</v>
      </c>
      <c r="AU26" s="119" t="s">
        <v>235</v>
      </c>
      <c r="AV26" s="120">
        <v>72</v>
      </c>
      <c r="AW26" s="121" t="s">
        <v>139</v>
      </c>
      <c r="AX26" s="122" t="s">
        <v>231</v>
      </c>
      <c r="AY26" s="121" t="s">
        <v>236</v>
      </c>
      <c r="AZ26" s="121" t="s">
        <v>237</v>
      </c>
      <c r="BA26" s="109" t="str">
        <f t="shared" ca="1" si="30"/>
        <v>Cervi</v>
      </c>
      <c r="BB26" s="109" t="str">
        <f t="shared" ca="1" si="31"/>
        <v>Delfini</v>
      </c>
      <c r="BC26" s="82">
        <f t="shared" si="32"/>
        <v>68</v>
      </c>
      <c r="BD26" s="82">
        <f t="shared" si="33"/>
        <v>46</v>
      </c>
      <c r="BE26" s="109" t="str">
        <f t="shared" ca="1" si="34"/>
        <v>Cervi</v>
      </c>
      <c r="BF26" s="109" t="str">
        <f t="shared" ca="1" si="35"/>
        <v>Delfini</v>
      </c>
      <c r="BG26" s="82">
        <f t="shared" si="36"/>
        <v>1</v>
      </c>
      <c r="BH26" s="110">
        <f t="shared" si="37"/>
        <v>0</v>
      </c>
      <c r="BI26" s="110">
        <f t="shared" si="38"/>
        <v>0</v>
      </c>
      <c r="BJ26" s="82">
        <f t="shared" si="39"/>
        <v>68</v>
      </c>
      <c r="BK26" s="82">
        <f t="shared" si="40"/>
        <v>46</v>
      </c>
      <c r="BL26" s="111">
        <f t="shared" si="41"/>
        <v>22</v>
      </c>
      <c r="BM26" s="82">
        <f t="shared" si="42"/>
        <v>0</v>
      </c>
      <c r="BN26" s="82">
        <f t="shared" si="43"/>
        <v>1</v>
      </c>
      <c r="BO26" s="82">
        <f t="shared" si="44"/>
        <v>0</v>
      </c>
      <c r="BP26" s="82">
        <f t="shared" si="45"/>
        <v>46</v>
      </c>
      <c r="BQ26" s="82">
        <f t="shared" si="46"/>
        <v>68</v>
      </c>
      <c r="BR26" s="112">
        <f t="shared" si="47"/>
        <v>-22</v>
      </c>
    </row>
    <row r="27" spans="1:70">
      <c r="A27" s="31">
        <v>17</v>
      </c>
      <c r="B27" s="33" t="s">
        <v>8</v>
      </c>
      <c r="C27" s="33" t="s">
        <v>38</v>
      </c>
      <c r="D27" s="82" t="s">
        <v>203</v>
      </c>
      <c r="E27" s="82" t="s">
        <v>208</v>
      </c>
      <c r="F27" s="109" t="str">
        <f t="shared" si="0"/>
        <v>Bisonti</v>
      </c>
      <c r="G27" s="109" t="str">
        <f t="shared" si="1"/>
        <v>Bufali</v>
      </c>
      <c r="H27" s="82">
        <f t="shared" si="2"/>
        <v>34</v>
      </c>
      <c r="I27" s="82">
        <f t="shared" si="3"/>
        <v>33</v>
      </c>
      <c r="J27" s="109" t="str">
        <f t="shared" si="4"/>
        <v>Bisonti</v>
      </c>
      <c r="K27" s="109" t="str">
        <f t="shared" si="5"/>
        <v>Bufali</v>
      </c>
      <c r="L27" s="82">
        <f t="shared" si="6"/>
        <v>1</v>
      </c>
      <c r="M27" s="110">
        <f t="shared" si="7"/>
        <v>0</v>
      </c>
      <c r="N27" s="110">
        <f t="shared" si="8"/>
        <v>0</v>
      </c>
      <c r="O27" s="82">
        <f t="shared" si="9"/>
        <v>34</v>
      </c>
      <c r="P27" s="82">
        <f t="shared" si="10"/>
        <v>33</v>
      </c>
      <c r="Q27" s="111">
        <f t="shared" si="11"/>
        <v>1</v>
      </c>
      <c r="R27" s="82">
        <f t="shared" si="12"/>
        <v>0</v>
      </c>
      <c r="S27" s="82">
        <f t="shared" si="13"/>
        <v>1</v>
      </c>
      <c r="T27" s="82">
        <f t="shared" si="14"/>
        <v>0</v>
      </c>
      <c r="U27" s="82">
        <f t="shared" si="15"/>
        <v>33</v>
      </c>
      <c r="V27" s="82">
        <f t="shared" si="16"/>
        <v>34</v>
      </c>
      <c r="W27" s="112">
        <f t="shared" si="17"/>
        <v>-1</v>
      </c>
      <c r="Y27" s="113" t="str">
        <f ca="1">COUNTIF(B_COEFF_GIRONE_G,"&gt;="&amp;AS27)&amp;Z27</f>
        <v>1G</v>
      </c>
      <c r="Z27" s="33" t="s">
        <v>49</v>
      </c>
      <c r="AA27" s="82" t="s">
        <v>238</v>
      </c>
      <c r="AB27" s="114" t="str">
        <f t="shared" si="18"/>
        <v>Istrici</v>
      </c>
      <c r="AC27" s="82">
        <f t="shared" si="19"/>
        <v>3</v>
      </c>
      <c r="AD27" s="82">
        <f t="shared" si="20"/>
        <v>3</v>
      </c>
      <c r="AE27" s="82">
        <f t="shared" si="21"/>
        <v>0</v>
      </c>
      <c r="AF27" s="82">
        <f t="shared" si="22"/>
        <v>0</v>
      </c>
      <c r="AG27" s="115">
        <f t="shared" si="23"/>
        <v>6</v>
      </c>
      <c r="AH27" s="116">
        <f t="shared" si="24"/>
        <v>60</v>
      </c>
      <c r="AI27" s="82">
        <f t="shared" si="25"/>
        <v>0</v>
      </c>
      <c r="AJ27" s="117">
        <f t="shared" si="26"/>
        <v>60</v>
      </c>
      <c r="AK27" s="82">
        <f ca="1">IF(AG27=AG28,INDIRECT("O"&amp;3+6*(FIND(Z27,"ABCDEFGH")-1)),0)</f>
        <v>0</v>
      </c>
      <c r="AL27" s="110">
        <f ca="1">IF(AG27=AG29,INDIRECT("O"&amp;4+6*(FIND(Z27,"ABCDEFGH")-1)),0)</f>
        <v>0</v>
      </c>
      <c r="AM27" s="82">
        <f ca="1">IF(AG27=AG30,INDIRECT("O"&amp;5+6*(FIND(Z27,"ABCDEFGH")-1)),0)</f>
        <v>0</v>
      </c>
      <c r="AN27" s="116">
        <f t="shared" ca="1" si="27"/>
        <v>0</v>
      </c>
      <c r="AO27" s="111">
        <f ca="1">IF(AG27=AG28,INDIRECT("Q"&amp;3+6*(FIND(Z27,"ABCDEFGH")-1)),0)</f>
        <v>0</v>
      </c>
      <c r="AP27" s="111">
        <f ca="1">IF(AG27=AG29,INDIRECT("Q"&amp;4+6*(FIND(Z27,"ABCDEFGH")-1)),0)</f>
        <v>0</v>
      </c>
      <c r="AQ27" s="111">
        <f ca="1">IF(AG27=AG30,INDIRECT("Q"&amp;5+6*(FIND(Z27,"ABCDEFGH")-1)),0)</f>
        <v>0</v>
      </c>
      <c r="AR27" s="117">
        <f t="shared" ca="1" si="28"/>
        <v>0</v>
      </c>
      <c r="AS27" s="118">
        <f t="shared" ca="1" si="29"/>
        <v>6.5000005600600002</v>
      </c>
      <c r="AU27" s="119" t="s">
        <v>239</v>
      </c>
      <c r="AV27" s="120">
        <v>73</v>
      </c>
      <c r="AW27" s="121" t="s">
        <v>139</v>
      </c>
      <c r="AX27" s="122" t="s">
        <v>222</v>
      </c>
      <c r="AY27" s="121" t="s">
        <v>240</v>
      </c>
      <c r="AZ27" s="121" t="s">
        <v>241</v>
      </c>
      <c r="BA27" s="109" t="str">
        <f t="shared" ca="1" si="30"/>
        <v>Pantere</v>
      </c>
      <c r="BB27" s="109" t="str">
        <f t="shared" ca="1" si="31"/>
        <v>Coccodrilli</v>
      </c>
      <c r="BC27" s="82">
        <f t="shared" si="32"/>
        <v>56</v>
      </c>
      <c r="BD27" s="82">
        <f t="shared" si="33"/>
        <v>34</v>
      </c>
      <c r="BE27" s="109" t="str">
        <f t="shared" ca="1" si="34"/>
        <v>Pantere</v>
      </c>
      <c r="BF27" s="109" t="str">
        <f t="shared" ca="1" si="35"/>
        <v>Coccodrilli</v>
      </c>
      <c r="BG27" s="82">
        <f t="shared" si="36"/>
        <v>1</v>
      </c>
      <c r="BH27" s="110">
        <f t="shared" si="37"/>
        <v>0</v>
      </c>
      <c r="BI27" s="110">
        <f t="shared" si="38"/>
        <v>0</v>
      </c>
      <c r="BJ27" s="82">
        <f t="shared" si="39"/>
        <v>56</v>
      </c>
      <c r="BK27" s="82">
        <f t="shared" si="40"/>
        <v>34</v>
      </c>
      <c r="BL27" s="111">
        <f t="shared" si="41"/>
        <v>22</v>
      </c>
      <c r="BM27" s="82">
        <f t="shared" si="42"/>
        <v>0</v>
      </c>
      <c r="BN27" s="82">
        <f t="shared" si="43"/>
        <v>1</v>
      </c>
      <c r="BO27" s="82">
        <f t="shared" si="44"/>
        <v>0</v>
      </c>
      <c r="BP27" s="82">
        <f t="shared" si="45"/>
        <v>34</v>
      </c>
      <c r="BQ27" s="82">
        <f t="shared" si="46"/>
        <v>56</v>
      </c>
      <c r="BR27" s="112">
        <f t="shared" si="47"/>
        <v>-22</v>
      </c>
    </row>
    <row r="28" spans="1:70">
      <c r="A28" s="31">
        <v>29</v>
      </c>
      <c r="B28" s="33" t="s">
        <v>8</v>
      </c>
      <c r="C28" s="33" t="s">
        <v>38</v>
      </c>
      <c r="D28" s="82" t="s">
        <v>203</v>
      </c>
      <c r="E28" s="82" t="s">
        <v>212</v>
      </c>
      <c r="F28" s="109" t="str">
        <f t="shared" si="0"/>
        <v>Bisonti</v>
      </c>
      <c r="G28" s="109" t="str">
        <f t="shared" si="1"/>
        <v>Cervi</v>
      </c>
      <c r="H28" s="82">
        <f t="shared" si="2"/>
        <v>33</v>
      </c>
      <c r="I28" s="82">
        <f t="shared" si="3"/>
        <v>34</v>
      </c>
      <c r="J28" s="109" t="str">
        <f t="shared" si="4"/>
        <v>Cervi</v>
      </c>
      <c r="K28" s="109" t="str">
        <f t="shared" si="5"/>
        <v>Bisonti</v>
      </c>
      <c r="L28" s="82">
        <f t="shared" si="6"/>
        <v>0</v>
      </c>
      <c r="M28" s="110">
        <f t="shared" si="7"/>
        <v>1</v>
      </c>
      <c r="N28" s="110">
        <f t="shared" si="8"/>
        <v>0</v>
      </c>
      <c r="O28" s="82">
        <f t="shared" si="9"/>
        <v>33</v>
      </c>
      <c r="P28" s="82">
        <f t="shared" si="10"/>
        <v>34</v>
      </c>
      <c r="Q28" s="111">
        <f t="shared" si="11"/>
        <v>-1</v>
      </c>
      <c r="R28" s="82">
        <f t="shared" si="12"/>
        <v>1</v>
      </c>
      <c r="S28" s="82">
        <f t="shared" si="13"/>
        <v>0</v>
      </c>
      <c r="T28" s="82">
        <f t="shared" si="14"/>
        <v>0</v>
      </c>
      <c r="U28" s="82">
        <f t="shared" si="15"/>
        <v>34</v>
      </c>
      <c r="V28" s="82">
        <f t="shared" si="16"/>
        <v>33</v>
      </c>
      <c r="W28" s="112">
        <f t="shared" si="17"/>
        <v>1</v>
      </c>
      <c r="Y28" s="113" t="str">
        <f ca="1">COUNTIF(B_COEFF_GIRONE_G,"&gt;="&amp;AS28)&amp;Z28</f>
        <v>2G</v>
      </c>
      <c r="Z28" s="33" t="s">
        <v>49</v>
      </c>
      <c r="AA28" s="82" t="s">
        <v>242</v>
      </c>
      <c r="AB28" s="114" t="str">
        <f t="shared" si="18"/>
        <v>Gorilla</v>
      </c>
      <c r="AC28" s="82">
        <f t="shared" si="19"/>
        <v>3</v>
      </c>
      <c r="AD28" s="82">
        <f t="shared" si="20"/>
        <v>2</v>
      </c>
      <c r="AE28" s="82">
        <f t="shared" si="21"/>
        <v>0</v>
      </c>
      <c r="AF28" s="82">
        <f t="shared" si="22"/>
        <v>1</v>
      </c>
      <c r="AG28" s="115">
        <f t="shared" si="23"/>
        <v>4</v>
      </c>
      <c r="AH28" s="116">
        <f t="shared" si="24"/>
        <v>40</v>
      </c>
      <c r="AI28" s="82">
        <f t="shared" si="25"/>
        <v>20</v>
      </c>
      <c r="AJ28" s="117">
        <f t="shared" si="26"/>
        <v>20</v>
      </c>
      <c r="AK28" s="82">
        <f ca="1">IF(AG28=AG29,INDIRECT("O"&amp;6+6*(FIND(Z28,"ABCDEFGH")-1)),0)</f>
        <v>0</v>
      </c>
      <c r="AL28" s="82">
        <f ca="1">IF(AG28=AG30,INDIRECT("O"&amp;7+6*(FIND(Z28,"ABCDEFGH")-1)),0)</f>
        <v>0</v>
      </c>
      <c r="AM28" s="82">
        <f ca="1">IF(AG28=AG27,INDIRECT("U"&amp;3+6*(FIND(Z28,"ABCDEFGH")-1)),0)</f>
        <v>0</v>
      </c>
      <c r="AN28" s="116">
        <f t="shared" ca="1" si="27"/>
        <v>0</v>
      </c>
      <c r="AO28" s="111">
        <f ca="1">IF(AG28=AG29,INDIRECT("Q"&amp;6+6*(FIND(Z28,"ABCDEFGH")-1)),0)</f>
        <v>0</v>
      </c>
      <c r="AP28" s="111">
        <f ca="1">IF(AG28=AG30,INDIRECT("Q"&amp;7+6*(FIND(Z28,"ABCDEFGH")-1)),0)</f>
        <v>0</v>
      </c>
      <c r="AQ28" s="111">
        <f ca="1">IF(AG28=AG27,INDIRECT("W"&amp;3+6*(FIND(Z28,"ABCDEFGH")-1)),0)</f>
        <v>0</v>
      </c>
      <c r="AR28" s="117">
        <f t="shared" ca="1" si="28"/>
        <v>0</v>
      </c>
      <c r="AS28" s="118">
        <f t="shared" ca="1" si="29"/>
        <v>4.5000005200400004</v>
      </c>
      <c r="AU28" s="119" t="s">
        <v>243</v>
      </c>
      <c r="AV28" s="120">
        <v>74</v>
      </c>
      <c r="AW28" s="121" t="s">
        <v>139</v>
      </c>
      <c r="AX28" s="122" t="s">
        <v>222</v>
      </c>
      <c r="AY28" s="121" t="s">
        <v>244</v>
      </c>
      <c r="AZ28" s="121" t="s">
        <v>245</v>
      </c>
      <c r="BA28" s="109" t="str">
        <f t="shared" ca="1" si="30"/>
        <v>Istrici</v>
      </c>
      <c r="BB28" s="109" t="str">
        <f t="shared" ca="1" si="31"/>
        <v>Piranha</v>
      </c>
      <c r="BC28" s="82">
        <f t="shared" si="32"/>
        <v>52</v>
      </c>
      <c r="BD28" s="82">
        <f t="shared" si="33"/>
        <v>36</v>
      </c>
      <c r="BE28" s="109" t="str">
        <f t="shared" ca="1" si="34"/>
        <v>Istrici</v>
      </c>
      <c r="BF28" s="109" t="str">
        <f t="shared" ca="1" si="35"/>
        <v>Piranha</v>
      </c>
      <c r="BG28" s="82">
        <f t="shared" si="36"/>
        <v>1</v>
      </c>
      <c r="BH28" s="110">
        <f t="shared" si="37"/>
        <v>0</v>
      </c>
      <c r="BI28" s="110">
        <f t="shared" si="38"/>
        <v>0</v>
      </c>
      <c r="BJ28" s="82">
        <f t="shared" si="39"/>
        <v>52</v>
      </c>
      <c r="BK28" s="82">
        <f t="shared" si="40"/>
        <v>36</v>
      </c>
      <c r="BL28" s="111">
        <f t="shared" si="41"/>
        <v>16</v>
      </c>
      <c r="BM28" s="82">
        <f t="shared" si="42"/>
        <v>0</v>
      </c>
      <c r="BN28" s="82">
        <f t="shared" si="43"/>
        <v>1</v>
      </c>
      <c r="BO28" s="82">
        <f t="shared" si="44"/>
        <v>0</v>
      </c>
      <c r="BP28" s="82">
        <f t="shared" si="45"/>
        <v>36</v>
      </c>
      <c r="BQ28" s="82">
        <f t="shared" si="46"/>
        <v>52</v>
      </c>
      <c r="BR28" s="112">
        <f t="shared" si="47"/>
        <v>-16</v>
      </c>
    </row>
    <row r="29" spans="1:70">
      <c r="A29" s="31">
        <v>41</v>
      </c>
      <c r="B29" s="33" t="s">
        <v>8</v>
      </c>
      <c r="C29" s="33" t="s">
        <v>38</v>
      </c>
      <c r="D29" s="82" t="s">
        <v>203</v>
      </c>
      <c r="E29" s="82" t="s">
        <v>216</v>
      </c>
      <c r="F29" s="109" t="str">
        <f t="shared" si="0"/>
        <v>Bisonti</v>
      </c>
      <c r="G29" s="109" t="str">
        <f t="shared" si="1"/>
        <v>Cinghiali</v>
      </c>
      <c r="H29" s="82">
        <f t="shared" si="2"/>
        <v>36</v>
      </c>
      <c r="I29" s="82">
        <f t="shared" si="3"/>
        <v>33</v>
      </c>
      <c r="J29" s="109" t="str">
        <f t="shared" si="4"/>
        <v>Bisonti</v>
      </c>
      <c r="K29" s="109" t="str">
        <f t="shared" si="5"/>
        <v>Cinghiali</v>
      </c>
      <c r="L29" s="82">
        <f t="shared" si="6"/>
        <v>1</v>
      </c>
      <c r="M29" s="110">
        <f t="shared" si="7"/>
        <v>0</v>
      </c>
      <c r="N29" s="110">
        <f t="shared" si="8"/>
        <v>0</v>
      </c>
      <c r="O29" s="82">
        <f t="shared" si="9"/>
        <v>36</v>
      </c>
      <c r="P29" s="82">
        <f t="shared" si="10"/>
        <v>33</v>
      </c>
      <c r="Q29" s="111">
        <f t="shared" si="11"/>
        <v>3</v>
      </c>
      <c r="R29" s="82">
        <f t="shared" si="12"/>
        <v>0</v>
      </c>
      <c r="S29" s="82">
        <f t="shared" si="13"/>
        <v>1</v>
      </c>
      <c r="T29" s="82">
        <f t="shared" si="14"/>
        <v>0</v>
      </c>
      <c r="U29" s="82">
        <f t="shared" si="15"/>
        <v>33</v>
      </c>
      <c r="V29" s="82">
        <f t="shared" si="16"/>
        <v>36</v>
      </c>
      <c r="W29" s="112">
        <f t="shared" si="17"/>
        <v>-3</v>
      </c>
      <c r="Y29" s="113" t="str">
        <f ca="1">COUNTIF(B_COEFF_GIRONE_G,"&gt;="&amp;AS29)&amp;Z29</f>
        <v>4G</v>
      </c>
      <c r="Z29" s="33" t="s">
        <v>49</v>
      </c>
      <c r="AA29" s="82" t="s">
        <v>246</v>
      </c>
      <c r="AB29" s="114" t="str">
        <f t="shared" si="18"/>
        <v>Muli</v>
      </c>
      <c r="AC29" s="82">
        <f t="shared" si="19"/>
        <v>3</v>
      </c>
      <c r="AD29" s="82">
        <f t="shared" si="20"/>
        <v>0</v>
      </c>
      <c r="AE29" s="82">
        <f t="shared" si="21"/>
        <v>0</v>
      </c>
      <c r="AF29" s="82">
        <f t="shared" si="22"/>
        <v>3</v>
      </c>
      <c r="AG29" s="115">
        <f t="shared" si="23"/>
        <v>0</v>
      </c>
      <c r="AH29" s="116">
        <f t="shared" si="24"/>
        <v>0</v>
      </c>
      <c r="AI29" s="82">
        <f t="shared" si="25"/>
        <v>60</v>
      </c>
      <c r="AJ29" s="117">
        <f t="shared" si="26"/>
        <v>-60</v>
      </c>
      <c r="AK29" s="82">
        <f ca="1">IF(AG29=AG30,INDIRECT("O"&amp;8+6*(FIND(Z29,"ABCDEFGH")-1)),0)</f>
        <v>0</v>
      </c>
      <c r="AL29" s="82">
        <f ca="1">IF(AG29=AG27,INDIRECT("U"&amp;4+6*(FIND(Z29,"ABCDEFGH")-1)),0)</f>
        <v>0</v>
      </c>
      <c r="AM29" s="82">
        <f ca="1">IF(AG29=AG28,INDIRECT("U"&amp;6+6*(FIND(Z29,"ABCDEFGH")-1)),0)</f>
        <v>0</v>
      </c>
      <c r="AN29" s="116">
        <f t="shared" ca="1" si="27"/>
        <v>0</v>
      </c>
      <c r="AO29" s="111">
        <f ca="1">IF(AG29=AG30,INDIRECT("Q"&amp;8+6*(FIND(Z29,"ABCDEFGH")-1)),0)</f>
        <v>0</v>
      </c>
      <c r="AP29" s="111">
        <f ca="1">IF(AG29=AG27,INDIRECT("W"&amp;4+6*(FIND(Z29,"ABCDEFGH")-1)),0)</f>
        <v>0</v>
      </c>
      <c r="AQ29" s="111">
        <f ca="1">IF(AG29=AG28,INDIRECT("W"&amp;6+6*(FIND(Z29,"ABCDEFGH")-1)),0)</f>
        <v>0</v>
      </c>
      <c r="AR29" s="117">
        <f t="shared" ca="1" si="28"/>
        <v>0</v>
      </c>
      <c r="AS29" s="118">
        <f t="shared" ca="1" si="29"/>
        <v>0.50000043999999999</v>
      </c>
      <c r="AU29" s="119" t="s">
        <v>247</v>
      </c>
      <c r="AV29" s="120">
        <v>75</v>
      </c>
      <c r="AW29" s="121" t="s">
        <v>139</v>
      </c>
      <c r="AX29" s="122" t="s">
        <v>231</v>
      </c>
      <c r="AY29" s="121" t="s">
        <v>248</v>
      </c>
      <c r="AZ29" s="121" t="s">
        <v>249</v>
      </c>
      <c r="BA29" s="109" t="str">
        <f t="shared" ca="1" si="30"/>
        <v>Ippopotami</v>
      </c>
      <c r="BB29" s="109" t="str">
        <f t="shared" ca="1" si="31"/>
        <v>Pitoni</v>
      </c>
      <c r="BC29" s="82">
        <f t="shared" si="32"/>
        <v>68</v>
      </c>
      <c r="BD29" s="82">
        <f t="shared" si="33"/>
        <v>45</v>
      </c>
      <c r="BE29" s="109" t="str">
        <f t="shared" ca="1" si="34"/>
        <v>Ippopotami</v>
      </c>
      <c r="BF29" s="109" t="str">
        <f t="shared" ca="1" si="35"/>
        <v>Pitoni</v>
      </c>
      <c r="BG29" s="82">
        <f t="shared" si="36"/>
        <v>1</v>
      </c>
      <c r="BH29" s="110">
        <f t="shared" si="37"/>
        <v>0</v>
      </c>
      <c r="BI29" s="110">
        <f t="shared" si="38"/>
        <v>0</v>
      </c>
      <c r="BJ29" s="82">
        <f t="shared" si="39"/>
        <v>68</v>
      </c>
      <c r="BK29" s="82">
        <f t="shared" si="40"/>
        <v>45</v>
      </c>
      <c r="BL29" s="111">
        <f t="shared" si="41"/>
        <v>23</v>
      </c>
      <c r="BM29" s="82">
        <f t="shared" si="42"/>
        <v>0</v>
      </c>
      <c r="BN29" s="82">
        <f t="shared" si="43"/>
        <v>1</v>
      </c>
      <c r="BO29" s="82">
        <f t="shared" si="44"/>
        <v>0</v>
      </c>
      <c r="BP29" s="82">
        <f t="shared" si="45"/>
        <v>45</v>
      </c>
      <c r="BQ29" s="82">
        <f t="shared" si="46"/>
        <v>68</v>
      </c>
      <c r="BR29" s="112">
        <f t="shared" si="47"/>
        <v>-23</v>
      </c>
    </row>
    <row r="30" spans="1:70">
      <c r="A30" s="31">
        <v>45</v>
      </c>
      <c r="B30" s="33" t="s">
        <v>8</v>
      </c>
      <c r="C30" s="33" t="s">
        <v>38</v>
      </c>
      <c r="D30" s="82" t="s">
        <v>208</v>
      </c>
      <c r="E30" s="82" t="s">
        <v>212</v>
      </c>
      <c r="F30" s="109" t="str">
        <f t="shared" si="0"/>
        <v>Bufali</v>
      </c>
      <c r="G30" s="109" t="str">
        <f t="shared" si="1"/>
        <v>Cervi</v>
      </c>
      <c r="H30" s="82">
        <f t="shared" si="2"/>
        <v>34</v>
      </c>
      <c r="I30" s="82">
        <f t="shared" si="3"/>
        <v>33</v>
      </c>
      <c r="J30" s="109" t="str">
        <f t="shared" si="4"/>
        <v>Bufali</v>
      </c>
      <c r="K30" s="109" t="str">
        <f t="shared" si="5"/>
        <v>Cervi</v>
      </c>
      <c r="L30" s="82">
        <f t="shared" si="6"/>
        <v>1</v>
      </c>
      <c r="M30" s="110">
        <f t="shared" si="7"/>
        <v>0</v>
      </c>
      <c r="N30" s="110">
        <f t="shared" si="8"/>
        <v>0</v>
      </c>
      <c r="O30" s="82">
        <f t="shared" si="9"/>
        <v>34</v>
      </c>
      <c r="P30" s="82">
        <f t="shared" si="10"/>
        <v>33</v>
      </c>
      <c r="Q30" s="111">
        <f t="shared" si="11"/>
        <v>1</v>
      </c>
      <c r="R30" s="82">
        <f t="shared" si="12"/>
        <v>0</v>
      </c>
      <c r="S30" s="82">
        <f t="shared" si="13"/>
        <v>1</v>
      </c>
      <c r="T30" s="82">
        <f t="shared" si="14"/>
        <v>0</v>
      </c>
      <c r="U30" s="82">
        <f t="shared" si="15"/>
        <v>33</v>
      </c>
      <c r="V30" s="82">
        <f t="shared" si="16"/>
        <v>34</v>
      </c>
      <c r="W30" s="112">
        <f t="shared" si="17"/>
        <v>-1</v>
      </c>
      <c r="Y30" s="113" t="str">
        <f ca="1">COUNTIF(B_COEFF_GIRONE_G,"&gt;="&amp;AS30)&amp;Z30</f>
        <v>3G</v>
      </c>
      <c r="Z30" s="33" t="s">
        <v>49</v>
      </c>
      <c r="AA30" s="82" t="s">
        <v>250</v>
      </c>
      <c r="AB30" s="114" t="str">
        <f t="shared" si="18"/>
        <v>Orche</v>
      </c>
      <c r="AC30" s="82">
        <f t="shared" si="19"/>
        <v>3</v>
      </c>
      <c r="AD30" s="82">
        <f t="shared" si="20"/>
        <v>1</v>
      </c>
      <c r="AE30" s="82">
        <f t="shared" si="21"/>
        <v>0</v>
      </c>
      <c r="AF30" s="82">
        <f t="shared" si="22"/>
        <v>2</v>
      </c>
      <c r="AG30" s="115">
        <f t="shared" si="23"/>
        <v>2</v>
      </c>
      <c r="AH30" s="116">
        <f t="shared" si="24"/>
        <v>20</v>
      </c>
      <c r="AI30" s="82">
        <f t="shared" si="25"/>
        <v>40</v>
      </c>
      <c r="AJ30" s="117">
        <f t="shared" si="26"/>
        <v>-20</v>
      </c>
      <c r="AK30" s="82">
        <f ca="1">IF(AG30=AG27,INDIRECT("U"&amp;5+6*(FIND(Z30,"ABCDEFGH")-1)),0)</f>
        <v>0</v>
      </c>
      <c r="AL30" s="82">
        <f ca="1">IF(AG30=AG28,INDIRECT("U"&amp;7+6*(FIND(Z30,"ABCDEFGH")-1)),0)</f>
        <v>0</v>
      </c>
      <c r="AM30" s="82">
        <f ca="1">IF(AG30=AG29,INDIRECT("U"&amp;8+6*(FIND(Z30,"ABCDEFGH")-1)),0)</f>
        <v>0</v>
      </c>
      <c r="AN30" s="116">
        <f t="shared" ca="1" si="27"/>
        <v>0</v>
      </c>
      <c r="AO30" s="111">
        <f ca="1">IF(AG30=AG27,INDIRECT("W"&amp;5+6*(FIND(Z30,"ABCDEFGH")-1)),0)</f>
        <v>0</v>
      </c>
      <c r="AP30" s="111">
        <f ca="1">IF(AG30=AG28,INDIRECT("W"&amp;7+6*(FIND(Z30,"ABCDEFGH")-1)),0)</f>
        <v>0</v>
      </c>
      <c r="AQ30" s="111">
        <f ca="1">IF(AG30=AG29,INDIRECT("W"&amp;8+6*(FIND(Z30,"ABCDEFGH")-1)),0)</f>
        <v>0</v>
      </c>
      <c r="AR30" s="117">
        <f t="shared" ca="1" si="28"/>
        <v>0</v>
      </c>
      <c r="AS30" s="118">
        <f t="shared" ca="1" si="29"/>
        <v>2.5000004800200002</v>
      </c>
      <c r="AU30" s="119" t="s">
        <v>251</v>
      </c>
      <c r="AV30" s="120">
        <v>76</v>
      </c>
      <c r="AW30" s="121" t="s">
        <v>139</v>
      </c>
      <c r="AX30" s="122" t="s">
        <v>231</v>
      </c>
      <c r="AY30" s="121" t="s">
        <v>252</v>
      </c>
      <c r="AZ30" s="121" t="s">
        <v>253</v>
      </c>
      <c r="BA30" s="109" t="str">
        <f t="shared" ca="1" si="30"/>
        <v>Orche</v>
      </c>
      <c r="BB30" s="109" t="str">
        <f t="shared" ca="1" si="31"/>
        <v>Zebre</v>
      </c>
      <c r="BC30" s="82">
        <f t="shared" si="32"/>
        <v>64</v>
      </c>
      <c r="BD30" s="82">
        <f t="shared" si="33"/>
        <v>32</v>
      </c>
      <c r="BE30" s="109" t="str">
        <f t="shared" ca="1" si="34"/>
        <v>Orche</v>
      </c>
      <c r="BF30" s="109" t="str">
        <f t="shared" ca="1" si="35"/>
        <v>Zebre</v>
      </c>
      <c r="BG30" s="82">
        <f t="shared" si="36"/>
        <v>1</v>
      </c>
      <c r="BH30" s="110">
        <f t="shared" si="37"/>
        <v>0</v>
      </c>
      <c r="BI30" s="110">
        <f t="shared" si="38"/>
        <v>0</v>
      </c>
      <c r="BJ30" s="82">
        <f t="shared" si="39"/>
        <v>64</v>
      </c>
      <c r="BK30" s="82">
        <f t="shared" si="40"/>
        <v>32</v>
      </c>
      <c r="BL30" s="111">
        <f t="shared" si="41"/>
        <v>32</v>
      </c>
      <c r="BM30" s="82">
        <f t="shared" si="42"/>
        <v>0</v>
      </c>
      <c r="BN30" s="82">
        <f t="shared" si="43"/>
        <v>1</v>
      </c>
      <c r="BO30" s="82">
        <f t="shared" si="44"/>
        <v>0</v>
      </c>
      <c r="BP30" s="82">
        <f t="shared" si="45"/>
        <v>32</v>
      </c>
      <c r="BQ30" s="82">
        <f t="shared" si="46"/>
        <v>64</v>
      </c>
      <c r="BR30" s="112">
        <f t="shared" si="47"/>
        <v>-32</v>
      </c>
    </row>
    <row r="31" spans="1:70">
      <c r="A31" s="31">
        <v>33</v>
      </c>
      <c r="B31" s="33" t="s">
        <v>8</v>
      </c>
      <c r="C31" s="33" t="s">
        <v>38</v>
      </c>
      <c r="D31" s="82" t="s">
        <v>208</v>
      </c>
      <c r="E31" s="82" t="s">
        <v>216</v>
      </c>
      <c r="F31" s="109" t="str">
        <f t="shared" si="0"/>
        <v>Bufali</v>
      </c>
      <c r="G31" s="109" t="str">
        <f t="shared" si="1"/>
        <v>Cinghiali</v>
      </c>
      <c r="H31" s="82">
        <f t="shared" si="2"/>
        <v>35</v>
      </c>
      <c r="I31" s="82">
        <f t="shared" si="3"/>
        <v>33</v>
      </c>
      <c r="J31" s="109" t="str">
        <f t="shared" si="4"/>
        <v>Bufali</v>
      </c>
      <c r="K31" s="109" t="str">
        <f t="shared" si="5"/>
        <v>Cinghiali</v>
      </c>
      <c r="L31" s="82">
        <f t="shared" si="6"/>
        <v>1</v>
      </c>
      <c r="M31" s="110">
        <f t="shared" si="7"/>
        <v>0</v>
      </c>
      <c r="N31" s="110">
        <f t="shared" si="8"/>
        <v>0</v>
      </c>
      <c r="O31" s="82">
        <f t="shared" si="9"/>
        <v>35</v>
      </c>
      <c r="P31" s="82">
        <f t="shared" si="10"/>
        <v>33</v>
      </c>
      <c r="Q31" s="111">
        <f t="shared" si="11"/>
        <v>2</v>
      </c>
      <c r="R31" s="82">
        <f t="shared" si="12"/>
        <v>0</v>
      </c>
      <c r="S31" s="82">
        <f t="shared" si="13"/>
        <v>1</v>
      </c>
      <c r="T31" s="82">
        <f t="shared" si="14"/>
        <v>0</v>
      </c>
      <c r="U31" s="82">
        <f t="shared" si="15"/>
        <v>33</v>
      </c>
      <c r="V31" s="82">
        <f t="shared" si="16"/>
        <v>35</v>
      </c>
      <c r="W31" s="112">
        <f t="shared" si="17"/>
        <v>-2</v>
      </c>
      <c r="Y31" s="123" t="str">
        <f ca="1">COUNTIF(B_COEFF_GIRONE_H,"&gt;="&amp;AS31)&amp;Z31</f>
        <v>1H</v>
      </c>
      <c r="Z31" s="124" t="s">
        <v>54</v>
      </c>
      <c r="AA31" s="124" t="s">
        <v>254</v>
      </c>
      <c r="AB31" s="125" t="str">
        <f t="shared" si="18"/>
        <v>Piranha</v>
      </c>
      <c r="AC31" s="124">
        <f t="shared" si="19"/>
        <v>3</v>
      </c>
      <c r="AD31" s="124">
        <f t="shared" si="20"/>
        <v>2</v>
      </c>
      <c r="AE31" s="124">
        <f t="shared" si="21"/>
        <v>1</v>
      </c>
      <c r="AF31" s="124">
        <f t="shared" si="22"/>
        <v>0</v>
      </c>
      <c r="AG31" s="126">
        <f t="shared" si="23"/>
        <v>5</v>
      </c>
      <c r="AH31" s="127">
        <f t="shared" si="24"/>
        <v>245</v>
      </c>
      <c r="AI31" s="124">
        <f t="shared" si="25"/>
        <v>215</v>
      </c>
      <c r="AJ31" s="128">
        <f t="shared" si="26"/>
        <v>30</v>
      </c>
      <c r="AK31" s="124">
        <f ca="1">IF(AG31=AG32,INDIRECT("O"&amp;3+6*(FIND(Z31,"ABCDEFGH")-1)),0)</f>
        <v>0</v>
      </c>
      <c r="AL31" s="129">
        <f ca="1">IF(AG31=AG33,INDIRECT("O"&amp;4+6*(FIND(Z31,"ABCDEFGH")-1)),0)</f>
        <v>97</v>
      </c>
      <c r="AM31" s="124">
        <f ca="1">IF(AG31=AG34,INDIRECT("O"&amp;5+6*(FIND(Z31,"ABCDEFGH")-1)),0)</f>
        <v>0</v>
      </c>
      <c r="AN31" s="127">
        <f t="shared" ca="1" si="27"/>
        <v>97</v>
      </c>
      <c r="AO31" s="130">
        <f ca="1">IF(AG31=AG32,INDIRECT("Q"&amp;3+6*(FIND(Z31,"ABCDEFGH")-1)),0)</f>
        <v>0</v>
      </c>
      <c r="AP31" s="130">
        <f ca="1">IF(AG31=AG33,INDIRECT("Q"&amp;4+6*(FIND(Z31,"ABCDEFGH")-1)),0)</f>
        <v>19</v>
      </c>
      <c r="AQ31" s="130">
        <f ca="1">IF(AG31=AG34,INDIRECT("Q"&amp;5+6*(FIND(Z31,"ABCDEFGH")-1)),0)</f>
        <v>0</v>
      </c>
      <c r="AR31" s="128">
        <f t="shared" ca="1" si="28"/>
        <v>19</v>
      </c>
      <c r="AS31" s="131">
        <f t="shared" ca="1" si="29"/>
        <v>5.5190975302450003</v>
      </c>
      <c r="AU31" s="119" t="s">
        <v>255</v>
      </c>
      <c r="AV31" s="120">
        <v>77</v>
      </c>
      <c r="AW31" s="121" t="s">
        <v>139</v>
      </c>
      <c r="AX31" s="122" t="s">
        <v>256</v>
      </c>
      <c r="AY31" s="121" t="s">
        <v>257</v>
      </c>
      <c r="AZ31" s="121" t="s">
        <v>258</v>
      </c>
      <c r="BA31" s="109" t="str">
        <f t="shared" ca="1" si="30"/>
        <v>Elefanti</v>
      </c>
      <c r="BB31" s="109" t="str">
        <f t="shared" ca="1" si="31"/>
        <v>Aquile</v>
      </c>
      <c r="BC31" s="82">
        <f t="shared" si="32"/>
        <v>56</v>
      </c>
      <c r="BD31" s="82">
        <f t="shared" si="33"/>
        <v>36</v>
      </c>
      <c r="BE31" s="109" t="str">
        <f t="shared" ca="1" si="34"/>
        <v>Elefanti</v>
      </c>
      <c r="BF31" s="109" t="str">
        <f t="shared" ca="1" si="35"/>
        <v>Aquile</v>
      </c>
      <c r="BG31" s="82">
        <f t="shared" si="36"/>
        <v>1</v>
      </c>
      <c r="BH31" s="110">
        <f t="shared" si="37"/>
        <v>0</v>
      </c>
      <c r="BI31" s="110">
        <f t="shared" si="38"/>
        <v>0</v>
      </c>
      <c r="BJ31" s="82">
        <f t="shared" si="39"/>
        <v>56</v>
      </c>
      <c r="BK31" s="82">
        <f t="shared" si="40"/>
        <v>36</v>
      </c>
      <c r="BL31" s="111">
        <f t="shared" si="41"/>
        <v>20</v>
      </c>
      <c r="BM31" s="82">
        <f t="shared" si="42"/>
        <v>0</v>
      </c>
      <c r="BN31" s="82">
        <f t="shared" si="43"/>
        <v>1</v>
      </c>
      <c r="BO31" s="82">
        <f t="shared" si="44"/>
        <v>0</v>
      </c>
      <c r="BP31" s="82">
        <f t="shared" si="45"/>
        <v>36</v>
      </c>
      <c r="BQ31" s="82">
        <f t="shared" si="46"/>
        <v>56</v>
      </c>
      <c r="BR31" s="112">
        <f t="shared" si="47"/>
        <v>-20</v>
      </c>
    </row>
    <row r="32" spans="1:70">
      <c r="A32" s="31">
        <v>21</v>
      </c>
      <c r="B32" s="33" t="s">
        <v>8</v>
      </c>
      <c r="C32" s="33" t="s">
        <v>38</v>
      </c>
      <c r="D32" s="82" t="s">
        <v>212</v>
      </c>
      <c r="E32" s="82" t="s">
        <v>216</v>
      </c>
      <c r="F32" s="109" t="str">
        <f t="shared" si="0"/>
        <v>Cervi</v>
      </c>
      <c r="G32" s="109" t="str">
        <f t="shared" si="1"/>
        <v>Cinghiali</v>
      </c>
      <c r="H32" s="82">
        <f t="shared" si="2"/>
        <v>34</v>
      </c>
      <c r="I32" s="82">
        <f t="shared" si="3"/>
        <v>33</v>
      </c>
      <c r="J32" s="109" t="str">
        <f t="shared" si="4"/>
        <v>Cervi</v>
      </c>
      <c r="K32" s="109" t="str">
        <f t="shared" si="5"/>
        <v>Cinghiali</v>
      </c>
      <c r="L32" s="82">
        <f t="shared" si="6"/>
        <v>1</v>
      </c>
      <c r="M32" s="110">
        <f t="shared" si="7"/>
        <v>0</v>
      </c>
      <c r="N32" s="110">
        <f t="shared" si="8"/>
        <v>0</v>
      </c>
      <c r="O32" s="82">
        <f t="shared" si="9"/>
        <v>34</v>
      </c>
      <c r="P32" s="82">
        <f t="shared" si="10"/>
        <v>33</v>
      </c>
      <c r="Q32" s="111">
        <f t="shared" si="11"/>
        <v>1</v>
      </c>
      <c r="R32" s="82">
        <f t="shared" si="12"/>
        <v>0</v>
      </c>
      <c r="S32" s="82">
        <f t="shared" si="13"/>
        <v>1</v>
      </c>
      <c r="T32" s="82">
        <f t="shared" si="14"/>
        <v>0</v>
      </c>
      <c r="U32" s="82">
        <f t="shared" si="15"/>
        <v>33</v>
      </c>
      <c r="V32" s="82">
        <f t="shared" si="16"/>
        <v>34</v>
      </c>
      <c r="W32" s="112">
        <f t="shared" si="17"/>
        <v>-1</v>
      </c>
      <c r="Y32" s="113" t="str">
        <f ca="1">COUNTIF(B_COEFF_GIRONE_H,"&gt;="&amp;AS32)&amp;Z32</f>
        <v>4H</v>
      </c>
      <c r="Z32" s="33" t="s">
        <v>54</v>
      </c>
      <c r="AA32" s="82" t="s">
        <v>259</v>
      </c>
      <c r="AB32" s="114" t="str">
        <f t="shared" si="18"/>
        <v>Scorpioni</v>
      </c>
      <c r="AC32" s="82">
        <f t="shared" si="19"/>
        <v>3</v>
      </c>
      <c r="AD32" s="82">
        <f t="shared" si="20"/>
        <v>0</v>
      </c>
      <c r="AE32" s="82">
        <f t="shared" si="21"/>
        <v>3</v>
      </c>
      <c r="AF32" s="82">
        <f t="shared" si="22"/>
        <v>0</v>
      </c>
      <c r="AG32" s="115">
        <f t="shared" si="23"/>
        <v>3</v>
      </c>
      <c r="AH32" s="116">
        <f t="shared" si="24"/>
        <v>170</v>
      </c>
      <c r="AI32" s="82">
        <f t="shared" si="25"/>
        <v>244</v>
      </c>
      <c r="AJ32" s="117">
        <f t="shared" si="26"/>
        <v>-74</v>
      </c>
      <c r="AK32" s="82">
        <f ca="1">IF(AG32=AG33,INDIRECT("O"&amp;6+6*(FIND(Z32,"ABCDEFGH")-1)),0)</f>
        <v>0</v>
      </c>
      <c r="AL32" s="82">
        <f ca="1">IF(AG32=AG34,INDIRECT("O"&amp;7+6*(FIND(Z32,"ABCDEFGH")-1)),0)</f>
        <v>0</v>
      </c>
      <c r="AM32" s="82">
        <f ca="1">IF(AG32=AG31,INDIRECT("U"&amp;3+6*(FIND(Z32,"ABCDEFGH")-1)),0)</f>
        <v>0</v>
      </c>
      <c r="AN32" s="116">
        <f t="shared" ca="1" si="27"/>
        <v>0</v>
      </c>
      <c r="AO32" s="111">
        <f ca="1">IF(AG32=AG33,INDIRECT("Q"&amp;6+6*(FIND(Z32,"ABCDEFGH")-1)),0)</f>
        <v>0</v>
      </c>
      <c r="AP32" s="111">
        <f ca="1">IF(AG32=AG34,INDIRECT("Q"&amp;7+6*(FIND(Z32,"ABCDEFGH")-1)),0)</f>
        <v>0</v>
      </c>
      <c r="AQ32" s="111">
        <f ca="1">IF(AG32=AG31,INDIRECT("W"&amp;3+6*(FIND(Z32,"ABCDEFGH")-1)),0)</f>
        <v>0</v>
      </c>
      <c r="AR32" s="117">
        <f t="shared" ca="1" si="28"/>
        <v>0</v>
      </c>
      <c r="AS32" s="118">
        <f t="shared" ca="1" si="29"/>
        <v>3.5000004261700002</v>
      </c>
      <c r="AU32" s="119" t="s">
        <v>260</v>
      </c>
      <c r="AV32" s="120">
        <v>78</v>
      </c>
      <c r="AW32" s="121" t="s">
        <v>139</v>
      </c>
      <c r="AX32" s="122" t="s">
        <v>256</v>
      </c>
      <c r="AY32" s="121" t="s">
        <v>261</v>
      </c>
      <c r="AZ32" s="121" t="s">
        <v>262</v>
      </c>
      <c r="BA32" s="109" t="str">
        <f t="shared" ca="1" si="30"/>
        <v>Gorilla</v>
      </c>
      <c r="BB32" s="109" t="str">
        <f t="shared" ca="1" si="31"/>
        <v>Tonni</v>
      </c>
      <c r="BC32" s="82">
        <f t="shared" si="32"/>
        <v>64</v>
      </c>
      <c r="BD32" s="82">
        <f t="shared" si="33"/>
        <v>40</v>
      </c>
      <c r="BE32" s="109" t="str">
        <f t="shared" ca="1" si="34"/>
        <v>Gorilla</v>
      </c>
      <c r="BF32" s="109" t="str">
        <f t="shared" ca="1" si="35"/>
        <v>Tonni</v>
      </c>
      <c r="BG32" s="82">
        <f t="shared" si="36"/>
        <v>1</v>
      </c>
      <c r="BH32" s="110">
        <f t="shared" si="37"/>
        <v>0</v>
      </c>
      <c r="BI32" s="110">
        <f t="shared" si="38"/>
        <v>0</v>
      </c>
      <c r="BJ32" s="82">
        <f t="shared" si="39"/>
        <v>64</v>
      </c>
      <c r="BK32" s="82">
        <f t="shared" si="40"/>
        <v>40</v>
      </c>
      <c r="BL32" s="111">
        <f t="shared" si="41"/>
        <v>24</v>
      </c>
      <c r="BM32" s="82">
        <f t="shared" si="42"/>
        <v>0</v>
      </c>
      <c r="BN32" s="82">
        <f t="shared" si="43"/>
        <v>1</v>
      </c>
      <c r="BO32" s="82">
        <f t="shared" si="44"/>
        <v>0</v>
      </c>
      <c r="BP32" s="82">
        <f t="shared" si="45"/>
        <v>40</v>
      </c>
      <c r="BQ32" s="82">
        <f t="shared" si="46"/>
        <v>64</v>
      </c>
      <c r="BR32" s="112">
        <f t="shared" si="47"/>
        <v>-24</v>
      </c>
    </row>
    <row r="33" spans="1:70">
      <c r="A33" s="31">
        <v>18</v>
      </c>
      <c r="B33" s="33" t="s">
        <v>8</v>
      </c>
      <c r="C33" s="33" t="s">
        <v>44</v>
      </c>
      <c r="D33" s="82" t="s">
        <v>220</v>
      </c>
      <c r="E33" s="82" t="s">
        <v>225</v>
      </c>
      <c r="F33" s="109" t="str">
        <f t="shared" si="0"/>
        <v>Balene</v>
      </c>
      <c r="G33" s="109" t="str">
        <f t="shared" si="1"/>
        <v>Gabbiani</v>
      </c>
      <c r="H33" s="82">
        <f t="shared" si="2"/>
        <v>34</v>
      </c>
      <c r="I33" s="82">
        <f t="shared" si="3"/>
        <v>33</v>
      </c>
      <c r="J33" s="109" t="str">
        <f t="shared" si="4"/>
        <v>Balene</v>
      </c>
      <c r="K33" s="109" t="str">
        <f t="shared" si="5"/>
        <v>Gabbiani</v>
      </c>
      <c r="L33" s="82">
        <f t="shared" si="6"/>
        <v>1</v>
      </c>
      <c r="M33" s="110">
        <f t="shared" si="7"/>
        <v>0</v>
      </c>
      <c r="N33" s="110">
        <f t="shared" si="8"/>
        <v>0</v>
      </c>
      <c r="O33" s="82">
        <f t="shared" si="9"/>
        <v>34</v>
      </c>
      <c r="P33" s="82">
        <f t="shared" si="10"/>
        <v>33</v>
      </c>
      <c r="Q33" s="111">
        <f t="shared" si="11"/>
        <v>1</v>
      </c>
      <c r="R33" s="82">
        <f t="shared" si="12"/>
        <v>0</v>
      </c>
      <c r="S33" s="82">
        <f t="shared" si="13"/>
        <v>1</v>
      </c>
      <c r="T33" s="82">
        <f t="shared" si="14"/>
        <v>0</v>
      </c>
      <c r="U33" s="82">
        <f t="shared" si="15"/>
        <v>33</v>
      </c>
      <c r="V33" s="82">
        <f t="shared" si="16"/>
        <v>34</v>
      </c>
      <c r="W33" s="112">
        <f t="shared" si="17"/>
        <v>-1</v>
      </c>
      <c r="Y33" s="113" t="str">
        <f ca="1">COUNTIF(B_COEFF_GIRONE_H,"&gt;="&amp;AS33)&amp;Z33</f>
        <v>2H</v>
      </c>
      <c r="Z33" s="33" t="s">
        <v>54</v>
      </c>
      <c r="AA33" s="82" t="s">
        <v>263</v>
      </c>
      <c r="AB33" s="114" t="str">
        <f t="shared" si="18"/>
        <v>Tonni</v>
      </c>
      <c r="AC33" s="82">
        <f t="shared" si="19"/>
        <v>3</v>
      </c>
      <c r="AD33" s="82">
        <f t="shared" si="20"/>
        <v>2</v>
      </c>
      <c r="AE33" s="82">
        <f t="shared" si="21"/>
        <v>1</v>
      </c>
      <c r="AF33" s="82">
        <f t="shared" si="22"/>
        <v>0</v>
      </c>
      <c r="AG33" s="115">
        <f t="shared" si="23"/>
        <v>5</v>
      </c>
      <c r="AH33" s="116">
        <f t="shared" si="24"/>
        <v>163</v>
      </c>
      <c r="AI33" s="82">
        <f t="shared" si="25"/>
        <v>110</v>
      </c>
      <c r="AJ33" s="117">
        <f t="shared" si="26"/>
        <v>53</v>
      </c>
      <c r="AK33" s="82">
        <f ca="1">IF(AG33=AG34,INDIRECT("O"&amp;8+6*(FIND(Z33,"ABCDEFGH")-1)),0)</f>
        <v>0</v>
      </c>
      <c r="AL33" s="82">
        <f ca="1">IF(AG33=AG31,INDIRECT("U"&amp;4+6*(FIND(Z33,"ABCDEFGH")-1)),0)</f>
        <v>78</v>
      </c>
      <c r="AM33" s="82">
        <f ca="1">IF(AG33=AG32,INDIRECT("U"&amp;6+6*(FIND(Z33,"ABCDEFGH")-1)),0)</f>
        <v>0</v>
      </c>
      <c r="AN33" s="116">
        <f t="shared" ca="1" si="27"/>
        <v>78</v>
      </c>
      <c r="AO33" s="111">
        <f ca="1">IF(AG33=AG34,INDIRECT("Q"&amp;8+6*(FIND(Z33,"ABCDEFGH")-1)),0)</f>
        <v>0</v>
      </c>
      <c r="AP33" s="111">
        <f ca="1">IF(AG33=AG31,INDIRECT("W"&amp;4+6*(FIND(Z33,"ABCDEFGH")-1)),0)</f>
        <v>-19</v>
      </c>
      <c r="AQ33" s="111">
        <f ca="1">IF(AG33=AG32,INDIRECT("W"&amp;6+6*(FIND(Z33,"ABCDEFGH")-1)),0)</f>
        <v>0</v>
      </c>
      <c r="AR33" s="117">
        <f t="shared" ca="1" si="28"/>
        <v>-19</v>
      </c>
      <c r="AS33" s="118">
        <f t="shared" ca="1" si="29"/>
        <v>5.481078553163</v>
      </c>
      <c r="AU33" s="119" t="s">
        <v>264</v>
      </c>
      <c r="AV33" s="120">
        <v>79</v>
      </c>
      <c r="AW33" s="121" t="s">
        <v>139</v>
      </c>
      <c r="AX33" s="122" t="s">
        <v>256</v>
      </c>
      <c r="AY33" s="121" t="s">
        <v>265</v>
      </c>
      <c r="AZ33" s="121" t="s">
        <v>266</v>
      </c>
      <c r="BA33" s="109" t="str">
        <f t="shared" ca="1" si="30"/>
        <v>Giraffe</v>
      </c>
      <c r="BB33" s="109" t="str">
        <f t="shared" ca="1" si="31"/>
        <v>Puma</v>
      </c>
      <c r="BC33" s="82">
        <f t="shared" si="32"/>
        <v>63</v>
      </c>
      <c r="BD33" s="82">
        <f t="shared" si="33"/>
        <v>42</v>
      </c>
      <c r="BE33" s="109" t="str">
        <f t="shared" ca="1" si="34"/>
        <v>Giraffe</v>
      </c>
      <c r="BF33" s="109" t="str">
        <f t="shared" ca="1" si="35"/>
        <v>Puma</v>
      </c>
      <c r="BG33" s="82">
        <f t="shared" si="36"/>
        <v>1</v>
      </c>
      <c r="BH33" s="110">
        <f t="shared" si="37"/>
        <v>0</v>
      </c>
      <c r="BI33" s="110">
        <f t="shared" si="38"/>
        <v>0</v>
      </c>
      <c r="BJ33" s="82">
        <f t="shared" si="39"/>
        <v>63</v>
      </c>
      <c r="BK33" s="82">
        <f t="shared" si="40"/>
        <v>42</v>
      </c>
      <c r="BL33" s="111">
        <f t="shared" si="41"/>
        <v>21</v>
      </c>
      <c r="BM33" s="82">
        <f t="shared" si="42"/>
        <v>0</v>
      </c>
      <c r="BN33" s="82">
        <f t="shared" si="43"/>
        <v>1</v>
      </c>
      <c r="BO33" s="82">
        <f t="shared" si="44"/>
        <v>0</v>
      </c>
      <c r="BP33" s="82">
        <f t="shared" si="45"/>
        <v>42</v>
      </c>
      <c r="BQ33" s="82">
        <f t="shared" si="46"/>
        <v>63</v>
      </c>
      <c r="BR33" s="112">
        <f t="shared" si="47"/>
        <v>-21</v>
      </c>
    </row>
    <row r="34" spans="1:70">
      <c r="A34" s="31">
        <v>30</v>
      </c>
      <c r="B34" s="33" t="s">
        <v>8</v>
      </c>
      <c r="C34" s="33" t="s">
        <v>44</v>
      </c>
      <c r="D34" s="82" t="s">
        <v>220</v>
      </c>
      <c r="E34" s="82" t="s">
        <v>229</v>
      </c>
      <c r="F34" s="109" t="str">
        <f t="shared" si="0"/>
        <v>Balene</v>
      </c>
      <c r="G34" s="109" t="str">
        <f t="shared" si="1"/>
        <v>Delfini</v>
      </c>
      <c r="H34" s="82">
        <f t="shared" si="2"/>
        <v>33</v>
      </c>
      <c r="I34" s="82">
        <f t="shared" si="3"/>
        <v>34</v>
      </c>
      <c r="J34" s="109" t="str">
        <f t="shared" si="4"/>
        <v>Delfini</v>
      </c>
      <c r="K34" s="109" t="str">
        <f t="shared" si="5"/>
        <v>Balene</v>
      </c>
      <c r="L34" s="82">
        <f t="shared" si="6"/>
        <v>0</v>
      </c>
      <c r="M34" s="110">
        <f t="shared" si="7"/>
        <v>1</v>
      </c>
      <c r="N34" s="110">
        <f t="shared" si="8"/>
        <v>0</v>
      </c>
      <c r="O34" s="82">
        <f t="shared" si="9"/>
        <v>33</v>
      </c>
      <c r="P34" s="82">
        <f t="shared" si="10"/>
        <v>34</v>
      </c>
      <c r="Q34" s="111">
        <f t="shared" si="11"/>
        <v>-1</v>
      </c>
      <c r="R34" s="82">
        <f t="shared" si="12"/>
        <v>1</v>
      </c>
      <c r="S34" s="82">
        <f t="shared" si="13"/>
        <v>0</v>
      </c>
      <c r="T34" s="82">
        <f t="shared" si="14"/>
        <v>0</v>
      </c>
      <c r="U34" s="82">
        <f t="shared" si="15"/>
        <v>34</v>
      </c>
      <c r="V34" s="82">
        <f t="shared" si="16"/>
        <v>33</v>
      </c>
      <c r="W34" s="112">
        <f t="shared" si="17"/>
        <v>1</v>
      </c>
      <c r="Y34" s="142" t="str">
        <f ca="1">COUNTIF(B_COEFF_GIRONE_H,"&gt;="&amp;AS34)&amp;Z34</f>
        <v>3H</v>
      </c>
      <c r="Z34" s="38" t="s">
        <v>54</v>
      </c>
      <c r="AA34" s="83" t="s">
        <v>267</v>
      </c>
      <c r="AB34" s="143" t="str">
        <f t="shared" si="18"/>
        <v>Zebre</v>
      </c>
      <c r="AC34" s="83">
        <f t="shared" si="19"/>
        <v>3</v>
      </c>
      <c r="AD34" s="83">
        <f t="shared" si="20"/>
        <v>2</v>
      </c>
      <c r="AE34" s="83">
        <f t="shared" si="21"/>
        <v>0</v>
      </c>
      <c r="AF34" s="83">
        <f t="shared" si="22"/>
        <v>1</v>
      </c>
      <c r="AG34" s="144">
        <f t="shared" si="23"/>
        <v>4</v>
      </c>
      <c r="AH34" s="145">
        <f t="shared" si="24"/>
        <v>133</v>
      </c>
      <c r="AI34" s="83">
        <f t="shared" si="25"/>
        <v>142</v>
      </c>
      <c r="AJ34" s="146">
        <f t="shared" si="26"/>
        <v>-9</v>
      </c>
      <c r="AK34" s="83">
        <f ca="1">IF(AG34=AG31,INDIRECT("U"&amp;5+6*(FIND(Z34,"ABCDEFGH")-1)),0)</f>
        <v>0</v>
      </c>
      <c r="AL34" s="83">
        <f ca="1">IF(AG34=AG32,INDIRECT("U"&amp;7+6*(FIND(Z34,"ABCDEFGH")-1)),0)</f>
        <v>0</v>
      </c>
      <c r="AM34" s="83">
        <f ca="1">IF(AG34=AG33,INDIRECT("U"&amp;8+6*(FIND(Z34,"ABCDEFGH")-1)),0)</f>
        <v>0</v>
      </c>
      <c r="AN34" s="145">
        <f t="shared" ca="1" si="27"/>
        <v>0</v>
      </c>
      <c r="AO34" s="147">
        <f ca="1">IF(AG34=AG31,INDIRECT("W"&amp;5+6*(FIND(Z34,"ABCDEFGH")-1)),0)</f>
        <v>0</v>
      </c>
      <c r="AP34" s="147">
        <f ca="1">IF(AG34=AG32,INDIRECT("W"&amp;7+6*(FIND(Z34,"ABCDEFGH")-1)),0)</f>
        <v>0</v>
      </c>
      <c r="AQ34" s="147">
        <f ca="1">IF(AG34=AG33,INDIRECT("W"&amp;8+6*(FIND(Z34,"ABCDEFGH")-1)),0)</f>
        <v>0</v>
      </c>
      <c r="AR34" s="146">
        <f t="shared" ca="1" si="28"/>
        <v>0</v>
      </c>
      <c r="AS34" s="148">
        <f t="shared" ca="1" si="29"/>
        <v>4.500000491133</v>
      </c>
      <c r="AU34" s="119" t="s">
        <v>268</v>
      </c>
      <c r="AV34" s="120">
        <v>80</v>
      </c>
      <c r="AW34" s="121" t="s">
        <v>139</v>
      </c>
      <c r="AX34" s="122" t="s">
        <v>256</v>
      </c>
      <c r="AY34" s="121" t="s">
        <v>269</v>
      </c>
      <c r="AZ34" s="121" t="s">
        <v>270</v>
      </c>
      <c r="BA34" s="109" t="str">
        <f t="shared" ca="1" si="30"/>
        <v>Bufali</v>
      </c>
      <c r="BB34" s="109" t="str">
        <f t="shared" ca="1" si="31"/>
        <v>Gabbiani</v>
      </c>
      <c r="BC34" s="82">
        <f t="shared" si="32"/>
        <v>65</v>
      </c>
      <c r="BD34" s="82">
        <f t="shared" si="33"/>
        <v>49</v>
      </c>
      <c r="BE34" s="109" t="str">
        <f t="shared" ca="1" si="34"/>
        <v>Bufali</v>
      </c>
      <c r="BF34" s="109" t="str">
        <f t="shared" ca="1" si="35"/>
        <v>Gabbiani</v>
      </c>
      <c r="BG34" s="82">
        <f t="shared" si="36"/>
        <v>1</v>
      </c>
      <c r="BH34" s="110">
        <f t="shared" si="37"/>
        <v>0</v>
      </c>
      <c r="BI34" s="110">
        <f t="shared" si="38"/>
        <v>0</v>
      </c>
      <c r="BJ34" s="82">
        <f t="shared" si="39"/>
        <v>65</v>
      </c>
      <c r="BK34" s="82">
        <f t="shared" si="40"/>
        <v>49</v>
      </c>
      <c r="BL34" s="111">
        <f t="shared" si="41"/>
        <v>16</v>
      </c>
      <c r="BM34" s="82">
        <f t="shared" si="42"/>
        <v>0</v>
      </c>
      <c r="BN34" s="82">
        <f t="shared" si="43"/>
        <v>1</v>
      </c>
      <c r="BO34" s="82">
        <f t="shared" si="44"/>
        <v>0</v>
      </c>
      <c r="BP34" s="82">
        <f t="shared" si="45"/>
        <v>49</v>
      </c>
      <c r="BQ34" s="82">
        <f t="shared" si="46"/>
        <v>65</v>
      </c>
      <c r="BR34" s="112">
        <f t="shared" si="47"/>
        <v>-16</v>
      </c>
    </row>
    <row r="35" spans="1:70">
      <c r="A35" s="31">
        <v>42</v>
      </c>
      <c r="B35" s="33" t="s">
        <v>8</v>
      </c>
      <c r="C35" s="33" t="s">
        <v>44</v>
      </c>
      <c r="D35" s="82" t="s">
        <v>220</v>
      </c>
      <c r="E35" s="82" t="s">
        <v>234</v>
      </c>
      <c r="F35" s="109" t="str">
        <f t="shared" si="0"/>
        <v>Balene</v>
      </c>
      <c r="G35" s="109" t="str">
        <f t="shared" si="1"/>
        <v>Fenicotteri</v>
      </c>
      <c r="H35" s="82">
        <f t="shared" si="2"/>
        <v>36</v>
      </c>
      <c r="I35" s="82">
        <f t="shared" si="3"/>
        <v>35</v>
      </c>
      <c r="J35" s="109" t="str">
        <f t="shared" si="4"/>
        <v>Balene</v>
      </c>
      <c r="K35" s="109" t="str">
        <f t="shared" si="5"/>
        <v>Fenicotteri</v>
      </c>
      <c r="L35" s="82">
        <f t="shared" si="6"/>
        <v>1</v>
      </c>
      <c r="M35" s="110">
        <f t="shared" si="7"/>
        <v>0</v>
      </c>
      <c r="N35" s="110">
        <f t="shared" si="8"/>
        <v>0</v>
      </c>
      <c r="O35" s="82">
        <f t="shared" si="9"/>
        <v>36</v>
      </c>
      <c r="P35" s="82">
        <f t="shared" si="10"/>
        <v>35</v>
      </c>
      <c r="Q35" s="111">
        <f t="shared" si="11"/>
        <v>1</v>
      </c>
      <c r="R35" s="82">
        <f t="shared" si="12"/>
        <v>0</v>
      </c>
      <c r="S35" s="82">
        <f t="shared" si="13"/>
        <v>1</v>
      </c>
      <c r="T35" s="82">
        <f t="shared" si="14"/>
        <v>0</v>
      </c>
      <c r="U35" s="82">
        <f t="shared" si="15"/>
        <v>35</v>
      </c>
      <c r="V35" s="82">
        <f t="shared" si="16"/>
        <v>36</v>
      </c>
      <c r="W35" s="112">
        <f t="shared" si="17"/>
        <v>-1</v>
      </c>
      <c r="AU35" s="119" t="s">
        <v>271</v>
      </c>
      <c r="AV35" s="120">
        <v>81</v>
      </c>
      <c r="AW35" s="121" t="s">
        <v>139</v>
      </c>
      <c r="AX35" s="122" t="s">
        <v>272</v>
      </c>
      <c r="AY35" s="121" t="s">
        <v>273</v>
      </c>
      <c r="AZ35" s="121" t="s">
        <v>274</v>
      </c>
      <c r="BA35" s="109" t="str">
        <f t="shared" ref="BA35:BA66" ca="1" si="48">IF(LEFT(AY35,1)="V",VLOOKUP(VALUE(SUBSTITUTE(AY35,"V","")),B_PARTITE_2A_FASE_PER_NUMERO,10,FALSE()),IF(LEFT(AY35,1)="P",VLOOKUP(VALUE(SUBSTITUTE(AY35,"P","")),B_PARTITE_2A_FASE_PER_NUMERO,11,FALSE()),VLOOKUP(AY35,B_CLASSIFICHE_GIRONI,4,FALSE())))</f>
        <v>Iguane</v>
      </c>
      <c r="BB35" s="109" t="str">
        <f t="shared" ref="BB35:BB66" ca="1" si="49">IF(LEFT(AZ35,1)="V",VLOOKUP(VALUE(SUBSTITUTE(AZ35,"V","")),B_PARTITE_2A_FASE_PER_NUMERO,10,FALSE()),IF(LEFT(AZ35,1)="P",VLOOKUP(VALUE(SUBSTITUTE(AZ35,"P","")),B_PARTITE_2A_FASE_PER_NUMERO,11,FALSE()),VLOOKUP(AZ35,B_CLASSIFICHE_GIRONI,4,FALSE())))</f>
        <v>Muli</v>
      </c>
      <c r="BC35" s="82">
        <f t="shared" ref="BC35:BC66" si="50">VLOOKUP(AV35,INPUT_DATE_E_RISULTATI_2A_FASE,6,0)</f>
        <v>55</v>
      </c>
      <c r="BD35" s="82">
        <f t="shared" ref="BD35:BD66" si="51">VLOOKUP(AV35,INPUT_DATE_E_RISULTATI_2A_FASE,7,0)</f>
        <v>41</v>
      </c>
      <c r="BE35" s="109" t="str">
        <f t="shared" ref="BE35:BE66" ca="1" si="52">IF(BC35&gt;BD35,BA35,BB35)</f>
        <v>Iguane</v>
      </c>
      <c r="BF35" s="109" t="str">
        <f t="shared" ref="BF35:BF66" ca="1" si="53">IF(BC35&lt;BD35,BA35,BB35)</f>
        <v>Muli</v>
      </c>
      <c r="BG35" s="82">
        <f t="shared" ref="BG35:BG66" si="54">1*(BC35&gt;BD35)</f>
        <v>1</v>
      </c>
      <c r="BH35" s="110">
        <f t="shared" ref="BH35:BH66" si="55">1*(BC35&lt;BD35)*NOT(AND(BC35=0,BD35=20))</f>
        <v>0</v>
      </c>
      <c r="BI35" s="110">
        <f t="shared" ref="BI35:BI66" si="56">1*AND(BC35=0,BD35=20)</f>
        <v>0</v>
      </c>
      <c r="BJ35" s="82">
        <f t="shared" ref="BJ35:BJ66" si="57">BC35</f>
        <v>55</v>
      </c>
      <c r="BK35" s="82">
        <f t="shared" ref="BK35:BK66" si="58">BD35</f>
        <v>41</v>
      </c>
      <c r="BL35" s="111">
        <f t="shared" ref="BL35:BL66" si="59">BJ35-BK35</f>
        <v>14</v>
      </c>
      <c r="BM35" s="82">
        <f t="shared" ref="BM35:BM66" si="60">1*(BD35&gt;BC35)</f>
        <v>0</v>
      </c>
      <c r="BN35" s="82">
        <f t="shared" ref="BN35:BN66" si="61">1*(BD35&lt;BC35)*NOT(AND(BC35=20,BD35=0))</f>
        <v>1</v>
      </c>
      <c r="BO35" s="82">
        <f t="shared" ref="BO35:BO66" si="62">1*AND(BC35=20,BD35=0)</f>
        <v>0</v>
      </c>
      <c r="BP35" s="82">
        <f t="shared" ref="BP35:BP66" si="63">BD35</f>
        <v>41</v>
      </c>
      <c r="BQ35" s="82">
        <f t="shared" ref="BQ35:BQ66" si="64">BC35</f>
        <v>55</v>
      </c>
      <c r="BR35" s="112">
        <f t="shared" ref="BR35:BR66" si="65">BP35-BQ35</f>
        <v>-14</v>
      </c>
    </row>
    <row r="36" spans="1:70">
      <c r="A36" s="31">
        <v>46</v>
      </c>
      <c r="B36" s="33" t="s">
        <v>8</v>
      </c>
      <c r="C36" s="33" t="s">
        <v>44</v>
      </c>
      <c r="D36" s="82" t="s">
        <v>225</v>
      </c>
      <c r="E36" s="82" t="s">
        <v>229</v>
      </c>
      <c r="F36" s="109" t="str">
        <f t="shared" si="0"/>
        <v>Gabbiani</v>
      </c>
      <c r="G36" s="109" t="str">
        <f t="shared" si="1"/>
        <v>Delfini</v>
      </c>
      <c r="H36" s="82">
        <f t="shared" si="2"/>
        <v>34</v>
      </c>
      <c r="I36" s="82">
        <f t="shared" si="3"/>
        <v>33</v>
      </c>
      <c r="J36" s="109" t="str">
        <f t="shared" si="4"/>
        <v>Gabbiani</v>
      </c>
      <c r="K36" s="109" t="str">
        <f t="shared" si="5"/>
        <v>Delfini</v>
      </c>
      <c r="L36" s="82">
        <f t="shared" si="6"/>
        <v>1</v>
      </c>
      <c r="M36" s="110">
        <f t="shared" si="7"/>
        <v>0</v>
      </c>
      <c r="N36" s="110">
        <f t="shared" si="8"/>
        <v>0</v>
      </c>
      <c r="O36" s="82">
        <f t="shared" si="9"/>
        <v>34</v>
      </c>
      <c r="P36" s="82">
        <f t="shared" si="10"/>
        <v>33</v>
      </c>
      <c r="Q36" s="111">
        <f t="shared" si="11"/>
        <v>1</v>
      </c>
      <c r="R36" s="82">
        <f t="shared" si="12"/>
        <v>0</v>
      </c>
      <c r="S36" s="82">
        <f t="shared" si="13"/>
        <v>1</v>
      </c>
      <c r="T36" s="82">
        <f t="shared" si="14"/>
        <v>0</v>
      </c>
      <c r="U36" s="82">
        <f t="shared" si="15"/>
        <v>33</v>
      </c>
      <c r="V36" s="82">
        <f t="shared" si="16"/>
        <v>34</v>
      </c>
      <c r="W36" s="112">
        <f t="shared" si="17"/>
        <v>-1</v>
      </c>
      <c r="AU36" s="119" t="s">
        <v>275</v>
      </c>
      <c r="AV36" s="120">
        <v>82</v>
      </c>
      <c r="AW36" s="121" t="s">
        <v>139</v>
      </c>
      <c r="AX36" s="122" t="s">
        <v>272</v>
      </c>
      <c r="AY36" s="121" t="s">
        <v>237</v>
      </c>
      <c r="AZ36" s="121" t="s">
        <v>276</v>
      </c>
      <c r="BA36" s="109" t="str">
        <f t="shared" ca="1" si="48"/>
        <v>Delfini</v>
      </c>
      <c r="BB36" s="109" t="str">
        <f t="shared" ca="1" si="49"/>
        <v>Ghepardi</v>
      </c>
      <c r="BC36" s="82">
        <f t="shared" si="50"/>
        <v>63</v>
      </c>
      <c r="BD36" s="82">
        <f t="shared" si="51"/>
        <v>37</v>
      </c>
      <c r="BE36" s="109" t="str">
        <f t="shared" ca="1" si="52"/>
        <v>Delfini</v>
      </c>
      <c r="BF36" s="109" t="str">
        <f t="shared" ca="1" si="53"/>
        <v>Ghepardi</v>
      </c>
      <c r="BG36" s="82">
        <f t="shared" si="54"/>
        <v>1</v>
      </c>
      <c r="BH36" s="110">
        <f t="shared" si="55"/>
        <v>0</v>
      </c>
      <c r="BI36" s="110">
        <f t="shared" si="56"/>
        <v>0</v>
      </c>
      <c r="BJ36" s="82">
        <f t="shared" si="57"/>
        <v>63</v>
      </c>
      <c r="BK36" s="82">
        <f t="shared" si="58"/>
        <v>37</v>
      </c>
      <c r="BL36" s="111">
        <f t="shared" si="59"/>
        <v>26</v>
      </c>
      <c r="BM36" s="82">
        <f t="shared" si="60"/>
        <v>0</v>
      </c>
      <c r="BN36" s="82">
        <f t="shared" si="61"/>
        <v>1</v>
      </c>
      <c r="BO36" s="82">
        <f t="shared" si="62"/>
        <v>0</v>
      </c>
      <c r="BP36" s="82">
        <f t="shared" si="63"/>
        <v>37</v>
      </c>
      <c r="BQ36" s="82">
        <f t="shared" si="64"/>
        <v>63</v>
      </c>
      <c r="BR36" s="112">
        <f t="shared" si="65"/>
        <v>-26</v>
      </c>
    </row>
    <row r="37" spans="1:70">
      <c r="A37" s="31">
        <v>34</v>
      </c>
      <c r="B37" s="33" t="s">
        <v>8</v>
      </c>
      <c r="C37" s="33" t="s">
        <v>44</v>
      </c>
      <c r="D37" s="82" t="s">
        <v>225</v>
      </c>
      <c r="E37" s="82" t="s">
        <v>234</v>
      </c>
      <c r="F37" s="109" t="str">
        <f t="shared" si="0"/>
        <v>Gabbiani</v>
      </c>
      <c r="G37" s="109" t="str">
        <f t="shared" si="1"/>
        <v>Fenicotteri</v>
      </c>
      <c r="H37" s="82">
        <f t="shared" si="2"/>
        <v>35</v>
      </c>
      <c r="I37" s="82">
        <f t="shared" si="3"/>
        <v>34</v>
      </c>
      <c r="J37" s="109" t="str">
        <f t="shared" si="4"/>
        <v>Gabbiani</v>
      </c>
      <c r="K37" s="109" t="str">
        <f t="shared" si="5"/>
        <v>Fenicotteri</v>
      </c>
      <c r="L37" s="82">
        <f t="shared" si="6"/>
        <v>1</v>
      </c>
      <c r="M37" s="110">
        <f t="shared" si="7"/>
        <v>0</v>
      </c>
      <c r="N37" s="110">
        <f t="shared" si="8"/>
        <v>0</v>
      </c>
      <c r="O37" s="82">
        <f t="shared" si="9"/>
        <v>35</v>
      </c>
      <c r="P37" s="82">
        <f t="shared" si="10"/>
        <v>34</v>
      </c>
      <c r="Q37" s="111">
        <f t="shared" si="11"/>
        <v>1</v>
      </c>
      <c r="R37" s="82">
        <f t="shared" si="12"/>
        <v>0</v>
      </c>
      <c r="S37" s="82">
        <f t="shared" si="13"/>
        <v>1</v>
      </c>
      <c r="T37" s="82">
        <f t="shared" si="14"/>
        <v>0</v>
      </c>
      <c r="U37" s="82">
        <f t="shared" si="15"/>
        <v>34</v>
      </c>
      <c r="V37" s="82">
        <f t="shared" si="16"/>
        <v>35</v>
      </c>
      <c r="W37" s="112">
        <f t="shared" si="17"/>
        <v>-1</v>
      </c>
      <c r="AU37" s="119" t="s">
        <v>277</v>
      </c>
      <c r="AV37" s="120">
        <v>83</v>
      </c>
      <c r="AW37" s="121" t="s">
        <v>139</v>
      </c>
      <c r="AX37" s="122" t="s">
        <v>278</v>
      </c>
      <c r="AY37" s="121" t="s">
        <v>279</v>
      </c>
      <c r="AZ37" s="121" t="s">
        <v>280</v>
      </c>
      <c r="BA37" s="109" t="str">
        <f t="shared" ca="1" si="48"/>
        <v>Falchi</v>
      </c>
      <c r="BB37" s="109" t="str">
        <f t="shared" ca="1" si="49"/>
        <v>Scorpioni</v>
      </c>
      <c r="BC37" s="82">
        <f t="shared" si="50"/>
        <v>52</v>
      </c>
      <c r="BD37" s="82">
        <f t="shared" si="51"/>
        <v>40</v>
      </c>
      <c r="BE37" s="109" t="str">
        <f t="shared" ca="1" si="52"/>
        <v>Falchi</v>
      </c>
      <c r="BF37" s="109" t="str">
        <f t="shared" ca="1" si="53"/>
        <v>Scorpioni</v>
      </c>
      <c r="BG37" s="82">
        <f t="shared" si="54"/>
        <v>1</v>
      </c>
      <c r="BH37" s="110">
        <f t="shared" si="55"/>
        <v>0</v>
      </c>
      <c r="BI37" s="110">
        <f t="shared" si="56"/>
        <v>0</v>
      </c>
      <c r="BJ37" s="82">
        <f t="shared" si="57"/>
        <v>52</v>
      </c>
      <c r="BK37" s="82">
        <f t="shared" si="58"/>
        <v>40</v>
      </c>
      <c r="BL37" s="111">
        <f t="shared" si="59"/>
        <v>12</v>
      </c>
      <c r="BM37" s="82">
        <f t="shared" si="60"/>
        <v>0</v>
      </c>
      <c r="BN37" s="82">
        <f t="shared" si="61"/>
        <v>1</v>
      </c>
      <c r="BO37" s="82">
        <f t="shared" si="62"/>
        <v>0</v>
      </c>
      <c r="BP37" s="82">
        <f t="shared" si="63"/>
        <v>40</v>
      </c>
      <c r="BQ37" s="82">
        <f t="shared" si="64"/>
        <v>52</v>
      </c>
      <c r="BR37" s="112">
        <f t="shared" si="65"/>
        <v>-12</v>
      </c>
    </row>
    <row r="38" spans="1:70">
      <c r="A38" s="31">
        <v>22</v>
      </c>
      <c r="B38" s="33" t="s">
        <v>8</v>
      </c>
      <c r="C38" s="33" t="s">
        <v>44</v>
      </c>
      <c r="D38" s="82" t="s">
        <v>229</v>
      </c>
      <c r="E38" s="82" t="s">
        <v>234</v>
      </c>
      <c r="F38" s="109" t="str">
        <f t="shared" si="0"/>
        <v>Delfini</v>
      </c>
      <c r="G38" s="109" t="str">
        <f t="shared" si="1"/>
        <v>Fenicotteri</v>
      </c>
      <c r="H38" s="82">
        <f t="shared" si="2"/>
        <v>34</v>
      </c>
      <c r="I38" s="82">
        <f t="shared" si="3"/>
        <v>33</v>
      </c>
      <c r="J38" s="109" t="str">
        <f t="shared" si="4"/>
        <v>Delfini</v>
      </c>
      <c r="K38" s="109" t="str">
        <f t="shared" si="5"/>
        <v>Fenicotteri</v>
      </c>
      <c r="L38" s="82">
        <f t="shared" si="6"/>
        <v>1</v>
      </c>
      <c r="M38" s="110">
        <f t="shared" si="7"/>
        <v>0</v>
      </c>
      <c r="N38" s="110">
        <f t="shared" si="8"/>
        <v>0</v>
      </c>
      <c r="O38" s="82">
        <f t="shared" si="9"/>
        <v>34</v>
      </c>
      <c r="P38" s="82">
        <f t="shared" si="10"/>
        <v>33</v>
      </c>
      <c r="Q38" s="111">
        <f t="shared" si="11"/>
        <v>1</v>
      </c>
      <c r="R38" s="82">
        <f t="shared" si="12"/>
        <v>0</v>
      </c>
      <c r="S38" s="82">
        <f t="shared" si="13"/>
        <v>1</v>
      </c>
      <c r="T38" s="82">
        <f t="shared" si="14"/>
        <v>0</v>
      </c>
      <c r="U38" s="82">
        <f t="shared" si="15"/>
        <v>33</v>
      </c>
      <c r="V38" s="82">
        <f t="shared" si="16"/>
        <v>34</v>
      </c>
      <c r="W38" s="112">
        <f t="shared" si="17"/>
        <v>-1</v>
      </c>
      <c r="AU38" s="119" t="s">
        <v>281</v>
      </c>
      <c r="AV38" s="120">
        <v>84</v>
      </c>
      <c r="AW38" s="121" t="s">
        <v>139</v>
      </c>
      <c r="AX38" s="122" t="s">
        <v>278</v>
      </c>
      <c r="AY38" s="121" t="s">
        <v>215</v>
      </c>
      <c r="AZ38" s="121" t="s">
        <v>282</v>
      </c>
      <c r="BA38" s="109" t="str">
        <f t="shared" ca="1" si="48"/>
        <v>Scorpioni</v>
      </c>
      <c r="BB38" s="109" t="str">
        <f t="shared" ca="1" si="49"/>
        <v>Serval</v>
      </c>
      <c r="BC38" s="82">
        <f t="shared" si="50"/>
        <v>52</v>
      </c>
      <c r="BD38" s="82">
        <f t="shared" si="51"/>
        <v>36</v>
      </c>
      <c r="BE38" s="109" t="str">
        <f t="shared" ca="1" si="52"/>
        <v>Scorpioni</v>
      </c>
      <c r="BF38" s="109" t="str">
        <f t="shared" ca="1" si="53"/>
        <v>Serval</v>
      </c>
      <c r="BG38" s="82">
        <f t="shared" si="54"/>
        <v>1</v>
      </c>
      <c r="BH38" s="110">
        <f t="shared" si="55"/>
        <v>0</v>
      </c>
      <c r="BI38" s="110">
        <f t="shared" si="56"/>
        <v>0</v>
      </c>
      <c r="BJ38" s="82">
        <f t="shared" si="57"/>
        <v>52</v>
      </c>
      <c r="BK38" s="82">
        <f t="shared" si="58"/>
        <v>36</v>
      </c>
      <c r="BL38" s="111">
        <f t="shared" si="59"/>
        <v>16</v>
      </c>
      <c r="BM38" s="82">
        <f t="shared" si="60"/>
        <v>0</v>
      </c>
      <c r="BN38" s="82">
        <f t="shared" si="61"/>
        <v>1</v>
      </c>
      <c r="BO38" s="82">
        <f t="shared" si="62"/>
        <v>0</v>
      </c>
      <c r="BP38" s="82">
        <f t="shared" si="63"/>
        <v>36</v>
      </c>
      <c r="BQ38" s="82">
        <f t="shared" si="64"/>
        <v>52</v>
      </c>
      <c r="BR38" s="112">
        <f t="shared" si="65"/>
        <v>-16</v>
      </c>
    </row>
    <row r="39" spans="1:70">
      <c r="A39" s="31">
        <v>19</v>
      </c>
      <c r="B39" s="33" t="s">
        <v>8</v>
      </c>
      <c r="C39" s="33" t="s">
        <v>49</v>
      </c>
      <c r="D39" s="82" t="s">
        <v>238</v>
      </c>
      <c r="E39" s="82" t="s">
        <v>242</v>
      </c>
      <c r="F39" s="109" t="str">
        <f t="shared" si="0"/>
        <v>Istrici</v>
      </c>
      <c r="G39" s="109" t="str">
        <f t="shared" si="1"/>
        <v>Gorilla</v>
      </c>
      <c r="H39" s="82">
        <f t="shared" si="2"/>
        <v>20</v>
      </c>
      <c r="I39" s="82">
        <f t="shared" si="3"/>
        <v>0</v>
      </c>
      <c r="J39" s="109" t="str">
        <f t="shared" si="4"/>
        <v>Istrici</v>
      </c>
      <c r="K39" s="109" t="str">
        <f t="shared" si="5"/>
        <v>Gorilla</v>
      </c>
      <c r="L39" s="82">
        <f t="shared" si="6"/>
        <v>1</v>
      </c>
      <c r="M39" s="110">
        <f t="shared" si="7"/>
        <v>0</v>
      </c>
      <c r="N39" s="110">
        <f t="shared" si="8"/>
        <v>0</v>
      </c>
      <c r="O39" s="82">
        <f t="shared" si="9"/>
        <v>20</v>
      </c>
      <c r="P39" s="82">
        <f t="shared" si="10"/>
        <v>0</v>
      </c>
      <c r="Q39" s="111">
        <f t="shared" si="11"/>
        <v>20</v>
      </c>
      <c r="R39" s="82">
        <f t="shared" si="12"/>
        <v>0</v>
      </c>
      <c r="S39" s="82">
        <f t="shared" si="13"/>
        <v>0</v>
      </c>
      <c r="T39" s="82">
        <f t="shared" si="14"/>
        <v>1</v>
      </c>
      <c r="U39" s="82">
        <f t="shared" si="15"/>
        <v>0</v>
      </c>
      <c r="V39" s="82">
        <f t="shared" si="16"/>
        <v>20</v>
      </c>
      <c r="W39" s="112">
        <f t="shared" si="17"/>
        <v>-20</v>
      </c>
      <c r="AU39" s="119" t="s">
        <v>283</v>
      </c>
      <c r="AV39" s="120">
        <v>85</v>
      </c>
      <c r="AW39" s="121" t="s">
        <v>139</v>
      </c>
      <c r="AX39" s="122" t="s">
        <v>284</v>
      </c>
      <c r="AY39" s="121" t="s">
        <v>285</v>
      </c>
      <c r="AZ39" s="121" t="s">
        <v>286</v>
      </c>
      <c r="BA39" s="109" t="str">
        <f t="shared" ca="1" si="48"/>
        <v>Giaguari</v>
      </c>
      <c r="BB39" s="109" t="str">
        <f t="shared" ca="1" si="49"/>
        <v>Balene</v>
      </c>
      <c r="BC39" s="82">
        <f t="shared" si="50"/>
        <v>70</v>
      </c>
      <c r="BD39" s="82">
        <f t="shared" si="51"/>
        <v>42</v>
      </c>
      <c r="BE39" s="109" t="str">
        <f t="shared" ca="1" si="52"/>
        <v>Giaguari</v>
      </c>
      <c r="BF39" s="109" t="str">
        <f t="shared" ca="1" si="53"/>
        <v>Balene</v>
      </c>
      <c r="BG39" s="82">
        <f t="shared" si="54"/>
        <v>1</v>
      </c>
      <c r="BH39" s="110">
        <f t="shared" si="55"/>
        <v>0</v>
      </c>
      <c r="BI39" s="110">
        <f t="shared" si="56"/>
        <v>0</v>
      </c>
      <c r="BJ39" s="82">
        <f t="shared" si="57"/>
        <v>70</v>
      </c>
      <c r="BK39" s="82">
        <f t="shared" si="58"/>
        <v>42</v>
      </c>
      <c r="BL39" s="111">
        <f t="shared" si="59"/>
        <v>28</v>
      </c>
      <c r="BM39" s="82">
        <f t="shared" si="60"/>
        <v>0</v>
      </c>
      <c r="BN39" s="82">
        <f t="shared" si="61"/>
        <v>1</v>
      </c>
      <c r="BO39" s="82">
        <f t="shared" si="62"/>
        <v>0</v>
      </c>
      <c r="BP39" s="82">
        <f t="shared" si="63"/>
        <v>42</v>
      </c>
      <c r="BQ39" s="82">
        <f t="shared" si="64"/>
        <v>70</v>
      </c>
      <c r="BR39" s="112">
        <f t="shared" si="65"/>
        <v>-28</v>
      </c>
    </row>
    <row r="40" spans="1:70">
      <c r="A40" s="31">
        <v>31</v>
      </c>
      <c r="B40" s="33" t="s">
        <v>8</v>
      </c>
      <c r="C40" s="33" t="s">
        <v>49</v>
      </c>
      <c r="D40" s="82" t="s">
        <v>238</v>
      </c>
      <c r="E40" s="82" t="s">
        <v>246</v>
      </c>
      <c r="F40" s="109" t="str">
        <f t="shared" si="0"/>
        <v>Istrici</v>
      </c>
      <c r="G40" s="109" t="str">
        <f t="shared" si="1"/>
        <v>Muli</v>
      </c>
      <c r="H40" s="82">
        <f t="shared" si="2"/>
        <v>20</v>
      </c>
      <c r="I40" s="82">
        <f t="shared" si="3"/>
        <v>0</v>
      </c>
      <c r="J40" s="109" t="str">
        <f t="shared" si="4"/>
        <v>Istrici</v>
      </c>
      <c r="K40" s="109" t="str">
        <f t="shared" si="5"/>
        <v>Muli</v>
      </c>
      <c r="L40" s="82">
        <f t="shared" si="6"/>
        <v>1</v>
      </c>
      <c r="M40" s="110">
        <f t="shared" si="7"/>
        <v>0</v>
      </c>
      <c r="N40" s="110">
        <f t="shared" si="8"/>
        <v>0</v>
      </c>
      <c r="O40" s="82">
        <f t="shared" si="9"/>
        <v>20</v>
      </c>
      <c r="P40" s="82">
        <f t="shared" si="10"/>
        <v>0</v>
      </c>
      <c r="Q40" s="111">
        <f t="shared" si="11"/>
        <v>20</v>
      </c>
      <c r="R40" s="82">
        <f t="shared" si="12"/>
        <v>0</v>
      </c>
      <c r="S40" s="82">
        <f t="shared" si="13"/>
        <v>0</v>
      </c>
      <c r="T40" s="82">
        <f t="shared" si="14"/>
        <v>1</v>
      </c>
      <c r="U40" s="82">
        <f t="shared" si="15"/>
        <v>0</v>
      </c>
      <c r="V40" s="82">
        <f t="shared" si="16"/>
        <v>20</v>
      </c>
      <c r="W40" s="112">
        <f t="shared" si="17"/>
        <v>-20</v>
      </c>
      <c r="AU40" s="119" t="s">
        <v>287</v>
      </c>
      <c r="AV40" s="120">
        <v>86</v>
      </c>
      <c r="AW40" s="121" t="s">
        <v>139</v>
      </c>
      <c r="AX40" s="122" t="s">
        <v>284</v>
      </c>
      <c r="AY40" s="121" t="s">
        <v>288</v>
      </c>
      <c r="AZ40" s="121" t="s">
        <v>289</v>
      </c>
      <c r="BA40" s="109" t="str">
        <f t="shared" ca="1" si="48"/>
        <v>Coccodrilli</v>
      </c>
      <c r="BB40" s="109" t="str">
        <f t="shared" ca="1" si="49"/>
        <v>Piranha</v>
      </c>
      <c r="BC40" s="82">
        <f t="shared" si="50"/>
        <v>55</v>
      </c>
      <c r="BD40" s="82">
        <f t="shared" si="51"/>
        <v>35</v>
      </c>
      <c r="BE40" s="109" t="str">
        <f t="shared" ca="1" si="52"/>
        <v>Coccodrilli</v>
      </c>
      <c r="BF40" s="109" t="str">
        <f t="shared" ca="1" si="53"/>
        <v>Piranha</v>
      </c>
      <c r="BG40" s="82">
        <f t="shared" si="54"/>
        <v>1</v>
      </c>
      <c r="BH40" s="110">
        <f t="shared" si="55"/>
        <v>0</v>
      </c>
      <c r="BI40" s="110">
        <f t="shared" si="56"/>
        <v>0</v>
      </c>
      <c r="BJ40" s="82">
        <f t="shared" si="57"/>
        <v>55</v>
      </c>
      <c r="BK40" s="82">
        <f t="shared" si="58"/>
        <v>35</v>
      </c>
      <c r="BL40" s="111">
        <f t="shared" si="59"/>
        <v>20</v>
      </c>
      <c r="BM40" s="82">
        <f t="shared" si="60"/>
        <v>0</v>
      </c>
      <c r="BN40" s="82">
        <f t="shared" si="61"/>
        <v>1</v>
      </c>
      <c r="BO40" s="82">
        <f t="shared" si="62"/>
        <v>0</v>
      </c>
      <c r="BP40" s="82">
        <f t="shared" si="63"/>
        <v>35</v>
      </c>
      <c r="BQ40" s="82">
        <f t="shared" si="64"/>
        <v>55</v>
      </c>
      <c r="BR40" s="112">
        <f t="shared" si="65"/>
        <v>-20</v>
      </c>
    </row>
    <row r="41" spans="1:70">
      <c r="A41" s="31">
        <v>43</v>
      </c>
      <c r="B41" s="33" t="s">
        <v>8</v>
      </c>
      <c r="C41" s="33" t="s">
        <v>49</v>
      </c>
      <c r="D41" s="82" t="s">
        <v>238</v>
      </c>
      <c r="E41" s="82" t="s">
        <v>250</v>
      </c>
      <c r="F41" s="109" t="str">
        <f t="shared" si="0"/>
        <v>Istrici</v>
      </c>
      <c r="G41" s="109" t="str">
        <f t="shared" si="1"/>
        <v>Orche</v>
      </c>
      <c r="H41" s="82">
        <f t="shared" si="2"/>
        <v>20</v>
      </c>
      <c r="I41" s="82">
        <f t="shared" si="3"/>
        <v>0</v>
      </c>
      <c r="J41" s="109" t="str">
        <f t="shared" si="4"/>
        <v>Istrici</v>
      </c>
      <c r="K41" s="109" t="str">
        <f t="shared" si="5"/>
        <v>Orche</v>
      </c>
      <c r="L41" s="82">
        <f t="shared" si="6"/>
        <v>1</v>
      </c>
      <c r="M41" s="110">
        <f t="shared" si="7"/>
        <v>0</v>
      </c>
      <c r="N41" s="110">
        <f t="shared" si="8"/>
        <v>0</v>
      </c>
      <c r="O41" s="82">
        <f t="shared" si="9"/>
        <v>20</v>
      </c>
      <c r="P41" s="82">
        <f t="shared" si="10"/>
        <v>0</v>
      </c>
      <c r="Q41" s="111">
        <f t="shared" si="11"/>
        <v>20</v>
      </c>
      <c r="R41" s="82">
        <f t="shared" si="12"/>
        <v>0</v>
      </c>
      <c r="S41" s="82">
        <f t="shared" si="13"/>
        <v>0</v>
      </c>
      <c r="T41" s="82">
        <f t="shared" si="14"/>
        <v>1</v>
      </c>
      <c r="U41" s="82">
        <f t="shared" si="15"/>
        <v>0</v>
      </c>
      <c r="V41" s="82">
        <f t="shared" si="16"/>
        <v>20</v>
      </c>
      <c r="W41" s="112">
        <f t="shared" si="17"/>
        <v>-20</v>
      </c>
      <c r="AU41" s="119" t="s">
        <v>290</v>
      </c>
      <c r="AV41" s="120">
        <v>87</v>
      </c>
      <c r="AW41" s="121" t="s">
        <v>139</v>
      </c>
      <c r="AX41" s="122" t="s">
        <v>291</v>
      </c>
      <c r="AY41" s="121" t="s">
        <v>292</v>
      </c>
      <c r="AZ41" s="121" t="s">
        <v>293</v>
      </c>
      <c r="BA41" s="109" t="str">
        <f t="shared" ca="1" si="48"/>
        <v>Leoni</v>
      </c>
      <c r="BB41" s="109" t="str">
        <f t="shared" ca="1" si="49"/>
        <v>Bisonti</v>
      </c>
      <c r="BC41" s="82">
        <f t="shared" si="50"/>
        <v>66</v>
      </c>
      <c r="BD41" s="82">
        <f t="shared" si="51"/>
        <v>31</v>
      </c>
      <c r="BE41" s="109" t="str">
        <f t="shared" ca="1" si="52"/>
        <v>Leoni</v>
      </c>
      <c r="BF41" s="109" t="str">
        <f t="shared" ca="1" si="53"/>
        <v>Bisonti</v>
      </c>
      <c r="BG41" s="82">
        <f t="shared" si="54"/>
        <v>1</v>
      </c>
      <c r="BH41" s="110">
        <f t="shared" si="55"/>
        <v>0</v>
      </c>
      <c r="BI41" s="110">
        <f t="shared" si="56"/>
        <v>0</v>
      </c>
      <c r="BJ41" s="82">
        <f t="shared" si="57"/>
        <v>66</v>
      </c>
      <c r="BK41" s="82">
        <f t="shared" si="58"/>
        <v>31</v>
      </c>
      <c r="BL41" s="111">
        <f t="shared" si="59"/>
        <v>35</v>
      </c>
      <c r="BM41" s="82">
        <f t="shared" si="60"/>
        <v>0</v>
      </c>
      <c r="BN41" s="82">
        <f t="shared" si="61"/>
        <v>1</v>
      </c>
      <c r="BO41" s="82">
        <f t="shared" si="62"/>
        <v>0</v>
      </c>
      <c r="BP41" s="82">
        <f t="shared" si="63"/>
        <v>31</v>
      </c>
      <c r="BQ41" s="82">
        <f t="shared" si="64"/>
        <v>66</v>
      </c>
      <c r="BR41" s="112">
        <f t="shared" si="65"/>
        <v>-35</v>
      </c>
    </row>
    <row r="42" spans="1:70">
      <c r="A42" s="31">
        <v>47</v>
      </c>
      <c r="B42" s="33" t="s">
        <v>8</v>
      </c>
      <c r="C42" s="33" t="s">
        <v>49</v>
      </c>
      <c r="D42" s="82" t="s">
        <v>242</v>
      </c>
      <c r="E42" s="82" t="s">
        <v>246</v>
      </c>
      <c r="F42" s="109" t="str">
        <f t="shared" si="0"/>
        <v>Gorilla</v>
      </c>
      <c r="G42" s="109" t="str">
        <f t="shared" si="1"/>
        <v>Muli</v>
      </c>
      <c r="H42" s="82">
        <f t="shared" si="2"/>
        <v>20</v>
      </c>
      <c r="I42" s="82">
        <f t="shared" si="3"/>
        <v>0</v>
      </c>
      <c r="J42" s="109" t="str">
        <f t="shared" si="4"/>
        <v>Gorilla</v>
      </c>
      <c r="K42" s="109" t="str">
        <f t="shared" si="5"/>
        <v>Muli</v>
      </c>
      <c r="L42" s="82">
        <f t="shared" si="6"/>
        <v>1</v>
      </c>
      <c r="M42" s="110">
        <f t="shared" si="7"/>
        <v>0</v>
      </c>
      <c r="N42" s="110">
        <f t="shared" si="8"/>
        <v>0</v>
      </c>
      <c r="O42" s="82">
        <f t="shared" si="9"/>
        <v>20</v>
      </c>
      <c r="P42" s="82">
        <f t="shared" si="10"/>
        <v>0</v>
      </c>
      <c r="Q42" s="111">
        <f t="shared" si="11"/>
        <v>20</v>
      </c>
      <c r="R42" s="82">
        <f t="shared" si="12"/>
        <v>0</v>
      </c>
      <c r="S42" s="82">
        <f t="shared" si="13"/>
        <v>0</v>
      </c>
      <c r="T42" s="82">
        <f t="shared" si="14"/>
        <v>1</v>
      </c>
      <c r="U42" s="82">
        <f t="shared" si="15"/>
        <v>0</v>
      </c>
      <c r="V42" s="82">
        <f t="shared" si="16"/>
        <v>20</v>
      </c>
      <c r="W42" s="112">
        <f t="shared" si="17"/>
        <v>-20</v>
      </c>
      <c r="AU42" s="119" t="s">
        <v>294</v>
      </c>
      <c r="AV42" s="120">
        <v>88</v>
      </c>
      <c r="AW42" s="121" t="s">
        <v>139</v>
      </c>
      <c r="AX42" s="122" t="s">
        <v>291</v>
      </c>
      <c r="AY42" s="121" t="s">
        <v>295</v>
      </c>
      <c r="AZ42" s="121" t="s">
        <v>296</v>
      </c>
      <c r="BA42" s="109" t="str">
        <f t="shared" ca="1" si="48"/>
        <v>Pantere</v>
      </c>
      <c r="BB42" s="109" t="str">
        <f t="shared" ca="1" si="49"/>
        <v>Istrici</v>
      </c>
      <c r="BC42" s="82">
        <f t="shared" si="50"/>
        <v>68</v>
      </c>
      <c r="BD42" s="82">
        <f t="shared" si="51"/>
        <v>47</v>
      </c>
      <c r="BE42" s="109" t="str">
        <f t="shared" ca="1" si="52"/>
        <v>Pantere</v>
      </c>
      <c r="BF42" s="109" t="str">
        <f t="shared" ca="1" si="53"/>
        <v>Istrici</v>
      </c>
      <c r="BG42" s="82">
        <f t="shared" si="54"/>
        <v>1</v>
      </c>
      <c r="BH42" s="110">
        <f t="shared" si="55"/>
        <v>0</v>
      </c>
      <c r="BI42" s="110">
        <f t="shared" si="56"/>
        <v>0</v>
      </c>
      <c r="BJ42" s="82">
        <f t="shared" si="57"/>
        <v>68</v>
      </c>
      <c r="BK42" s="82">
        <f t="shared" si="58"/>
        <v>47</v>
      </c>
      <c r="BL42" s="111">
        <f t="shared" si="59"/>
        <v>21</v>
      </c>
      <c r="BM42" s="82">
        <f t="shared" si="60"/>
        <v>0</v>
      </c>
      <c r="BN42" s="82">
        <f t="shared" si="61"/>
        <v>1</v>
      </c>
      <c r="BO42" s="82">
        <f t="shared" si="62"/>
        <v>0</v>
      </c>
      <c r="BP42" s="82">
        <f t="shared" si="63"/>
        <v>47</v>
      </c>
      <c r="BQ42" s="82">
        <f t="shared" si="64"/>
        <v>68</v>
      </c>
      <c r="BR42" s="112">
        <f t="shared" si="65"/>
        <v>-21</v>
      </c>
    </row>
    <row r="43" spans="1:70">
      <c r="A43" s="31">
        <v>35</v>
      </c>
      <c r="B43" s="33" t="s">
        <v>8</v>
      </c>
      <c r="C43" s="33" t="s">
        <v>49</v>
      </c>
      <c r="D43" s="82" t="s">
        <v>242</v>
      </c>
      <c r="E43" s="82" t="s">
        <v>250</v>
      </c>
      <c r="F43" s="109" t="str">
        <f t="shared" si="0"/>
        <v>Gorilla</v>
      </c>
      <c r="G43" s="109" t="str">
        <f t="shared" si="1"/>
        <v>Orche</v>
      </c>
      <c r="H43" s="82">
        <f t="shared" si="2"/>
        <v>20</v>
      </c>
      <c r="I43" s="82">
        <f t="shared" si="3"/>
        <v>0</v>
      </c>
      <c r="J43" s="109" t="str">
        <f t="shared" si="4"/>
        <v>Gorilla</v>
      </c>
      <c r="K43" s="109" t="str">
        <f t="shared" si="5"/>
        <v>Orche</v>
      </c>
      <c r="L43" s="82">
        <f t="shared" si="6"/>
        <v>1</v>
      </c>
      <c r="M43" s="110">
        <f t="shared" si="7"/>
        <v>0</v>
      </c>
      <c r="N43" s="110">
        <f t="shared" si="8"/>
        <v>0</v>
      </c>
      <c r="O43" s="82">
        <f t="shared" si="9"/>
        <v>20</v>
      </c>
      <c r="P43" s="82">
        <f t="shared" si="10"/>
        <v>0</v>
      </c>
      <c r="Q43" s="111">
        <f t="shared" si="11"/>
        <v>20</v>
      </c>
      <c r="R43" s="82">
        <f t="shared" si="12"/>
        <v>0</v>
      </c>
      <c r="S43" s="82">
        <f t="shared" si="13"/>
        <v>0</v>
      </c>
      <c r="T43" s="82">
        <f t="shared" si="14"/>
        <v>1</v>
      </c>
      <c r="U43" s="82">
        <f t="shared" si="15"/>
        <v>0</v>
      </c>
      <c r="V43" s="82">
        <f t="shared" si="16"/>
        <v>20</v>
      </c>
      <c r="W43" s="112">
        <f t="shared" si="17"/>
        <v>-20</v>
      </c>
      <c r="AU43" s="119" t="s">
        <v>297</v>
      </c>
      <c r="AV43" s="120">
        <v>89</v>
      </c>
      <c r="AW43" s="121" t="s">
        <v>139</v>
      </c>
      <c r="AX43" s="122" t="s">
        <v>298</v>
      </c>
      <c r="AY43" s="121" t="s">
        <v>299</v>
      </c>
      <c r="AZ43" s="121" t="s">
        <v>300</v>
      </c>
      <c r="BA43" s="109" t="str">
        <f t="shared" ca="1" si="48"/>
        <v>Elefanti</v>
      </c>
      <c r="BB43" s="109" t="str">
        <f t="shared" ca="1" si="49"/>
        <v>Gorilla</v>
      </c>
      <c r="BC43" s="82">
        <f t="shared" si="50"/>
        <v>66</v>
      </c>
      <c r="BD43" s="82">
        <f t="shared" si="51"/>
        <v>32</v>
      </c>
      <c r="BE43" s="109" t="str">
        <f t="shared" ca="1" si="52"/>
        <v>Elefanti</v>
      </c>
      <c r="BF43" s="109" t="str">
        <f t="shared" ca="1" si="53"/>
        <v>Gorilla</v>
      </c>
      <c r="BG43" s="82">
        <f t="shared" si="54"/>
        <v>1</v>
      </c>
      <c r="BH43" s="110">
        <f t="shared" si="55"/>
        <v>0</v>
      </c>
      <c r="BI43" s="110">
        <f t="shared" si="56"/>
        <v>0</v>
      </c>
      <c r="BJ43" s="82">
        <f t="shared" si="57"/>
        <v>66</v>
      </c>
      <c r="BK43" s="82">
        <f t="shared" si="58"/>
        <v>32</v>
      </c>
      <c r="BL43" s="111">
        <f t="shared" si="59"/>
        <v>34</v>
      </c>
      <c r="BM43" s="82">
        <f t="shared" si="60"/>
        <v>0</v>
      </c>
      <c r="BN43" s="82">
        <f t="shared" si="61"/>
        <v>1</v>
      </c>
      <c r="BO43" s="82">
        <f t="shared" si="62"/>
        <v>0</v>
      </c>
      <c r="BP43" s="82">
        <f t="shared" si="63"/>
        <v>32</v>
      </c>
      <c r="BQ43" s="82">
        <f t="shared" si="64"/>
        <v>66</v>
      </c>
      <c r="BR43" s="112">
        <f t="shared" si="65"/>
        <v>-34</v>
      </c>
    </row>
    <row r="44" spans="1:70">
      <c r="A44" s="31">
        <v>23</v>
      </c>
      <c r="B44" s="33" t="s">
        <v>8</v>
      </c>
      <c r="C44" s="33" t="s">
        <v>49</v>
      </c>
      <c r="D44" s="82" t="s">
        <v>246</v>
      </c>
      <c r="E44" s="82" t="s">
        <v>250</v>
      </c>
      <c r="F44" s="109" t="str">
        <f t="shared" si="0"/>
        <v>Muli</v>
      </c>
      <c r="G44" s="109" t="str">
        <f t="shared" si="1"/>
        <v>Orche</v>
      </c>
      <c r="H44" s="82">
        <f t="shared" si="2"/>
        <v>0</v>
      </c>
      <c r="I44" s="82">
        <f t="shared" si="3"/>
        <v>20</v>
      </c>
      <c r="J44" s="109" t="str">
        <f t="shared" si="4"/>
        <v>Orche</v>
      </c>
      <c r="K44" s="109" t="str">
        <f t="shared" si="5"/>
        <v>Muli</v>
      </c>
      <c r="L44" s="82">
        <f t="shared" si="6"/>
        <v>0</v>
      </c>
      <c r="M44" s="110">
        <f t="shared" si="7"/>
        <v>0</v>
      </c>
      <c r="N44" s="110">
        <f t="shared" si="8"/>
        <v>1</v>
      </c>
      <c r="O44" s="82">
        <f t="shared" si="9"/>
        <v>0</v>
      </c>
      <c r="P44" s="82">
        <f t="shared" si="10"/>
        <v>20</v>
      </c>
      <c r="Q44" s="111">
        <f t="shared" si="11"/>
        <v>-20</v>
      </c>
      <c r="R44" s="82">
        <f t="shared" si="12"/>
        <v>1</v>
      </c>
      <c r="S44" s="82">
        <f t="shared" si="13"/>
        <v>0</v>
      </c>
      <c r="T44" s="82">
        <f t="shared" si="14"/>
        <v>0</v>
      </c>
      <c r="U44" s="82">
        <f t="shared" si="15"/>
        <v>20</v>
      </c>
      <c r="V44" s="82">
        <f t="shared" si="16"/>
        <v>0</v>
      </c>
      <c r="W44" s="112">
        <f t="shared" si="17"/>
        <v>20</v>
      </c>
      <c r="AU44" s="119" t="s">
        <v>301</v>
      </c>
      <c r="AV44" s="120">
        <v>90</v>
      </c>
      <c r="AW44" s="121" t="s">
        <v>139</v>
      </c>
      <c r="AX44" s="122" t="s">
        <v>298</v>
      </c>
      <c r="AY44" s="121" t="s">
        <v>302</v>
      </c>
      <c r="AZ44" s="121" t="s">
        <v>303</v>
      </c>
      <c r="BA44" s="109" t="str">
        <f t="shared" ca="1" si="48"/>
        <v>Giraffe</v>
      </c>
      <c r="BB44" s="109" t="str">
        <f t="shared" ca="1" si="49"/>
        <v>Bufali</v>
      </c>
      <c r="BC44" s="82">
        <f t="shared" si="50"/>
        <v>52</v>
      </c>
      <c r="BD44" s="82">
        <f t="shared" si="51"/>
        <v>30</v>
      </c>
      <c r="BE44" s="109" t="str">
        <f t="shared" ca="1" si="52"/>
        <v>Giraffe</v>
      </c>
      <c r="BF44" s="109" t="str">
        <f t="shared" ca="1" si="53"/>
        <v>Bufali</v>
      </c>
      <c r="BG44" s="82">
        <f t="shared" si="54"/>
        <v>1</v>
      </c>
      <c r="BH44" s="110">
        <f t="shared" si="55"/>
        <v>0</v>
      </c>
      <c r="BI44" s="110">
        <f t="shared" si="56"/>
        <v>0</v>
      </c>
      <c r="BJ44" s="82">
        <f t="shared" si="57"/>
        <v>52</v>
      </c>
      <c r="BK44" s="82">
        <f t="shared" si="58"/>
        <v>30</v>
      </c>
      <c r="BL44" s="111">
        <f t="shared" si="59"/>
        <v>22</v>
      </c>
      <c r="BM44" s="82">
        <f t="shared" si="60"/>
        <v>0</v>
      </c>
      <c r="BN44" s="82">
        <f t="shared" si="61"/>
        <v>1</v>
      </c>
      <c r="BO44" s="82">
        <f t="shared" si="62"/>
        <v>0</v>
      </c>
      <c r="BP44" s="82">
        <f t="shared" si="63"/>
        <v>30</v>
      </c>
      <c r="BQ44" s="82">
        <f t="shared" si="64"/>
        <v>52</v>
      </c>
      <c r="BR44" s="112">
        <f t="shared" si="65"/>
        <v>-22</v>
      </c>
    </row>
    <row r="45" spans="1:70">
      <c r="A45" s="31">
        <v>20</v>
      </c>
      <c r="B45" s="33" t="s">
        <v>8</v>
      </c>
      <c r="C45" s="33" t="s">
        <v>54</v>
      </c>
      <c r="D45" s="82" t="s">
        <v>254</v>
      </c>
      <c r="E45" s="82" t="s">
        <v>259</v>
      </c>
      <c r="F45" s="109" t="str">
        <f t="shared" si="0"/>
        <v>Piranha</v>
      </c>
      <c r="G45" s="109" t="str">
        <f t="shared" si="1"/>
        <v>Scorpioni</v>
      </c>
      <c r="H45" s="82">
        <f t="shared" si="2"/>
        <v>100</v>
      </c>
      <c r="I45" s="82">
        <f t="shared" si="3"/>
        <v>83</v>
      </c>
      <c r="J45" s="109" t="str">
        <f t="shared" si="4"/>
        <v>Piranha</v>
      </c>
      <c r="K45" s="109" t="str">
        <f t="shared" si="5"/>
        <v>Scorpioni</v>
      </c>
      <c r="L45" s="82">
        <f t="shared" si="6"/>
        <v>1</v>
      </c>
      <c r="M45" s="110">
        <f t="shared" si="7"/>
        <v>0</v>
      </c>
      <c r="N45" s="110">
        <f t="shared" si="8"/>
        <v>0</v>
      </c>
      <c r="O45" s="82">
        <f t="shared" si="9"/>
        <v>100</v>
      </c>
      <c r="P45" s="82">
        <f t="shared" si="10"/>
        <v>83</v>
      </c>
      <c r="Q45" s="111">
        <f t="shared" si="11"/>
        <v>17</v>
      </c>
      <c r="R45" s="82">
        <f t="shared" si="12"/>
        <v>0</v>
      </c>
      <c r="S45" s="82">
        <f t="shared" si="13"/>
        <v>1</v>
      </c>
      <c r="T45" s="82">
        <f t="shared" si="14"/>
        <v>0</v>
      </c>
      <c r="U45" s="82">
        <f t="shared" si="15"/>
        <v>83</v>
      </c>
      <c r="V45" s="82">
        <f t="shared" si="16"/>
        <v>100</v>
      </c>
      <c r="W45" s="112">
        <f t="shared" si="17"/>
        <v>-17</v>
      </c>
      <c r="AU45" s="119" t="s">
        <v>304</v>
      </c>
      <c r="AV45" s="120">
        <v>91</v>
      </c>
      <c r="AW45" s="121" t="s">
        <v>139</v>
      </c>
      <c r="AX45" s="122" t="s">
        <v>305</v>
      </c>
      <c r="AY45" s="121" t="s">
        <v>306</v>
      </c>
      <c r="AZ45" s="121" t="s">
        <v>307</v>
      </c>
      <c r="BA45" s="109" t="str">
        <f t="shared" ca="1" si="48"/>
        <v>Aquile</v>
      </c>
      <c r="BB45" s="109" t="str">
        <f t="shared" ca="1" si="49"/>
        <v>Tonni</v>
      </c>
      <c r="BC45" s="82">
        <f t="shared" si="50"/>
        <v>54</v>
      </c>
      <c r="BD45" s="82">
        <f t="shared" si="51"/>
        <v>36</v>
      </c>
      <c r="BE45" s="109" t="str">
        <f t="shared" ca="1" si="52"/>
        <v>Aquile</v>
      </c>
      <c r="BF45" s="109" t="str">
        <f t="shared" ca="1" si="53"/>
        <v>Tonni</v>
      </c>
      <c r="BG45" s="82">
        <f t="shared" si="54"/>
        <v>1</v>
      </c>
      <c r="BH45" s="110">
        <f t="shared" si="55"/>
        <v>0</v>
      </c>
      <c r="BI45" s="110">
        <f t="shared" si="56"/>
        <v>0</v>
      </c>
      <c r="BJ45" s="82">
        <f t="shared" si="57"/>
        <v>54</v>
      </c>
      <c r="BK45" s="82">
        <f t="shared" si="58"/>
        <v>36</v>
      </c>
      <c r="BL45" s="111">
        <f t="shared" si="59"/>
        <v>18</v>
      </c>
      <c r="BM45" s="82">
        <f t="shared" si="60"/>
        <v>0</v>
      </c>
      <c r="BN45" s="82">
        <f t="shared" si="61"/>
        <v>1</v>
      </c>
      <c r="BO45" s="82">
        <f t="shared" si="62"/>
        <v>0</v>
      </c>
      <c r="BP45" s="82">
        <f t="shared" si="63"/>
        <v>36</v>
      </c>
      <c r="BQ45" s="82">
        <f t="shared" si="64"/>
        <v>54</v>
      </c>
      <c r="BR45" s="112">
        <f t="shared" si="65"/>
        <v>-18</v>
      </c>
    </row>
    <row r="46" spans="1:70">
      <c r="A46" s="31">
        <v>32</v>
      </c>
      <c r="B46" s="33" t="s">
        <v>8</v>
      </c>
      <c r="C46" s="33" t="s">
        <v>54</v>
      </c>
      <c r="D46" s="82" t="s">
        <v>254</v>
      </c>
      <c r="E46" s="82" t="s">
        <v>263</v>
      </c>
      <c r="F46" s="109" t="str">
        <f t="shared" si="0"/>
        <v>Piranha</v>
      </c>
      <c r="G46" s="109" t="str">
        <f t="shared" si="1"/>
        <v>Tonni</v>
      </c>
      <c r="H46" s="82">
        <f t="shared" si="2"/>
        <v>97</v>
      </c>
      <c r="I46" s="82">
        <f t="shared" si="3"/>
        <v>78</v>
      </c>
      <c r="J46" s="109" t="str">
        <f t="shared" si="4"/>
        <v>Piranha</v>
      </c>
      <c r="K46" s="109" t="str">
        <f t="shared" si="5"/>
        <v>Tonni</v>
      </c>
      <c r="L46" s="82">
        <f t="shared" si="6"/>
        <v>1</v>
      </c>
      <c r="M46" s="110">
        <f t="shared" si="7"/>
        <v>0</v>
      </c>
      <c r="N46" s="110">
        <f t="shared" si="8"/>
        <v>0</v>
      </c>
      <c r="O46" s="82">
        <f t="shared" si="9"/>
        <v>97</v>
      </c>
      <c r="P46" s="82">
        <f t="shared" si="10"/>
        <v>78</v>
      </c>
      <c r="Q46" s="111">
        <f t="shared" si="11"/>
        <v>19</v>
      </c>
      <c r="R46" s="82">
        <f t="shared" si="12"/>
        <v>0</v>
      </c>
      <c r="S46" s="82">
        <f t="shared" si="13"/>
        <v>1</v>
      </c>
      <c r="T46" s="82">
        <f t="shared" si="14"/>
        <v>0</v>
      </c>
      <c r="U46" s="82">
        <f t="shared" si="15"/>
        <v>78</v>
      </c>
      <c r="V46" s="82">
        <f t="shared" si="16"/>
        <v>97</v>
      </c>
      <c r="W46" s="112">
        <f t="shared" si="17"/>
        <v>-19</v>
      </c>
      <c r="AU46" s="119" t="s">
        <v>308</v>
      </c>
      <c r="AV46" s="120">
        <v>92</v>
      </c>
      <c r="AW46" s="121" t="s">
        <v>139</v>
      </c>
      <c r="AX46" s="122" t="s">
        <v>305</v>
      </c>
      <c r="AY46" s="121" t="s">
        <v>309</v>
      </c>
      <c r="AZ46" s="121" t="s">
        <v>310</v>
      </c>
      <c r="BA46" s="109" t="str">
        <f t="shared" ca="1" si="48"/>
        <v>Puma</v>
      </c>
      <c r="BB46" s="109" t="str">
        <f t="shared" ca="1" si="49"/>
        <v>Gabbiani</v>
      </c>
      <c r="BC46" s="82">
        <f t="shared" si="50"/>
        <v>64</v>
      </c>
      <c r="BD46" s="82">
        <f t="shared" si="51"/>
        <v>33</v>
      </c>
      <c r="BE46" s="109" t="str">
        <f t="shared" ca="1" si="52"/>
        <v>Puma</v>
      </c>
      <c r="BF46" s="109" t="str">
        <f t="shared" ca="1" si="53"/>
        <v>Gabbiani</v>
      </c>
      <c r="BG46" s="82">
        <f t="shared" si="54"/>
        <v>1</v>
      </c>
      <c r="BH46" s="110">
        <f t="shared" si="55"/>
        <v>0</v>
      </c>
      <c r="BI46" s="110">
        <f t="shared" si="56"/>
        <v>0</v>
      </c>
      <c r="BJ46" s="82">
        <f t="shared" si="57"/>
        <v>64</v>
      </c>
      <c r="BK46" s="82">
        <f t="shared" si="58"/>
        <v>33</v>
      </c>
      <c r="BL46" s="111">
        <f t="shared" si="59"/>
        <v>31</v>
      </c>
      <c r="BM46" s="82">
        <f t="shared" si="60"/>
        <v>0</v>
      </c>
      <c r="BN46" s="82">
        <f t="shared" si="61"/>
        <v>1</v>
      </c>
      <c r="BO46" s="82">
        <f t="shared" si="62"/>
        <v>0</v>
      </c>
      <c r="BP46" s="82">
        <f t="shared" si="63"/>
        <v>33</v>
      </c>
      <c r="BQ46" s="82">
        <f t="shared" si="64"/>
        <v>64</v>
      </c>
      <c r="BR46" s="112">
        <f t="shared" si="65"/>
        <v>-31</v>
      </c>
    </row>
    <row r="47" spans="1:70">
      <c r="A47" s="31">
        <v>36</v>
      </c>
      <c r="B47" s="33" t="s">
        <v>8</v>
      </c>
      <c r="C47" s="33" t="s">
        <v>54</v>
      </c>
      <c r="D47" s="82" t="s">
        <v>259</v>
      </c>
      <c r="E47" s="82" t="s">
        <v>267</v>
      </c>
      <c r="F47" s="109" t="str">
        <f t="shared" si="0"/>
        <v>Scorpioni</v>
      </c>
      <c r="G47" s="109" t="str">
        <f t="shared" si="1"/>
        <v>Zebre</v>
      </c>
      <c r="H47" s="82">
        <f t="shared" si="2"/>
        <v>74</v>
      </c>
      <c r="I47" s="82">
        <f t="shared" si="3"/>
        <v>79</v>
      </c>
      <c r="J47" s="109" t="str">
        <f t="shared" si="4"/>
        <v>Zebre</v>
      </c>
      <c r="K47" s="109" t="str">
        <f t="shared" si="5"/>
        <v>Scorpioni</v>
      </c>
      <c r="L47" s="82">
        <f t="shared" si="6"/>
        <v>0</v>
      </c>
      <c r="M47" s="110">
        <f t="shared" si="7"/>
        <v>1</v>
      </c>
      <c r="N47" s="110">
        <f t="shared" si="8"/>
        <v>0</v>
      </c>
      <c r="O47" s="82">
        <f t="shared" si="9"/>
        <v>74</v>
      </c>
      <c r="P47" s="82">
        <f t="shared" si="10"/>
        <v>79</v>
      </c>
      <c r="Q47" s="111">
        <f t="shared" si="11"/>
        <v>-5</v>
      </c>
      <c r="R47" s="82">
        <f t="shared" si="12"/>
        <v>1</v>
      </c>
      <c r="S47" s="82">
        <f t="shared" si="13"/>
        <v>0</v>
      </c>
      <c r="T47" s="82">
        <f t="shared" si="14"/>
        <v>0</v>
      </c>
      <c r="U47" s="82">
        <f t="shared" si="15"/>
        <v>79</v>
      </c>
      <c r="V47" s="82">
        <f t="shared" si="16"/>
        <v>74</v>
      </c>
      <c r="W47" s="112">
        <f t="shared" si="17"/>
        <v>5</v>
      </c>
      <c r="AU47" s="119" t="s">
        <v>311</v>
      </c>
      <c r="AV47" s="120">
        <v>93</v>
      </c>
      <c r="AW47" s="121" t="s">
        <v>139</v>
      </c>
      <c r="AX47" s="122" t="s">
        <v>312</v>
      </c>
      <c r="AY47" s="121" t="s">
        <v>313</v>
      </c>
      <c r="AZ47" s="121" t="s">
        <v>314</v>
      </c>
      <c r="BA47" s="109" t="str">
        <f t="shared" ca="1" si="48"/>
        <v>Tigri</v>
      </c>
      <c r="BB47" s="109" t="str">
        <f t="shared" ca="1" si="49"/>
        <v>Cervi</v>
      </c>
      <c r="BC47" s="82">
        <f t="shared" si="50"/>
        <v>57</v>
      </c>
      <c r="BD47" s="82">
        <f t="shared" si="51"/>
        <v>49</v>
      </c>
      <c r="BE47" s="109" t="str">
        <f t="shared" ca="1" si="52"/>
        <v>Tigri</v>
      </c>
      <c r="BF47" s="109" t="str">
        <f t="shared" ca="1" si="53"/>
        <v>Cervi</v>
      </c>
      <c r="BG47" s="82">
        <f t="shared" si="54"/>
        <v>1</v>
      </c>
      <c r="BH47" s="110">
        <f t="shared" si="55"/>
        <v>0</v>
      </c>
      <c r="BI47" s="110">
        <f t="shared" si="56"/>
        <v>0</v>
      </c>
      <c r="BJ47" s="82">
        <f t="shared" si="57"/>
        <v>57</v>
      </c>
      <c r="BK47" s="82">
        <f t="shared" si="58"/>
        <v>49</v>
      </c>
      <c r="BL47" s="111">
        <f t="shared" si="59"/>
        <v>8</v>
      </c>
      <c r="BM47" s="82">
        <f t="shared" si="60"/>
        <v>0</v>
      </c>
      <c r="BN47" s="82">
        <f t="shared" si="61"/>
        <v>1</v>
      </c>
      <c r="BO47" s="82">
        <f t="shared" si="62"/>
        <v>0</v>
      </c>
      <c r="BP47" s="82">
        <f t="shared" si="63"/>
        <v>49</v>
      </c>
      <c r="BQ47" s="82">
        <f t="shared" si="64"/>
        <v>57</v>
      </c>
      <c r="BR47" s="112">
        <f t="shared" si="65"/>
        <v>-8</v>
      </c>
    </row>
    <row r="48" spans="1:70">
      <c r="A48" s="31">
        <v>44</v>
      </c>
      <c r="B48" s="33" t="s">
        <v>8</v>
      </c>
      <c r="C48" s="33" t="s">
        <v>54</v>
      </c>
      <c r="D48" s="82" t="s">
        <v>263</v>
      </c>
      <c r="E48" s="82" t="s">
        <v>259</v>
      </c>
      <c r="F48" s="109" t="str">
        <f t="shared" si="0"/>
        <v>Tonni</v>
      </c>
      <c r="G48" s="109" t="str">
        <f t="shared" si="1"/>
        <v>Scorpioni</v>
      </c>
      <c r="H48" s="82">
        <f t="shared" si="2"/>
        <v>65</v>
      </c>
      <c r="I48" s="82">
        <f t="shared" si="3"/>
        <v>13</v>
      </c>
      <c r="J48" s="109" t="str">
        <f t="shared" si="4"/>
        <v>Tonni</v>
      </c>
      <c r="K48" s="109" t="str">
        <f t="shared" si="5"/>
        <v>Scorpioni</v>
      </c>
      <c r="L48" s="82">
        <f t="shared" si="6"/>
        <v>1</v>
      </c>
      <c r="M48" s="110">
        <f t="shared" si="7"/>
        <v>0</v>
      </c>
      <c r="N48" s="110">
        <f t="shared" si="8"/>
        <v>0</v>
      </c>
      <c r="O48" s="82">
        <f t="shared" si="9"/>
        <v>65</v>
      </c>
      <c r="P48" s="82">
        <f t="shared" si="10"/>
        <v>13</v>
      </c>
      <c r="Q48" s="111">
        <f t="shared" si="11"/>
        <v>52</v>
      </c>
      <c r="R48" s="82">
        <f t="shared" si="12"/>
        <v>0</v>
      </c>
      <c r="S48" s="82">
        <f t="shared" si="13"/>
        <v>1</v>
      </c>
      <c r="T48" s="82">
        <f t="shared" si="14"/>
        <v>0</v>
      </c>
      <c r="U48" s="82">
        <f t="shared" si="15"/>
        <v>13</v>
      </c>
      <c r="V48" s="82">
        <f t="shared" si="16"/>
        <v>65</v>
      </c>
      <c r="W48" s="112">
        <f t="shared" si="17"/>
        <v>-52</v>
      </c>
      <c r="AU48" s="119" t="s">
        <v>315</v>
      </c>
      <c r="AV48" s="120">
        <v>94</v>
      </c>
      <c r="AW48" s="121" t="s">
        <v>139</v>
      </c>
      <c r="AX48" s="122" t="s">
        <v>312</v>
      </c>
      <c r="AY48" s="121" t="s">
        <v>316</v>
      </c>
      <c r="AZ48" s="121" t="s">
        <v>317</v>
      </c>
      <c r="BA48" s="109" t="str">
        <f t="shared" ca="1" si="48"/>
        <v>Ippopotami</v>
      </c>
      <c r="BB48" s="109" t="str">
        <f t="shared" ca="1" si="49"/>
        <v>Orche</v>
      </c>
      <c r="BC48" s="82">
        <f t="shared" si="50"/>
        <v>56</v>
      </c>
      <c r="BD48" s="82">
        <f t="shared" si="51"/>
        <v>42</v>
      </c>
      <c r="BE48" s="109" t="str">
        <f t="shared" ca="1" si="52"/>
        <v>Ippopotami</v>
      </c>
      <c r="BF48" s="109" t="str">
        <f t="shared" ca="1" si="53"/>
        <v>Orche</v>
      </c>
      <c r="BG48" s="82">
        <f t="shared" si="54"/>
        <v>1</v>
      </c>
      <c r="BH48" s="110">
        <f t="shared" si="55"/>
        <v>0</v>
      </c>
      <c r="BI48" s="110">
        <f t="shared" si="56"/>
        <v>0</v>
      </c>
      <c r="BJ48" s="82">
        <f t="shared" si="57"/>
        <v>56</v>
      </c>
      <c r="BK48" s="82">
        <f t="shared" si="58"/>
        <v>42</v>
      </c>
      <c r="BL48" s="111">
        <f t="shared" si="59"/>
        <v>14</v>
      </c>
      <c r="BM48" s="82">
        <f t="shared" si="60"/>
        <v>0</v>
      </c>
      <c r="BN48" s="82">
        <f t="shared" si="61"/>
        <v>1</v>
      </c>
      <c r="BO48" s="82">
        <f t="shared" si="62"/>
        <v>0</v>
      </c>
      <c r="BP48" s="82">
        <f t="shared" si="63"/>
        <v>42</v>
      </c>
      <c r="BQ48" s="82">
        <f t="shared" si="64"/>
        <v>56</v>
      </c>
      <c r="BR48" s="112">
        <f t="shared" si="65"/>
        <v>-14</v>
      </c>
    </row>
    <row r="49" spans="1:70">
      <c r="A49" s="31">
        <v>24</v>
      </c>
      <c r="B49" s="33" t="s">
        <v>8</v>
      </c>
      <c r="C49" s="33" t="s">
        <v>54</v>
      </c>
      <c r="D49" s="82" t="s">
        <v>263</v>
      </c>
      <c r="E49" s="82" t="s">
        <v>267</v>
      </c>
      <c r="F49" s="109" t="str">
        <f t="shared" si="0"/>
        <v>Tonni</v>
      </c>
      <c r="G49" s="109" t="str">
        <f t="shared" si="1"/>
        <v>Zebre</v>
      </c>
      <c r="H49" s="82">
        <f t="shared" si="2"/>
        <v>20</v>
      </c>
      <c r="I49" s="82">
        <f t="shared" si="3"/>
        <v>0</v>
      </c>
      <c r="J49" s="109" t="str">
        <f t="shared" si="4"/>
        <v>Tonni</v>
      </c>
      <c r="K49" s="109" t="str">
        <f t="shared" si="5"/>
        <v>Zebre</v>
      </c>
      <c r="L49" s="82">
        <f t="shared" si="6"/>
        <v>1</v>
      </c>
      <c r="M49" s="110">
        <f t="shared" si="7"/>
        <v>0</v>
      </c>
      <c r="N49" s="110">
        <f t="shared" si="8"/>
        <v>0</v>
      </c>
      <c r="O49" s="82">
        <f t="shared" si="9"/>
        <v>20</v>
      </c>
      <c r="P49" s="82">
        <f t="shared" si="10"/>
        <v>0</v>
      </c>
      <c r="Q49" s="111">
        <f t="shared" si="11"/>
        <v>20</v>
      </c>
      <c r="R49" s="82">
        <f t="shared" si="12"/>
        <v>0</v>
      </c>
      <c r="S49" s="82">
        <f t="shared" si="13"/>
        <v>0</v>
      </c>
      <c r="T49" s="82">
        <f t="shared" si="14"/>
        <v>1</v>
      </c>
      <c r="U49" s="82">
        <f t="shared" si="15"/>
        <v>0</v>
      </c>
      <c r="V49" s="82">
        <f t="shared" si="16"/>
        <v>20</v>
      </c>
      <c r="W49" s="112">
        <f t="shared" si="17"/>
        <v>-20</v>
      </c>
      <c r="AU49" s="119" t="s">
        <v>318</v>
      </c>
      <c r="AV49" s="120">
        <v>95</v>
      </c>
      <c r="AW49" s="121" t="s">
        <v>139</v>
      </c>
      <c r="AX49" s="122" t="s">
        <v>319</v>
      </c>
      <c r="AY49" s="121" t="s">
        <v>320</v>
      </c>
      <c r="AZ49" s="121" t="s">
        <v>321</v>
      </c>
      <c r="BA49" s="109" t="str">
        <f t="shared" ca="1" si="48"/>
        <v>Linci</v>
      </c>
      <c r="BB49" s="109" t="str">
        <f t="shared" ca="1" si="49"/>
        <v>Delfini</v>
      </c>
      <c r="BC49" s="82">
        <f t="shared" si="50"/>
        <v>53</v>
      </c>
      <c r="BD49" s="82">
        <f t="shared" si="51"/>
        <v>49</v>
      </c>
      <c r="BE49" s="109" t="str">
        <f t="shared" ca="1" si="52"/>
        <v>Linci</v>
      </c>
      <c r="BF49" s="109" t="str">
        <f t="shared" ca="1" si="53"/>
        <v>Delfini</v>
      </c>
      <c r="BG49" s="82">
        <f t="shared" si="54"/>
        <v>1</v>
      </c>
      <c r="BH49" s="110">
        <f t="shared" si="55"/>
        <v>0</v>
      </c>
      <c r="BI49" s="110">
        <f t="shared" si="56"/>
        <v>0</v>
      </c>
      <c r="BJ49" s="82">
        <f t="shared" si="57"/>
        <v>53</v>
      </c>
      <c r="BK49" s="82">
        <f t="shared" si="58"/>
        <v>49</v>
      </c>
      <c r="BL49" s="111">
        <f t="shared" si="59"/>
        <v>4</v>
      </c>
      <c r="BM49" s="82">
        <f t="shared" si="60"/>
        <v>0</v>
      </c>
      <c r="BN49" s="82">
        <f t="shared" si="61"/>
        <v>1</v>
      </c>
      <c r="BO49" s="82">
        <f t="shared" si="62"/>
        <v>0</v>
      </c>
      <c r="BP49" s="82">
        <f t="shared" si="63"/>
        <v>49</v>
      </c>
      <c r="BQ49" s="82">
        <f t="shared" si="64"/>
        <v>53</v>
      </c>
      <c r="BR49" s="112">
        <f t="shared" si="65"/>
        <v>-4</v>
      </c>
    </row>
    <row r="50" spans="1:70">
      <c r="A50" s="36">
        <v>48</v>
      </c>
      <c r="B50" s="38" t="s">
        <v>8</v>
      </c>
      <c r="C50" s="38" t="s">
        <v>54</v>
      </c>
      <c r="D50" s="83" t="s">
        <v>267</v>
      </c>
      <c r="E50" s="83" t="s">
        <v>254</v>
      </c>
      <c r="F50" s="149" t="str">
        <f t="shared" si="0"/>
        <v>Zebre</v>
      </c>
      <c r="G50" s="149" t="str">
        <f t="shared" si="1"/>
        <v>Piranha</v>
      </c>
      <c r="H50" s="83">
        <f t="shared" si="2"/>
        <v>54</v>
      </c>
      <c r="I50" s="83">
        <f t="shared" si="3"/>
        <v>48</v>
      </c>
      <c r="J50" s="149" t="str">
        <f t="shared" si="4"/>
        <v>Zebre</v>
      </c>
      <c r="K50" s="149" t="str">
        <f t="shared" si="5"/>
        <v>Piranha</v>
      </c>
      <c r="L50" s="83">
        <f t="shared" si="6"/>
        <v>1</v>
      </c>
      <c r="M50" s="150">
        <f t="shared" si="7"/>
        <v>0</v>
      </c>
      <c r="N50" s="150">
        <f t="shared" si="8"/>
        <v>0</v>
      </c>
      <c r="O50" s="83">
        <f t="shared" si="9"/>
        <v>54</v>
      </c>
      <c r="P50" s="83">
        <f t="shared" si="10"/>
        <v>48</v>
      </c>
      <c r="Q50" s="147">
        <f t="shared" si="11"/>
        <v>6</v>
      </c>
      <c r="R50" s="83">
        <f t="shared" si="12"/>
        <v>0</v>
      </c>
      <c r="S50" s="83">
        <f t="shared" si="13"/>
        <v>1</v>
      </c>
      <c r="T50" s="83">
        <f t="shared" si="14"/>
        <v>0</v>
      </c>
      <c r="U50" s="83">
        <f t="shared" si="15"/>
        <v>48</v>
      </c>
      <c r="V50" s="83">
        <f t="shared" si="16"/>
        <v>54</v>
      </c>
      <c r="W50" s="151">
        <f t="shared" si="17"/>
        <v>-6</v>
      </c>
      <c r="AU50" s="119" t="s">
        <v>322</v>
      </c>
      <c r="AV50" s="120">
        <v>96</v>
      </c>
      <c r="AW50" s="152" t="s">
        <v>139</v>
      </c>
      <c r="AX50" s="153" t="s">
        <v>319</v>
      </c>
      <c r="AY50" s="152" t="s">
        <v>323</v>
      </c>
      <c r="AZ50" s="152" t="s">
        <v>324</v>
      </c>
      <c r="BA50" s="149" t="str">
        <f t="shared" ca="1" si="48"/>
        <v>Pitoni</v>
      </c>
      <c r="BB50" s="149" t="str">
        <f t="shared" ca="1" si="49"/>
        <v>Zebre</v>
      </c>
      <c r="BC50" s="83">
        <f t="shared" si="50"/>
        <v>63</v>
      </c>
      <c r="BD50" s="83">
        <f t="shared" si="51"/>
        <v>34</v>
      </c>
      <c r="BE50" s="149" t="str">
        <f t="shared" ca="1" si="52"/>
        <v>Pitoni</v>
      </c>
      <c r="BF50" s="149" t="str">
        <f t="shared" ca="1" si="53"/>
        <v>Zebre</v>
      </c>
      <c r="BG50" s="83">
        <f t="shared" si="54"/>
        <v>1</v>
      </c>
      <c r="BH50" s="150">
        <f t="shared" si="55"/>
        <v>0</v>
      </c>
      <c r="BI50" s="150">
        <f t="shared" si="56"/>
        <v>0</v>
      </c>
      <c r="BJ50" s="83">
        <f t="shared" si="57"/>
        <v>63</v>
      </c>
      <c r="BK50" s="83">
        <f t="shared" si="58"/>
        <v>34</v>
      </c>
      <c r="BL50" s="147">
        <f t="shared" si="59"/>
        <v>29</v>
      </c>
      <c r="BM50" s="83">
        <f t="shared" si="60"/>
        <v>0</v>
      </c>
      <c r="BN50" s="83">
        <f t="shared" si="61"/>
        <v>1</v>
      </c>
      <c r="BO50" s="83">
        <f t="shared" si="62"/>
        <v>0</v>
      </c>
      <c r="BP50" s="83">
        <f t="shared" si="63"/>
        <v>34</v>
      </c>
      <c r="BQ50" s="83">
        <f t="shared" si="64"/>
        <v>63</v>
      </c>
      <c r="BR50" s="151">
        <f t="shared" si="65"/>
        <v>-29</v>
      </c>
    </row>
    <row r="51" spans="1:70">
      <c r="AU51" s="119" t="s">
        <v>325</v>
      </c>
      <c r="AV51" s="120">
        <v>97</v>
      </c>
      <c r="AW51" s="121" t="s">
        <v>139</v>
      </c>
      <c r="AX51" s="122" t="s">
        <v>326</v>
      </c>
      <c r="AY51" s="121" t="s">
        <v>327</v>
      </c>
      <c r="AZ51" s="121" t="s">
        <v>328</v>
      </c>
      <c r="BA51" s="109" t="str">
        <f t="shared" ca="1" si="48"/>
        <v>Scorpioni</v>
      </c>
      <c r="BB51" s="109" t="str">
        <f t="shared" ca="1" si="49"/>
        <v>Serval</v>
      </c>
      <c r="BC51" s="82">
        <f t="shared" si="50"/>
        <v>53</v>
      </c>
      <c r="BD51" s="82">
        <f t="shared" si="51"/>
        <v>32</v>
      </c>
      <c r="BE51" s="109" t="str">
        <f t="shared" ca="1" si="52"/>
        <v>Scorpioni</v>
      </c>
      <c r="BF51" s="109" t="str">
        <f t="shared" ca="1" si="53"/>
        <v>Serval</v>
      </c>
      <c r="BG51" s="82">
        <f t="shared" si="54"/>
        <v>1</v>
      </c>
      <c r="BH51" s="110">
        <f t="shared" si="55"/>
        <v>0</v>
      </c>
      <c r="BI51" s="110">
        <f t="shared" si="56"/>
        <v>0</v>
      </c>
      <c r="BJ51" s="82">
        <f t="shared" si="57"/>
        <v>53</v>
      </c>
      <c r="BK51" s="82">
        <f t="shared" si="58"/>
        <v>32</v>
      </c>
      <c r="BL51" s="111">
        <f t="shared" si="59"/>
        <v>21</v>
      </c>
      <c r="BM51" s="82">
        <f t="shared" si="60"/>
        <v>0</v>
      </c>
      <c r="BN51" s="82">
        <f t="shared" si="61"/>
        <v>1</v>
      </c>
      <c r="BO51" s="82">
        <f t="shared" si="62"/>
        <v>0</v>
      </c>
      <c r="BP51" s="82">
        <f t="shared" si="63"/>
        <v>32</v>
      </c>
      <c r="BQ51" s="82">
        <f t="shared" si="64"/>
        <v>53</v>
      </c>
      <c r="BR51" s="112">
        <f t="shared" si="65"/>
        <v>-21</v>
      </c>
    </row>
    <row r="52" spans="1:70">
      <c r="AU52" s="119" t="s">
        <v>329</v>
      </c>
      <c r="AV52" s="120">
        <v>98</v>
      </c>
      <c r="AW52" s="121" t="s">
        <v>139</v>
      </c>
      <c r="AX52" s="122" t="s">
        <v>330</v>
      </c>
      <c r="AY52" s="121" t="s">
        <v>331</v>
      </c>
      <c r="AZ52" s="121" t="s">
        <v>332</v>
      </c>
      <c r="BA52" s="109" t="str">
        <f t="shared" ca="1" si="48"/>
        <v>Falchi</v>
      </c>
      <c r="BB52" s="109" t="str">
        <f t="shared" ca="1" si="49"/>
        <v>Scorpioni</v>
      </c>
      <c r="BC52" s="82">
        <f t="shared" si="50"/>
        <v>50</v>
      </c>
      <c r="BD52" s="82">
        <f t="shared" si="51"/>
        <v>38</v>
      </c>
      <c r="BE52" s="109" t="str">
        <f t="shared" ca="1" si="52"/>
        <v>Falchi</v>
      </c>
      <c r="BF52" s="109" t="str">
        <f t="shared" ca="1" si="53"/>
        <v>Scorpioni</v>
      </c>
      <c r="BG52" s="82">
        <f t="shared" si="54"/>
        <v>1</v>
      </c>
      <c r="BH52" s="110">
        <f t="shared" si="55"/>
        <v>0</v>
      </c>
      <c r="BI52" s="110">
        <f t="shared" si="56"/>
        <v>0</v>
      </c>
      <c r="BJ52" s="82">
        <f t="shared" si="57"/>
        <v>50</v>
      </c>
      <c r="BK52" s="82">
        <f t="shared" si="58"/>
        <v>38</v>
      </c>
      <c r="BL52" s="111">
        <f t="shared" si="59"/>
        <v>12</v>
      </c>
      <c r="BM52" s="82">
        <f t="shared" si="60"/>
        <v>0</v>
      </c>
      <c r="BN52" s="82">
        <f t="shared" si="61"/>
        <v>1</v>
      </c>
      <c r="BO52" s="82">
        <f t="shared" si="62"/>
        <v>0</v>
      </c>
      <c r="BP52" s="82">
        <f t="shared" si="63"/>
        <v>38</v>
      </c>
      <c r="BQ52" s="82">
        <f t="shared" si="64"/>
        <v>50</v>
      </c>
      <c r="BR52" s="112">
        <f t="shared" si="65"/>
        <v>-12</v>
      </c>
    </row>
    <row r="53" spans="1:70">
      <c r="AU53" s="119" t="s">
        <v>333</v>
      </c>
      <c r="AV53" s="120">
        <v>99</v>
      </c>
      <c r="AW53" s="121" t="s">
        <v>139</v>
      </c>
      <c r="AX53" s="122" t="s">
        <v>334</v>
      </c>
      <c r="AY53" s="121" t="s">
        <v>335</v>
      </c>
      <c r="AZ53" s="121" t="s">
        <v>336</v>
      </c>
      <c r="BA53" s="109" t="str">
        <f t="shared" ca="1" si="48"/>
        <v>Muli</v>
      </c>
      <c r="BB53" s="109" t="str">
        <f t="shared" ca="1" si="49"/>
        <v>Ghepardi</v>
      </c>
      <c r="BC53" s="82">
        <f t="shared" si="50"/>
        <v>62</v>
      </c>
      <c r="BD53" s="82">
        <f t="shared" si="51"/>
        <v>47</v>
      </c>
      <c r="BE53" s="109" t="str">
        <f t="shared" ca="1" si="52"/>
        <v>Muli</v>
      </c>
      <c r="BF53" s="109" t="str">
        <f t="shared" ca="1" si="53"/>
        <v>Ghepardi</v>
      </c>
      <c r="BG53" s="82">
        <f t="shared" si="54"/>
        <v>1</v>
      </c>
      <c r="BH53" s="110">
        <f t="shared" si="55"/>
        <v>0</v>
      </c>
      <c r="BI53" s="110">
        <f t="shared" si="56"/>
        <v>0</v>
      </c>
      <c r="BJ53" s="82">
        <f t="shared" si="57"/>
        <v>62</v>
      </c>
      <c r="BK53" s="82">
        <f t="shared" si="58"/>
        <v>47</v>
      </c>
      <c r="BL53" s="111">
        <f t="shared" si="59"/>
        <v>15</v>
      </c>
      <c r="BM53" s="82">
        <f t="shared" si="60"/>
        <v>0</v>
      </c>
      <c r="BN53" s="82">
        <f t="shared" si="61"/>
        <v>1</v>
      </c>
      <c r="BO53" s="82">
        <f t="shared" si="62"/>
        <v>0</v>
      </c>
      <c r="BP53" s="82">
        <f t="shared" si="63"/>
        <v>47</v>
      </c>
      <c r="BQ53" s="82">
        <f t="shared" si="64"/>
        <v>62</v>
      </c>
      <c r="BR53" s="112">
        <f t="shared" si="65"/>
        <v>-15</v>
      </c>
    </row>
    <row r="54" spans="1:70">
      <c r="AU54" s="119" t="s">
        <v>337</v>
      </c>
      <c r="AV54" s="120">
        <v>100</v>
      </c>
      <c r="AW54" s="121" t="s">
        <v>139</v>
      </c>
      <c r="AX54" s="122" t="s">
        <v>338</v>
      </c>
      <c r="AY54" s="121" t="s">
        <v>339</v>
      </c>
      <c r="AZ54" s="121" t="s">
        <v>340</v>
      </c>
      <c r="BA54" s="109" t="str">
        <f t="shared" ca="1" si="48"/>
        <v>Iguane</v>
      </c>
      <c r="BB54" s="109" t="str">
        <f t="shared" ca="1" si="49"/>
        <v>Delfini</v>
      </c>
      <c r="BC54" s="82">
        <f t="shared" si="50"/>
        <v>69</v>
      </c>
      <c r="BD54" s="82">
        <f t="shared" si="51"/>
        <v>31</v>
      </c>
      <c r="BE54" s="109" t="str">
        <f t="shared" ca="1" si="52"/>
        <v>Iguane</v>
      </c>
      <c r="BF54" s="109" t="str">
        <f t="shared" ca="1" si="53"/>
        <v>Delfini</v>
      </c>
      <c r="BG54" s="82">
        <f t="shared" si="54"/>
        <v>1</v>
      </c>
      <c r="BH54" s="110">
        <f t="shared" si="55"/>
        <v>0</v>
      </c>
      <c r="BI54" s="110">
        <f t="shared" si="56"/>
        <v>0</v>
      </c>
      <c r="BJ54" s="82">
        <f t="shared" si="57"/>
        <v>69</v>
      </c>
      <c r="BK54" s="82">
        <f t="shared" si="58"/>
        <v>31</v>
      </c>
      <c r="BL54" s="111">
        <f t="shared" si="59"/>
        <v>38</v>
      </c>
      <c r="BM54" s="82">
        <f t="shared" si="60"/>
        <v>0</v>
      </c>
      <c r="BN54" s="82">
        <f t="shared" si="61"/>
        <v>1</v>
      </c>
      <c r="BO54" s="82">
        <f t="shared" si="62"/>
        <v>0</v>
      </c>
      <c r="BP54" s="82">
        <f t="shared" si="63"/>
        <v>31</v>
      </c>
      <c r="BQ54" s="82">
        <f t="shared" si="64"/>
        <v>69</v>
      </c>
      <c r="BR54" s="112">
        <f t="shared" si="65"/>
        <v>-38</v>
      </c>
    </row>
    <row r="55" spans="1:70">
      <c r="AU55" s="119" t="s">
        <v>341</v>
      </c>
      <c r="AV55" s="120">
        <v>101</v>
      </c>
      <c r="AW55" s="121" t="s">
        <v>139</v>
      </c>
      <c r="AX55" s="122" t="s">
        <v>342</v>
      </c>
      <c r="AY55" s="121" t="s">
        <v>343</v>
      </c>
      <c r="AZ55" s="121" t="s">
        <v>344</v>
      </c>
      <c r="BA55" s="109" t="str">
        <f t="shared" ca="1" si="48"/>
        <v>Delfini</v>
      </c>
      <c r="BB55" s="109" t="str">
        <f t="shared" ca="1" si="49"/>
        <v>Zebre</v>
      </c>
      <c r="BC55" s="82">
        <f t="shared" si="50"/>
        <v>62</v>
      </c>
      <c r="BD55" s="82">
        <f t="shared" si="51"/>
        <v>38</v>
      </c>
      <c r="BE55" s="109" t="str">
        <f t="shared" ca="1" si="52"/>
        <v>Delfini</v>
      </c>
      <c r="BF55" s="109" t="str">
        <f t="shared" ca="1" si="53"/>
        <v>Zebre</v>
      </c>
      <c r="BG55" s="82">
        <f t="shared" si="54"/>
        <v>1</v>
      </c>
      <c r="BH55" s="110">
        <f t="shared" si="55"/>
        <v>0</v>
      </c>
      <c r="BI55" s="110">
        <f t="shared" si="56"/>
        <v>0</v>
      </c>
      <c r="BJ55" s="82">
        <f t="shared" si="57"/>
        <v>62</v>
      </c>
      <c r="BK55" s="82">
        <f t="shared" si="58"/>
        <v>38</v>
      </c>
      <c r="BL55" s="111">
        <f t="shared" si="59"/>
        <v>24</v>
      </c>
      <c r="BM55" s="82">
        <f t="shared" si="60"/>
        <v>0</v>
      </c>
      <c r="BN55" s="82">
        <f t="shared" si="61"/>
        <v>1</v>
      </c>
      <c r="BO55" s="82">
        <f t="shared" si="62"/>
        <v>0</v>
      </c>
      <c r="BP55" s="82">
        <f t="shared" si="63"/>
        <v>38</v>
      </c>
      <c r="BQ55" s="82">
        <f t="shared" si="64"/>
        <v>62</v>
      </c>
      <c r="BR55" s="112">
        <f t="shared" si="65"/>
        <v>-24</v>
      </c>
    </row>
    <row r="56" spans="1:70">
      <c r="AU56" s="119" t="s">
        <v>345</v>
      </c>
      <c r="AV56" s="120">
        <v>102</v>
      </c>
      <c r="AW56" s="121" t="s">
        <v>139</v>
      </c>
      <c r="AX56" s="122" t="s">
        <v>346</v>
      </c>
      <c r="AY56" s="121" t="s">
        <v>347</v>
      </c>
      <c r="AZ56" s="121" t="s">
        <v>348</v>
      </c>
      <c r="BA56" s="109" t="str">
        <f t="shared" ca="1" si="48"/>
        <v>Linci</v>
      </c>
      <c r="BB56" s="109" t="str">
        <f t="shared" ca="1" si="49"/>
        <v>Pitoni</v>
      </c>
      <c r="BC56" s="82">
        <f t="shared" si="50"/>
        <v>52</v>
      </c>
      <c r="BD56" s="82">
        <f t="shared" si="51"/>
        <v>39</v>
      </c>
      <c r="BE56" s="109" t="str">
        <f t="shared" ca="1" si="52"/>
        <v>Linci</v>
      </c>
      <c r="BF56" s="109" t="str">
        <f t="shared" ca="1" si="53"/>
        <v>Pitoni</v>
      </c>
      <c r="BG56" s="82">
        <f t="shared" si="54"/>
        <v>1</v>
      </c>
      <c r="BH56" s="110">
        <f t="shared" si="55"/>
        <v>0</v>
      </c>
      <c r="BI56" s="110">
        <f t="shared" si="56"/>
        <v>0</v>
      </c>
      <c r="BJ56" s="82">
        <f t="shared" si="57"/>
        <v>52</v>
      </c>
      <c r="BK56" s="82">
        <f t="shared" si="58"/>
        <v>39</v>
      </c>
      <c r="BL56" s="111">
        <f t="shared" si="59"/>
        <v>13</v>
      </c>
      <c r="BM56" s="82">
        <f t="shared" si="60"/>
        <v>0</v>
      </c>
      <c r="BN56" s="82">
        <f t="shared" si="61"/>
        <v>1</v>
      </c>
      <c r="BO56" s="82">
        <f t="shared" si="62"/>
        <v>0</v>
      </c>
      <c r="BP56" s="82">
        <f t="shared" si="63"/>
        <v>39</v>
      </c>
      <c r="BQ56" s="82">
        <f t="shared" si="64"/>
        <v>52</v>
      </c>
      <c r="BR56" s="112">
        <f t="shared" si="65"/>
        <v>-13</v>
      </c>
    </row>
    <row r="57" spans="1:70">
      <c r="AU57" s="119" t="s">
        <v>349</v>
      </c>
      <c r="AV57" s="120">
        <v>103</v>
      </c>
      <c r="AW57" s="121" t="s">
        <v>139</v>
      </c>
      <c r="AX57" s="122" t="s">
        <v>350</v>
      </c>
      <c r="AY57" s="121" t="s">
        <v>351</v>
      </c>
      <c r="AZ57" s="121" t="s">
        <v>352</v>
      </c>
      <c r="BA57" s="109" t="str">
        <f t="shared" ca="1" si="48"/>
        <v>Cervi</v>
      </c>
      <c r="BB57" s="109" t="str">
        <f t="shared" ca="1" si="49"/>
        <v>Orche</v>
      </c>
      <c r="BC57" s="82">
        <f t="shared" si="50"/>
        <v>68</v>
      </c>
      <c r="BD57" s="82">
        <f t="shared" si="51"/>
        <v>37</v>
      </c>
      <c r="BE57" s="109" t="str">
        <f t="shared" ca="1" si="52"/>
        <v>Cervi</v>
      </c>
      <c r="BF57" s="109" t="str">
        <f t="shared" ca="1" si="53"/>
        <v>Orche</v>
      </c>
      <c r="BG57" s="82">
        <f t="shared" si="54"/>
        <v>1</v>
      </c>
      <c r="BH57" s="110">
        <f t="shared" si="55"/>
        <v>0</v>
      </c>
      <c r="BI57" s="110">
        <f t="shared" si="56"/>
        <v>0</v>
      </c>
      <c r="BJ57" s="82">
        <f t="shared" si="57"/>
        <v>68</v>
      </c>
      <c r="BK57" s="82">
        <f t="shared" si="58"/>
        <v>37</v>
      </c>
      <c r="BL57" s="111">
        <f t="shared" si="59"/>
        <v>31</v>
      </c>
      <c r="BM57" s="82">
        <f t="shared" si="60"/>
        <v>0</v>
      </c>
      <c r="BN57" s="82">
        <f t="shared" si="61"/>
        <v>1</v>
      </c>
      <c r="BO57" s="82">
        <f t="shared" si="62"/>
        <v>0</v>
      </c>
      <c r="BP57" s="82">
        <f t="shared" si="63"/>
        <v>37</v>
      </c>
      <c r="BQ57" s="82">
        <f t="shared" si="64"/>
        <v>68</v>
      </c>
      <c r="BR57" s="112">
        <f t="shared" si="65"/>
        <v>-31</v>
      </c>
    </row>
    <row r="58" spans="1:70">
      <c r="AU58" s="119" t="s">
        <v>353</v>
      </c>
      <c r="AV58" s="120">
        <v>104</v>
      </c>
      <c r="AW58" s="121" t="s">
        <v>139</v>
      </c>
      <c r="AX58" s="122" t="s">
        <v>354</v>
      </c>
      <c r="AY58" s="121" t="s">
        <v>355</v>
      </c>
      <c r="AZ58" s="121" t="s">
        <v>356</v>
      </c>
      <c r="BA58" s="109" t="str">
        <f t="shared" ca="1" si="48"/>
        <v>Tigri</v>
      </c>
      <c r="BB58" s="109" t="str">
        <f t="shared" ca="1" si="49"/>
        <v>Ippopotami</v>
      </c>
      <c r="BC58" s="82">
        <f t="shared" si="50"/>
        <v>52</v>
      </c>
      <c r="BD58" s="82">
        <f t="shared" si="51"/>
        <v>46</v>
      </c>
      <c r="BE58" s="109" t="str">
        <f t="shared" ca="1" si="52"/>
        <v>Tigri</v>
      </c>
      <c r="BF58" s="109" t="str">
        <f t="shared" ca="1" si="53"/>
        <v>Ippopotami</v>
      </c>
      <c r="BG58" s="82">
        <f t="shared" si="54"/>
        <v>1</v>
      </c>
      <c r="BH58" s="110">
        <f t="shared" si="55"/>
        <v>0</v>
      </c>
      <c r="BI58" s="110">
        <f t="shared" si="56"/>
        <v>0</v>
      </c>
      <c r="BJ58" s="82">
        <f t="shared" si="57"/>
        <v>52</v>
      </c>
      <c r="BK58" s="82">
        <f t="shared" si="58"/>
        <v>46</v>
      </c>
      <c r="BL58" s="111">
        <f t="shared" si="59"/>
        <v>6</v>
      </c>
      <c r="BM58" s="82">
        <f t="shared" si="60"/>
        <v>0</v>
      </c>
      <c r="BN58" s="82">
        <f t="shared" si="61"/>
        <v>1</v>
      </c>
      <c r="BO58" s="82">
        <f t="shared" si="62"/>
        <v>0</v>
      </c>
      <c r="BP58" s="82">
        <f t="shared" si="63"/>
        <v>46</v>
      </c>
      <c r="BQ58" s="82">
        <f t="shared" si="64"/>
        <v>52</v>
      </c>
      <c r="BR58" s="112">
        <f t="shared" si="65"/>
        <v>-6</v>
      </c>
    </row>
    <row r="59" spans="1:70">
      <c r="AU59" s="119" t="s">
        <v>357</v>
      </c>
      <c r="AV59" s="120">
        <v>105</v>
      </c>
      <c r="AW59" s="121" t="s">
        <v>139</v>
      </c>
      <c r="AX59" s="122" t="s">
        <v>358</v>
      </c>
      <c r="AY59" s="121" t="s">
        <v>359</v>
      </c>
      <c r="AZ59" s="121" t="s">
        <v>360</v>
      </c>
      <c r="BA59" s="109" t="str">
        <f t="shared" ca="1" si="48"/>
        <v>Tonni</v>
      </c>
      <c r="BB59" s="109" t="str">
        <f t="shared" ca="1" si="49"/>
        <v>Gabbiani</v>
      </c>
      <c r="BC59" s="82">
        <f t="shared" si="50"/>
        <v>60</v>
      </c>
      <c r="BD59" s="82">
        <f t="shared" si="51"/>
        <v>42</v>
      </c>
      <c r="BE59" s="109" t="str">
        <f t="shared" ca="1" si="52"/>
        <v>Tonni</v>
      </c>
      <c r="BF59" s="109" t="str">
        <f t="shared" ca="1" si="53"/>
        <v>Gabbiani</v>
      </c>
      <c r="BG59" s="82">
        <f t="shared" si="54"/>
        <v>1</v>
      </c>
      <c r="BH59" s="110">
        <f t="shared" si="55"/>
        <v>0</v>
      </c>
      <c r="BI59" s="110">
        <f t="shared" si="56"/>
        <v>0</v>
      </c>
      <c r="BJ59" s="82">
        <f t="shared" si="57"/>
        <v>60</v>
      </c>
      <c r="BK59" s="82">
        <f t="shared" si="58"/>
        <v>42</v>
      </c>
      <c r="BL59" s="111">
        <f t="shared" si="59"/>
        <v>18</v>
      </c>
      <c r="BM59" s="82">
        <f t="shared" si="60"/>
        <v>0</v>
      </c>
      <c r="BN59" s="82">
        <f t="shared" si="61"/>
        <v>1</v>
      </c>
      <c r="BO59" s="82">
        <f t="shared" si="62"/>
        <v>0</v>
      </c>
      <c r="BP59" s="82">
        <f t="shared" si="63"/>
        <v>42</v>
      </c>
      <c r="BQ59" s="82">
        <f t="shared" si="64"/>
        <v>60</v>
      </c>
      <c r="BR59" s="112">
        <f t="shared" si="65"/>
        <v>-18</v>
      </c>
    </row>
    <row r="60" spans="1:70">
      <c r="AU60" s="119" t="s">
        <v>361</v>
      </c>
      <c r="AV60" s="120">
        <v>106</v>
      </c>
      <c r="AW60" s="121" t="s">
        <v>139</v>
      </c>
      <c r="AX60" s="122" t="s">
        <v>362</v>
      </c>
      <c r="AY60" s="121" t="s">
        <v>363</v>
      </c>
      <c r="AZ60" s="121" t="s">
        <v>364</v>
      </c>
      <c r="BA60" s="109" t="str">
        <f t="shared" ca="1" si="48"/>
        <v>Aquile</v>
      </c>
      <c r="BB60" s="109" t="str">
        <f t="shared" ca="1" si="49"/>
        <v>Puma</v>
      </c>
      <c r="BC60" s="82">
        <f t="shared" si="50"/>
        <v>65</v>
      </c>
      <c r="BD60" s="82">
        <f t="shared" si="51"/>
        <v>45</v>
      </c>
      <c r="BE60" s="109" t="str">
        <f t="shared" ca="1" si="52"/>
        <v>Aquile</v>
      </c>
      <c r="BF60" s="109" t="str">
        <f t="shared" ca="1" si="53"/>
        <v>Puma</v>
      </c>
      <c r="BG60" s="82">
        <f t="shared" si="54"/>
        <v>1</v>
      </c>
      <c r="BH60" s="110">
        <f t="shared" si="55"/>
        <v>0</v>
      </c>
      <c r="BI60" s="110">
        <f t="shared" si="56"/>
        <v>0</v>
      </c>
      <c r="BJ60" s="82">
        <f t="shared" si="57"/>
        <v>65</v>
      </c>
      <c r="BK60" s="82">
        <f t="shared" si="58"/>
        <v>45</v>
      </c>
      <c r="BL60" s="111">
        <f t="shared" si="59"/>
        <v>20</v>
      </c>
      <c r="BM60" s="82">
        <f t="shared" si="60"/>
        <v>0</v>
      </c>
      <c r="BN60" s="82">
        <f t="shared" si="61"/>
        <v>1</v>
      </c>
      <c r="BO60" s="82">
        <f t="shared" si="62"/>
        <v>0</v>
      </c>
      <c r="BP60" s="82">
        <f t="shared" si="63"/>
        <v>45</v>
      </c>
      <c r="BQ60" s="82">
        <f t="shared" si="64"/>
        <v>65</v>
      </c>
      <c r="BR60" s="112">
        <f t="shared" si="65"/>
        <v>-20</v>
      </c>
    </row>
    <row r="61" spans="1:70">
      <c r="AU61" s="119" t="s">
        <v>365</v>
      </c>
      <c r="AV61" s="120">
        <v>107</v>
      </c>
      <c r="AW61" s="121" t="s">
        <v>139</v>
      </c>
      <c r="AX61" s="122" t="s">
        <v>366</v>
      </c>
      <c r="AY61" s="121" t="s">
        <v>367</v>
      </c>
      <c r="AZ61" s="121" t="s">
        <v>368</v>
      </c>
      <c r="BA61" s="109" t="str">
        <f t="shared" ca="1" si="48"/>
        <v>Gorilla</v>
      </c>
      <c r="BB61" s="109" t="str">
        <f t="shared" ca="1" si="49"/>
        <v>Bufali</v>
      </c>
      <c r="BC61" s="82">
        <f t="shared" si="50"/>
        <v>50</v>
      </c>
      <c r="BD61" s="82">
        <f t="shared" si="51"/>
        <v>47</v>
      </c>
      <c r="BE61" s="109" t="str">
        <f t="shared" ca="1" si="52"/>
        <v>Gorilla</v>
      </c>
      <c r="BF61" s="109" t="str">
        <f t="shared" ca="1" si="53"/>
        <v>Bufali</v>
      </c>
      <c r="BG61" s="82">
        <f t="shared" si="54"/>
        <v>1</v>
      </c>
      <c r="BH61" s="110">
        <f t="shared" si="55"/>
        <v>0</v>
      </c>
      <c r="BI61" s="110">
        <f t="shared" si="56"/>
        <v>0</v>
      </c>
      <c r="BJ61" s="82">
        <f t="shared" si="57"/>
        <v>50</v>
      </c>
      <c r="BK61" s="82">
        <f t="shared" si="58"/>
        <v>47</v>
      </c>
      <c r="BL61" s="111">
        <f t="shared" si="59"/>
        <v>3</v>
      </c>
      <c r="BM61" s="82">
        <f t="shared" si="60"/>
        <v>0</v>
      </c>
      <c r="BN61" s="82">
        <f t="shared" si="61"/>
        <v>1</v>
      </c>
      <c r="BO61" s="82">
        <f t="shared" si="62"/>
        <v>0</v>
      </c>
      <c r="BP61" s="82">
        <f t="shared" si="63"/>
        <v>47</v>
      </c>
      <c r="BQ61" s="82">
        <f t="shared" si="64"/>
        <v>50</v>
      </c>
      <c r="BR61" s="112">
        <f t="shared" si="65"/>
        <v>-3</v>
      </c>
    </row>
    <row r="62" spans="1:70">
      <c r="AU62" s="119" t="s">
        <v>369</v>
      </c>
      <c r="AV62" s="120">
        <v>108</v>
      </c>
      <c r="AW62" s="121" t="s">
        <v>139</v>
      </c>
      <c r="AX62" s="122" t="s">
        <v>370</v>
      </c>
      <c r="AY62" s="121" t="s">
        <v>371</v>
      </c>
      <c r="AZ62" s="121" t="s">
        <v>372</v>
      </c>
      <c r="BA62" s="109" t="str">
        <f t="shared" ca="1" si="48"/>
        <v>Elefanti</v>
      </c>
      <c r="BB62" s="109" t="str">
        <f t="shared" ca="1" si="49"/>
        <v>Giraffe</v>
      </c>
      <c r="BC62" s="82">
        <f t="shared" si="50"/>
        <v>69</v>
      </c>
      <c r="BD62" s="82">
        <f t="shared" si="51"/>
        <v>40</v>
      </c>
      <c r="BE62" s="109" t="str">
        <f t="shared" ca="1" si="52"/>
        <v>Elefanti</v>
      </c>
      <c r="BF62" s="109" t="str">
        <f t="shared" ca="1" si="53"/>
        <v>Giraffe</v>
      </c>
      <c r="BG62" s="82">
        <f t="shared" si="54"/>
        <v>1</v>
      </c>
      <c r="BH62" s="110">
        <f t="shared" si="55"/>
        <v>0</v>
      </c>
      <c r="BI62" s="110">
        <f t="shared" si="56"/>
        <v>0</v>
      </c>
      <c r="BJ62" s="82">
        <f t="shared" si="57"/>
        <v>69</v>
      </c>
      <c r="BK62" s="82">
        <f t="shared" si="58"/>
        <v>40</v>
      </c>
      <c r="BL62" s="111">
        <f t="shared" si="59"/>
        <v>29</v>
      </c>
      <c r="BM62" s="82">
        <f t="shared" si="60"/>
        <v>0</v>
      </c>
      <c r="BN62" s="82">
        <f t="shared" si="61"/>
        <v>1</v>
      </c>
      <c r="BO62" s="82">
        <f t="shared" si="62"/>
        <v>0</v>
      </c>
      <c r="BP62" s="82">
        <f t="shared" si="63"/>
        <v>40</v>
      </c>
      <c r="BQ62" s="82">
        <f t="shared" si="64"/>
        <v>69</v>
      </c>
      <c r="BR62" s="112">
        <f t="shared" si="65"/>
        <v>-29</v>
      </c>
    </row>
    <row r="63" spans="1:70">
      <c r="AU63" s="119" t="s">
        <v>373</v>
      </c>
      <c r="AV63" s="120">
        <v>109</v>
      </c>
      <c r="AW63" s="121" t="s">
        <v>139</v>
      </c>
      <c r="AX63" s="122" t="s">
        <v>374</v>
      </c>
      <c r="AY63" s="121" t="s">
        <v>375</v>
      </c>
      <c r="AZ63" s="121" t="s">
        <v>376</v>
      </c>
      <c r="BA63" s="109" t="str">
        <f t="shared" ca="1" si="48"/>
        <v>Giaguari</v>
      </c>
      <c r="BB63" s="109" t="str">
        <f t="shared" ca="1" si="49"/>
        <v>Coccodrilli</v>
      </c>
      <c r="BC63" s="82">
        <f t="shared" si="50"/>
        <v>55</v>
      </c>
      <c r="BD63" s="82">
        <f t="shared" si="51"/>
        <v>48</v>
      </c>
      <c r="BE63" s="109" t="str">
        <f t="shared" ca="1" si="52"/>
        <v>Giaguari</v>
      </c>
      <c r="BF63" s="109" t="str">
        <f t="shared" ca="1" si="53"/>
        <v>Coccodrilli</v>
      </c>
      <c r="BG63" s="82">
        <f t="shared" si="54"/>
        <v>1</v>
      </c>
      <c r="BH63" s="110">
        <f t="shared" si="55"/>
        <v>0</v>
      </c>
      <c r="BI63" s="110">
        <f t="shared" si="56"/>
        <v>0</v>
      </c>
      <c r="BJ63" s="82">
        <f t="shared" si="57"/>
        <v>55</v>
      </c>
      <c r="BK63" s="82">
        <f t="shared" si="58"/>
        <v>48</v>
      </c>
      <c r="BL63" s="111">
        <f t="shared" si="59"/>
        <v>7</v>
      </c>
      <c r="BM63" s="82">
        <f t="shared" si="60"/>
        <v>0</v>
      </c>
      <c r="BN63" s="82">
        <f t="shared" si="61"/>
        <v>1</v>
      </c>
      <c r="BO63" s="82">
        <f t="shared" si="62"/>
        <v>0</v>
      </c>
      <c r="BP63" s="82">
        <f t="shared" si="63"/>
        <v>48</v>
      </c>
      <c r="BQ63" s="82">
        <f t="shared" si="64"/>
        <v>55</v>
      </c>
      <c r="BR63" s="112">
        <f t="shared" si="65"/>
        <v>-7</v>
      </c>
    </row>
    <row r="64" spans="1:70">
      <c r="AU64" s="119" t="s">
        <v>377</v>
      </c>
      <c r="AV64" s="120">
        <v>110</v>
      </c>
      <c r="AW64" s="121" t="s">
        <v>139</v>
      </c>
      <c r="AX64" s="122" t="s">
        <v>378</v>
      </c>
      <c r="AY64" s="121" t="s">
        <v>379</v>
      </c>
      <c r="AZ64" s="121" t="s">
        <v>380</v>
      </c>
      <c r="BA64" s="109" t="str">
        <f t="shared" ca="1" si="48"/>
        <v>Balene</v>
      </c>
      <c r="BB64" s="109" t="str">
        <f t="shared" ca="1" si="49"/>
        <v>Piranha</v>
      </c>
      <c r="BC64" s="82">
        <f t="shared" si="50"/>
        <v>52</v>
      </c>
      <c r="BD64" s="82">
        <f t="shared" si="51"/>
        <v>49</v>
      </c>
      <c r="BE64" s="109" t="str">
        <f t="shared" ca="1" si="52"/>
        <v>Balene</v>
      </c>
      <c r="BF64" s="109" t="str">
        <f t="shared" ca="1" si="53"/>
        <v>Piranha</v>
      </c>
      <c r="BG64" s="82">
        <f t="shared" si="54"/>
        <v>1</v>
      </c>
      <c r="BH64" s="110">
        <f t="shared" si="55"/>
        <v>0</v>
      </c>
      <c r="BI64" s="110">
        <f t="shared" si="56"/>
        <v>0</v>
      </c>
      <c r="BJ64" s="82">
        <f t="shared" si="57"/>
        <v>52</v>
      </c>
      <c r="BK64" s="82">
        <f t="shared" si="58"/>
        <v>49</v>
      </c>
      <c r="BL64" s="111">
        <f t="shared" si="59"/>
        <v>3</v>
      </c>
      <c r="BM64" s="82">
        <f t="shared" si="60"/>
        <v>0</v>
      </c>
      <c r="BN64" s="82">
        <f t="shared" si="61"/>
        <v>1</v>
      </c>
      <c r="BO64" s="82">
        <f t="shared" si="62"/>
        <v>0</v>
      </c>
      <c r="BP64" s="82">
        <f t="shared" si="63"/>
        <v>49</v>
      </c>
      <c r="BQ64" s="82">
        <f t="shared" si="64"/>
        <v>52</v>
      </c>
      <c r="BR64" s="112">
        <f t="shared" si="65"/>
        <v>-3</v>
      </c>
    </row>
    <row r="65" spans="47:70">
      <c r="AU65" s="119" t="s">
        <v>381</v>
      </c>
      <c r="AV65" s="120">
        <v>111</v>
      </c>
      <c r="AW65" s="121" t="s">
        <v>139</v>
      </c>
      <c r="AX65" s="122" t="s">
        <v>382</v>
      </c>
      <c r="AY65" s="121" t="s">
        <v>383</v>
      </c>
      <c r="AZ65" s="121" t="s">
        <v>384</v>
      </c>
      <c r="BA65" s="109" t="str">
        <f t="shared" ca="1" si="48"/>
        <v>Bisonti</v>
      </c>
      <c r="BB65" s="109" t="str">
        <f t="shared" ca="1" si="49"/>
        <v>Istrici</v>
      </c>
      <c r="BC65" s="82">
        <f t="shared" si="50"/>
        <v>65</v>
      </c>
      <c r="BD65" s="82">
        <f t="shared" si="51"/>
        <v>45</v>
      </c>
      <c r="BE65" s="109" t="str">
        <f t="shared" ca="1" si="52"/>
        <v>Bisonti</v>
      </c>
      <c r="BF65" s="109" t="str">
        <f t="shared" ca="1" si="53"/>
        <v>Istrici</v>
      </c>
      <c r="BG65" s="82">
        <f t="shared" si="54"/>
        <v>1</v>
      </c>
      <c r="BH65" s="110">
        <f t="shared" si="55"/>
        <v>0</v>
      </c>
      <c r="BI65" s="110">
        <f t="shared" si="56"/>
        <v>0</v>
      </c>
      <c r="BJ65" s="82">
        <f t="shared" si="57"/>
        <v>65</v>
      </c>
      <c r="BK65" s="82">
        <f t="shared" si="58"/>
        <v>45</v>
      </c>
      <c r="BL65" s="111">
        <f t="shared" si="59"/>
        <v>20</v>
      </c>
      <c r="BM65" s="82">
        <f t="shared" si="60"/>
        <v>0</v>
      </c>
      <c r="BN65" s="82">
        <f t="shared" si="61"/>
        <v>1</v>
      </c>
      <c r="BO65" s="82">
        <f t="shared" si="62"/>
        <v>0</v>
      </c>
      <c r="BP65" s="82">
        <f t="shared" si="63"/>
        <v>45</v>
      </c>
      <c r="BQ65" s="82">
        <f t="shared" si="64"/>
        <v>65</v>
      </c>
      <c r="BR65" s="112">
        <f t="shared" si="65"/>
        <v>-20</v>
      </c>
    </row>
    <row r="66" spans="47:70">
      <c r="AU66" s="154" t="s">
        <v>385</v>
      </c>
      <c r="AV66" s="155">
        <v>112</v>
      </c>
      <c r="AW66" s="152" t="s">
        <v>139</v>
      </c>
      <c r="AX66" s="153" t="s">
        <v>386</v>
      </c>
      <c r="AY66" s="152" t="s">
        <v>387</v>
      </c>
      <c r="AZ66" s="152" t="s">
        <v>388</v>
      </c>
      <c r="BA66" s="149" t="str">
        <f t="shared" ca="1" si="48"/>
        <v>Leoni</v>
      </c>
      <c r="BB66" s="149" t="str">
        <f t="shared" ca="1" si="49"/>
        <v>Pantere</v>
      </c>
      <c r="BC66" s="83">
        <f t="shared" si="50"/>
        <v>69</v>
      </c>
      <c r="BD66" s="83">
        <f t="shared" si="51"/>
        <v>42</v>
      </c>
      <c r="BE66" s="149" t="str">
        <f t="shared" ca="1" si="52"/>
        <v>Leoni</v>
      </c>
      <c r="BF66" s="149" t="str">
        <f t="shared" ca="1" si="53"/>
        <v>Pantere</v>
      </c>
      <c r="BG66" s="83">
        <f t="shared" si="54"/>
        <v>1</v>
      </c>
      <c r="BH66" s="150">
        <f t="shared" si="55"/>
        <v>0</v>
      </c>
      <c r="BI66" s="150">
        <f t="shared" si="56"/>
        <v>0</v>
      </c>
      <c r="BJ66" s="83">
        <f t="shared" si="57"/>
        <v>69</v>
      </c>
      <c r="BK66" s="83">
        <f t="shared" si="58"/>
        <v>42</v>
      </c>
      <c r="BL66" s="147">
        <f t="shared" si="59"/>
        <v>27</v>
      </c>
      <c r="BM66" s="83">
        <f t="shared" si="60"/>
        <v>0</v>
      </c>
      <c r="BN66" s="83">
        <f t="shared" si="61"/>
        <v>1</v>
      </c>
      <c r="BO66" s="83">
        <f t="shared" si="62"/>
        <v>0</v>
      </c>
      <c r="BP66" s="83">
        <f t="shared" si="63"/>
        <v>42</v>
      </c>
      <c r="BQ66" s="83">
        <f t="shared" si="64"/>
        <v>69</v>
      </c>
      <c r="BR66" s="151">
        <f t="shared" si="65"/>
        <v>-27</v>
      </c>
    </row>
  </sheetData>
  <sheetProtection sheet="1" objects="1" scenarios="1" insertColumns="0" insertRows="0" deleteColumns="0" deleteRows="0"/>
  <mergeCells count="3">
    <mergeCell ref="A1:W1"/>
    <mergeCell ref="Y1:AS1"/>
    <mergeCell ref="AU1:BR1"/>
  </mergeCells>
  <conditionalFormatting sqref="C3:C50 Z3:Z34 AX3:AX66">
    <cfRule type="cellIs" dxfId="7" priority="2" operator="equal">
      <formula>"A"</formula>
    </cfRule>
  </conditionalFormatting>
  <conditionalFormatting sqref="C3:C50 Z3:Z34 AX3:AX66">
    <cfRule type="cellIs" dxfId="6" priority="3" operator="equal">
      <formula>"B"</formula>
    </cfRule>
  </conditionalFormatting>
  <conditionalFormatting sqref="C3:C50 Z3:Z34 AX3:AX66">
    <cfRule type="cellIs" dxfId="5" priority="4" operator="equal">
      <formula>"C"</formula>
    </cfRule>
  </conditionalFormatting>
  <conditionalFormatting sqref="C3:C50 Z3:Z34 AX3:AX66">
    <cfRule type="cellIs" dxfId="4" priority="5" operator="equal">
      <formula>"D"</formula>
    </cfRule>
  </conditionalFormatting>
  <conditionalFormatting sqref="C3:C50 Z3:Z34 AX3:AX66">
    <cfRule type="cellIs" dxfId="3" priority="6" operator="equal">
      <formula>"E"</formula>
    </cfRule>
  </conditionalFormatting>
  <conditionalFormatting sqref="C3:C50 Z3:Z34 AX3:AX66">
    <cfRule type="cellIs" dxfId="2" priority="7" operator="equal">
      <formula>"F"</formula>
    </cfRule>
  </conditionalFormatting>
  <conditionalFormatting sqref="C3:C50 Z3:Z34 AX3:AX66">
    <cfRule type="cellIs" dxfId="1" priority="8" operator="equal">
      <formula>"G"</formula>
    </cfRule>
  </conditionalFormatting>
  <conditionalFormatting sqref="C3:C50 Z3:Z34 AX3:AX66">
    <cfRule type="cellIs" dxfId="0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52"/>
  <sheetViews>
    <sheetView topLeftCell="B1" zoomScale="140" zoomScaleNormal="140" workbookViewId="0">
      <selection activeCell="B1" sqref="B1"/>
    </sheetView>
  </sheetViews>
  <sheetFormatPr defaultColWidth="11.5703125" defaultRowHeight="12.75"/>
  <cols>
    <col min="1" max="1" width="5.5703125" style="84" hidden="1" customWidth="1"/>
    <col min="2" max="2" width="9.140625" style="15" customWidth="1"/>
    <col min="3" max="3" width="6.140625" style="15" customWidth="1"/>
    <col min="4" max="4" width="14.140625" style="15" customWidth="1"/>
    <col min="5" max="6" width="4.5703125" style="15" customWidth="1"/>
    <col min="7" max="7" width="14.140625" style="15" customWidth="1"/>
    <col min="8" max="8" width="4" style="15" customWidth="1"/>
    <col min="9" max="9" width="14.5703125" style="15" customWidth="1"/>
    <col min="10" max="64" width="11.5703125" style="15"/>
  </cols>
  <sheetData>
    <row r="1" spans="1:9" ht="20.25">
      <c r="A1" s="156"/>
      <c r="B1" s="8" t="str">
        <f>VLOOKUP("NOME_TORNEO",INPUT_DATI_TORNEO,2,0)&amp;" "&amp;VLOOKUP("STAGIONE",INPUT_DATI_TORNEO,2,0)</f>
        <v>Torneo dell’Estate 2021</v>
      </c>
      <c r="C1" s="8"/>
      <c r="D1" s="8"/>
      <c r="E1" s="8"/>
      <c r="F1" s="8"/>
      <c r="G1" s="8"/>
      <c r="H1" s="8"/>
      <c r="I1" s="8"/>
    </row>
    <row r="2" spans="1:9">
      <c r="A2" s="156"/>
      <c r="B2" s="7" t="s">
        <v>389</v>
      </c>
      <c r="C2" s="7"/>
      <c r="D2" s="7"/>
      <c r="E2" s="7"/>
      <c r="F2" s="7"/>
      <c r="G2" s="7"/>
      <c r="H2" s="7"/>
      <c r="I2" s="7"/>
    </row>
    <row r="3" spans="1:9">
      <c r="A3" s="156"/>
      <c r="B3" s="157" t="s">
        <v>88</v>
      </c>
      <c r="C3" s="157" t="s">
        <v>89</v>
      </c>
      <c r="D3" s="157" t="s">
        <v>99</v>
      </c>
      <c r="E3" s="6" t="s">
        <v>390</v>
      </c>
      <c r="F3" s="6"/>
      <c r="G3" s="157" t="s">
        <v>100</v>
      </c>
      <c r="H3" s="157" t="s">
        <v>391</v>
      </c>
      <c r="I3" s="157" t="s">
        <v>392</v>
      </c>
    </row>
    <row r="4" spans="1:9">
      <c r="A4" s="158">
        <v>1</v>
      </c>
      <c r="B4" s="159">
        <f t="shared" ref="B4:B11" si="0">VLOOKUP(A4,INPUT_DATE_E_RISULTATI_GIRONI,8,0)</f>
        <v>44354</v>
      </c>
      <c r="C4" s="160">
        <f t="shared" ref="C4:C11" si="1">VLOOKUP(A4,INPUT_DATE_E_RISULTATI_GIRONI,9,0)</f>
        <v>0.66666666666666696</v>
      </c>
      <c r="D4" s="161" t="str">
        <f t="shared" ref="D4:D11" si="2">VLOOKUP(A4,INPUT_DATE_E_RISULTATI_GIRONI,4,0)</f>
        <v>Leoni</v>
      </c>
      <c r="E4" s="162">
        <f t="shared" ref="E4:E11" si="3">VLOOKUP(A4,INPUT_DATE_E_RISULTATI_GIRONI,6,0)</f>
        <v>72</v>
      </c>
      <c r="F4" s="162">
        <f t="shared" ref="F4:F11" si="4">VLOOKUP(A4,INPUT_DATE_E_RISULTATI_GIRONI,7,0)</f>
        <v>49</v>
      </c>
      <c r="G4" s="163" t="str">
        <f t="shared" ref="G4:G11" si="5">VLOOKUP(A4,INPUT_DATE_E_RISULTATI_GIRONI,5,0)</f>
        <v>Pantere</v>
      </c>
      <c r="H4" s="164" t="str">
        <f t="shared" ref="H4:H11" si="6">VLOOKUP(A4,INPUT_DATE_E_RISULTATI_GIRONI,3,0)</f>
        <v>A</v>
      </c>
      <c r="I4" s="165" t="str">
        <f t="shared" ref="I4:I11" si="7">VLOOKUP(A4,INPUT_DATE_E_RISULTATI_GIRONI,11,0)</f>
        <v>CAMPO I</v>
      </c>
    </row>
    <row r="5" spans="1:9">
      <c r="A5" s="158">
        <v>2</v>
      </c>
      <c r="B5" s="159">
        <f t="shared" si="0"/>
        <v>44354</v>
      </c>
      <c r="C5" s="160">
        <f t="shared" si="1"/>
        <v>0.75</v>
      </c>
      <c r="D5" s="166" t="str">
        <f t="shared" si="2"/>
        <v>Tigri</v>
      </c>
      <c r="E5" s="162">
        <f t="shared" si="3"/>
        <v>67</v>
      </c>
      <c r="F5" s="162">
        <f t="shared" si="4"/>
        <v>51</v>
      </c>
      <c r="G5" s="163" t="str">
        <f t="shared" si="5"/>
        <v>Ghepardi</v>
      </c>
      <c r="H5" s="165" t="str">
        <f t="shared" si="6"/>
        <v>A</v>
      </c>
      <c r="I5" s="165" t="str">
        <f t="shared" si="7"/>
        <v>CAMPO I</v>
      </c>
    </row>
    <row r="6" spans="1:9">
      <c r="A6" s="158">
        <v>3</v>
      </c>
      <c r="B6" s="159">
        <f t="shared" si="0"/>
        <v>44354</v>
      </c>
      <c r="C6" s="160">
        <f t="shared" si="1"/>
        <v>0.66666666666666696</v>
      </c>
      <c r="D6" s="166" t="str">
        <f t="shared" si="2"/>
        <v>Giaguari</v>
      </c>
      <c r="E6" s="162">
        <f t="shared" si="3"/>
        <v>100</v>
      </c>
      <c r="F6" s="162">
        <f t="shared" si="4"/>
        <v>51</v>
      </c>
      <c r="G6" s="163" t="str">
        <f t="shared" si="5"/>
        <v>Puma</v>
      </c>
      <c r="H6" s="165" t="str">
        <f t="shared" si="6"/>
        <v>B</v>
      </c>
      <c r="I6" s="165" t="str">
        <f t="shared" si="7"/>
        <v>CAMPO II</v>
      </c>
    </row>
    <row r="7" spans="1:9">
      <c r="A7" s="158">
        <v>4</v>
      </c>
      <c r="B7" s="159">
        <f t="shared" si="0"/>
        <v>44354</v>
      </c>
      <c r="C7" s="160">
        <f t="shared" si="1"/>
        <v>0.75</v>
      </c>
      <c r="D7" s="166" t="str">
        <f t="shared" si="2"/>
        <v>Linci</v>
      </c>
      <c r="E7" s="162">
        <f t="shared" si="3"/>
        <v>96</v>
      </c>
      <c r="F7" s="162">
        <f t="shared" si="4"/>
        <v>86</v>
      </c>
      <c r="G7" s="163" t="str">
        <f t="shared" si="5"/>
        <v>Serval</v>
      </c>
      <c r="H7" s="165" t="str">
        <f t="shared" si="6"/>
        <v>B</v>
      </c>
      <c r="I7" s="165" t="str">
        <f t="shared" si="7"/>
        <v>CAMPO II</v>
      </c>
    </row>
    <row r="8" spans="1:9">
      <c r="A8" s="158">
        <v>5</v>
      </c>
      <c r="B8" s="159">
        <f t="shared" si="0"/>
        <v>44354</v>
      </c>
      <c r="C8" s="160">
        <f t="shared" si="1"/>
        <v>0.66666666666666696</v>
      </c>
      <c r="D8" s="166" t="str">
        <f t="shared" si="2"/>
        <v>Elefanti</v>
      </c>
      <c r="E8" s="162">
        <f t="shared" si="3"/>
        <v>79</v>
      </c>
      <c r="F8" s="162">
        <f t="shared" si="4"/>
        <v>48</v>
      </c>
      <c r="G8" s="163" t="str">
        <f t="shared" si="5"/>
        <v>Giraffe</v>
      </c>
      <c r="H8" s="165" t="str">
        <f t="shared" si="6"/>
        <v>C</v>
      </c>
      <c r="I8" s="165" t="str">
        <f t="shared" si="7"/>
        <v>CAMPO III</v>
      </c>
    </row>
    <row r="9" spans="1:9">
      <c r="A9" s="158">
        <v>6</v>
      </c>
      <c r="B9" s="159">
        <f t="shared" si="0"/>
        <v>44354</v>
      </c>
      <c r="C9" s="160">
        <f t="shared" si="1"/>
        <v>0.75</v>
      </c>
      <c r="D9" s="166" t="str">
        <f t="shared" si="2"/>
        <v>Ippopotami</v>
      </c>
      <c r="E9" s="162">
        <f t="shared" si="3"/>
        <v>62</v>
      </c>
      <c r="F9" s="162">
        <f t="shared" si="4"/>
        <v>44</v>
      </c>
      <c r="G9" s="163" t="str">
        <f t="shared" si="5"/>
        <v>Iguane</v>
      </c>
      <c r="H9" s="165" t="str">
        <f t="shared" si="6"/>
        <v>C</v>
      </c>
      <c r="I9" s="165" t="str">
        <f t="shared" si="7"/>
        <v>CAMPO III</v>
      </c>
    </row>
    <row r="10" spans="1:9">
      <c r="A10" s="158">
        <v>7</v>
      </c>
      <c r="B10" s="159">
        <f t="shared" si="0"/>
        <v>44354</v>
      </c>
      <c r="C10" s="160">
        <f t="shared" si="1"/>
        <v>0.66666666666666696</v>
      </c>
      <c r="D10" s="166" t="str">
        <f t="shared" si="2"/>
        <v>Coccodrilli</v>
      </c>
      <c r="E10" s="162">
        <f t="shared" si="3"/>
        <v>96</v>
      </c>
      <c r="F10" s="162">
        <f t="shared" si="4"/>
        <v>25</v>
      </c>
      <c r="G10" s="163" t="str">
        <f t="shared" si="5"/>
        <v>Pitoni</v>
      </c>
      <c r="H10" s="165" t="str">
        <f t="shared" si="6"/>
        <v>D</v>
      </c>
      <c r="I10" s="165" t="str">
        <f t="shared" si="7"/>
        <v>CAMPO IV</v>
      </c>
    </row>
    <row r="11" spans="1:9">
      <c r="A11" s="158">
        <v>8</v>
      </c>
      <c r="B11" s="159">
        <f t="shared" si="0"/>
        <v>44354</v>
      </c>
      <c r="C11" s="160">
        <f t="shared" si="1"/>
        <v>0.75</v>
      </c>
      <c r="D11" s="166" t="str">
        <f t="shared" si="2"/>
        <v>Aquile</v>
      </c>
      <c r="E11" s="162">
        <f t="shared" si="3"/>
        <v>72</v>
      </c>
      <c r="F11" s="162">
        <f t="shared" si="4"/>
        <v>52</v>
      </c>
      <c r="G11" s="163" t="str">
        <f t="shared" si="5"/>
        <v>Falchi</v>
      </c>
      <c r="H11" s="165" t="str">
        <f t="shared" si="6"/>
        <v>D</v>
      </c>
      <c r="I11" s="165" t="str">
        <f t="shared" si="7"/>
        <v>CAMPO IV</v>
      </c>
    </row>
    <row r="12" spans="1:9">
      <c r="A12" s="158"/>
      <c r="B12" s="159"/>
      <c r="C12" s="160"/>
      <c r="D12" s="166"/>
      <c r="E12" s="162"/>
      <c r="F12" s="162"/>
      <c r="G12" s="163"/>
      <c r="H12" s="165"/>
      <c r="I12" s="165"/>
    </row>
    <row r="13" spans="1:9">
      <c r="A13" s="158">
        <v>9</v>
      </c>
      <c r="B13" s="159">
        <f t="shared" ref="B13:B52" si="8">VLOOKUP(A13,INPUT_DATE_E_RISULTATI_GIRONI,8,0)</f>
        <v>44355</v>
      </c>
      <c r="C13" s="160">
        <f t="shared" ref="C13:C52" si="9">VLOOKUP(A13,INPUT_DATE_E_RISULTATI_GIRONI,9,0)</f>
        <v>0.375</v>
      </c>
      <c r="D13" s="166" t="str">
        <f t="shared" ref="D13:D52" si="10">VLOOKUP(A13,INPUT_DATE_E_RISULTATI_GIRONI,4,0)</f>
        <v>Leoni</v>
      </c>
      <c r="E13" s="162">
        <f t="shared" ref="E13:E52" si="11">VLOOKUP(A13,INPUT_DATE_E_RISULTATI_GIRONI,6,0)</f>
        <v>90</v>
      </c>
      <c r="F13" s="162">
        <f t="shared" ref="F13:F52" si="12">VLOOKUP(A13,INPUT_DATE_E_RISULTATI_GIRONI,7,0)</f>
        <v>22</v>
      </c>
      <c r="G13" s="163" t="str">
        <f t="shared" ref="G13:G52" si="13">VLOOKUP(A13,INPUT_DATE_E_RISULTATI_GIRONI,5,0)</f>
        <v>Tigri</v>
      </c>
      <c r="H13" s="165" t="str">
        <f t="shared" ref="H13:H52" si="14">VLOOKUP(A13,INPUT_DATE_E_RISULTATI_GIRONI,3,0)</f>
        <v>A</v>
      </c>
      <c r="I13" s="165" t="str">
        <f t="shared" ref="I13:I52" si="15">VLOOKUP(A13,INPUT_DATE_E_RISULTATI_GIRONI,11,0)</f>
        <v>CAMPO I</v>
      </c>
    </row>
    <row r="14" spans="1:9">
      <c r="A14" s="158">
        <v>10</v>
      </c>
      <c r="B14" s="159">
        <f t="shared" si="8"/>
        <v>44355</v>
      </c>
      <c r="C14" s="160">
        <f t="shared" si="9"/>
        <v>0.375</v>
      </c>
      <c r="D14" s="166" t="str">
        <f t="shared" si="10"/>
        <v>Giaguari</v>
      </c>
      <c r="E14" s="162">
        <f t="shared" si="11"/>
        <v>56</v>
      </c>
      <c r="F14" s="162">
        <f t="shared" si="12"/>
        <v>47</v>
      </c>
      <c r="G14" s="163" t="str">
        <f t="shared" si="13"/>
        <v>Linci</v>
      </c>
      <c r="H14" s="165" t="str">
        <f t="shared" si="14"/>
        <v>B</v>
      </c>
      <c r="I14" s="165" t="str">
        <f t="shared" si="15"/>
        <v>CAMPO II</v>
      </c>
    </row>
    <row r="15" spans="1:9">
      <c r="A15" s="158">
        <v>11</v>
      </c>
      <c r="B15" s="159">
        <f t="shared" si="8"/>
        <v>44355</v>
      </c>
      <c r="C15" s="160">
        <f t="shared" si="9"/>
        <v>0.375</v>
      </c>
      <c r="D15" s="166" t="str">
        <f t="shared" si="10"/>
        <v>Elefanti</v>
      </c>
      <c r="E15" s="162">
        <f t="shared" si="11"/>
        <v>66</v>
      </c>
      <c r="F15" s="162">
        <f t="shared" si="12"/>
        <v>95</v>
      </c>
      <c r="G15" s="163" t="str">
        <f t="shared" si="13"/>
        <v>Ippopotami</v>
      </c>
      <c r="H15" s="165" t="str">
        <f t="shared" si="14"/>
        <v>C</v>
      </c>
      <c r="I15" s="165" t="str">
        <f t="shared" si="15"/>
        <v>CAMPO III</v>
      </c>
    </row>
    <row r="16" spans="1:9">
      <c r="A16" s="158">
        <v>12</v>
      </c>
      <c r="B16" s="159">
        <f t="shared" si="8"/>
        <v>44355</v>
      </c>
      <c r="C16" s="160">
        <f t="shared" si="9"/>
        <v>0.375</v>
      </c>
      <c r="D16" s="166" t="str">
        <f t="shared" si="10"/>
        <v>Coccodrilli</v>
      </c>
      <c r="E16" s="162">
        <f t="shared" si="11"/>
        <v>29</v>
      </c>
      <c r="F16" s="162">
        <f t="shared" si="12"/>
        <v>39</v>
      </c>
      <c r="G16" s="163" t="str">
        <f t="shared" si="13"/>
        <v>Aquile</v>
      </c>
      <c r="H16" s="165" t="str">
        <f t="shared" si="14"/>
        <v>D</v>
      </c>
      <c r="I16" s="165" t="str">
        <f t="shared" si="15"/>
        <v>CAMPO IV</v>
      </c>
    </row>
    <row r="17" spans="1:9">
      <c r="A17" s="158">
        <v>13</v>
      </c>
      <c r="B17" s="159">
        <f t="shared" si="8"/>
        <v>44355</v>
      </c>
      <c r="C17" s="160">
        <f t="shared" si="9"/>
        <v>0.45833333333333298</v>
      </c>
      <c r="D17" s="166" t="str">
        <f t="shared" si="10"/>
        <v>Pantere</v>
      </c>
      <c r="E17" s="162">
        <f t="shared" si="11"/>
        <v>57</v>
      </c>
      <c r="F17" s="162">
        <f t="shared" si="12"/>
        <v>21</v>
      </c>
      <c r="G17" s="163" t="str">
        <f t="shared" si="13"/>
        <v>Ghepardi</v>
      </c>
      <c r="H17" s="165" t="str">
        <f t="shared" si="14"/>
        <v>A</v>
      </c>
      <c r="I17" s="165" t="str">
        <f t="shared" si="15"/>
        <v>CAMPO I</v>
      </c>
    </row>
    <row r="18" spans="1:9">
      <c r="A18" s="158">
        <v>14</v>
      </c>
      <c r="B18" s="159">
        <f t="shared" si="8"/>
        <v>44355</v>
      </c>
      <c r="C18" s="160">
        <f t="shared" si="9"/>
        <v>0.45833333333333298</v>
      </c>
      <c r="D18" s="166" t="str">
        <f t="shared" si="10"/>
        <v>Puma</v>
      </c>
      <c r="E18" s="162">
        <f t="shared" si="11"/>
        <v>68</v>
      </c>
      <c r="F18" s="162">
        <f t="shared" si="12"/>
        <v>45</v>
      </c>
      <c r="G18" s="163" t="str">
        <f t="shared" si="13"/>
        <v>Serval</v>
      </c>
      <c r="H18" s="165" t="str">
        <f t="shared" si="14"/>
        <v>B</v>
      </c>
      <c r="I18" s="165" t="str">
        <f t="shared" si="15"/>
        <v>CAMPO II</v>
      </c>
    </row>
    <row r="19" spans="1:9">
      <c r="A19" s="158">
        <v>15</v>
      </c>
      <c r="B19" s="159">
        <f t="shared" si="8"/>
        <v>44355</v>
      </c>
      <c r="C19" s="160">
        <f t="shared" si="9"/>
        <v>0.45833333333333298</v>
      </c>
      <c r="D19" s="166" t="str">
        <f t="shared" si="10"/>
        <v>Giraffe</v>
      </c>
      <c r="E19" s="162">
        <f t="shared" si="11"/>
        <v>60</v>
      </c>
      <c r="F19" s="162">
        <f t="shared" si="12"/>
        <v>34</v>
      </c>
      <c r="G19" s="163" t="str">
        <f t="shared" si="13"/>
        <v>Iguane</v>
      </c>
      <c r="H19" s="165" t="str">
        <f t="shared" si="14"/>
        <v>C</v>
      </c>
      <c r="I19" s="165" t="str">
        <f t="shared" si="15"/>
        <v>CAMPO III</v>
      </c>
    </row>
    <row r="20" spans="1:9">
      <c r="A20" s="158">
        <v>16</v>
      </c>
      <c r="B20" s="159">
        <f t="shared" si="8"/>
        <v>44355</v>
      </c>
      <c r="C20" s="160">
        <f t="shared" si="9"/>
        <v>0.45833333333333298</v>
      </c>
      <c r="D20" s="166" t="str">
        <f t="shared" si="10"/>
        <v>Pitoni</v>
      </c>
      <c r="E20" s="162">
        <f t="shared" si="11"/>
        <v>83</v>
      </c>
      <c r="F20" s="162">
        <f t="shared" si="12"/>
        <v>57</v>
      </c>
      <c r="G20" s="163" t="str">
        <f t="shared" si="13"/>
        <v>Falchi</v>
      </c>
      <c r="H20" s="165" t="str">
        <f t="shared" si="14"/>
        <v>D</v>
      </c>
      <c r="I20" s="165" t="str">
        <f t="shared" si="15"/>
        <v>CAMPO IV</v>
      </c>
    </row>
    <row r="21" spans="1:9">
      <c r="A21" s="158">
        <v>17</v>
      </c>
      <c r="B21" s="159">
        <f t="shared" si="8"/>
        <v>44355</v>
      </c>
      <c r="C21" s="160">
        <f t="shared" si="9"/>
        <v>0.64583333333333304</v>
      </c>
      <c r="D21" s="166" t="str">
        <f t="shared" si="10"/>
        <v>Bisonti</v>
      </c>
      <c r="E21" s="162">
        <f t="shared" si="11"/>
        <v>34</v>
      </c>
      <c r="F21" s="162">
        <f t="shared" si="12"/>
        <v>33</v>
      </c>
      <c r="G21" s="163" t="str">
        <f t="shared" si="13"/>
        <v>Bufali</v>
      </c>
      <c r="H21" s="165" t="str">
        <f t="shared" si="14"/>
        <v>E</v>
      </c>
      <c r="I21" s="165" t="str">
        <f t="shared" si="15"/>
        <v>CAMPO I</v>
      </c>
    </row>
    <row r="22" spans="1:9">
      <c r="A22" s="158">
        <v>18</v>
      </c>
      <c r="B22" s="159">
        <f t="shared" si="8"/>
        <v>44355</v>
      </c>
      <c r="C22" s="160">
        <f t="shared" si="9"/>
        <v>0.64583333333333304</v>
      </c>
      <c r="D22" s="166" t="str">
        <f t="shared" si="10"/>
        <v>Balene</v>
      </c>
      <c r="E22" s="162">
        <f t="shared" si="11"/>
        <v>34</v>
      </c>
      <c r="F22" s="162">
        <f t="shared" si="12"/>
        <v>33</v>
      </c>
      <c r="G22" s="163" t="str">
        <f t="shared" si="13"/>
        <v>Gabbiani</v>
      </c>
      <c r="H22" s="165" t="str">
        <f t="shared" si="14"/>
        <v>F</v>
      </c>
      <c r="I22" s="165" t="str">
        <f t="shared" si="15"/>
        <v>CAMPO II</v>
      </c>
    </row>
    <row r="23" spans="1:9">
      <c r="A23" s="158">
        <v>19</v>
      </c>
      <c r="B23" s="159">
        <f t="shared" si="8"/>
        <v>44355</v>
      </c>
      <c r="C23" s="160">
        <f t="shared" si="9"/>
        <v>0.64583333333333304</v>
      </c>
      <c r="D23" s="166" t="str">
        <f t="shared" si="10"/>
        <v>Istrici</v>
      </c>
      <c r="E23" s="162">
        <f t="shared" si="11"/>
        <v>20</v>
      </c>
      <c r="F23" s="162">
        <f t="shared" si="12"/>
        <v>0</v>
      </c>
      <c r="G23" s="163" t="str">
        <f t="shared" si="13"/>
        <v>Gorilla</v>
      </c>
      <c r="H23" s="165" t="str">
        <f t="shared" si="14"/>
        <v>G</v>
      </c>
      <c r="I23" s="165" t="str">
        <f t="shared" si="15"/>
        <v>CAMPO III</v>
      </c>
    </row>
    <row r="24" spans="1:9">
      <c r="A24" s="158">
        <v>20</v>
      </c>
      <c r="B24" s="159">
        <f t="shared" si="8"/>
        <v>44355</v>
      </c>
      <c r="C24" s="160">
        <f t="shared" si="9"/>
        <v>0.64583333333333304</v>
      </c>
      <c r="D24" s="166" t="str">
        <f t="shared" si="10"/>
        <v>Piranha</v>
      </c>
      <c r="E24" s="162">
        <f t="shared" si="11"/>
        <v>100</v>
      </c>
      <c r="F24" s="162">
        <f t="shared" si="12"/>
        <v>83</v>
      </c>
      <c r="G24" s="163" t="str">
        <f t="shared" si="13"/>
        <v>Scorpioni</v>
      </c>
      <c r="H24" s="165" t="str">
        <f t="shared" si="14"/>
        <v>H</v>
      </c>
      <c r="I24" s="165" t="str">
        <f t="shared" si="15"/>
        <v>CAMPO IV</v>
      </c>
    </row>
    <row r="25" spans="1:9">
      <c r="A25" s="158">
        <v>21</v>
      </c>
      <c r="B25" s="159">
        <f t="shared" si="8"/>
        <v>44355</v>
      </c>
      <c r="C25" s="160">
        <f t="shared" si="9"/>
        <v>0.70833333333333304</v>
      </c>
      <c r="D25" s="166" t="str">
        <f t="shared" si="10"/>
        <v>Cervi</v>
      </c>
      <c r="E25" s="162">
        <f t="shared" si="11"/>
        <v>34</v>
      </c>
      <c r="F25" s="162">
        <f t="shared" si="12"/>
        <v>33</v>
      </c>
      <c r="G25" s="163" t="str">
        <f t="shared" si="13"/>
        <v>Cinghiali</v>
      </c>
      <c r="H25" s="165" t="str">
        <f t="shared" si="14"/>
        <v>E</v>
      </c>
      <c r="I25" s="165" t="str">
        <f t="shared" si="15"/>
        <v>CAMPO I</v>
      </c>
    </row>
    <row r="26" spans="1:9">
      <c r="A26" s="158">
        <v>22</v>
      </c>
      <c r="B26" s="159">
        <f t="shared" si="8"/>
        <v>44355</v>
      </c>
      <c r="C26" s="160">
        <f t="shared" si="9"/>
        <v>0.70833333333333304</v>
      </c>
      <c r="D26" s="166" t="str">
        <f t="shared" si="10"/>
        <v>Delfini</v>
      </c>
      <c r="E26" s="162">
        <f t="shared" si="11"/>
        <v>34</v>
      </c>
      <c r="F26" s="162">
        <f t="shared" si="12"/>
        <v>33</v>
      </c>
      <c r="G26" s="163" t="str">
        <f t="shared" si="13"/>
        <v>Fenicotteri</v>
      </c>
      <c r="H26" s="165" t="str">
        <f t="shared" si="14"/>
        <v>F</v>
      </c>
      <c r="I26" s="165" t="str">
        <f t="shared" si="15"/>
        <v>CAMPO II</v>
      </c>
    </row>
    <row r="27" spans="1:9">
      <c r="A27" s="158">
        <v>23</v>
      </c>
      <c r="B27" s="159">
        <f t="shared" si="8"/>
        <v>44355</v>
      </c>
      <c r="C27" s="160">
        <f t="shared" si="9"/>
        <v>0.70833333333333304</v>
      </c>
      <c r="D27" s="166" t="str">
        <f t="shared" si="10"/>
        <v>Muli</v>
      </c>
      <c r="E27" s="162">
        <f t="shared" si="11"/>
        <v>0</v>
      </c>
      <c r="F27" s="162">
        <f t="shared" si="12"/>
        <v>20</v>
      </c>
      <c r="G27" s="163" t="str">
        <f t="shared" si="13"/>
        <v>Orche</v>
      </c>
      <c r="H27" s="165" t="str">
        <f t="shared" si="14"/>
        <v>G</v>
      </c>
      <c r="I27" s="165" t="str">
        <f t="shared" si="15"/>
        <v>CAMPO III</v>
      </c>
    </row>
    <row r="28" spans="1:9">
      <c r="A28" s="158">
        <v>24</v>
      </c>
      <c r="B28" s="159">
        <f t="shared" si="8"/>
        <v>44355</v>
      </c>
      <c r="C28" s="160">
        <f t="shared" si="9"/>
        <v>0.70833333333333304</v>
      </c>
      <c r="D28" s="166" t="str">
        <f t="shared" si="10"/>
        <v>Tonni</v>
      </c>
      <c r="E28" s="162">
        <f t="shared" si="11"/>
        <v>20</v>
      </c>
      <c r="F28" s="162">
        <f t="shared" si="12"/>
        <v>0</v>
      </c>
      <c r="G28" s="163" t="str">
        <f t="shared" si="13"/>
        <v>Zebre</v>
      </c>
      <c r="H28" s="165" t="str">
        <f t="shared" si="14"/>
        <v>H</v>
      </c>
      <c r="I28" s="165" t="str">
        <f t="shared" si="15"/>
        <v>CAMPO IV</v>
      </c>
    </row>
    <row r="29" spans="1:9">
      <c r="A29" s="158">
        <v>25</v>
      </c>
      <c r="B29" s="159">
        <f t="shared" si="8"/>
        <v>44355</v>
      </c>
      <c r="C29" s="160">
        <f t="shared" si="9"/>
        <v>0.77083333333333304</v>
      </c>
      <c r="D29" s="166" t="str">
        <f t="shared" si="10"/>
        <v>Leoni</v>
      </c>
      <c r="E29" s="162">
        <f t="shared" si="11"/>
        <v>82</v>
      </c>
      <c r="F29" s="162">
        <f t="shared" si="12"/>
        <v>25</v>
      </c>
      <c r="G29" s="163" t="str">
        <f t="shared" si="13"/>
        <v>Ghepardi</v>
      </c>
      <c r="H29" s="165" t="str">
        <f t="shared" si="14"/>
        <v>A</v>
      </c>
      <c r="I29" s="165" t="str">
        <f t="shared" si="15"/>
        <v>CAMPO I</v>
      </c>
    </row>
    <row r="30" spans="1:9">
      <c r="A30" s="158">
        <v>26</v>
      </c>
      <c r="B30" s="159">
        <f t="shared" si="8"/>
        <v>44355</v>
      </c>
      <c r="C30" s="160">
        <f t="shared" si="9"/>
        <v>0.77083333333333304</v>
      </c>
      <c r="D30" s="166" t="str">
        <f t="shared" si="10"/>
        <v>Giaguari</v>
      </c>
      <c r="E30" s="162">
        <f t="shared" si="11"/>
        <v>76</v>
      </c>
      <c r="F30" s="162">
        <f t="shared" si="12"/>
        <v>94</v>
      </c>
      <c r="G30" s="163" t="str">
        <f t="shared" si="13"/>
        <v>Serval</v>
      </c>
      <c r="H30" s="165" t="str">
        <f t="shared" si="14"/>
        <v>B</v>
      </c>
      <c r="I30" s="165" t="str">
        <f t="shared" si="15"/>
        <v>CAMPO II</v>
      </c>
    </row>
    <row r="31" spans="1:9">
      <c r="A31" s="158">
        <v>27</v>
      </c>
      <c r="B31" s="159">
        <f t="shared" si="8"/>
        <v>44355</v>
      </c>
      <c r="C31" s="160">
        <f t="shared" si="9"/>
        <v>0.77083333333333304</v>
      </c>
      <c r="D31" s="166" t="str">
        <f t="shared" si="10"/>
        <v>Elefanti</v>
      </c>
      <c r="E31" s="162">
        <f t="shared" si="11"/>
        <v>57</v>
      </c>
      <c r="F31" s="162">
        <f t="shared" si="12"/>
        <v>42</v>
      </c>
      <c r="G31" s="163" t="str">
        <f t="shared" si="13"/>
        <v>Iguane</v>
      </c>
      <c r="H31" s="165" t="str">
        <f t="shared" si="14"/>
        <v>C</v>
      </c>
      <c r="I31" s="165" t="str">
        <f t="shared" si="15"/>
        <v>CAMPO III</v>
      </c>
    </row>
    <row r="32" spans="1:9">
      <c r="A32" s="158">
        <v>28</v>
      </c>
      <c r="B32" s="159">
        <f t="shared" si="8"/>
        <v>44355</v>
      </c>
      <c r="C32" s="160">
        <f t="shared" si="9"/>
        <v>0.77083333333333304</v>
      </c>
      <c r="D32" s="166" t="str">
        <f t="shared" si="10"/>
        <v>Coccodrilli</v>
      </c>
      <c r="E32" s="162">
        <f t="shared" si="11"/>
        <v>54</v>
      </c>
      <c r="F32" s="162">
        <f t="shared" si="12"/>
        <v>44</v>
      </c>
      <c r="G32" s="163" t="str">
        <f t="shared" si="13"/>
        <v>Falchi</v>
      </c>
      <c r="H32" s="165" t="str">
        <f t="shared" si="14"/>
        <v>D</v>
      </c>
      <c r="I32" s="165" t="str">
        <f t="shared" si="15"/>
        <v>CAMPO IV</v>
      </c>
    </row>
    <row r="33" spans="1:9">
      <c r="A33" s="158">
        <v>29</v>
      </c>
      <c r="B33" s="159">
        <f t="shared" si="8"/>
        <v>44356</v>
      </c>
      <c r="C33" s="160">
        <f t="shared" si="9"/>
        <v>0.375</v>
      </c>
      <c r="D33" s="166" t="str">
        <f t="shared" si="10"/>
        <v>Bisonti</v>
      </c>
      <c r="E33" s="162">
        <f t="shared" si="11"/>
        <v>33</v>
      </c>
      <c r="F33" s="162">
        <f t="shared" si="12"/>
        <v>34</v>
      </c>
      <c r="G33" s="163" t="str">
        <f t="shared" si="13"/>
        <v>Cervi</v>
      </c>
      <c r="H33" s="165" t="str">
        <f t="shared" si="14"/>
        <v>E</v>
      </c>
      <c r="I33" s="165" t="str">
        <f t="shared" si="15"/>
        <v>CAMPO I</v>
      </c>
    </row>
    <row r="34" spans="1:9">
      <c r="A34" s="158">
        <v>30</v>
      </c>
      <c r="B34" s="159">
        <f t="shared" si="8"/>
        <v>44356</v>
      </c>
      <c r="C34" s="160">
        <f t="shared" si="9"/>
        <v>0.375</v>
      </c>
      <c r="D34" s="166" t="str">
        <f t="shared" si="10"/>
        <v>Balene</v>
      </c>
      <c r="E34" s="162">
        <f t="shared" si="11"/>
        <v>33</v>
      </c>
      <c r="F34" s="162">
        <f t="shared" si="12"/>
        <v>34</v>
      </c>
      <c r="G34" s="163" t="str">
        <f t="shared" si="13"/>
        <v>Delfini</v>
      </c>
      <c r="H34" s="165" t="str">
        <f t="shared" si="14"/>
        <v>F</v>
      </c>
      <c r="I34" s="165" t="str">
        <f t="shared" si="15"/>
        <v>CAMPO II</v>
      </c>
    </row>
    <row r="35" spans="1:9">
      <c r="A35" s="158">
        <v>31</v>
      </c>
      <c r="B35" s="159">
        <f t="shared" si="8"/>
        <v>44356</v>
      </c>
      <c r="C35" s="160">
        <f t="shared" si="9"/>
        <v>0.375</v>
      </c>
      <c r="D35" s="166" t="str">
        <f t="shared" si="10"/>
        <v>Istrici</v>
      </c>
      <c r="E35" s="162">
        <f t="shared" si="11"/>
        <v>20</v>
      </c>
      <c r="F35" s="162">
        <f t="shared" si="12"/>
        <v>0</v>
      </c>
      <c r="G35" s="163" t="str">
        <f t="shared" si="13"/>
        <v>Muli</v>
      </c>
      <c r="H35" s="165" t="str">
        <f t="shared" si="14"/>
        <v>G</v>
      </c>
      <c r="I35" s="165" t="str">
        <f t="shared" si="15"/>
        <v>CAMPO III</v>
      </c>
    </row>
    <row r="36" spans="1:9">
      <c r="A36" s="158">
        <v>32</v>
      </c>
      <c r="B36" s="159">
        <f t="shared" si="8"/>
        <v>44356</v>
      </c>
      <c r="C36" s="160">
        <f t="shared" si="9"/>
        <v>0.375</v>
      </c>
      <c r="D36" s="166" t="str">
        <f t="shared" si="10"/>
        <v>Piranha</v>
      </c>
      <c r="E36" s="162">
        <f t="shared" si="11"/>
        <v>97</v>
      </c>
      <c r="F36" s="162">
        <f t="shared" si="12"/>
        <v>78</v>
      </c>
      <c r="G36" s="163" t="str">
        <f t="shared" si="13"/>
        <v>Tonni</v>
      </c>
      <c r="H36" s="165" t="str">
        <f t="shared" si="14"/>
        <v>H</v>
      </c>
      <c r="I36" s="165" t="str">
        <f t="shared" si="15"/>
        <v>CAMPO IV</v>
      </c>
    </row>
    <row r="37" spans="1:9">
      <c r="A37" s="158">
        <v>33</v>
      </c>
      <c r="B37" s="159">
        <f t="shared" si="8"/>
        <v>44356</v>
      </c>
      <c r="C37" s="160">
        <f t="shared" si="9"/>
        <v>0.45833333333333298</v>
      </c>
      <c r="D37" s="166" t="str">
        <f t="shared" si="10"/>
        <v>Bufali</v>
      </c>
      <c r="E37" s="162">
        <f t="shared" si="11"/>
        <v>35</v>
      </c>
      <c r="F37" s="162">
        <f t="shared" si="12"/>
        <v>33</v>
      </c>
      <c r="G37" s="163" t="str">
        <f t="shared" si="13"/>
        <v>Cinghiali</v>
      </c>
      <c r="H37" s="165" t="str">
        <f t="shared" si="14"/>
        <v>E</v>
      </c>
      <c r="I37" s="165" t="str">
        <f t="shared" si="15"/>
        <v>CAMPO I</v>
      </c>
    </row>
    <row r="38" spans="1:9">
      <c r="A38" s="158">
        <v>34</v>
      </c>
      <c r="B38" s="159">
        <f t="shared" si="8"/>
        <v>44356</v>
      </c>
      <c r="C38" s="160">
        <f t="shared" si="9"/>
        <v>0.45833333333333298</v>
      </c>
      <c r="D38" s="166" t="str">
        <f t="shared" si="10"/>
        <v>Gabbiani</v>
      </c>
      <c r="E38" s="162">
        <f t="shared" si="11"/>
        <v>35</v>
      </c>
      <c r="F38" s="162">
        <f t="shared" si="12"/>
        <v>34</v>
      </c>
      <c r="G38" s="163" t="str">
        <f t="shared" si="13"/>
        <v>Fenicotteri</v>
      </c>
      <c r="H38" s="165" t="str">
        <f t="shared" si="14"/>
        <v>F</v>
      </c>
      <c r="I38" s="165" t="str">
        <f t="shared" si="15"/>
        <v>CAMPO II</v>
      </c>
    </row>
    <row r="39" spans="1:9">
      <c r="A39" s="158">
        <v>35</v>
      </c>
      <c r="B39" s="159">
        <f t="shared" si="8"/>
        <v>44356</v>
      </c>
      <c r="C39" s="160">
        <f t="shared" si="9"/>
        <v>0.45833333333333298</v>
      </c>
      <c r="D39" s="166" t="str">
        <f t="shared" si="10"/>
        <v>Gorilla</v>
      </c>
      <c r="E39" s="162">
        <f t="shared" si="11"/>
        <v>20</v>
      </c>
      <c r="F39" s="162">
        <f t="shared" si="12"/>
        <v>0</v>
      </c>
      <c r="G39" s="163" t="str">
        <f t="shared" si="13"/>
        <v>Orche</v>
      </c>
      <c r="H39" s="165" t="str">
        <f t="shared" si="14"/>
        <v>G</v>
      </c>
      <c r="I39" s="165" t="str">
        <f t="shared" si="15"/>
        <v>CAMPO III</v>
      </c>
    </row>
    <row r="40" spans="1:9">
      <c r="A40" s="158">
        <v>36</v>
      </c>
      <c r="B40" s="159">
        <f t="shared" si="8"/>
        <v>44356</v>
      </c>
      <c r="C40" s="160">
        <f t="shared" si="9"/>
        <v>0.45833333333333298</v>
      </c>
      <c r="D40" s="166" t="str">
        <f t="shared" si="10"/>
        <v>Scorpioni</v>
      </c>
      <c r="E40" s="162">
        <f t="shared" si="11"/>
        <v>74</v>
      </c>
      <c r="F40" s="162">
        <f t="shared" si="12"/>
        <v>79</v>
      </c>
      <c r="G40" s="163" t="str">
        <f t="shared" si="13"/>
        <v>Zebre</v>
      </c>
      <c r="H40" s="165" t="str">
        <f t="shared" si="14"/>
        <v>H</v>
      </c>
      <c r="I40" s="165" t="str">
        <f t="shared" si="15"/>
        <v>CAMPO IV</v>
      </c>
    </row>
    <row r="41" spans="1:9">
      <c r="A41" s="158">
        <v>37</v>
      </c>
      <c r="B41" s="159">
        <f t="shared" si="8"/>
        <v>44356</v>
      </c>
      <c r="C41" s="160">
        <f t="shared" si="9"/>
        <v>0.64583333333333304</v>
      </c>
      <c r="D41" s="166" t="str">
        <f t="shared" si="10"/>
        <v>Pantere</v>
      </c>
      <c r="E41" s="162">
        <f t="shared" si="11"/>
        <v>93</v>
      </c>
      <c r="F41" s="162">
        <f t="shared" si="12"/>
        <v>30</v>
      </c>
      <c r="G41" s="163" t="str">
        <f t="shared" si="13"/>
        <v>Tigri</v>
      </c>
      <c r="H41" s="165" t="str">
        <f t="shared" si="14"/>
        <v>A</v>
      </c>
      <c r="I41" s="165" t="str">
        <f t="shared" si="15"/>
        <v>CAMPO I</v>
      </c>
    </row>
    <row r="42" spans="1:9">
      <c r="A42" s="158">
        <v>38</v>
      </c>
      <c r="B42" s="159">
        <f t="shared" si="8"/>
        <v>44356</v>
      </c>
      <c r="C42" s="160">
        <f t="shared" si="9"/>
        <v>0.64583333333333304</v>
      </c>
      <c r="D42" s="166" t="str">
        <f t="shared" si="10"/>
        <v>Puma</v>
      </c>
      <c r="E42" s="162">
        <f t="shared" si="11"/>
        <v>97</v>
      </c>
      <c r="F42" s="162">
        <f t="shared" si="12"/>
        <v>72</v>
      </c>
      <c r="G42" s="163" t="str">
        <f t="shared" si="13"/>
        <v>Linci</v>
      </c>
      <c r="H42" s="165" t="str">
        <f t="shared" si="14"/>
        <v>B</v>
      </c>
      <c r="I42" s="165" t="str">
        <f t="shared" si="15"/>
        <v>CAMPO II</v>
      </c>
    </row>
    <row r="43" spans="1:9">
      <c r="A43" s="158">
        <v>39</v>
      </c>
      <c r="B43" s="159">
        <f t="shared" si="8"/>
        <v>44356</v>
      </c>
      <c r="C43" s="160">
        <f t="shared" si="9"/>
        <v>0.64583333333333304</v>
      </c>
      <c r="D43" s="166" t="str">
        <f t="shared" si="10"/>
        <v>Giraffe</v>
      </c>
      <c r="E43" s="162">
        <f t="shared" si="11"/>
        <v>98</v>
      </c>
      <c r="F43" s="162">
        <f t="shared" si="12"/>
        <v>49</v>
      </c>
      <c r="G43" s="163" t="str">
        <f t="shared" si="13"/>
        <v>Ippopotami</v>
      </c>
      <c r="H43" s="165" t="str">
        <f t="shared" si="14"/>
        <v>C</v>
      </c>
      <c r="I43" s="165" t="str">
        <f t="shared" si="15"/>
        <v>CAMPO III</v>
      </c>
    </row>
    <row r="44" spans="1:9">
      <c r="A44" s="158">
        <v>40</v>
      </c>
      <c r="B44" s="159">
        <f t="shared" si="8"/>
        <v>44356</v>
      </c>
      <c r="C44" s="160">
        <f t="shared" si="9"/>
        <v>0.64583333333333304</v>
      </c>
      <c r="D44" s="166" t="str">
        <f t="shared" si="10"/>
        <v>Pitoni</v>
      </c>
      <c r="E44" s="162">
        <f t="shared" si="11"/>
        <v>25</v>
      </c>
      <c r="F44" s="162">
        <f t="shared" si="12"/>
        <v>15</v>
      </c>
      <c r="G44" s="163" t="str">
        <f t="shared" si="13"/>
        <v>Aquile</v>
      </c>
      <c r="H44" s="165" t="str">
        <f t="shared" si="14"/>
        <v>D</v>
      </c>
      <c r="I44" s="165" t="str">
        <f t="shared" si="15"/>
        <v>CAMPO IV</v>
      </c>
    </row>
    <row r="45" spans="1:9">
      <c r="A45" s="158">
        <v>41</v>
      </c>
      <c r="B45" s="159">
        <f t="shared" si="8"/>
        <v>44356</v>
      </c>
      <c r="C45" s="160">
        <f t="shared" si="9"/>
        <v>0.70833333333333304</v>
      </c>
      <c r="D45" s="166" t="str">
        <f t="shared" si="10"/>
        <v>Bisonti</v>
      </c>
      <c r="E45" s="162">
        <f t="shared" si="11"/>
        <v>36</v>
      </c>
      <c r="F45" s="162">
        <f t="shared" si="12"/>
        <v>33</v>
      </c>
      <c r="G45" s="163" t="str">
        <f t="shared" si="13"/>
        <v>Cinghiali</v>
      </c>
      <c r="H45" s="165" t="str">
        <f t="shared" si="14"/>
        <v>E</v>
      </c>
      <c r="I45" s="165" t="str">
        <f t="shared" si="15"/>
        <v>CAMPO I</v>
      </c>
    </row>
    <row r="46" spans="1:9">
      <c r="A46" s="158">
        <v>42</v>
      </c>
      <c r="B46" s="159">
        <f t="shared" si="8"/>
        <v>44356</v>
      </c>
      <c r="C46" s="160">
        <f t="shared" si="9"/>
        <v>0.70833333333333304</v>
      </c>
      <c r="D46" s="166" t="str">
        <f t="shared" si="10"/>
        <v>Balene</v>
      </c>
      <c r="E46" s="162">
        <f t="shared" si="11"/>
        <v>36</v>
      </c>
      <c r="F46" s="162">
        <f t="shared" si="12"/>
        <v>35</v>
      </c>
      <c r="G46" s="163" t="str">
        <f t="shared" si="13"/>
        <v>Fenicotteri</v>
      </c>
      <c r="H46" s="165" t="str">
        <f t="shared" si="14"/>
        <v>F</v>
      </c>
      <c r="I46" s="165" t="str">
        <f t="shared" si="15"/>
        <v>CAMPO II</v>
      </c>
    </row>
    <row r="47" spans="1:9">
      <c r="A47" s="158">
        <v>43</v>
      </c>
      <c r="B47" s="159">
        <f t="shared" si="8"/>
        <v>44356</v>
      </c>
      <c r="C47" s="160">
        <f t="shared" si="9"/>
        <v>0.70833333333333304</v>
      </c>
      <c r="D47" s="166" t="str">
        <f t="shared" si="10"/>
        <v>Istrici</v>
      </c>
      <c r="E47" s="162">
        <f t="shared" si="11"/>
        <v>20</v>
      </c>
      <c r="F47" s="162">
        <f t="shared" si="12"/>
        <v>0</v>
      </c>
      <c r="G47" s="163" t="str">
        <f t="shared" si="13"/>
        <v>Orche</v>
      </c>
      <c r="H47" s="165" t="str">
        <f t="shared" si="14"/>
        <v>G</v>
      </c>
      <c r="I47" s="165" t="str">
        <f t="shared" si="15"/>
        <v>CAMPO III</v>
      </c>
    </row>
    <row r="48" spans="1:9">
      <c r="A48" s="158">
        <v>44</v>
      </c>
      <c r="B48" s="159">
        <f t="shared" si="8"/>
        <v>44356</v>
      </c>
      <c r="C48" s="160">
        <f t="shared" si="9"/>
        <v>0.70833333333333304</v>
      </c>
      <c r="D48" s="166" t="str">
        <f t="shared" si="10"/>
        <v>Tonni</v>
      </c>
      <c r="E48" s="162">
        <f t="shared" si="11"/>
        <v>65</v>
      </c>
      <c r="F48" s="162">
        <f t="shared" si="12"/>
        <v>13</v>
      </c>
      <c r="G48" s="163" t="str">
        <f t="shared" si="13"/>
        <v>Scorpioni</v>
      </c>
      <c r="H48" s="165" t="str">
        <f t="shared" si="14"/>
        <v>H</v>
      </c>
      <c r="I48" s="165" t="str">
        <f t="shared" si="15"/>
        <v>CAMPO IV</v>
      </c>
    </row>
    <row r="49" spans="1:9">
      <c r="A49" s="158">
        <v>45</v>
      </c>
      <c r="B49" s="159">
        <f t="shared" si="8"/>
        <v>44356</v>
      </c>
      <c r="C49" s="160">
        <f t="shared" si="9"/>
        <v>0.77083333333333304</v>
      </c>
      <c r="D49" s="166" t="str">
        <f t="shared" si="10"/>
        <v>Bufali</v>
      </c>
      <c r="E49" s="162">
        <f t="shared" si="11"/>
        <v>34</v>
      </c>
      <c r="F49" s="162">
        <f t="shared" si="12"/>
        <v>33</v>
      </c>
      <c r="G49" s="163" t="str">
        <f t="shared" si="13"/>
        <v>Cervi</v>
      </c>
      <c r="H49" s="165" t="str">
        <f t="shared" si="14"/>
        <v>E</v>
      </c>
      <c r="I49" s="165" t="str">
        <f t="shared" si="15"/>
        <v>CAMPO I</v>
      </c>
    </row>
    <row r="50" spans="1:9">
      <c r="A50" s="158">
        <v>46</v>
      </c>
      <c r="B50" s="159">
        <f t="shared" si="8"/>
        <v>44356</v>
      </c>
      <c r="C50" s="160">
        <f t="shared" si="9"/>
        <v>0.77083333333333304</v>
      </c>
      <c r="D50" s="166" t="str">
        <f t="shared" si="10"/>
        <v>Gabbiani</v>
      </c>
      <c r="E50" s="162">
        <f t="shared" si="11"/>
        <v>34</v>
      </c>
      <c r="F50" s="162">
        <f t="shared" si="12"/>
        <v>33</v>
      </c>
      <c r="G50" s="163" t="str">
        <f t="shared" si="13"/>
        <v>Delfini</v>
      </c>
      <c r="H50" s="165" t="str">
        <f t="shared" si="14"/>
        <v>F</v>
      </c>
      <c r="I50" s="165" t="str">
        <f t="shared" si="15"/>
        <v>CAMPO II</v>
      </c>
    </row>
    <row r="51" spans="1:9">
      <c r="A51" s="158">
        <v>47</v>
      </c>
      <c r="B51" s="159">
        <f t="shared" si="8"/>
        <v>44356</v>
      </c>
      <c r="C51" s="160">
        <f t="shared" si="9"/>
        <v>0.77083333333333304</v>
      </c>
      <c r="D51" s="166" t="str">
        <f t="shared" si="10"/>
        <v>Gorilla</v>
      </c>
      <c r="E51" s="162">
        <f t="shared" si="11"/>
        <v>20</v>
      </c>
      <c r="F51" s="162">
        <f t="shared" si="12"/>
        <v>0</v>
      </c>
      <c r="G51" s="163" t="str">
        <f t="shared" si="13"/>
        <v>Muli</v>
      </c>
      <c r="H51" s="165" t="str">
        <f t="shared" si="14"/>
        <v>G</v>
      </c>
      <c r="I51" s="165" t="str">
        <f t="shared" si="15"/>
        <v>CAMPO III</v>
      </c>
    </row>
    <row r="52" spans="1:9">
      <c r="A52" s="158">
        <v>48</v>
      </c>
      <c r="B52" s="159">
        <f t="shared" si="8"/>
        <v>44356</v>
      </c>
      <c r="C52" s="160">
        <f t="shared" si="9"/>
        <v>0.77083333333333304</v>
      </c>
      <c r="D52" s="166" t="str">
        <f t="shared" si="10"/>
        <v>Zebre</v>
      </c>
      <c r="E52" s="162">
        <f t="shared" si="11"/>
        <v>54</v>
      </c>
      <c r="F52" s="162">
        <f t="shared" si="12"/>
        <v>48</v>
      </c>
      <c r="G52" s="163" t="str">
        <f t="shared" si="13"/>
        <v>Piranha</v>
      </c>
      <c r="H52" s="165" t="str">
        <f t="shared" si="14"/>
        <v>H</v>
      </c>
      <c r="I52" s="165" t="str">
        <f t="shared" si="15"/>
        <v>CAMPO IV</v>
      </c>
    </row>
  </sheetData>
  <mergeCells count="3">
    <mergeCell ref="B1:I1"/>
    <mergeCell ref="B2:I2"/>
    <mergeCell ref="E3:F3"/>
  </mergeCells>
  <conditionalFormatting sqref="B5:D52">
    <cfRule type="expression" priority="2">
      <formula>IF(#REF!=CONCATENATE($D4,"_win"),1,0)</formula>
    </cfRule>
  </conditionalFormatting>
  <conditionalFormatting sqref="G4:G52 H4 B4:D52">
    <cfRule type="expression" priority="3">
      <formula>IF(#REF!=CONCATENATE($G4,"_win"),1,0)</formula>
    </cfRule>
  </conditionalFormatting>
  <conditionalFormatting sqref="G3:I3 B3:E3">
    <cfRule type="expression" priority="4">
      <formula>$O$4="Black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L42"/>
  <sheetViews>
    <sheetView zoomScale="140" zoomScaleNormal="140" workbookViewId="0"/>
  </sheetViews>
  <sheetFormatPr defaultColWidth="11.5703125" defaultRowHeight="12.75"/>
  <cols>
    <col min="1" max="1" width="12.7109375" style="15" customWidth="1"/>
    <col min="2" max="2" width="2.85546875" style="15" customWidth="1"/>
    <col min="3" max="4" width="2.7109375" style="15" customWidth="1"/>
    <col min="5" max="5" width="2.5703125" style="15" customWidth="1"/>
    <col min="6" max="6" width="4.140625" style="15" customWidth="1"/>
    <col min="7" max="8" width="5.42578125" style="15" customWidth="1"/>
    <col min="9" max="9" width="5.140625" style="15" customWidth="1"/>
    <col min="10" max="10" width="12.7109375" style="15" customWidth="1"/>
    <col min="11" max="11" width="2.85546875" style="15" customWidth="1"/>
    <col min="12" max="13" width="2.7109375" style="15" customWidth="1"/>
    <col min="14" max="14" width="2.5703125" style="15" customWidth="1"/>
    <col min="15" max="15" width="4.140625" style="15" customWidth="1"/>
    <col min="16" max="17" width="5.42578125" style="15" customWidth="1"/>
    <col min="18" max="64" width="11.5703125" style="15"/>
  </cols>
  <sheetData>
    <row r="1" spans="1:17" ht="20.25">
      <c r="A1" s="8" t="str">
        <f>VLOOKUP("NOME_TORNEO",INPUT_DATI_TORNEO,2,0)&amp;" "&amp;VLOOKUP("STAGIONE",INPUT_DATI_TORNEO,2,0)</f>
        <v>Torneo dell’Estate 2021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>
      <c r="A2" s="7" t="s">
        <v>393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9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ht="15.95" customHeight="1">
      <c r="A4" s="167" t="s">
        <v>394</v>
      </c>
      <c r="B4" s="168" t="s">
        <v>49</v>
      </c>
      <c r="C4" s="168" t="s">
        <v>395</v>
      </c>
      <c r="D4" s="168" t="s">
        <v>396</v>
      </c>
      <c r="E4" s="168" t="s">
        <v>44</v>
      </c>
      <c r="F4" s="168" t="s">
        <v>397</v>
      </c>
      <c r="G4" s="168" t="s">
        <v>398</v>
      </c>
      <c r="H4" s="169" t="s">
        <v>399</v>
      </c>
      <c r="J4" s="170" t="s">
        <v>400</v>
      </c>
      <c r="K4" s="171" t="s">
        <v>49</v>
      </c>
      <c r="L4" s="171" t="s">
        <v>395</v>
      </c>
      <c r="M4" s="171" t="s">
        <v>396</v>
      </c>
      <c r="N4" s="171" t="s">
        <v>44</v>
      </c>
      <c r="O4" s="171" t="s">
        <v>397</v>
      </c>
      <c r="P4" s="171" t="s">
        <v>398</v>
      </c>
      <c r="Q4" s="172" t="s">
        <v>399</v>
      </c>
    </row>
    <row r="5" spans="1:17" ht="15.95" customHeight="1">
      <c r="A5" s="173" t="str">
        <f ca="1">VLOOKUP(ROW()-4&amp;RIGHT(A$4,1),B_CLASSIFICA_GIRONE_A,4,0)</f>
        <v>Leoni</v>
      </c>
      <c r="B5" s="174">
        <f ca="1">VLOOKUP(ROW()-4&amp;RIGHT(A$4,1),B_CLASSIFICA_GIRONE_A,5,0)</f>
        <v>3</v>
      </c>
      <c r="C5" s="174">
        <f ca="1">VLOOKUP(ROW()-4&amp;RIGHT(A$4,1),B_CLASSIFICA_GIRONE_A,6,0)</f>
        <v>3</v>
      </c>
      <c r="D5" s="174">
        <f ca="1">VLOOKUP(ROW()-4&amp;RIGHT(A$4,1),B_CLASSIFICA_GIRONE_A,7,0)</f>
        <v>0</v>
      </c>
      <c r="E5" s="174">
        <f ca="1">VLOOKUP(ROW()-4&amp;RIGHT(A$4,1),B_CLASSIFICA_GIRONE_A,8,0)</f>
        <v>0</v>
      </c>
      <c r="F5" s="174">
        <f ca="1">VLOOKUP(ROW()-4&amp;RIGHT(A$4,1),B_CLASSIFICA_GIRONE_A,9,0)</f>
        <v>6</v>
      </c>
      <c r="G5" s="174">
        <f ca="1">VLOOKUP(ROW()-4&amp;RIGHT(A$4,1),B_CLASSIFICA_GIRONE_A,10,0)</f>
        <v>244</v>
      </c>
      <c r="H5" s="175">
        <f ca="1">VLOOKUP(ROW()-4&amp;RIGHT(A$4,1),B_CLASSIFICA_GIRONE_A,11,0)</f>
        <v>96</v>
      </c>
      <c r="J5" s="173" t="str">
        <f ca="1">VLOOKUP(ROW()-4&amp;RIGHT(J$4,1),B_CLASSIFICA_GIRONE_E,4,0)</f>
        <v>Bisonti</v>
      </c>
      <c r="K5" s="174">
        <f ca="1">VLOOKUP(ROW()-4&amp;RIGHT(J$4,1),B_CLASSIFICA_GIRONE_E,5,0)</f>
        <v>3</v>
      </c>
      <c r="L5" s="174">
        <f ca="1">VLOOKUP(ROW()-4&amp;RIGHT(J$4,1),B_CLASSIFICA_GIRONE_E,6,0)</f>
        <v>2</v>
      </c>
      <c r="M5" s="174">
        <f ca="1">VLOOKUP(ROW()-4&amp;RIGHT(J$4,1),B_CLASSIFICA_GIRONE_E,7,0)</f>
        <v>1</v>
      </c>
      <c r="N5" s="174">
        <f ca="1">VLOOKUP(ROW()-4&amp;RIGHT(J$4,1),B_CLASSIFICA_GIRONE_E,8,0)</f>
        <v>0</v>
      </c>
      <c r="O5" s="174">
        <f ca="1">VLOOKUP(ROW()-4&amp;RIGHT(J$4,1),B_CLASSIFICA_GIRONE_E,9,0)</f>
        <v>5</v>
      </c>
      <c r="P5" s="174">
        <f ca="1">VLOOKUP(ROW()-4&amp;RIGHT(J$4,1),B_CLASSIFICA_GIRONE_E,10,0)</f>
        <v>103</v>
      </c>
      <c r="Q5" s="175">
        <f ca="1">VLOOKUP(ROW()-4&amp;RIGHT(J$4,1),B_CLASSIFICA_GIRONE_E,11,0)</f>
        <v>100</v>
      </c>
    </row>
    <row r="6" spans="1:17" ht="15.95" customHeight="1">
      <c r="A6" s="176" t="str">
        <f ca="1">VLOOKUP(ROW()-4&amp;RIGHT(A$4,1),B_CLASSIFICA_GIRONE_A,4,0)</f>
        <v>Pantere</v>
      </c>
      <c r="B6" s="177">
        <f ca="1">VLOOKUP(ROW()-4&amp;RIGHT(A$4,1),B_CLASSIFICA_GIRONE_A,5,0)</f>
        <v>3</v>
      </c>
      <c r="C6" s="177">
        <f ca="1">VLOOKUP(ROW()-4&amp;RIGHT(A$4,1),B_CLASSIFICA_GIRONE_A,6,0)</f>
        <v>2</v>
      </c>
      <c r="D6" s="177">
        <f ca="1">VLOOKUP(ROW()-4&amp;RIGHT(A$4,1),B_CLASSIFICA_GIRONE_A,7,0)</f>
        <v>1</v>
      </c>
      <c r="E6" s="177">
        <f ca="1">VLOOKUP(ROW()-4&amp;RIGHT(A$4,1),B_CLASSIFICA_GIRONE_A,8,0)</f>
        <v>0</v>
      </c>
      <c r="F6" s="177">
        <f ca="1">VLOOKUP(ROW()-4&amp;RIGHT(A$4,1),B_CLASSIFICA_GIRONE_A,9,0)</f>
        <v>5</v>
      </c>
      <c r="G6" s="177">
        <f ca="1">VLOOKUP(ROW()-4&amp;RIGHT(A$4,1),B_CLASSIFICA_GIRONE_A,10,0)</f>
        <v>199</v>
      </c>
      <c r="H6" s="178">
        <f ca="1">VLOOKUP(ROW()-4&amp;RIGHT(A$4,1),B_CLASSIFICA_GIRONE_A,11,0)</f>
        <v>123</v>
      </c>
      <c r="J6" s="176" t="str">
        <f ca="1">VLOOKUP(ROW()-4&amp;RIGHT(J$4,1),B_CLASSIFICA_GIRONE_E,4,0)</f>
        <v>Bufali</v>
      </c>
      <c r="K6" s="177">
        <f ca="1">VLOOKUP(ROW()-4&amp;RIGHT(J$4,1),B_CLASSIFICA_GIRONE_E,5,0)</f>
        <v>3</v>
      </c>
      <c r="L6" s="177">
        <f ca="1">VLOOKUP(ROW()-4&amp;RIGHT(J$4,1),B_CLASSIFICA_GIRONE_E,6,0)</f>
        <v>2</v>
      </c>
      <c r="M6" s="177">
        <f ca="1">VLOOKUP(ROW()-4&amp;RIGHT(J$4,1),B_CLASSIFICA_GIRONE_E,7,0)</f>
        <v>1</v>
      </c>
      <c r="N6" s="177">
        <f ca="1">VLOOKUP(ROW()-4&amp;RIGHT(J$4,1),B_CLASSIFICA_GIRONE_E,8,0)</f>
        <v>0</v>
      </c>
      <c r="O6" s="177">
        <f ca="1">VLOOKUP(ROW()-4&amp;RIGHT(J$4,1),B_CLASSIFICA_GIRONE_E,9,0)</f>
        <v>5</v>
      </c>
      <c r="P6" s="177">
        <f ca="1">VLOOKUP(ROW()-4&amp;RIGHT(J$4,1),B_CLASSIFICA_GIRONE_E,10,0)</f>
        <v>102</v>
      </c>
      <c r="Q6" s="178">
        <f ca="1">VLOOKUP(ROW()-4&amp;RIGHT(J$4,1),B_CLASSIFICA_GIRONE_E,11,0)</f>
        <v>100</v>
      </c>
    </row>
    <row r="7" spans="1:17" ht="15.95" customHeight="1">
      <c r="A7" s="179" t="str">
        <f ca="1">VLOOKUP(ROW()-4&amp;RIGHT(A$4,1),B_CLASSIFICA_GIRONE_A,4,0)</f>
        <v>Tigri</v>
      </c>
      <c r="B7" s="180">
        <f ca="1">VLOOKUP(ROW()-4&amp;RIGHT(A$4,1),B_CLASSIFICA_GIRONE_A,5,0)</f>
        <v>3</v>
      </c>
      <c r="C7" s="180">
        <f ca="1">VLOOKUP(ROW()-4&amp;RIGHT(A$4,1),B_CLASSIFICA_GIRONE_A,6,0)</f>
        <v>1</v>
      </c>
      <c r="D7" s="180">
        <f ca="1">VLOOKUP(ROW()-4&amp;RIGHT(A$4,1),B_CLASSIFICA_GIRONE_A,7,0)</f>
        <v>2</v>
      </c>
      <c r="E7" s="180">
        <f ca="1">VLOOKUP(ROW()-4&amp;RIGHT(A$4,1),B_CLASSIFICA_GIRONE_A,8,0)</f>
        <v>0</v>
      </c>
      <c r="F7" s="180">
        <f ca="1">VLOOKUP(ROW()-4&amp;RIGHT(A$4,1),B_CLASSIFICA_GIRONE_A,9,0)</f>
        <v>4</v>
      </c>
      <c r="G7" s="180">
        <f ca="1">VLOOKUP(ROW()-4&amp;RIGHT(A$4,1),B_CLASSIFICA_GIRONE_A,10,0)</f>
        <v>119</v>
      </c>
      <c r="H7" s="181">
        <f ca="1">VLOOKUP(ROW()-4&amp;RIGHT(A$4,1),B_CLASSIFICA_GIRONE_A,11,0)</f>
        <v>234</v>
      </c>
      <c r="J7" s="179" t="str">
        <f ca="1">VLOOKUP(ROW()-4&amp;RIGHT(J$4,1),B_CLASSIFICA_GIRONE_E,4,0)</f>
        <v>Cervi</v>
      </c>
      <c r="K7" s="180">
        <f ca="1">VLOOKUP(ROW()-4&amp;RIGHT(J$4,1),B_CLASSIFICA_GIRONE_E,5,0)</f>
        <v>3</v>
      </c>
      <c r="L7" s="180">
        <f ca="1">VLOOKUP(ROW()-4&amp;RIGHT(J$4,1),B_CLASSIFICA_GIRONE_E,6,0)</f>
        <v>2</v>
      </c>
      <c r="M7" s="180">
        <f ca="1">VLOOKUP(ROW()-4&amp;RIGHT(J$4,1),B_CLASSIFICA_GIRONE_E,7,0)</f>
        <v>1</v>
      </c>
      <c r="N7" s="180">
        <f ca="1">VLOOKUP(ROW()-4&amp;RIGHT(J$4,1),B_CLASSIFICA_GIRONE_E,8,0)</f>
        <v>0</v>
      </c>
      <c r="O7" s="180">
        <f ca="1">VLOOKUP(ROW()-4&amp;RIGHT(J$4,1),B_CLASSIFICA_GIRONE_E,9,0)</f>
        <v>5</v>
      </c>
      <c r="P7" s="180">
        <f ca="1">VLOOKUP(ROW()-4&amp;RIGHT(J$4,1),B_CLASSIFICA_GIRONE_E,10,0)</f>
        <v>101</v>
      </c>
      <c r="Q7" s="181">
        <f ca="1">VLOOKUP(ROW()-4&amp;RIGHT(J$4,1),B_CLASSIFICA_GIRONE_E,11,0)</f>
        <v>100</v>
      </c>
    </row>
    <row r="8" spans="1:17" ht="15.95" customHeight="1">
      <c r="A8" s="182" t="str">
        <f ca="1">VLOOKUP(ROW()-4&amp;RIGHT(A$4,1),B_CLASSIFICA_GIRONE_A,4,0)</f>
        <v>Ghepardi</v>
      </c>
      <c r="B8" s="183">
        <f ca="1">VLOOKUP(ROW()-4&amp;RIGHT(A$4,1),B_CLASSIFICA_GIRONE_A,5,0)</f>
        <v>3</v>
      </c>
      <c r="C8" s="183">
        <f ca="1">VLOOKUP(ROW()-4&amp;RIGHT(A$4,1),B_CLASSIFICA_GIRONE_A,6,0)</f>
        <v>0</v>
      </c>
      <c r="D8" s="183">
        <f ca="1">VLOOKUP(ROW()-4&amp;RIGHT(A$4,1),B_CLASSIFICA_GIRONE_A,7,0)</f>
        <v>3</v>
      </c>
      <c r="E8" s="183">
        <f ca="1">VLOOKUP(ROW()-4&amp;RIGHT(A$4,1),B_CLASSIFICA_GIRONE_A,8,0)</f>
        <v>0</v>
      </c>
      <c r="F8" s="183">
        <f ca="1">VLOOKUP(ROW()-4&amp;RIGHT(A$4,1),B_CLASSIFICA_GIRONE_A,9,0)</f>
        <v>3</v>
      </c>
      <c r="G8" s="183">
        <f ca="1">VLOOKUP(ROW()-4&amp;RIGHT(A$4,1),B_CLASSIFICA_GIRONE_A,10,0)</f>
        <v>97</v>
      </c>
      <c r="H8" s="184">
        <f ca="1">VLOOKUP(ROW()-4&amp;RIGHT(A$4,1),B_CLASSIFICA_GIRONE_A,11,0)</f>
        <v>206</v>
      </c>
      <c r="J8" s="182" t="str">
        <f ca="1">VLOOKUP(ROW()-4&amp;RIGHT(J$4,1),B_CLASSIFICA_GIRONE_E,4,0)</f>
        <v>Cinghiali</v>
      </c>
      <c r="K8" s="183">
        <f ca="1">VLOOKUP(ROW()-4&amp;RIGHT(J$4,1),B_CLASSIFICA_GIRONE_E,5,0)</f>
        <v>3</v>
      </c>
      <c r="L8" s="183">
        <f ca="1">VLOOKUP(ROW()-4&amp;RIGHT(J$4,1),B_CLASSIFICA_GIRONE_E,6,0)</f>
        <v>0</v>
      </c>
      <c r="M8" s="183">
        <f ca="1">VLOOKUP(ROW()-4&amp;RIGHT(J$4,1),B_CLASSIFICA_GIRONE_E,7,0)</f>
        <v>3</v>
      </c>
      <c r="N8" s="183">
        <f ca="1">VLOOKUP(ROW()-4&amp;RIGHT(J$4,1),B_CLASSIFICA_GIRONE_E,8,0)</f>
        <v>0</v>
      </c>
      <c r="O8" s="183">
        <f ca="1">VLOOKUP(ROW()-4&amp;RIGHT(J$4,1),B_CLASSIFICA_GIRONE_E,9,0)</f>
        <v>3</v>
      </c>
      <c r="P8" s="183">
        <f ca="1">VLOOKUP(ROW()-4&amp;RIGHT(J$4,1),B_CLASSIFICA_GIRONE_E,10,0)</f>
        <v>99</v>
      </c>
      <c r="Q8" s="184">
        <f ca="1">VLOOKUP(ROW()-4&amp;RIGHT(J$4,1),B_CLASSIFICA_GIRONE_E,11,0)</f>
        <v>105</v>
      </c>
    </row>
    <row r="9" spans="1:17" ht="15.95" customHeight="1">
      <c r="A9"/>
      <c r="B9"/>
      <c r="C9"/>
      <c r="D9"/>
      <c r="E9"/>
      <c r="F9"/>
      <c r="G9"/>
      <c r="H9"/>
    </row>
    <row r="10" spans="1:17" ht="15.95" customHeight="1">
      <c r="A10" s="185" t="s">
        <v>401</v>
      </c>
      <c r="B10" s="186" t="s">
        <v>49</v>
      </c>
      <c r="C10" s="186" t="s">
        <v>395</v>
      </c>
      <c r="D10" s="186" t="s">
        <v>396</v>
      </c>
      <c r="E10" s="186" t="s">
        <v>44</v>
      </c>
      <c r="F10" s="186" t="s">
        <v>397</v>
      </c>
      <c r="G10" s="186" t="s">
        <v>398</v>
      </c>
      <c r="H10" s="187" t="s">
        <v>399</v>
      </c>
      <c r="J10" s="188" t="s">
        <v>402</v>
      </c>
      <c r="K10" s="189" t="s">
        <v>49</v>
      </c>
      <c r="L10" s="189" t="s">
        <v>395</v>
      </c>
      <c r="M10" s="189" t="s">
        <v>396</v>
      </c>
      <c r="N10" s="189" t="s">
        <v>44</v>
      </c>
      <c r="O10" s="189" t="s">
        <v>397</v>
      </c>
      <c r="P10" s="189" t="s">
        <v>398</v>
      </c>
      <c r="Q10" s="190" t="s">
        <v>399</v>
      </c>
    </row>
    <row r="11" spans="1:17" ht="15.95" customHeight="1">
      <c r="A11" s="173" t="str">
        <f ca="1">VLOOKUP(ROW()-10&amp;RIGHT(A$10,1),B_CLASSIFICA_GIRONE_B,4,0)</f>
        <v>Giaguari</v>
      </c>
      <c r="B11" s="174">
        <f ca="1">VLOOKUP(ROW()-10&amp;RIGHT(A$10,1),B_CLASSIFICA_GIRONE_B,5,0)</f>
        <v>3</v>
      </c>
      <c r="C11" s="174">
        <f ca="1">VLOOKUP(ROW()-10&amp;RIGHT(A$10,1),B_CLASSIFICA_GIRONE_B,6,0)</f>
        <v>2</v>
      </c>
      <c r="D11" s="174">
        <f ca="1">VLOOKUP(ROW()-10&amp;RIGHT(A$10,1),B_CLASSIFICA_GIRONE_B,7,0)</f>
        <v>1</v>
      </c>
      <c r="E11" s="174">
        <f ca="1">VLOOKUP(ROW()-10&amp;RIGHT(A$10,1),B_CLASSIFICA_GIRONE_B,8,0)</f>
        <v>0</v>
      </c>
      <c r="F11" s="174">
        <f ca="1">VLOOKUP(ROW()-10&amp;RIGHT(A$10,1),B_CLASSIFICA_GIRONE_B,9,0)</f>
        <v>5</v>
      </c>
      <c r="G11" s="174">
        <f ca="1">VLOOKUP(ROW()-10&amp;RIGHT(A$10,1),B_CLASSIFICA_GIRONE_B,10,0)</f>
        <v>232</v>
      </c>
      <c r="H11" s="175">
        <f ca="1">VLOOKUP(ROW()-10&amp;RIGHT(A$10,1),B_CLASSIFICA_GIRONE_B,11,0)</f>
        <v>192</v>
      </c>
      <c r="J11" s="173" t="str">
        <f ca="1">VLOOKUP(ROW()-10&amp;RIGHT(J$10,1),B_CLASSIFICA_GIRONE_F,4,0)</f>
        <v>Balene</v>
      </c>
      <c r="K11" s="174">
        <f ca="1">VLOOKUP(ROW()-10&amp;RIGHT(J$10,1),B_CLASSIFICA_GIRONE_F,5,0)</f>
        <v>3</v>
      </c>
      <c r="L11" s="174">
        <f ca="1">VLOOKUP(ROW()-10&amp;RIGHT(J$10,1),B_CLASSIFICA_GIRONE_F,6,0)</f>
        <v>2</v>
      </c>
      <c r="M11" s="174">
        <f ca="1">VLOOKUP(ROW()-10&amp;RIGHT(J$10,1),B_CLASSIFICA_GIRONE_F,7,0)</f>
        <v>1</v>
      </c>
      <c r="N11" s="174">
        <f ca="1">VLOOKUP(ROW()-10&amp;RIGHT(J$10,1),B_CLASSIFICA_GIRONE_F,8,0)</f>
        <v>0</v>
      </c>
      <c r="O11" s="174">
        <f ca="1">VLOOKUP(ROW()-10&amp;RIGHT(J$10,1),B_CLASSIFICA_GIRONE_F,9,0)</f>
        <v>5</v>
      </c>
      <c r="P11" s="174">
        <f ca="1">VLOOKUP(ROW()-10&amp;RIGHT(J$10,1),B_CLASSIFICA_GIRONE_F,10,0)</f>
        <v>103</v>
      </c>
      <c r="Q11" s="175">
        <f ca="1">VLOOKUP(ROW()-10&amp;RIGHT(J$10,1),B_CLASSIFICA_GIRONE_F,11,0)</f>
        <v>102</v>
      </c>
    </row>
    <row r="12" spans="1:17" ht="15.95" customHeight="1">
      <c r="A12" s="176" t="str">
        <f ca="1">VLOOKUP(ROW()-10&amp;RIGHT(A$10,1),B_CLASSIFICA_GIRONE_B,4,0)</f>
        <v>Puma</v>
      </c>
      <c r="B12" s="177">
        <f ca="1">VLOOKUP(ROW()-10&amp;RIGHT(A$10,1),B_CLASSIFICA_GIRONE_B,5,0)</f>
        <v>3</v>
      </c>
      <c r="C12" s="177">
        <f ca="1">VLOOKUP(ROW()-10&amp;RIGHT(A$10,1),B_CLASSIFICA_GIRONE_B,6,0)</f>
        <v>2</v>
      </c>
      <c r="D12" s="177">
        <f ca="1">VLOOKUP(ROW()-10&amp;RIGHT(A$10,1),B_CLASSIFICA_GIRONE_B,7,0)</f>
        <v>1</v>
      </c>
      <c r="E12" s="177">
        <f ca="1">VLOOKUP(ROW()-10&amp;RIGHT(A$10,1),B_CLASSIFICA_GIRONE_B,8,0)</f>
        <v>0</v>
      </c>
      <c r="F12" s="177">
        <f ca="1">VLOOKUP(ROW()-10&amp;RIGHT(A$10,1),B_CLASSIFICA_GIRONE_B,9,0)</f>
        <v>5</v>
      </c>
      <c r="G12" s="177">
        <f ca="1">VLOOKUP(ROW()-10&amp;RIGHT(A$10,1),B_CLASSIFICA_GIRONE_B,10,0)</f>
        <v>216</v>
      </c>
      <c r="H12" s="178">
        <f ca="1">VLOOKUP(ROW()-10&amp;RIGHT(A$10,1),B_CLASSIFICA_GIRONE_B,11,0)</f>
        <v>217</v>
      </c>
      <c r="J12" s="176" t="str">
        <f ca="1">VLOOKUP(ROW()-10&amp;RIGHT(J$10,1),B_CLASSIFICA_GIRONE_F,4,0)</f>
        <v>Gabbiani</v>
      </c>
      <c r="K12" s="177">
        <f ca="1">VLOOKUP(ROW()-10&amp;RIGHT(J$10,1),B_CLASSIFICA_GIRONE_F,5,0)</f>
        <v>3</v>
      </c>
      <c r="L12" s="177">
        <f ca="1">VLOOKUP(ROW()-10&amp;RIGHT(J$10,1),B_CLASSIFICA_GIRONE_F,6,0)</f>
        <v>2</v>
      </c>
      <c r="M12" s="177">
        <f ca="1">VLOOKUP(ROW()-10&amp;RIGHT(J$10,1),B_CLASSIFICA_GIRONE_F,7,0)</f>
        <v>1</v>
      </c>
      <c r="N12" s="177">
        <f ca="1">VLOOKUP(ROW()-10&amp;RIGHT(J$10,1),B_CLASSIFICA_GIRONE_F,8,0)</f>
        <v>0</v>
      </c>
      <c r="O12" s="177">
        <f ca="1">VLOOKUP(ROW()-10&amp;RIGHT(J$10,1),B_CLASSIFICA_GIRONE_F,9,0)</f>
        <v>5</v>
      </c>
      <c r="P12" s="177">
        <f ca="1">VLOOKUP(ROW()-10&amp;RIGHT(J$10,1),B_CLASSIFICA_GIRONE_F,10,0)</f>
        <v>102</v>
      </c>
      <c r="Q12" s="178">
        <f ca="1">VLOOKUP(ROW()-10&amp;RIGHT(J$10,1),B_CLASSIFICA_GIRONE_F,11,0)</f>
        <v>101</v>
      </c>
    </row>
    <row r="13" spans="1:17" ht="15.95" customHeight="1">
      <c r="A13" s="179" t="str">
        <f ca="1">VLOOKUP(ROW()-10&amp;RIGHT(A$10,1),B_CLASSIFICA_GIRONE_B,4,0)</f>
        <v>Linci</v>
      </c>
      <c r="B13" s="180">
        <f ca="1">VLOOKUP(ROW()-10&amp;RIGHT(A$10,1),B_CLASSIFICA_GIRONE_B,5,0)</f>
        <v>3</v>
      </c>
      <c r="C13" s="180">
        <f ca="1">VLOOKUP(ROW()-10&amp;RIGHT(A$10,1),B_CLASSIFICA_GIRONE_B,6,0)</f>
        <v>1</v>
      </c>
      <c r="D13" s="180">
        <f ca="1">VLOOKUP(ROW()-10&amp;RIGHT(A$10,1),B_CLASSIFICA_GIRONE_B,7,0)</f>
        <v>2</v>
      </c>
      <c r="E13" s="180">
        <f ca="1">VLOOKUP(ROW()-10&amp;RIGHT(A$10,1),B_CLASSIFICA_GIRONE_B,8,0)</f>
        <v>0</v>
      </c>
      <c r="F13" s="180">
        <f ca="1">VLOOKUP(ROW()-10&amp;RIGHT(A$10,1),B_CLASSIFICA_GIRONE_B,9,0)</f>
        <v>4</v>
      </c>
      <c r="G13" s="180">
        <f ca="1">VLOOKUP(ROW()-10&amp;RIGHT(A$10,1),B_CLASSIFICA_GIRONE_B,10,0)</f>
        <v>215</v>
      </c>
      <c r="H13" s="181">
        <f ca="1">VLOOKUP(ROW()-10&amp;RIGHT(A$10,1),B_CLASSIFICA_GIRONE_B,11,0)</f>
        <v>239</v>
      </c>
      <c r="J13" s="179" t="str">
        <f ca="1">VLOOKUP(ROW()-10&amp;RIGHT(J$10,1),B_CLASSIFICA_GIRONE_F,4,0)</f>
        <v>Delfini</v>
      </c>
      <c r="K13" s="180">
        <f ca="1">VLOOKUP(ROW()-10&amp;RIGHT(J$10,1),B_CLASSIFICA_GIRONE_F,5,0)</f>
        <v>3</v>
      </c>
      <c r="L13" s="180">
        <f ca="1">VLOOKUP(ROW()-10&amp;RIGHT(J$10,1),B_CLASSIFICA_GIRONE_F,6,0)</f>
        <v>2</v>
      </c>
      <c r="M13" s="180">
        <f ca="1">VLOOKUP(ROW()-10&amp;RIGHT(J$10,1),B_CLASSIFICA_GIRONE_F,7,0)</f>
        <v>1</v>
      </c>
      <c r="N13" s="180">
        <f ca="1">VLOOKUP(ROW()-10&amp;RIGHT(J$10,1),B_CLASSIFICA_GIRONE_F,8,0)</f>
        <v>0</v>
      </c>
      <c r="O13" s="180">
        <f ca="1">VLOOKUP(ROW()-10&amp;RIGHT(J$10,1),B_CLASSIFICA_GIRONE_F,9,0)</f>
        <v>5</v>
      </c>
      <c r="P13" s="180">
        <f ca="1">VLOOKUP(ROW()-10&amp;RIGHT(J$10,1),B_CLASSIFICA_GIRONE_F,10,0)</f>
        <v>101</v>
      </c>
      <c r="Q13" s="181">
        <f ca="1">VLOOKUP(ROW()-10&amp;RIGHT(J$10,1),B_CLASSIFICA_GIRONE_F,11,0)</f>
        <v>100</v>
      </c>
    </row>
    <row r="14" spans="1:17" ht="15.95" customHeight="1">
      <c r="A14" s="182" t="str">
        <f ca="1">VLOOKUP(ROW()-10&amp;RIGHT(A$10,1),B_CLASSIFICA_GIRONE_B,4,0)</f>
        <v>Serval</v>
      </c>
      <c r="B14" s="183">
        <f ca="1">VLOOKUP(ROW()-10&amp;RIGHT(A$10,1),B_CLASSIFICA_GIRONE_B,5,0)</f>
        <v>3</v>
      </c>
      <c r="C14" s="183">
        <f ca="1">VLOOKUP(ROW()-10&amp;RIGHT(A$10,1),B_CLASSIFICA_GIRONE_B,6,0)</f>
        <v>1</v>
      </c>
      <c r="D14" s="183">
        <f ca="1">VLOOKUP(ROW()-10&amp;RIGHT(A$10,1),B_CLASSIFICA_GIRONE_B,7,0)</f>
        <v>2</v>
      </c>
      <c r="E14" s="183">
        <f ca="1">VLOOKUP(ROW()-10&amp;RIGHT(A$10,1),B_CLASSIFICA_GIRONE_B,8,0)</f>
        <v>0</v>
      </c>
      <c r="F14" s="183">
        <f ca="1">VLOOKUP(ROW()-10&amp;RIGHT(A$10,1),B_CLASSIFICA_GIRONE_B,9,0)</f>
        <v>4</v>
      </c>
      <c r="G14" s="183">
        <f ca="1">VLOOKUP(ROW()-10&amp;RIGHT(A$10,1),B_CLASSIFICA_GIRONE_B,10,0)</f>
        <v>225</v>
      </c>
      <c r="H14" s="184">
        <f ca="1">VLOOKUP(ROW()-10&amp;RIGHT(A$10,1),B_CLASSIFICA_GIRONE_B,11,0)</f>
        <v>240</v>
      </c>
      <c r="J14" s="182" t="str">
        <f ca="1">VLOOKUP(ROW()-10&amp;RIGHT(J$10,1),B_CLASSIFICA_GIRONE_F,4,0)</f>
        <v>Fenicotteri</v>
      </c>
      <c r="K14" s="183">
        <f ca="1">VLOOKUP(ROW()-10&amp;RIGHT(J$10,1),B_CLASSIFICA_GIRONE_F,5,0)</f>
        <v>3</v>
      </c>
      <c r="L14" s="183">
        <f ca="1">VLOOKUP(ROW()-10&amp;RIGHT(J$10,1),B_CLASSIFICA_GIRONE_F,6,0)</f>
        <v>0</v>
      </c>
      <c r="M14" s="183">
        <f ca="1">VLOOKUP(ROW()-10&amp;RIGHT(J$10,1),B_CLASSIFICA_GIRONE_F,7,0)</f>
        <v>3</v>
      </c>
      <c r="N14" s="183">
        <f ca="1">VLOOKUP(ROW()-10&amp;RIGHT(J$10,1),B_CLASSIFICA_GIRONE_F,8,0)</f>
        <v>0</v>
      </c>
      <c r="O14" s="183">
        <f ca="1">VLOOKUP(ROW()-10&amp;RIGHT(J$10,1),B_CLASSIFICA_GIRONE_F,9,0)</f>
        <v>3</v>
      </c>
      <c r="P14" s="183">
        <f ca="1">VLOOKUP(ROW()-10&amp;RIGHT(J$10,1),B_CLASSIFICA_GIRONE_F,10,0)</f>
        <v>102</v>
      </c>
      <c r="Q14" s="184">
        <f ca="1">VLOOKUP(ROW()-10&amp;RIGHT(J$10,1),B_CLASSIFICA_GIRONE_F,11,0)</f>
        <v>105</v>
      </c>
    </row>
    <row r="15" spans="1:17" ht="15.95" customHeight="1">
      <c r="A15"/>
      <c r="B15"/>
      <c r="C15"/>
      <c r="D15"/>
      <c r="E15"/>
      <c r="F15"/>
      <c r="G15"/>
      <c r="H15"/>
    </row>
    <row r="16" spans="1:17" ht="15.95" customHeight="1">
      <c r="A16" s="191" t="s">
        <v>403</v>
      </c>
      <c r="B16" s="192" t="s">
        <v>49</v>
      </c>
      <c r="C16" s="192" t="s">
        <v>395</v>
      </c>
      <c r="D16" s="192" t="s">
        <v>396</v>
      </c>
      <c r="E16" s="192" t="s">
        <v>44</v>
      </c>
      <c r="F16" s="192" t="s">
        <v>397</v>
      </c>
      <c r="G16" s="192" t="s">
        <v>398</v>
      </c>
      <c r="H16" s="193" t="s">
        <v>399</v>
      </c>
      <c r="J16" s="194" t="s">
        <v>404</v>
      </c>
      <c r="K16" s="195" t="s">
        <v>49</v>
      </c>
      <c r="L16" s="195" t="s">
        <v>395</v>
      </c>
      <c r="M16" s="195" t="s">
        <v>396</v>
      </c>
      <c r="N16" s="195" t="s">
        <v>44</v>
      </c>
      <c r="O16" s="195" t="s">
        <v>397</v>
      </c>
      <c r="P16" s="195" t="s">
        <v>398</v>
      </c>
      <c r="Q16" s="196" t="s">
        <v>399</v>
      </c>
    </row>
    <row r="17" spans="1:17" ht="15.95" customHeight="1">
      <c r="A17" s="173" t="str">
        <f ca="1">VLOOKUP(ROW()-16&amp;RIGHT(A$16,1),B_CLASSIFICA_GIRONE_C,4,0)</f>
        <v>Giraffe</v>
      </c>
      <c r="B17" s="174">
        <f ca="1">VLOOKUP(ROW()-16&amp;RIGHT(A$16,1),B_CLASSIFICA_GIRONE_C,5,0)</f>
        <v>3</v>
      </c>
      <c r="C17" s="174">
        <f ca="1">VLOOKUP(ROW()-16&amp;RIGHT(A$16,1),B_CLASSIFICA_GIRONE_C,6,0)</f>
        <v>2</v>
      </c>
      <c r="D17" s="174">
        <f ca="1">VLOOKUP(ROW()-16&amp;RIGHT(A$16,1),B_CLASSIFICA_GIRONE_C,7,0)</f>
        <v>1</v>
      </c>
      <c r="E17" s="174">
        <f ca="1">VLOOKUP(ROW()-16&amp;RIGHT(A$16,1),B_CLASSIFICA_GIRONE_C,8,0)</f>
        <v>0</v>
      </c>
      <c r="F17" s="174">
        <f ca="1">VLOOKUP(ROW()-16&amp;RIGHT(A$16,1),B_CLASSIFICA_GIRONE_C,9,0)</f>
        <v>5</v>
      </c>
      <c r="G17" s="174">
        <f ca="1">VLOOKUP(ROW()-16&amp;RIGHT(A$16,1),B_CLASSIFICA_GIRONE_C,10,0)</f>
        <v>206</v>
      </c>
      <c r="H17" s="175">
        <f ca="1">VLOOKUP(ROW()-16&amp;RIGHT(A$16,1),B_CLASSIFICA_GIRONE_C,11,0)</f>
        <v>162</v>
      </c>
      <c r="J17" s="173" t="str">
        <f ca="1">VLOOKUP(ROW()-16&amp;RIGHT(J$16,1),B_CLASSIFICA_GIRONE_G,4,0)</f>
        <v>Istrici</v>
      </c>
      <c r="K17" s="174">
        <f ca="1">VLOOKUP(ROW()-16&amp;RIGHT(J$16,1),B_CLASSIFICA_GIRONE_G,5,0)</f>
        <v>3</v>
      </c>
      <c r="L17" s="174">
        <f ca="1">VLOOKUP(ROW()-16&amp;RIGHT(J$16,1),B_CLASSIFICA_GIRONE_G,6,0)</f>
        <v>3</v>
      </c>
      <c r="M17" s="174">
        <f ca="1">VLOOKUP(ROW()-16&amp;RIGHT(J$16,1),B_CLASSIFICA_GIRONE_G,7,0)</f>
        <v>0</v>
      </c>
      <c r="N17" s="174">
        <f ca="1">VLOOKUP(ROW()-16&amp;RIGHT(J$16,1),B_CLASSIFICA_GIRONE_G,8,0)</f>
        <v>0</v>
      </c>
      <c r="O17" s="174">
        <f ca="1">VLOOKUP(ROW()-16&amp;RIGHT(J$16,1),B_CLASSIFICA_GIRONE_G,9,0)</f>
        <v>6</v>
      </c>
      <c r="P17" s="174">
        <f ca="1">VLOOKUP(ROW()-16&amp;RIGHT(J$16,1),B_CLASSIFICA_GIRONE_G,10,0)</f>
        <v>60</v>
      </c>
      <c r="Q17" s="175">
        <f ca="1">VLOOKUP(ROW()-16&amp;RIGHT(J$16,1),B_CLASSIFICA_GIRONE_G,11,0)</f>
        <v>0</v>
      </c>
    </row>
    <row r="18" spans="1:17" ht="15.95" customHeight="1">
      <c r="A18" s="176" t="str">
        <f ca="1">VLOOKUP(ROW()-16&amp;RIGHT(A$16,1),B_CLASSIFICA_GIRONE_C,4,0)</f>
        <v>Elefanti</v>
      </c>
      <c r="B18" s="177">
        <f ca="1">VLOOKUP(ROW()-16&amp;RIGHT(A$16,1),B_CLASSIFICA_GIRONE_C,5,0)</f>
        <v>3</v>
      </c>
      <c r="C18" s="177">
        <f ca="1">VLOOKUP(ROW()-16&amp;RIGHT(A$16,1),B_CLASSIFICA_GIRONE_C,6,0)</f>
        <v>2</v>
      </c>
      <c r="D18" s="177">
        <f ca="1">VLOOKUP(ROW()-16&amp;RIGHT(A$16,1),B_CLASSIFICA_GIRONE_C,7,0)</f>
        <v>1</v>
      </c>
      <c r="E18" s="177">
        <f ca="1">VLOOKUP(ROW()-16&amp;RIGHT(A$16,1),B_CLASSIFICA_GIRONE_C,8,0)</f>
        <v>0</v>
      </c>
      <c r="F18" s="177">
        <f ca="1">VLOOKUP(ROW()-16&amp;RIGHT(A$16,1),B_CLASSIFICA_GIRONE_C,9,0)</f>
        <v>5</v>
      </c>
      <c r="G18" s="177">
        <f ca="1">VLOOKUP(ROW()-16&amp;RIGHT(A$16,1),B_CLASSIFICA_GIRONE_C,10,0)</f>
        <v>202</v>
      </c>
      <c r="H18" s="178">
        <f ca="1">VLOOKUP(ROW()-16&amp;RIGHT(A$16,1),B_CLASSIFICA_GIRONE_C,11,0)</f>
        <v>185</v>
      </c>
      <c r="J18" s="176" t="str">
        <f ca="1">VLOOKUP(ROW()-16&amp;RIGHT(J$16,1),B_CLASSIFICA_GIRONE_G,4,0)</f>
        <v>Gorilla</v>
      </c>
      <c r="K18" s="177">
        <f ca="1">VLOOKUP(ROW()-16&amp;RIGHT(J$16,1),B_CLASSIFICA_GIRONE_G,5,0)</f>
        <v>3</v>
      </c>
      <c r="L18" s="177">
        <f ca="1">VLOOKUP(ROW()-16&amp;RIGHT(J$16,1),B_CLASSIFICA_GIRONE_G,6,0)</f>
        <v>2</v>
      </c>
      <c r="M18" s="177">
        <f ca="1">VLOOKUP(ROW()-16&amp;RIGHT(J$16,1),B_CLASSIFICA_GIRONE_G,7,0)</f>
        <v>0</v>
      </c>
      <c r="N18" s="177">
        <f ca="1">VLOOKUP(ROW()-16&amp;RIGHT(J$16,1),B_CLASSIFICA_GIRONE_G,8,0)</f>
        <v>1</v>
      </c>
      <c r="O18" s="177">
        <f ca="1">VLOOKUP(ROW()-16&amp;RIGHT(J$16,1),B_CLASSIFICA_GIRONE_G,9,0)</f>
        <v>4</v>
      </c>
      <c r="P18" s="177">
        <f ca="1">VLOOKUP(ROW()-16&amp;RIGHT(J$16,1),B_CLASSIFICA_GIRONE_G,10,0)</f>
        <v>40</v>
      </c>
      <c r="Q18" s="178">
        <f ca="1">VLOOKUP(ROW()-16&amp;RIGHT(J$16,1),B_CLASSIFICA_GIRONE_G,11,0)</f>
        <v>20</v>
      </c>
    </row>
    <row r="19" spans="1:17" ht="15.95" customHeight="1">
      <c r="A19" s="179" t="str">
        <f ca="1">VLOOKUP(ROW()-16&amp;RIGHT(A$16,1),B_CLASSIFICA_GIRONE_C,4,0)</f>
        <v>Ippopotami</v>
      </c>
      <c r="B19" s="180">
        <f ca="1">VLOOKUP(ROW()-16&amp;RIGHT(A$16,1),B_CLASSIFICA_GIRONE_C,5,0)</f>
        <v>3</v>
      </c>
      <c r="C19" s="180">
        <f ca="1">VLOOKUP(ROW()-16&amp;RIGHT(A$16,1),B_CLASSIFICA_GIRONE_C,6,0)</f>
        <v>2</v>
      </c>
      <c r="D19" s="180">
        <f ca="1">VLOOKUP(ROW()-16&amp;RIGHT(A$16,1),B_CLASSIFICA_GIRONE_C,7,0)</f>
        <v>1</v>
      </c>
      <c r="E19" s="180">
        <f ca="1">VLOOKUP(ROW()-16&amp;RIGHT(A$16,1),B_CLASSIFICA_GIRONE_C,8,0)</f>
        <v>0</v>
      </c>
      <c r="F19" s="180">
        <f ca="1">VLOOKUP(ROW()-16&amp;RIGHT(A$16,1),B_CLASSIFICA_GIRONE_C,9,0)</f>
        <v>5</v>
      </c>
      <c r="G19" s="180">
        <f ca="1">VLOOKUP(ROW()-16&amp;RIGHT(A$16,1),B_CLASSIFICA_GIRONE_C,10,0)</f>
        <v>206</v>
      </c>
      <c r="H19" s="181">
        <f ca="1">VLOOKUP(ROW()-16&amp;RIGHT(A$16,1),B_CLASSIFICA_GIRONE_C,11,0)</f>
        <v>208</v>
      </c>
      <c r="J19" s="179" t="str">
        <f ca="1">VLOOKUP(ROW()-16&amp;RIGHT(J$16,1),B_CLASSIFICA_GIRONE_G,4,0)</f>
        <v>Orche</v>
      </c>
      <c r="K19" s="180">
        <f ca="1">VLOOKUP(ROW()-16&amp;RIGHT(J$16,1),B_CLASSIFICA_GIRONE_G,5,0)</f>
        <v>3</v>
      </c>
      <c r="L19" s="180">
        <f ca="1">VLOOKUP(ROW()-16&amp;RIGHT(J$16,1),B_CLASSIFICA_GIRONE_G,6,0)</f>
        <v>1</v>
      </c>
      <c r="M19" s="180">
        <f ca="1">VLOOKUP(ROW()-16&amp;RIGHT(J$16,1),B_CLASSIFICA_GIRONE_G,7,0)</f>
        <v>0</v>
      </c>
      <c r="N19" s="180">
        <f ca="1">VLOOKUP(ROW()-16&amp;RIGHT(J$16,1),B_CLASSIFICA_GIRONE_G,8,0)</f>
        <v>2</v>
      </c>
      <c r="O19" s="180">
        <f ca="1">VLOOKUP(ROW()-16&amp;RIGHT(J$16,1),B_CLASSIFICA_GIRONE_G,9,0)</f>
        <v>2</v>
      </c>
      <c r="P19" s="180">
        <f ca="1">VLOOKUP(ROW()-16&amp;RIGHT(J$16,1),B_CLASSIFICA_GIRONE_G,10,0)</f>
        <v>20</v>
      </c>
      <c r="Q19" s="181">
        <f ca="1">VLOOKUP(ROW()-16&amp;RIGHT(J$16,1),B_CLASSIFICA_GIRONE_G,11,0)</f>
        <v>40</v>
      </c>
    </row>
    <row r="20" spans="1:17" ht="15.95" customHeight="1">
      <c r="A20" s="182" t="str">
        <f ca="1">VLOOKUP(ROW()-16&amp;RIGHT(A$16,1),B_CLASSIFICA_GIRONE_C,4,0)</f>
        <v>Iguane</v>
      </c>
      <c r="B20" s="183">
        <f ca="1">VLOOKUP(ROW()-16&amp;RIGHT(A$16,1),B_CLASSIFICA_GIRONE_C,5,0)</f>
        <v>3</v>
      </c>
      <c r="C20" s="183">
        <f ca="1">VLOOKUP(ROW()-16&amp;RIGHT(A$16,1),B_CLASSIFICA_GIRONE_C,6,0)</f>
        <v>0</v>
      </c>
      <c r="D20" s="183">
        <f ca="1">VLOOKUP(ROW()-16&amp;RIGHT(A$16,1),B_CLASSIFICA_GIRONE_C,7,0)</f>
        <v>3</v>
      </c>
      <c r="E20" s="183">
        <f ca="1">VLOOKUP(ROW()-16&amp;RIGHT(A$16,1),B_CLASSIFICA_GIRONE_C,8,0)</f>
        <v>0</v>
      </c>
      <c r="F20" s="183">
        <f ca="1">VLOOKUP(ROW()-16&amp;RIGHT(A$16,1),B_CLASSIFICA_GIRONE_C,9,0)</f>
        <v>3</v>
      </c>
      <c r="G20" s="183">
        <f ca="1">VLOOKUP(ROW()-16&amp;RIGHT(A$16,1),B_CLASSIFICA_GIRONE_C,10,0)</f>
        <v>120</v>
      </c>
      <c r="H20" s="184">
        <f ca="1">VLOOKUP(ROW()-16&amp;RIGHT(A$16,1),B_CLASSIFICA_GIRONE_C,11,0)</f>
        <v>179</v>
      </c>
      <c r="J20" s="182" t="str">
        <f ca="1">VLOOKUP(ROW()-16&amp;RIGHT(J$16,1),B_CLASSIFICA_GIRONE_G,4,0)</f>
        <v>Muli</v>
      </c>
      <c r="K20" s="183">
        <f ca="1">VLOOKUP(ROW()-16&amp;RIGHT(J$16,1),B_CLASSIFICA_GIRONE_G,5,0)</f>
        <v>3</v>
      </c>
      <c r="L20" s="183">
        <f ca="1">VLOOKUP(ROW()-16&amp;RIGHT(J$16,1),B_CLASSIFICA_GIRONE_G,6,0)</f>
        <v>0</v>
      </c>
      <c r="M20" s="183">
        <f ca="1">VLOOKUP(ROW()-16&amp;RIGHT(J$16,1),B_CLASSIFICA_GIRONE_G,7,0)</f>
        <v>0</v>
      </c>
      <c r="N20" s="183">
        <f ca="1">VLOOKUP(ROW()-16&amp;RIGHT(J$16,1),B_CLASSIFICA_GIRONE_G,8,0)</f>
        <v>3</v>
      </c>
      <c r="O20" s="183">
        <f ca="1">VLOOKUP(ROW()-16&amp;RIGHT(J$16,1),B_CLASSIFICA_GIRONE_G,9,0)</f>
        <v>0</v>
      </c>
      <c r="P20" s="183">
        <f ca="1">VLOOKUP(ROW()-16&amp;RIGHT(J$16,1),B_CLASSIFICA_GIRONE_G,10,0)</f>
        <v>0</v>
      </c>
      <c r="Q20" s="184">
        <f ca="1">VLOOKUP(ROW()-16&amp;RIGHT(J$16,1),B_CLASSIFICA_GIRONE_G,11,0)</f>
        <v>60</v>
      </c>
    </row>
    <row r="21" spans="1:17" ht="15.95" customHeight="1">
      <c r="A21"/>
      <c r="B21"/>
      <c r="C21"/>
      <c r="D21"/>
      <c r="E21"/>
      <c r="F21"/>
      <c r="G21"/>
      <c r="H21"/>
    </row>
    <row r="22" spans="1:17" ht="15.95" customHeight="1">
      <c r="A22" s="197" t="s">
        <v>405</v>
      </c>
      <c r="B22" s="198" t="s">
        <v>49</v>
      </c>
      <c r="C22" s="198" t="s">
        <v>395</v>
      </c>
      <c r="D22" s="198" t="s">
        <v>396</v>
      </c>
      <c r="E22" s="198" t="s">
        <v>44</v>
      </c>
      <c r="F22" s="198" t="s">
        <v>397</v>
      </c>
      <c r="G22" s="198" t="s">
        <v>398</v>
      </c>
      <c r="H22" s="199" t="s">
        <v>399</v>
      </c>
      <c r="J22" s="200" t="s">
        <v>406</v>
      </c>
      <c r="K22" s="201" t="s">
        <v>49</v>
      </c>
      <c r="L22" s="201" t="s">
        <v>395</v>
      </c>
      <c r="M22" s="201" t="s">
        <v>396</v>
      </c>
      <c r="N22" s="201" t="s">
        <v>44</v>
      </c>
      <c r="O22" s="201" t="s">
        <v>397</v>
      </c>
      <c r="P22" s="201" t="s">
        <v>398</v>
      </c>
      <c r="Q22" s="202" t="s">
        <v>399</v>
      </c>
    </row>
    <row r="23" spans="1:17" ht="15.95" customHeight="1">
      <c r="A23" s="173" t="str">
        <f ca="1">VLOOKUP(ROW()-22&amp;RIGHT(A$22,1),B_CLASSIFICA_GIRONE_D,4,0)</f>
        <v>Coccodrilli</v>
      </c>
      <c r="B23" s="174">
        <f ca="1">VLOOKUP(ROW()-22&amp;RIGHT(A$22,1),B_CLASSIFICA_GIRONE_D,5,0)</f>
        <v>3</v>
      </c>
      <c r="C23" s="174">
        <f ca="1">VLOOKUP(ROW()-22&amp;RIGHT(A$22,1),B_CLASSIFICA_GIRONE_D,6,0)</f>
        <v>2</v>
      </c>
      <c r="D23" s="174">
        <f ca="1">VLOOKUP(ROW()-22&amp;RIGHT(A$22,1),B_CLASSIFICA_GIRONE_D,7,0)</f>
        <v>1</v>
      </c>
      <c r="E23" s="174">
        <f ca="1">VLOOKUP(ROW()-22&amp;RIGHT(A$22,1),B_CLASSIFICA_GIRONE_D,8,0)</f>
        <v>0</v>
      </c>
      <c r="F23" s="174">
        <f ca="1">VLOOKUP(ROW()-22&amp;RIGHT(A$22,1),B_CLASSIFICA_GIRONE_D,9,0)</f>
        <v>5</v>
      </c>
      <c r="G23" s="174">
        <f ca="1">VLOOKUP(ROW()-22&amp;RIGHT(A$22,1),B_CLASSIFICA_GIRONE_D,10,0)</f>
        <v>179</v>
      </c>
      <c r="H23" s="175">
        <f ca="1">VLOOKUP(ROW()-22&amp;RIGHT(A$22,1),B_CLASSIFICA_GIRONE_D,11,0)</f>
        <v>108</v>
      </c>
      <c r="J23" s="173" t="str">
        <f ca="1">VLOOKUP(ROW()-22&amp;RIGHT(J$22,1),B_CLASSIFICA_GIRONE_H,4,0)</f>
        <v>Piranha</v>
      </c>
      <c r="K23" s="174">
        <f ca="1">VLOOKUP(ROW()-22&amp;RIGHT(J$22,1),B_CLASSIFICA_GIRONE_H,5,0)</f>
        <v>3</v>
      </c>
      <c r="L23" s="174">
        <f ca="1">VLOOKUP(ROW()-22&amp;RIGHT(J$22,1),B_CLASSIFICA_GIRONE_H,6,0)</f>
        <v>2</v>
      </c>
      <c r="M23" s="174">
        <f ca="1">VLOOKUP(ROW()-22&amp;RIGHT(J$22,1),B_CLASSIFICA_GIRONE_H,7,0)</f>
        <v>1</v>
      </c>
      <c r="N23" s="174">
        <f ca="1">VLOOKUP(ROW()-22&amp;RIGHT(J$22,1),B_CLASSIFICA_GIRONE_H,8,0)</f>
        <v>0</v>
      </c>
      <c r="O23" s="174">
        <f ca="1">VLOOKUP(ROW()-22&amp;RIGHT(J$22,1),B_CLASSIFICA_GIRONE_H,9,0)</f>
        <v>5</v>
      </c>
      <c r="P23" s="174">
        <f ca="1">VLOOKUP(ROW()-22&amp;RIGHT(J$22,1),B_CLASSIFICA_GIRONE_H,10,0)</f>
        <v>245</v>
      </c>
      <c r="Q23" s="175">
        <f ca="1">VLOOKUP(ROW()-22&amp;RIGHT(J$22,1),B_CLASSIFICA_GIRONE_H,11,0)</f>
        <v>215</v>
      </c>
    </row>
    <row r="24" spans="1:17" ht="15.95" customHeight="1">
      <c r="A24" s="176" t="str">
        <f ca="1">VLOOKUP(ROW()-22&amp;RIGHT(A$22,1),B_CLASSIFICA_GIRONE_D,4,0)</f>
        <v>Aquile</v>
      </c>
      <c r="B24" s="177">
        <f ca="1">VLOOKUP(ROW()-22&amp;RIGHT(A$22,1),B_CLASSIFICA_GIRONE_D,5,0)</f>
        <v>3</v>
      </c>
      <c r="C24" s="177">
        <f ca="1">VLOOKUP(ROW()-22&amp;RIGHT(A$22,1),B_CLASSIFICA_GIRONE_D,6,0)</f>
        <v>2</v>
      </c>
      <c r="D24" s="177">
        <f ca="1">VLOOKUP(ROW()-22&amp;RIGHT(A$22,1),B_CLASSIFICA_GIRONE_D,7,0)</f>
        <v>1</v>
      </c>
      <c r="E24" s="177">
        <f ca="1">VLOOKUP(ROW()-22&amp;RIGHT(A$22,1),B_CLASSIFICA_GIRONE_D,8,0)</f>
        <v>0</v>
      </c>
      <c r="F24" s="177">
        <f ca="1">VLOOKUP(ROW()-22&amp;RIGHT(A$22,1),B_CLASSIFICA_GIRONE_D,9,0)</f>
        <v>5</v>
      </c>
      <c r="G24" s="177">
        <f ca="1">VLOOKUP(ROW()-22&amp;RIGHT(A$22,1),B_CLASSIFICA_GIRONE_D,10,0)</f>
        <v>126</v>
      </c>
      <c r="H24" s="178">
        <f ca="1">VLOOKUP(ROW()-22&amp;RIGHT(A$22,1),B_CLASSIFICA_GIRONE_D,11,0)</f>
        <v>106</v>
      </c>
      <c r="J24" s="176" t="str">
        <f ca="1">VLOOKUP(ROW()-22&amp;RIGHT(J$22,1),B_CLASSIFICA_GIRONE_H,4,0)</f>
        <v>Tonni</v>
      </c>
      <c r="K24" s="177">
        <f ca="1">VLOOKUP(ROW()-22&amp;RIGHT(J$22,1),B_CLASSIFICA_GIRONE_H,5,0)</f>
        <v>3</v>
      </c>
      <c r="L24" s="177">
        <f ca="1">VLOOKUP(ROW()-22&amp;RIGHT(J$22,1),B_CLASSIFICA_GIRONE_H,6,0)</f>
        <v>2</v>
      </c>
      <c r="M24" s="177">
        <f ca="1">VLOOKUP(ROW()-22&amp;RIGHT(J$22,1),B_CLASSIFICA_GIRONE_H,7,0)</f>
        <v>1</v>
      </c>
      <c r="N24" s="177">
        <f ca="1">VLOOKUP(ROW()-22&amp;RIGHT(J$22,1),B_CLASSIFICA_GIRONE_H,8,0)</f>
        <v>0</v>
      </c>
      <c r="O24" s="177">
        <f ca="1">VLOOKUP(ROW()-22&amp;RIGHT(J$22,1),B_CLASSIFICA_GIRONE_H,9,0)</f>
        <v>5</v>
      </c>
      <c r="P24" s="177">
        <f ca="1">VLOOKUP(ROW()-22&amp;RIGHT(J$22,1),B_CLASSIFICA_GIRONE_H,10,0)</f>
        <v>163</v>
      </c>
      <c r="Q24" s="178">
        <f ca="1">VLOOKUP(ROW()-22&amp;RIGHT(J$22,1),B_CLASSIFICA_GIRONE_H,11,0)</f>
        <v>110</v>
      </c>
    </row>
    <row r="25" spans="1:17" ht="15.95" customHeight="1">
      <c r="A25" s="179" t="str">
        <f ca="1">VLOOKUP(ROW()-22&amp;RIGHT(A$22,1),B_CLASSIFICA_GIRONE_D,4,0)</f>
        <v>Pitoni</v>
      </c>
      <c r="B25" s="180">
        <f ca="1">VLOOKUP(ROW()-22&amp;RIGHT(A$22,1),B_CLASSIFICA_GIRONE_D,5,0)</f>
        <v>3</v>
      </c>
      <c r="C25" s="180">
        <f ca="1">VLOOKUP(ROW()-22&amp;RIGHT(A$22,1),B_CLASSIFICA_GIRONE_D,6,0)</f>
        <v>2</v>
      </c>
      <c r="D25" s="180">
        <f ca="1">VLOOKUP(ROW()-22&amp;RIGHT(A$22,1),B_CLASSIFICA_GIRONE_D,7,0)</f>
        <v>1</v>
      </c>
      <c r="E25" s="180">
        <f ca="1">VLOOKUP(ROW()-22&amp;RIGHT(A$22,1),B_CLASSIFICA_GIRONE_D,8,0)</f>
        <v>0</v>
      </c>
      <c r="F25" s="180">
        <f ca="1">VLOOKUP(ROW()-22&amp;RIGHT(A$22,1),B_CLASSIFICA_GIRONE_D,9,0)</f>
        <v>5</v>
      </c>
      <c r="G25" s="180">
        <f ca="1">VLOOKUP(ROW()-22&amp;RIGHT(A$22,1),B_CLASSIFICA_GIRONE_D,10,0)</f>
        <v>133</v>
      </c>
      <c r="H25" s="181">
        <f ca="1">VLOOKUP(ROW()-22&amp;RIGHT(A$22,1),B_CLASSIFICA_GIRONE_D,11,0)</f>
        <v>168</v>
      </c>
      <c r="J25" s="179" t="str">
        <f ca="1">VLOOKUP(ROW()-22&amp;RIGHT(J$22,1),B_CLASSIFICA_GIRONE_H,4,0)</f>
        <v>Zebre</v>
      </c>
      <c r="K25" s="180">
        <f ca="1">VLOOKUP(ROW()-22&amp;RIGHT(J$22,1),B_CLASSIFICA_GIRONE_H,5,0)</f>
        <v>3</v>
      </c>
      <c r="L25" s="180">
        <f ca="1">VLOOKUP(ROW()-22&amp;RIGHT(J$22,1),B_CLASSIFICA_GIRONE_H,6,0)</f>
        <v>2</v>
      </c>
      <c r="M25" s="180">
        <f ca="1">VLOOKUP(ROW()-22&amp;RIGHT(J$22,1),B_CLASSIFICA_GIRONE_H,7,0)</f>
        <v>0</v>
      </c>
      <c r="N25" s="180">
        <f ca="1">VLOOKUP(ROW()-22&amp;RIGHT(J$22,1),B_CLASSIFICA_GIRONE_H,8,0)</f>
        <v>1</v>
      </c>
      <c r="O25" s="180">
        <f ca="1">VLOOKUP(ROW()-22&amp;RIGHT(J$22,1),B_CLASSIFICA_GIRONE_H,9,0)</f>
        <v>4</v>
      </c>
      <c r="P25" s="180">
        <f ca="1">VLOOKUP(ROW()-22&amp;RIGHT(J$22,1),B_CLASSIFICA_GIRONE_H,10,0)</f>
        <v>133</v>
      </c>
      <c r="Q25" s="181">
        <f ca="1">VLOOKUP(ROW()-22&amp;RIGHT(J$22,1),B_CLASSIFICA_GIRONE_H,11,0)</f>
        <v>142</v>
      </c>
    </row>
    <row r="26" spans="1:17" ht="15.95" customHeight="1">
      <c r="A26" s="182" t="str">
        <f ca="1">VLOOKUP(ROW()-22&amp;RIGHT(A$22,1),B_CLASSIFICA_GIRONE_D,4,0)</f>
        <v>Falchi</v>
      </c>
      <c r="B26" s="183">
        <f ca="1">VLOOKUP(ROW()-22&amp;RIGHT(A$22,1),B_CLASSIFICA_GIRONE_D,5,0)</f>
        <v>3</v>
      </c>
      <c r="C26" s="183">
        <f ca="1">VLOOKUP(ROW()-22&amp;RIGHT(A$22,1),B_CLASSIFICA_GIRONE_D,6,0)</f>
        <v>0</v>
      </c>
      <c r="D26" s="183">
        <f ca="1">VLOOKUP(ROW()-22&amp;RIGHT(A$22,1),B_CLASSIFICA_GIRONE_D,7,0)</f>
        <v>3</v>
      </c>
      <c r="E26" s="183">
        <f ca="1">VLOOKUP(ROW()-22&amp;RIGHT(A$22,1),B_CLASSIFICA_GIRONE_D,8,0)</f>
        <v>0</v>
      </c>
      <c r="F26" s="183">
        <f ca="1">VLOOKUP(ROW()-22&amp;RIGHT(A$22,1),B_CLASSIFICA_GIRONE_D,9,0)</f>
        <v>3</v>
      </c>
      <c r="G26" s="183">
        <f ca="1">VLOOKUP(ROW()-22&amp;RIGHT(A$22,1),B_CLASSIFICA_GIRONE_D,10,0)</f>
        <v>153</v>
      </c>
      <c r="H26" s="184">
        <f ca="1">VLOOKUP(ROW()-22&amp;RIGHT(A$22,1),B_CLASSIFICA_GIRONE_D,11,0)</f>
        <v>209</v>
      </c>
      <c r="J26" s="182" t="str">
        <f ca="1">VLOOKUP(ROW()-22&amp;RIGHT(J$22,1),B_CLASSIFICA_GIRONE_H,4,0)</f>
        <v>Scorpioni</v>
      </c>
      <c r="K26" s="203">
        <f ca="1">VLOOKUP(ROW()-22&amp;RIGHT(J$22,1),B_CLASSIFICA_GIRONE_H,5,0)</f>
        <v>3</v>
      </c>
      <c r="L26" s="203">
        <f ca="1">VLOOKUP(ROW()-22&amp;RIGHT(J$22,1),B_CLASSIFICA_GIRONE_H,6,0)</f>
        <v>0</v>
      </c>
      <c r="M26" s="203">
        <f ca="1">VLOOKUP(ROW()-22&amp;RIGHT(J$22,1),B_CLASSIFICA_GIRONE_H,7,0)</f>
        <v>3</v>
      </c>
      <c r="N26" s="203">
        <f ca="1">VLOOKUP(ROW()-22&amp;RIGHT(J$22,1),B_CLASSIFICA_GIRONE_H,8,0)</f>
        <v>0</v>
      </c>
      <c r="O26" s="203">
        <f ca="1">VLOOKUP(ROW()-22&amp;RIGHT(J$22,1),B_CLASSIFICA_GIRONE_H,9,0)</f>
        <v>3</v>
      </c>
      <c r="P26" s="203">
        <f ca="1">VLOOKUP(ROW()-22&amp;RIGHT(J$22,1),B_CLASSIFICA_GIRONE_H,10,0)</f>
        <v>170</v>
      </c>
      <c r="Q26" s="204">
        <f ca="1">VLOOKUP(ROW()-22&amp;RIGHT(J$22,1),B_CLASSIFICA_GIRONE_H,11,0)</f>
        <v>244</v>
      </c>
    </row>
    <row r="27" spans="1:17" ht="15.95" customHeight="1">
      <c r="A27"/>
      <c r="B27"/>
      <c r="C27"/>
      <c r="D27"/>
      <c r="E27"/>
      <c r="F27"/>
      <c r="G27"/>
      <c r="H27"/>
    </row>
    <row r="28" spans="1:17" ht="15.95" customHeight="1">
      <c r="A28"/>
      <c r="B28"/>
      <c r="C28"/>
      <c r="D28"/>
      <c r="E28"/>
      <c r="F28"/>
      <c r="G28"/>
      <c r="H28"/>
    </row>
    <row r="29" spans="1:17" ht="15.95" customHeight="1">
      <c r="A29"/>
      <c r="B29"/>
      <c r="C29"/>
      <c r="D29"/>
      <c r="E29"/>
      <c r="F29"/>
      <c r="G29"/>
      <c r="H29"/>
    </row>
    <row r="30" spans="1:17" ht="15.95" customHeight="1">
      <c r="A30"/>
      <c r="B30"/>
      <c r="C30"/>
      <c r="D30"/>
      <c r="E30"/>
      <c r="F30"/>
      <c r="G30"/>
      <c r="H30"/>
    </row>
    <row r="31" spans="1:17" ht="15.95" customHeight="1">
      <c r="A31"/>
      <c r="B31"/>
      <c r="C31"/>
      <c r="D31"/>
      <c r="E31"/>
      <c r="F31"/>
      <c r="G31"/>
      <c r="H31"/>
    </row>
    <row r="32" spans="1:17" ht="15.95" customHeight="1">
      <c r="A32"/>
      <c r="B32"/>
      <c r="C32"/>
      <c r="D32"/>
      <c r="E32"/>
      <c r="F32"/>
      <c r="G32"/>
      <c r="H32"/>
    </row>
    <row r="33" spans="1:8" ht="15.95" customHeight="1">
      <c r="A33"/>
      <c r="B33"/>
      <c r="C33"/>
      <c r="D33"/>
      <c r="E33"/>
      <c r="F33"/>
      <c r="G33"/>
      <c r="H33"/>
    </row>
    <row r="34" spans="1:8" ht="15.95" customHeight="1">
      <c r="A34"/>
      <c r="B34"/>
      <c r="C34"/>
      <c r="D34"/>
      <c r="E34"/>
      <c r="F34"/>
      <c r="G34"/>
      <c r="H34"/>
    </row>
    <row r="35" spans="1:8" ht="15.95" customHeight="1">
      <c r="A35"/>
      <c r="B35"/>
      <c r="C35"/>
      <c r="D35"/>
      <c r="E35"/>
      <c r="F35"/>
      <c r="G35"/>
      <c r="H35"/>
    </row>
    <row r="36" spans="1:8" ht="15.95" customHeight="1">
      <c r="A36"/>
      <c r="B36"/>
      <c r="C36"/>
      <c r="D36"/>
      <c r="E36"/>
      <c r="F36"/>
      <c r="G36"/>
      <c r="H36"/>
    </row>
    <row r="37" spans="1:8" ht="15.95" customHeight="1">
      <c r="A37"/>
      <c r="B37"/>
      <c r="C37"/>
      <c r="D37"/>
      <c r="E37"/>
      <c r="F37"/>
      <c r="G37"/>
      <c r="H37"/>
    </row>
    <row r="38" spans="1:8" ht="15.95" customHeight="1">
      <c r="A38"/>
      <c r="B38"/>
      <c r="C38"/>
      <c r="D38"/>
      <c r="E38"/>
      <c r="F38"/>
      <c r="G38"/>
      <c r="H38"/>
    </row>
    <row r="39" spans="1:8" ht="15.95" customHeight="1">
      <c r="A39"/>
      <c r="B39"/>
      <c r="C39"/>
      <c r="D39"/>
      <c r="E39"/>
      <c r="F39"/>
      <c r="G39"/>
      <c r="H39"/>
    </row>
    <row r="40" spans="1:8" ht="15.95" customHeight="1">
      <c r="A40"/>
      <c r="B40"/>
      <c r="C40"/>
      <c r="D40"/>
      <c r="E40"/>
      <c r="F40"/>
      <c r="G40"/>
      <c r="H40"/>
    </row>
    <row r="41" spans="1:8" ht="15.95" customHeight="1">
      <c r="A41"/>
      <c r="B41"/>
      <c r="C41"/>
      <c r="D41"/>
      <c r="E41"/>
      <c r="F41"/>
      <c r="G41"/>
      <c r="H41"/>
    </row>
    <row r="42" spans="1:8" ht="15.95" customHeight="1">
      <c r="A42"/>
      <c r="B42"/>
      <c r="C42"/>
      <c r="D42"/>
      <c r="E42"/>
      <c r="F42"/>
      <c r="G42"/>
      <c r="H42"/>
    </row>
  </sheetData>
  <mergeCells count="2">
    <mergeCell ref="A1:Q1"/>
    <mergeCell ref="A2:Q2"/>
  </mergeCells>
  <conditionalFormatting sqref="A26:H26 A19:H19 A12:H12">
    <cfRule type="expression" priority="2">
      <formula>$F$5="Black and White"</formula>
    </cfRule>
  </conditionalFormatting>
  <conditionalFormatting sqref="A5:H5">
    <cfRule type="expression" priority="3">
      <formula>$F$5="Black and White"</formula>
    </cfRule>
  </conditionalFormatting>
  <conditionalFormatting sqref="K12:Q12 K18:Q18 K24:Q24">
    <cfRule type="expression" priority="4">
      <formula>$F$5="Black and White"</formula>
    </cfRule>
  </conditionalFormatting>
  <conditionalFormatting sqref="K15 K21">
    <cfRule type="expression" priority="5">
      <formula>$F$5="Black and White"</formula>
    </cfRule>
  </conditionalFormatting>
  <conditionalFormatting sqref="K14 K20">
    <cfRule type="expression" priority="6">
      <formula>$F$5="Black and White"</formula>
    </cfRule>
  </conditionalFormatting>
  <conditionalFormatting sqref="J12 J18 J24">
    <cfRule type="expression" priority="7">
      <formula>$F$5="Black and White"</formula>
    </cfRule>
  </conditionalFormatting>
  <conditionalFormatting sqref="J13 J19 J25">
    <cfRule type="expression" priority="8">
      <formula>$F$5="Black and White"</formula>
    </cfRule>
  </conditionalFormatting>
  <conditionalFormatting sqref="J14:J15 J20:J21">
    <cfRule type="expression" priority="9">
      <formula>$F$5="Black and White"</formula>
    </cfRule>
  </conditionalFormatting>
  <conditionalFormatting sqref="A6">
    <cfRule type="expression" priority="10">
      <formula>$F$5="Black and White"</formula>
    </cfRule>
  </conditionalFormatting>
  <conditionalFormatting sqref="A8:A9">
    <cfRule type="expression" priority="11">
      <formula>$F$5="Black and White"</formula>
    </cfRule>
  </conditionalFormatting>
  <conditionalFormatting sqref="A7">
    <cfRule type="expression" priority="12">
      <formula>$F$5="Black and White"</formula>
    </cfRule>
  </conditionalFormatting>
  <conditionalFormatting sqref="K13:Q13 K19:Q19 K25:Q25">
    <cfRule type="expression" priority="13">
      <formula>$F$5="Black and White"</formula>
    </cfRule>
  </conditionalFormatting>
  <conditionalFormatting sqref="L14:Q15 L20:Q21">
    <cfRule type="expression" priority="14">
      <formula>$F$5="Black and White"</formula>
    </cfRule>
  </conditionalFormatting>
  <conditionalFormatting sqref="B6:H6">
    <cfRule type="expression" priority="15">
      <formula>$F$5="Black and White"</formula>
    </cfRule>
  </conditionalFormatting>
  <conditionalFormatting sqref="C8">
    <cfRule type="expression" priority="16">
      <formula>$F$5="Black and White"</formula>
    </cfRule>
  </conditionalFormatting>
  <conditionalFormatting sqref="C9">
    <cfRule type="expression" priority="17">
      <formula>$F$5="Black and White"</formula>
    </cfRule>
  </conditionalFormatting>
  <conditionalFormatting sqref="D8:D9">
    <cfRule type="expression" priority="18">
      <formula>$F$5="Black and White"</formula>
    </cfRule>
  </conditionalFormatting>
  <conditionalFormatting sqref="E8:H9">
    <cfRule type="expression" priority="19">
      <formula>$F$5="Black and White"</formula>
    </cfRule>
  </conditionalFormatting>
  <conditionalFormatting sqref="C7:H7">
    <cfRule type="expression" priority="20">
      <formula>$F$5="Black and White"</formula>
    </cfRule>
  </conditionalFormatting>
  <conditionalFormatting sqref="B9">
    <cfRule type="expression" priority="21">
      <formula>$F$5="Black and White"</formula>
    </cfRule>
  </conditionalFormatting>
  <conditionalFormatting sqref="B8">
    <cfRule type="expression" priority="22">
      <formula>$F$5="Black and White"</formula>
    </cfRule>
  </conditionalFormatting>
  <conditionalFormatting sqref="B7">
    <cfRule type="expression" priority="23">
      <formula>$F$5="Black and White"</formula>
    </cfRule>
  </conditionalFormatting>
  <conditionalFormatting sqref="J5 L5:Q5">
    <cfRule type="expression" priority="24">
      <formula>IF(#REF!=#REF!,1,IF(#REF!=#REF!,1,0))</formula>
    </cfRule>
  </conditionalFormatting>
  <conditionalFormatting sqref="J6:Q6">
    <cfRule type="expression" priority="25">
      <formula>$F$5="Black and White"</formula>
    </cfRule>
  </conditionalFormatting>
  <conditionalFormatting sqref="J8:J9">
    <cfRule type="expression" priority="26">
      <formula>$F$5="Black and White"</formula>
    </cfRule>
  </conditionalFormatting>
  <conditionalFormatting sqref="J7">
    <cfRule type="expression" priority="27">
      <formula>$F$5="Black and White"</formula>
    </cfRule>
  </conditionalFormatting>
  <conditionalFormatting sqref="L8">
    <cfRule type="expression" priority="28">
      <formula>$F$5="Black and White"</formula>
    </cfRule>
  </conditionalFormatting>
  <conditionalFormatting sqref="L9">
    <cfRule type="expression" priority="29">
      <formula>$F$5="Black and White"</formula>
    </cfRule>
  </conditionalFormatting>
  <conditionalFormatting sqref="M8:M9">
    <cfRule type="expression" priority="30">
      <formula>$F$5="Black and White"</formula>
    </cfRule>
  </conditionalFormatting>
  <conditionalFormatting sqref="N8:Q9">
    <cfRule type="expression" priority="31">
      <formula>$F$5="Black and White"</formula>
    </cfRule>
  </conditionalFormatting>
  <conditionalFormatting sqref="L7:Q7">
    <cfRule type="expression" priority="32">
      <formula>$F$5="Black and White"</formula>
    </cfRule>
  </conditionalFormatting>
  <conditionalFormatting sqref="K9">
    <cfRule type="expression" priority="33">
      <formula>$F$5="Black and White"</formula>
    </cfRule>
  </conditionalFormatting>
  <conditionalFormatting sqref="K8">
    <cfRule type="expression" priority="34">
      <formula>$F$5="Black and White"</formula>
    </cfRule>
  </conditionalFormatting>
  <conditionalFormatting sqref="K7">
    <cfRule type="expression" priority="35">
      <formula>$F$5="Black and White"</formula>
    </cfRule>
  </conditionalFormatting>
  <conditionalFormatting sqref="J17">
    <cfRule type="expression" priority="36">
      <formula>$F$5="Black and White"</formula>
    </cfRule>
  </conditionalFormatting>
  <conditionalFormatting sqref="K17">
    <cfRule type="expression" priority="37">
      <formula>$F$5="Black and White"</formula>
    </cfRule>
  </conditionalFormatting>
  <conditionalFormatting sqref="L17:Q17">
    <cfRule type="expression" priority="38">
      <formula>$F$5="Black and White"</formula>
    </cfRule>
  </conditionalFormatting>
  <conditionalFormatting sqref="J26">
    <cfRule type="expression" priority="39">
      <formula>$F$5="Black and White"</formula>
    </cfRule>
  </conditionalFormatting>
  <conditionalFormatting sqref="J26">
    <cfRule type="expression" priority="40">
      <formula>$F$5="Black and White"</formula>
    </cfRule>
  </conditionalFormatting>
  <conditionalFormatting sqref="K26">
    <cfRule type="expression" priority="41">
      <formula>$F$5="Black and White"</formula>
    </cfRule>
  </conditionalFormatting>
  <conditionalFormatting sqref="K26">
    <cfRule type="expression" priority="42">
      <formula>$F$5="Black and White"</formula>
    </cfRule>
  </conditionalFormatting>
  <conditionalFormatting sqref="L26:Q26">
    <cfRule type="expression" priority="43">
      <formula>$F$5="Black and White"</formula>
    </cfRule>
  </conditionalFormatting>
  <conditionalFormatting sqref="L26:Q26">
    <cfRule type="expression" priority="44">
      <formula>$F$5="Black and White"</formula>
    </cfRule>
  </conditionalFormatting>
  <conditionalFormatting sqref="A26">
    <cfRule type="expression" priority="45">
      <formula>$F$5="Black and White"</formula>
    </cfRule>
  </conditionalFormatting>
  <conditionalFormatting sqref="A25:A26">
    <cfRule type="expression" priority="46">
      <formula>$F$5="Black and White"</formula>
    </cfRule>
  </conditionalFormatting>
  <conditionalFormatting sqref="A25">
    <cfRule type="expression" priority="47">
      <formula>$F$5="Black and White"</formula>
    </cfRule>
  </conditionalFormatting>
  <conditionalFormatting sqref="B26:H26">
    <cfRule type="expression" priority="48">
      <formula>$F$5="Black and White"</formula>
    </cfRule>
  </conditionalFormatting>
  <conditionalFormatting sqref="C26">
    <cfRule type="expression" priority="49">
      <formula>$F$5="Black and White"</formula>
    </cfRule>
  </conditionalFormatting>
  <conditionalFormatting sqref="C26">
    <cfRule type="expression" priority="50">
      <formula>$F$5="Black and White"</formula>
    </cfRule>
  </conditionalFormatting>
  <conditionalFormatting sqref="D25:D26">
    <cfRule type="expression" priority="51">
      <formula>$F$5="Black and White"</formula>
    </cfRule>
  </conditionalFormatting>
  <conditionalFormatting sqref="E25:H26">
    <cfRule type="expression" priority="52">
      <formula>$F$5="Black and White"</formula>
    </cfRule>
  </conditionalFormatting>
  <conditionalFormatting sqref="C25:H25">
    <cfRule type="expression" priority="53">
      <formula>$F$5="Black and White"</formula>
    </cfRule>
  </conditionalFormatting>
  <conditionalFormatting sqref="B26">
    <cfRule type="expression" priority="54">
      <formula>$F$5="Black and White"</formula>
    </cfRule>
  </conditionalFormatting>
  <conditionalFormatting sqref="B26">
    <cfRule type="expression" priority="55">
      <formula>$F$5="Black and White"</formula>
    </cfRule>
  </conditionalFormatting>
  <conditionalFormatting sqref="B25">
    <cfRule type="expression" priority="56">
      <formula>$F$5="Black and White"</formula>
    </cfRule>
  </conditionalFormatting>
  <conditionalFormatting sqref="A20">
    <cfRule type="expression" priority="57">
      <formula>$F$5="Black and White"</formula>
    </cfRule>
  </conditionalFormatting>
  <conditionalFormatting sqref="A20:A21">
    <cfRule type="expression" priority="58">
      <formula>$F$5="Black and White"</formula>
    </cfRule>
  </conditionalFormatting>
  <conditionalFormatting sqref="A21">
    <cfRule type="expression" priority="59">
      <formula>$F$5="Black and White"</formula>
    </cfRule>
  </conditionalFormatting>
  <conditionalFormatting sqref="B20:H20">
    <cfRule type="expression" priority="60">
      <formula>$F$5="Black and White"</formula>
    </cfRule>
  </conditionalFormatting>
  <conditionalFormatting sqref="C20">
    <cfRule type="expression" priority="61">
      <formula>$F$5="Black and White"</formula>
    </cfRule>
  </conditionalFormatting>
  <conditionalFormatting sqref="C21">
    <cfRule type="expression" priority="62">
      <formula>$F$5="Black and White"</formula>
    </cfRule>
  </conditionalFormatting>
  <conditionalFormatting sqref="D20:D21">
    <cfRule type="expression" priority="63">
      <formula>$F$5="Black and White"</formula>
    </cfRule>
  </conditionalFormatting>
  <conditionalFormatting sqref="E20:H21">
    <cfRule type="expression" priority="64">
      <formula>$F$5="Black and White"</formula>
    </cfRule>
  </conditionalFormatting>
  <conditionalFormatting sqref="C21:H21">
    <cfRule type="expression" priority="65">
      <formula>$F$5="Black and White"</formula>
    </cfRule>
  </conditionalFormatting>
  <conditionalFormatting sqref="B21">
    <cfRule type="expression" priority="66">
      <formula>$F$5="Black and White"</formula>
    </cfRule>
  </conditionalFormatting>
  <conditionalFormatting sqref="B20">
    <cfRule type="expression" priority="67">
      <formula>$F$5="Black and White"</formula>
    </cfRule>
  </conditionalFormatting>
  <conditionalFormatting sqref="B21">
    <cfRule type="expression" priority="68">
      <formula>$F$5="Black and White"</formula>
    </cfRule>
  </conditionalFormatting>
  <conditionalFormatting sqref="A13">
    <cfRule type="expression" priority="69">
      <formula>$F$5="Black and White"</formula>
    </cfRule>
  </conditionalFormatting>
  <conditionalFormatting sqref="A14:A15">
    <cfRule type="expression" priority="70">
      <formula>$F$5="Black and White"</formula>
    </cfRule>
  </conditionalFormatting>
  <conditionalFormatting sqref="A14">
    <cfRule type="expression" priority="71">
      <formula>$F$5="Black and White"</formula>
    </cfRule>
  </conditionalFormatting>
  <conditionalFormatting sqref="B13:H13">
    <cfRule type="expression" priority="72">
      <formula>$F$5="Black and White"</formula>
    </cfRule>
  </conditionalFormatting>
  <conditionalFormatting sqref="C15">
    <cfRule type="expression" priority="73">
      <formula>$F$5="Black and White"</formula>
    </cfRule>
  </conditionalFormatting>
  <conditionalFormatting sqref="C15">
    <cfRule type="expression" priority="74">
      <formula>$F$5="Black and White"</formula>
    </cfRule>
  </conditionalFormatting>
  <conditionalFormatting sqref="D14:D15">
    <cfRule type="expression" priority="75">
      <formula>$F$5="Black and White"</formula>
    </cfRule>
  </conditionalFormatting>
  <conditionalFormatting sqref="E14:H15">
    <cfRule type="expression" priority="76">
      <formula>$F$5="Black and White"</formula>
    </cfRule>
  </conditionalFormatting>
  <conditionalFormatting sqref="C14:H14">
    <cfRule type="expression" priority="77">
      <formula>$F$5="Black and White"</formula>
    </cfRule>
  </conditionalFormatting>
  <conditionalFormatting sqref="B15">
    <cfRule type="expression" priority="78">
      <formula>$F$5="Black and White"</formula>
    </cfRule>
  </conditionalFormatting>
  <conditionalFormatting sqref="B15">
    <cfRule type="expression" priority="79">
      <formula>$F$5="Black and White"</formula>
    </cfRule>
  </conditionalFormatting>
  <conditionalFormatting sqref="B14">
    <cfRule type="expression" priority="80">
      <formula>$F$5="Black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7"/>
  <sheetViews>
    <sheetView topLeftCell="B1" zoomScale="140" zoomScaleNormal="140" workbookViewId="0">
      <selection activeCell="B1" sqref="B1"/>
    </sheetView>
  </sheetViews>
  <sheetFormatPr defaultColWidth="11.5703125" defaultRowHeight="12.75"/>
  <cols>
    <col min="1" max="1" width="5.5703125" style="205" hidden="1" customWidth="1"/>
    <col min="2" max="2" width="11" customWidth="1"/>
    <col min="3" max="3" width="6.140625" customWidth="1"/>
    <col min="4" max="4" width="14.140625" customWidth="1"/>
    <col min="5" max="6" width="5.140625" customWidth="1"/>
    <col min="7" max="7" width="14.140625" customWidth="1"/>
    <col min="8" max="8" width="6.7109375" customWidth="1"/>
    <col min="9" max="9" width="14.5703125" customWidth="1"/>
  </cols>
  <sheetData>
    <row r="1" spans="1:9" ht="20.25">
      <c r="A1" s="206"/>
      <c r="B1" s="5" t="str">
        <f>VLOOKUP("NOME_TORNEO",INPUT_DATI_TORNEO,2,0)&amp;" "&amp;VLOOKUP("STAGIONE",INPUT_DATI_TORNEO,2,0)</f>
        <v>Torneo dell’Estate 2021</v>
      </c>
      <c r="C1" s="5"/>
      <c r="D1" s="5"/>
      <c r="E1" s="5"/>
      <c r="F1" s="5"/>
      <c r="G1" s="5"/>
      <c r="H1" s="5"/>
      <c r="I1" s="5"/>
    </row>
    <row r="2" spans="1:9" ht="15.75" customHeight="1">
      <c r="A2" s="206"/>
      <c r="B2" s="7" t="s">
        <v>407</v>
      </c>
      <c r="C2" s="7"/>
      <c r="D2" s="7"/>
      <c r="E2" s="7"/>
      <c r="F2" s="7"/>
      <c r="G2" s="7"/>
      <c r="H2" s="7"/>
      <c r="I2" s="7"/>
    </row>
    <row r="3" spans="1:9" ht="15.95" customHeight="1">
      <c r="A3" s="206"/>
      <c r="B3" s="157" t="s">
        <v>88</v>
      </c>
      <c r="C3" s="157" t="s">
        <v>89</v>
      </c>
      <c r="D3" s="157" t="s">
        <v>99</v>
      </c>
      <c r="E3" s="6" t="s">
        <v>390</v>
      </c>
      <c r="F3" s="6"/>
      <c r="G3" s="157" t="s">
        <v>100</v>
      </c>
      <c r="H3" s="157" t="s">
        <v>93</v>
      </c>
      <c r="I3" s="157" t="s">
        <v>392</v>
      </c>
    </row>
    <row r="4" spans="1:9" ht="15.95" customHeight="1">
      <c r="A4" s="207">
        <v>49</v>
      </c>
      <c r="B4" s="159">
        <f t="shared" ref="B4:B35" si="0">VLOOKUP(A4,INPUT_DATE_E_RISULTATI_2A_FASE,8,0)</f>
        <v>44357</v>
      </c>
      <c r="C4" s="160">
        <f t="shared" ref="C4:C35" si="1">VLOOKUP(A4,INPUT_DATE_E_RISULTATI_2A_FASE,9,0)</f>
        <v>0.375</v>
      </c>
      <c r="D4" s="161" t="str">
        <f t="shared" ref="D4:D35" ca="1" si="2">VLOOKUP(A4,INPUT_DATE_E_RISULTATI_2A_FASE,4,0)</f>
        <v>Leoni</v>
      </c>
      <c r="E4" s="208">
        <f t="shared" ref="E4:E35" si="3">VLOOKUP(A4,INPUT_DATE_E_RISULTATI_2A_FASE,6,0)</f>
        <v>67</v>
      </c>
      <c r="F4" s="208">
        <f t="shared" ref="F4:F35" si="4">VLOOKUP(A4,INPUT_DATE_E_RISULTATI_2A_FASE,7,0)</f>
        <v>46</v>
      </c>
      <c r="G4" s="209" t="str">
        <f t="shared" ref="G4:G35" ca="1" si="5">VLOOKUP(A4,INPUT_DATE_E_RISULTATI_2A_FASE,5,0)</f>
        <v>Elefanti</v>
      </c>
      <c r="H4" s="210" t="str">
        <f t="shared" ref="H4:H35" si="6">VLOOKUP(A4,INPUT_DATE_E_RISULTATI_2A_FASE,3,0)</f>
        <v>1-16</v>
      </c>
      <c r="I4" s="211" t="str">
        <f t="shared" ref="I4:I35" si="7">VLOOKUP(A4,INPUT_DATE_E_RISULTATI_2A_FASE,11,0)</f>
        <v>CAMPO I</v>
      </c>
    </row>
    <row r="5" spans="1:9" ht="15.95" customHeight="1">
      <c r="A5" s="207">
        <v>50</v>
      </c>
      <c r="B5" s="159">
        <f t="shared" si="0"/>
        <v>44357</v>
      </c>
      <c r="C5" s="160">
        <f t="shared" si="1"/>
        <v>0.375</v>
      </c>
      <c r="D5" s="161" t="str">
        <f t="shared" ca="1" si="2"/>
        <v>Pantere</v>
      </c>
      <c r="E5" s="208">
        <f t="shared" si="3"/>
        <v>55</v>
      </c>
      <c r="F5" s="208">
        <f t="shared" si="4"/>
        <v>36</v>
      </c>
      <c r="G5" s="209" t="str">
        <f t="shared" ca="1" si="5"/>
        <v>Giraffe</v>
      </c>
      <c r="H5" s="211" t="str">
        <f t="shared" si="6"/>
        <v>1-16</v>
      </c>
      <c r="I5" s="211" t="str">
        <f t="shared" si="7"/>
        <v>CAMPO II</v>
      </c>
    </row>
    <row r="6" spans="1:9" ht="15.95" customHeight="1">
      <c r="A6" s="207">
        <v>51</v>
      </c>
      <c r="B6" s="159">
        <f t="shared" si="0"/>
        <v>44357</v>
      </c>
      <c r="C6" s="160">
        <f t="shared" si="1"/>
        <v>0.375</v>
      </c>
      <c r="D6" s="161" t="str">
        <f t="shared" ca="1" si="2"/>
        <v>Tigri</v>
      </c>
      <c r="E6" s="208">
        <f t="shared" si="3"/>
        <v>56</v>
      </c>
      <c r="F6" s="208">
        <f t="shared" si="4"/>
        <v>38</v>
      </c>
      <c r="G6" s="209" t="str">
        <f t="shared" ca="1" si="5"/>
        <v>Iguane</v>
      </c>
      <c r="H6" s="211" t="str">
        <f t="shared" si="6"/>
        <v>17-32</v>
      </c>
      <c r="I6" s="211" t="str">
        <f t="shared" si="7"/>
        <v>CAMPO III</v>
      </c>
    </row>
    <row r="7" spans="1:9" ht="15.95" customHeight="1">
      <c r="A7" s="207">
        <v>52</v>
      </c>
      <c r="B7" s="159">
        <f t="shared" si="0"/>
        <v>44357</v>
      </c>
      <c r="C7" s="160">
        <f t="shared" si="1"/>
        <v>0.375</v>
      </c>
      <c r="D7" s="161" t="str">
        <f t="shared" ca="1" si="2"/>
        <v>Ippopotami</v>
      </c>
      <c r="E7" s="208">
        <f t="shared" si="3"/>
        <v>56</v>
      </c>
      <c r="F7" s="208">
        <f t="shared" si="4"/>
        <v>43</v>
      </c>
      <c r="G7" s="209" t="str">
        <f t="shared" ca="1" si="5"/>
        <v>Ghepardi</v>
      </c>
      <c r="H7" s="211" t="str">
        <f t="shared" si="6"/>
        <v>17-32</v>
      </c>
      <c r="I7" s="211" t="str">
        <f t="shared" si="7"/>
        <v>CAMPO IV</v>
      </c>
    </row>
    <row r="8" spans="1:9" ht="15.95" customHeight="1">
      <c r="A8" s="207">
        <v>53</v>
      </c>
      <c r="B8" s="159">
        <f t="shared" si="0"/>
        <v>44357</v>
      </c>
      <c r="C8" s="160">
        <f t="shared" si="1"/>
        <v>0.45833333333333298</v>
      </c>
      <c r="D8" s="161" t="str">
        <f t="shared" ca="1" si="2"/>
        <v>Giaguari</v>
      </c>
      <c r="E8" s="208">
        <f t="shared" si="3"/>
        <v>52</v>
      </c>
      <c r="F8" s="208">
        <f t="shared" si="4"/>
        <v>43</v>
      </c>
      <c r="G8" s="209" t="str">
        <f t="shared" ca="1" si="5"/>
        <v>Aquile</v>
      </c>
      <c r="H8" s="211" t="str">
        <f t="shared" si="6"/>
        <v>1-16</v>
      </c>
      <c r="I8" s="211" t="str">
        <f t="shared" si="7"/>
        <v>CAMPO I</v>
      </c>
    </row>
    <row r="9" spans="1:9" ht="15.95" customHeight="1">
      <c r="A9" s="207">
        <v>54</v>
      </c>
      <c r="B9" s="159">
        <f t="shared" si="0"/>
        <v>44357</v>
      </c>
      <c r="C9" s="160">
        <f t="shared" si="1"/>
        <v>0.45833333333333298</v>
      </c>
      <c r="D9" s="161" t="str">
        <f t="shared" ca="1" si="2"/>
        <v>Coccodrilli</v>
      </c>
      <c r="E9" s="208">
        <f t="shared" si="3"/>
        <v>67</v>
      </c>
      <c r="F9" s="208">
        <f t="shared" si="4"/>
        <v>34</v>
      </c>
      <c r="G9" s="209" t="str">
        <f t="shared" ca="1" si="5"/>
        <v>Puma</v>
      </c>
      <c r="H9" s="211" t="str">
        <f t="shared" si="6"/>
        <v>1-16</v>
      </c>
      <c r="I9" s="211" t="str">
        <f t="shared" si="7"/>
        <v>CAMPO II</v>
      </c>
    </row>
    <row r="10" spans="1:9" ht="15.95" customHeight="1">
      <c r="A10" s="207">
        <v>55</v>
      </c>
      <c r="B10" s="159">
        <f t="shared" si="0"/>
        <v>44357</v>
      </c>
      <c r="C10" s="160">
        <f t="shared" si="1"/>
        <v>0.45833333333333298</v>
      </c>
      <c r="D10" s="161" t="str">
        <f t="shared" ca="1" si="2"/>
        <v>Linci</v>
      </c>
      <c r="E10" s="208">
        <f t="shared" si="3"/>
        <v>59</v>
      </c>
      <c r="F10" s="208">
        <f t="shared" si="4"/>
        <v>41</v>
      </c>
      <c r="G10" s="209" t="str">
        <f t="shared" ca="1" si="5"/>
        <v>Falchi</v>
      </c>
      <c r="H10" s="211" t="str">
        <f t="shared" si="6"/>
        <v>17-32</v>
      </c>
      <c r="I10" s="211" t="str">
        <f t="shared" si="7"/>
        <v>CAMPO III</v>
      </c>
    </row>
    <row r="11" spans="1:9" ht="15.95" customHeight="1">
      <c r="A11" s="207">
        <v>56</v>
      </c>
      <c r="B11" s="159">
        <f t="shared" si="0"/>
        <v>44357</v>
      </c>
      <c r="C11" s="160">
        <f t="shared" si="1"/>
        <v>0.45833333333333298</v>
      </c>
      <c r="D11" s="161" t="str">
        <f t="shared" ca="1" si="2"/>
        <v>Pitoni</v>
      </c>
      <c r="E11" s="208">
        <f t="shared" si="3"/>
        <v>52</v>
      </c>
      <c r="F11" s="208">
        <f t="shared" si="4"/>
        <v>30</v>
      </c>
      <c r="G11" s="209" t="str">
        <f t="shared" ca="1" si="5"/>
        <v>Serval</v>
      </c>
      <c r="H11" s="211" t="str">
        <f t="shared" si="6"/>
        <v>17-32</v>
      </c>
      <c r="I11" s="211" t="str">
        <f t="shared" si="7"/>
        <v>CAMPO IV</v>
      </c>
    </row>
    <row r="12" spans="1:9" ht="15.95" customHeight="1">
      <c r="A12" s="207">
        <v>57</v>
      </c>
      <c r="B12" s="159">
        <f t="shared" si="0"/>
        <v>44357</v>
      </c>
      <c r="C12" s="160">
        <f t="shared" si="1"/>
        <v>0.64583333333333304</v>
      </c>
      <c r="D12" s="166" t="str">
        <f t="shared" ca="1" si="2"/>
        <v>Bisonti</v>
      </c>
      <c r="E12" s="208">
        <f t="shared" si="3"/>
        <v>58</v>
      </c>
      <c r="F12" s="208">
        <f t="shared" si="4"/>
        <v>39</v>
      </c>
      <c r="G12" s="163" t="str">
        <f t="shared" ca="1" si="5"/>
        <v>Gorilla</v>
      </c>
      <c r="H12" s="165" t="str">
        <f t="shared" si="6"/>
        <v>1-16</v>
      </c>
      <c r="I12" s="165" t="str">
        <f t="shared" si="7"/>
        <v>CAMPO I</v>
      </c>
    </row>
    <row r="13" spans="1:9" ht="15.95" customHeight="1">
      <c r="A13" s="207">
        <v>58</v>
      </c>
      <c r="B13" s="159">
        <f t="shared" si="0"/>
        <v>44357</v>
      </c>
      <c r="C13" s="160">
        <f t="shared" si="1"/>
        <v>0.64583333333333304</v>
      </c>
      <c r="D13" s="161" t="str">
        <f t="shared" ca="1" si="2"/>
        <v>Istrici</v>
      </c>
      <c r="E13" s="208">
        <f t="shared" si="3"/>
        <v>64</v>
      </c>
      <c r="F13" s="208">
        <f t="shared" si="4"/>
        <v>43</v>
      </c>
      <c r="G13" s="209" t="str">
        <f t="shared" ca="1" si="5"/>
        <v>Bufali</v>
      </c>
      <c r="H13" s="211" t="str">
        <f t="shared" si="6"/>
        <v>1-16</v>
      </c>
      <c r="I13" s="211" t="str">
        <f t="shared" si="7"/>
        <v>CAMPO II</v>
      </c>
    </row>
    <row r="14" spans="1:9" ht="15.95" customHeight="1">
      <c r="A14" s="207">
        <v>59</v>
      </c>
      <c r="B14" s="159">
        <f t="shared" si="0"/>
        <v>44357</v>
      </c>
      <c r="C14" s="160">
        <f t="shared" si="1"/>
        <v>0.64583333333333304</v>
      </c>
      <c r="D14" s="161" t="str">
        <f t="shared" ca="1" si="2"/>
        <v>Cervi</v>
      </c>
      <c r="E14" s="208">
        <f t="shared" si="3"/>
        <v>50</v>
      </c>
      <c r="F14" s="208">
        <f t="shared" si="4"/>
        <v>43</v>
      </c>
      <c r="G14" s="209" t="str">
        <f t="shared" ca="1" si="5"/>
        <v>Muli</v>
      </c>
      <c r="H14" s="211" t="str">
        <f t="shared" si="6"/>
        <v>17-32</v>
      </c>
      <c r="I14" s="211" t="str">
        <f t="shared" si="7"/>
        <v>CAMPO III</v>
      </c>
    </row>
    <row r="15" spans="1:9" ht="15.95" customHeight="1">
      <c r="A15" s="207">
        <v>60</v>
      </c>
      <c r="B15" s="159">
        <f t="shared" si="0"/>
        <v>44357</v>
      </c>
      <c r="C15" s="160">
        <f t="shared" si="1"/>
        <v>0.64583333333333304</v>
      </c>
      <c r="D15" s="161" t="str">
        <f t="shared" ca="1" si="2"/>
        <v>Orche</v>
      </c>
      <c r="E15" s="208">
        <f t="shared" si="3"/>
        <v>52</v>
      </c>
      <c r="F15" s="208">
        <f t="shared" si="4"/>
        <v>42</v>
      </c>
      <c r="G15" s="209" t="str">
        <f t="shared" ca="1" si="5"/>
        <v>Cinghiali</v>
      </c>
      <c r="H15" s="211" t="str">
        <f t="shared" si="6"/>
        <v>17-32</v>
      </c>
      <c r="I15" s="211" t="str">
        <f t="shared" si="7"/>
        <v>CAMPO IV</v>
      </c>
    </row>
    <row r="16" spans="1:9" ht="15.95" customHeight="1">
      <c r="A16" s="207">
        <v>61</v>
      </c>
      <c r="B16" s="159">
        <f t="shared" si="0"/>
        <v>44357</v>
      </c>
      <c r="C16" s="160">
        <f t="shared" si="1"/>
        <v>0.70833333333333304</v>
      </c>
      <c r="D16" s="161" t="str">
        <f t="shared" ca="1" si="2"/>
        <v>Balene</v>
      </c>
      <c r="E16" s="208">
        <f t="shared" si="3"/>
        <v>51</v>
      </c>
      <c r="F16" s="208">
        <f t="shared" si="4"/>
        <v>47</v>
      </c>
      <c r="G16" s="209" t="str">
        <f t="shared" ca="1" si="5"/>
        <v>Tonni</v>
      </c>
      <c r="H16" s="211" t="str">
        <f t="shared" si="6"/>
        <v>1-16</v>
      </c>
      <c r="I16" s="211" t="str">
        <f t="shared" si="7"/>
        <v>CAMPO I</v>
      </c>
    </row>
    <row r="17" spans="1:9" ht="15.95" customHeight="1">
      <c r="A17" s="207">
        <v>62</v>
      </c>
      <c r="B17" s="159">
        <f t="shared" si="0"/>
        <v>44357</v>
      </c>
      <c r="C17" s="160">
        <f t="shared" si="1"/>
        <v>0.70833333333333304</v>
      </c>
      <c r="D17" s="161" t="str">
        <f t="shared" ca="1" si="2"/>
        <v>Piranha</v>
      </c>
      <c r="E17" s="208">
        <f t="shared" si="3"/>
        <v>60</v>
      </c>
      <c r="F17" s="208">
        <f t="shared" si="4"/>
        <v>30</v>
      </c>
      <c r="G17" s="209" t="str">
        <f t="shared" ca="1" si="5"/>
        <v>Gabbiani</v>
      </c>
      <c r="H17" s="211" t="str">
        <f t="shared" si="6"/>
        <v>1-16</v>
      </c>
      <c r="I17" s="211" t="str">
        <f t="shared" si="7"/>
        <v>CAMPO II</v>
      </c>
    </row>
    <row r="18" spans="1:9" ht="15.95" customHeight="1">
      <c r="A18" s="207">
        <v>63</v>
      </c>
      <c r="B18" s="159">
        <f t="shared" si="0"/>
        <v>44357</v>
      </c>
      <c r="C18" s="160">
        <f t="shared" si="1"/>
        <v>0.70833333333333304</v>
      </c>
      <c r="D18" s="161" t="str">
        <f t="shared" ca="1" si="2"/>
        <v>Delfini</v>
      </c>
      <c r="E18" s="208">
        <f t="shared" si="3"/>
        <v>66</v>
      </c>
      <c r="F18" s="208">
        <f t="shared" si="4"/>
        <v>39</v>
      </c>
      <c r="G18" s="209" t="str">
        <f t="shared" ca="1" si="5"/>
        <v>Scorpioni</v>
      </c>
      <c r="H18" s="211" t="str">
        <f t="shared" si="6"/>
        <v>17-32</v>
      </c>
      <c r="I18" s="211" t="str">
        <f t="shared" si="7"/>
        <v>CAMPO III</v>
      </c>
    </row>
    <row r="19" spans="1:9" ht="15.95" customHeight="1">
      <c r="A19" s="207">
        <v>64</v>
      </c>
      <c r="B19" s="159">
        <f t="shared" si="0"/>
        <v>44357</v>
      </c>
      <c r="C19" s="160">
        <f t="shared" si="1"/>
        <v>0.70833333333333304</v>
      </c>
      <c r="D19" s="161" t="str">
        <f t="shared" ca="1" si="2"/>
        <v>Zebre</v>
      </c>
      <c r="E19" s="208">
        <f t="shared" si="3"/>
        <v>62</v>
      </c>
      <c r="F19" s="208">
        <f t="shared" si="4"/>
        <v>31</v>
      </c>
      <c r="G19" s="209" t="str">
        <f t="shared" ca="1" si="5"/>
        <v>Fenicotteri</v>
      </c>
      <c r="H19" s="211" t="str">
        <f t="shared" si="6"/>
        <v>17-32</v>
      </c>
      <c r="I19" s="211" t="str">
        <f t="shared" si="7"/>
        <v>CAMPO IV</v>
      </c>
    </row>
    <row r="20" spans="1:9" ht="15.95" customHeight="1">
      <c r="A20" s="207">
        <v>65</v>
      </c>
      <c r="B20" s="159">
        <f t="shared" si="0"/>
        <v>44357</v>
      </c>
      <c r="C20" s="160">
        <f t="shared" si="1"/>
        <v>0.77083333333333304</v>
      </c>
      <c r="D20" s="161" t="str">
        <f t="shared" ca="1" si="2"/>
        <v>Iguane</v>
      </c>
      <c r="E20" s="208">
        <f t="shared" si="3"/>
        <v>63</v>
      </c>
      <c r="F20" s="208">
        <f t="shared" si="4"/>
        <v>35</v>
      </c>
      <c r="G20" s="209" t="str">
        <f t="shared" ca="1" si="5"/>
        <v>Falchi</v>
      </c>
      <c r="H20" s="211" t="str">
        <f t="shared" si="6"/>
        <v>25-32</v>
      </c>
      <c r="I20" s="211" t="str">
        <f t="shared" si="7"/>
        <v>CAMPO I</v>
      </c>
    </row>
    <row r="21" spans="1:9" ht="15.95" customHeight="1">
      <c r="A21" s="207">
        <v>66</v>
      </c>
      <c r="B21" s="159">
        <f t="shared" si="0"/>
        <v>44357</v>
      </c>
      <c r="C21" s="160">
        <f t="shared" si="1"/>
        <v>0.77083333333333304</v>
      </c>
      <c r="D21" s="161" t="str">
        <f t="shared" ca="1" si="2"/>
        <v>Ghepardi</v>
      </c>
      <c r="E21" s="208">
        <f t="shared" si="3"/>
        <v>60</v>
      </c>
      <c r="F21" s="208">
        <f t="shared" si="4"/>
        <v>45</v>
      </c>
      <c r="G21" s="209" t="str">
        <f t="shared" ca="1" si="5"/>
        <v>Serval</v>
      </c>
      <c r="H21" s="211" t="str">
        <f t="shared" si="6"/>
        <v>25-32</v>
      </c>
      <c r="I21" s="211" t="str">
        <f t="shared" si="7"/>
        <v>CAMPO II</v>
      </c>
    </row>
    <row r="22" spans="1:9" ht="15.95" customHeight="1">
      <c r="A22" s="207">
        <v>67</v>
      </c>
      <c r="B22" s="159">
        <f t="shared" si="0"/>
        <v>44357</v>
      </c>
      <c r="C22" s="160">
        <f t="shared" si="1"/>
        <v>0.77083333333333304</v>
      </c>
      <c r="D22" s="161" t="str">
        <f t="shared" ca="1" si="2"/>
        <v>Muli</v>
      </c>
      <c r="E22" s="208">
        <f t="shared" si="3"/>
        <v>54</v>
      </c>
      <c r="F22" s="208">
        <f t="shared" si="4"/>
        <v>43</v>
      </c>
      <c r="G22" s="209" t="str">
        <f t="shared" ca="1" si="5"/>
        <v>Scorpioni</v>
      </c>
      <c r="H22" s="211" t="str">
        <f t="shared" si="6"/>
        <v>25-32</v>
      </c>
      <c r="I22" s="211" t="str">
        <f t="shared" si="7"/>
        <v>CAMPO III</v>
      </c>
    </row>
    <row r="23" spans="1:9" ht="15.95" customHeight="1">
      <c r="A23" s="207">
        <v>68</v>
      </c>
      <c r="B23" s="159">
        <f t="shared" si="0"/>
        <v>44357</v>
      </c>
      <c r="C23" s="160">
        <f t="shared" si="1"/>
        <v>0.77083333333333304</v>
      </c>
      <c r="D23" s="161" t="str">
        <f t="shared" ca="1" si="2"/>
        <v>Cinghiali</v>
      </c>
      <c r="E23" s="208">
        <f t="shared" si="3"/>
        <v>52</v>
      </c>
      <c r="F23" s="208">
        <f t="shared" si="4"/>
        <v>49</v>
      </c>
      <c r="G23" s="209" t="str">
        <f t="shared" ca="1" si="5"/>
        <v>Fenicotteri</v>
      </c>
      <c r="H23" s="211" t="str">
        <f t="shared" si="6"/>
        <v>25-32</v>
      </c>
      <c r="I23" s="211" t="str">
        <f t="shared" si="7"/>
        <v>CAMPO IV</v>
      </c>
    </row>
    <row r="24" spans="1:9" ht="15.95" customHeight="1">
      <c r="A24" s="207">
        <v>69</v>
      </c>
      <c r="B24" s="159">
        <f t="shared" si="0"/>
        <v>44358</v>
      </c>
      <c r="C24" s="160">
        <f t="shared" si="1"/>
        <v>0.375</v>
      </c>
      <c r="D24" s="161" t="str">
        <f t="shared" ca="1" si="2"/>
        <v>Leoni</v>
      </c>
      <c r="E24" s="208">
        <f t="shared" si="3"/>
        <v>58</v>
      </c>
      <c r="F24" s="208">
        <f t="shared" si="4"/>
        <v>46</v>
      </c>
      <c r="G24" s="209" t="str">
        <f t="shared" ca="1" si="5"/>
        <v>Giaguari</v>
      </c>
      <c r="H24" s="211" t="str">
        <f t="shared" si="6"/>
        <v>1-8</v>
      </c>
      <c r="I24" s="211" t="str">
        <f t="shared" si="7"/>
        <v>CAMPO I</v>
      </c>
    </row>
    <row r="25" spans="1:9" ht="15.95" customHeight="1">
      <c r="A25" s="207">
        <v>70</v>
      </c>
      <c r="B25" s="159">
        <f t="shared" si="0"/>
        <v>44358</v>
      </c>
      <c r="C25" s="160">
        <f t="shared" si="1"/>
        <v>0.375</v>
      </c>
      <c r="D25" s="161" t="str">
        <f t="shared" ca="1" si="2"/>
        <v>Bisonti</v>
      </c>
      <c r="E25" s="208">
        <f t="shared" si="3"/>
        <v>60</v>
      </c>
      <c r="F25" s="208">
        <f t="shared" si="4"/>
        <v>31</v>
      </c>
      <c r="G25" s="209" t="str">
        <f t="shared" ca="1" si="5"/>
        <v>Balene</v>
      </c>
      <c r="H25" s="211" t="str">
        <f t="shared" si="6"/>
        <v>1-8</v>
      </c>
      <c r="I25" s="211" t="str">
        <f t="shared" si="7"/>
        <v>CAMPO II</v>
      </c>
    </row>
    <row r="26" spans="1:9" ht="15.95" customHeight="1">
      <c r="A26" s="207">
        <v>71</v>
      </c>
      <c r="B26" s="159">
        <f t="shared" si="0"/>
        <v>44358</v>
      </c>
      <c r="C26" s="160">
        <f t="shared" si="1"/>
        <v>0.375</v>
      </c>
      <c r="D26" s="161" t="str">
        <f t="shared" ca="1" si="2"/>
        <v>Tigri</v>
      </c>
      <c r="E26" s="208">
        <f t="shared" si="3"/>
        <v>63</v>
      </c>
      <c r="F26" s="208">
        <f t="shared" si="4"/>
        <v>42</v>
      </c>
      <c r="G26" s="209" t="str">
        <f t="shared" ca="1" si="5"/>
        <v>Linci</v>
      </c>
      <c r="H26" s="211" t="str">
        <f t="shared" si="6"/>
        <v>17-24</v>
      </c>
      <c r="I26" s="211" t="str">
        <f t="shared" si="7"/>
        <v>CAMPO III</v>
      </c>
    </row>
    <row r="27" spans="1:9" ht="15.95" customHeight="1">
      <c r="A27" s="207">
        <v>72</v>
      </c>
      <c r="B27" s="159">
        <f t="shared" si="0"/>
        <v>44358</v>
      </c>
      <c r="C27" s="160">
        <f t="shared" si="1"/>
        <v>0.375</v>
      </c>
      <c r="D27" s="161" t="str">
        <f t="shared" ca="1" si="2"/>
        <v>Cervi</v>
      </c>
      <c r="E27" s="208">
        <f t="shared" si="3"/>
        <v>68</v>
      </c>
      <c r="F27" s="208">
        <f t="shared" si="4"/>
        <v>46</v>
      </c>
      <c r="G27" s="209" t="str">
        <f t="shared" ca="1" si="5"/>
        <v>Delfini</v>
      </c>
      <c r="H27" s="211" t="str">
        <f t="shared" si="6"/>
        <v>17-24</v>
      </c>
      <c r="I27" s="211" t="str">
        <f t="shared" si="7"/>
        <v>CAMPO IV</v>
      </c>
    </row>
    <row r="28" spans="1:9" ht="15.95" customHeight="1">
      <c r="A28" s="207">
        <v>73</v>
      </c>
      <c r="B28" s="159">
        <f t="shared" si="0"/>
        <v>44358</v>
      </c>
      <c r="C28" s="160">
        <f t="shared" si="1"/>
        <v>0.45833333333333298</v>
      </c>
      <c r="D28" s="161" t="str">
        <f t="shared" ca="1" si="2"/>
        <v>Pantere</v>
      </c>
      <c r="E28" s="208">
        <f t="shared" si="3"/>
        <v>56</v>
      </c>
      <c r="F28" s="208">
        <f t="shared" si="4"/>
        <v>34</v>
      </c>
      <c r="G28" s="209" t="str">
        <f t="shared" ca="1" si="5"/>
        <v>Coccodrilli</v>
      </c>
      <c r="H28" s="211" t="str">
        <f t="shared" si="6"/>
        <v>1-8</v>
      </c>
      <c r="I28" s="211" t="str">
        <f t="shared" si="7"/>
        <v>CAMPO I</v>
      </c>
    </row>
    <row r="29" spans="1:9" ht="15.95" customHeight="1">
      <c r="A29" s="207">
        <v>74</v>
      </c>
      <c r="B29" s="159">
        <f t="shared" si="0"/>
        <v>44358</v>
      </c>
      <c r="C29" s="160">
        <f t="shared" si="1"/>
        <v>0.45833333333333298</v>
      </c>
      <c r="D29" s="161" t="str">
        <f t="shared" ca="1" si="2"/>
        <v>Istrici</v>
      </c>
      <c r="E29" s="208">
        <f t="shared" si="3"/>
        <v>52</v>
      </c>
      <c r="F29" s="208">
        <f t="shared" si="4"/>
        <v>36</v>
      </c>
      <c r="G29" s="209" t="str">
        <f t="shared" ca="1" si="5"/>
        <v>Piranha</v>
      </c>
      <c r="H29" s="211" t="str">
        <f t="shared" si="6"/>
        <v>1-8</v>
      </c>
      <c r="I29" s="211" t="str">
        <f t="shared" si="7"/>
        <v>CAMPO II</v>
      </c>
    </row>
    <row r="30" spans="1:9" ht="15.95" customHeight="1">
      <c r="A30" s="207">
        <v>75</v>
      </c>
      <c r="B30" s="159">
        <f t="shared" si="0"/>
        <v>44358</v>
      </c>
      <c r="C30" s="160">
        <f t="shared" si="1"/>
        <v>0.45833333333333298</v>
      </c>
      <c r="D30" s="161" t="str">
        <f t="shared" ca="1" si="2"/>
        <v>Ippopotami</v>
      </c>
      <c r="E30" s="208">
        <f t="shared" si="3"/>
        <v>68</v>
      </c>
      <c r="F30" s="208">
        <f t="shared" si="4"/>
        <v>45</v>
      </c>
      <c r="G30" s="209" t="str">
        <f t="shared" ca="1" si="5"/>
        <v>Pitoni</v>
      </c>
      <c r="H30" s="211" t="str">
        <f t="shared" si="6"/>
        <v>17-24</v>
      </c>
      <c r="I30" s="211" t="str">
        <f t="shared" si="7"/>
        <v>CAMPO III</v>
      </c>
    </row>
    <row r="31" spans="1:9" ht="15.95" customHeight="1">
      <c r="A31" s="207">
        <v>76</v>
      </c>
      <c r="B31" s="159">
        <f t="shared" si="0"/>
        <v>44358</v>
      </c>
      <c r="C31" s="160">
        <f t="shared" si="1"/>
        <v>0.45833333333333298</v>
      </c>
      <c r="D31" s="161" t="str">
        <f t="shared" ca="1" si="2"/>
        <v>Orche</v>
      </c>
      <c r="E31" s="208">
        <f t="shared" si="3"/>
        <v>64</v>
      </c>
      <c r="F31" s="208">
        <f t="shared" si="4"/>
        <v>32</v>
      </c>
      <c r="G31" s="209" t="str">
        <f t="shared" ca="1" si="5"/>
        <v>Zebre</v>
      </c>
      <c r="H31" s="211" t="str">
        <f t="shared" si="6"/>
        <v>17-24</v>
      </c>
      <c r="I31" s="211" t="str">
        <f t="shared" si="7"/>
        <v>CAMPO IV</v>
      </c>
    </row>
    <row r="32" spans="1:9" ht="15.95" customHeight="1">
      <c r="A32" s="207">
        <v>77</v>
      </c>
      <c r="B32" s="159">
        <f t="shared" si="0"/>
        <v>44358</v>
      </c>
      <c r="C32" s="160">
        <f t="shared" si="1"/>
        <v>0.64583333333333304</v>
      </c>
      <c r="D32" s="161" t="str">
        <f t="shared" ca="1" si="2"/>
        <v>Elefanti</v>
      </c>
      <c r="E32" s="208">
        <f t="shared" si="3"/>
        <v>56</v>
      </c>
      <c r="F32" s="208">
        <f t="shared" si="4"/>
        <v>36</v>
      </c>
      <c r="G32" s="209" t="str">
        <f t="shared" ca="1" si="5"/>
        <v>Aquile</v>
      </c>
      <c r="H32" s="211" t="str">
        <f t="shared" si="6"/>
        <v>9-16</v>
      </c>
      <c r="I32" s="211" t="str">
        <f t="shared" si="7"/>
        <v>CAMPO I</v>
      </c>
    </row>
    <row r="33" spans="1:9" ht="15.95" customHeight="1">
      <c r="A33" s="207">
        <v>78</v>
      </c>
      <c r="B33" s="159">
        <f t="shared" si="0"/>
        <v>44358</v>
      </c>
      <c r="C33" s="160">
        <f t="shared" si="1"/>
        <v>0.64583333333333304</v>
      </c>
      <c r="D33" s="161" t="str">
        <f t="shared" ca="1" si="2"/>
        <v>Gorilla</v>
      </c>
      <c r="E33" s="208">
        <f t="shared" si="3"/>
        <v>64</v>
      </c>
      <c r="F33" s="208">
        <f t="shared" si="4"/>
        <v>40</v>
      </c>
      <c r="G33" s="209" t="str">
        <f t="shared" ca="1" si="5"/>
        <v>Tonni</v>
      </c>
      <c r="H33" s="211" t="str">
        <f t="shared" si="6"/>
        <v>9-16</v>
      </c>
      <c r="I33" s="211" t="str">
        <f t="shared" si="7"/>
        <v>CAMPO II</v>
      </c>
    </row>
    <row r="34" spans="1:9" ht="15.95" customHeight="1">
      <c r="A34" s="207">
        <v>79</v>
      </c>
      <c r="B34" s="159">
        <f t="shared" si="0"/>
        <v>44358</v>
      </c>
      <c r="C34" s="160">
        <f t="shared" si="1"/>
        <v>0.64583333333333304</v>
      </c>
      <c r="D34" s="161" t="str">
        <f t="shared" ca="1" si="2"/>
        <v>Giraffe</v>
      </c>
      <c r="E34" s="208">
        <f t="shared" si="3"/>
        <v>63</v>
      </c>
      <c r="F34" s="208">
        <f t="shared" si="4"/>
        <v>42</v>
      </c>
      <c r="G34" s="209" t="str">
        <f t="shared" ca="1" si="5"/>
        <v>Puma</v>
      </c>
      <c r="H34" s="211" t="str">
        <f t="shared" si="6"/>
        <v>9-16</v>
      </c>
      <c r="I34" s="211" t="str">
        <f t="shared" si="7"/>
        <v>CAMPO III</v>
      </c>
    </row>
    <row r="35" spans="1:9" ht="15.95" customHeight="1">
      <c r="A35" s="207">
        <v>80</v>
      </c>
      <c r="B35" s="159">
        <f t="shared" si="0"/>
        <v>44358</v>
      </c>
      <c r="C35" s="160">
        <f t="shared" si="1"/>
        <v>0.64583333333333304</v>
      </c>
      <c r="D35" s="161" t="str">
        <f t="shared" ca="1" si="2"/>
        <v>Bufali</v>
      </c>
      <c r="E35" s="208">
        <f t="shared" si="3"/>
        <v>65</v>
      </c>
      <c r="F35" s="208">
        <f t="shared" si="4"/>
        <v>49</v>
      </c>
      <c r="G35" s="209" t="str">
        <f t="shared" ca="1" si="5"/>
        <v>Gabbiani</v>
      </c>
      <c r="H35" s="211" t="str">
        <f t="shared" si="6"/>
        <v>9-16</v>
      </c>
      <c r="I35" s="211" t="str">
        <f t="shared" si="7"/>
        <v>CAMPO IV</v>
      </c>
    </row>
    <row r="36" spans="1:9" ht="15.95" customHeight="1">
      <c r="A36" s="207">
        <v>81</v>
      </c>
      <c r="B36" s="159">
        <f t="shared" ref="B36:B67" si="8">VLOOKUP(A36,INPUT_DATE_E_RISULTATI_2A_FASE,8,0)</f>
        <v>44358</v>
      </c>
      <c r="C36" s="160">
        <f t="shared" ref="C36:C67" si="9">VLOOKUP(A36,INPUT_DATE_E_RISULTATI_2A_FASE,9,0)</f>
        <v>0.70833333333333304</v>
      </c>
      <c r="D36" s="161" t="str">
        <f t="shared" ref="D36:D67" ca="1" si="10">VLOOKUP(A36,INPUT_DATE_E_RISULTATI_2A_FASE,4,0)</f>
        <v>Iguane</v>
      </c>
      <c r="E36" s="208">
        <f t="shared" ref="E36:E67" si="11">VLOOKUP(A36,INPUT_DATE_E_RISULTATI_2A_FASE,6,0)</f>
        <v>55</v>
      </c>
      <c r="F36" s="208">
        <f t="shared" ref="F36:F67" si="12">VLOOKUP(A36,INPUT_DATE_E_RISULTATI_2A_FASE,7,0)</f>
        <v>41</v>
      </c>
      <c r="G36" s="209" t="str">
        <f t="shared" ref="G36:G67" ca="1" si="13">VLOOKUP(A36,INPUT_DATE_E_RISULTATI_2A_FASE,5,0)</f>
        <v>Muli</v>
      </c>
      <c r="H36" s="211" t="str">
        <f t="shared" ref="H36:H67" si="14">VLOOKUP(A36,INPUT_DATE_E_RISULTATI_2A_FASE,3,0)</f>
        <v>25-28</v>
      </c>
      <c r="I36" s="211" t="str">
        <f t="shared" ref="I36:I67" si="15">VLOOKUP(A36,INPUT_DATE_E_RISULTATI_2A_FASE,11,0)</f>
        <v>CAMPO I</v>
      </c>
    </row>
    <row r="37" spans="1:9" ht="15.95" customHeight="1">
      <c r="A37" s="207">
        <v>82</v>
      </c>
      <c r="B37" s="159">
        <f t="shared" si="8"/>
        <v>44358</v>
      </c>
      <c r="C37" s="160">
        <f t="shared" si="9"/>
        <v>0.70833333333333304</v>
      </c>
      <c r="D37" s="161" t="str">
        <f t="shared" ca="1" si="10"/>
        <v>Delfini</v>
      </c>
      <c r="E37" s="208">
        <f t="shared" si="11"/>
        <v>63</v>
      </c>
      <c r="F37" s="208">
        <f t="shared" si="12"/>
        <v>37</v>
      </c>
      <c r="G37" s="209" t="str">
        <f t="shared" ca="1" si="13"/>
        <v>Ghepardi</v>
      </c>
      <c r="H37" s="211" t="str">
        <f t="shared" si="14"/>
        <v>25-28</v>
      </c>
      <c r="I37" s="211" t="str">
        <f t="shared" si="15"/>
        <v>CAMPO II</v>
      </c>
    </row>
    <row r="38" spans="1:9" ht="15.95" customHeight="1">
      <c r="A38" s="207">
        <v>83</v>
      </c>
      <c r="B38" s="159">
        <f t="shared" si="8"/>
        <v>44358</v>
      </c>
      <c r="C38" s="160">
        <f t="shared" si="9"/>
        <v>0.70833333333333304</v>
      </c>
      <c r="D38" s="161" t="str">
        <f t="shared" ca="1" si="10"/>
        <v>Falchi</v>
      </c>
      <c r="E38" s="208">
        <f t="shared" si="11"/>
        <v>52</v>
      </c>
      <c r="F38" s="208">
        <f t="shared" si="12"/>
        <v>40</v>
      </c>
      <c r="G38" s="209" t="str">
        <f t="shared" ca="1" si="13"/>
        <v>Scorpioni</v>
      </c>
      <c r="H38" s="211" t="str">
        <f t="shared" si="14"/>
        <v>29-32</v>
      </c>
      <c r="I38" s="211" t="str">
        <f t="shared" si="15"/>
        <v>CAMPO III</v>
      </c>
    </row>
    <row r="39" spans="1:9" ht="15.95" customHeight="1">
      <c r="A39" s="207">
        <v>84</v>
      </c>
      <c r="B39" s="159">
        <f t="shared" si="8"/>
        <v>44358</v>
      </c>
      <c r="C39" s="160">
        <f t="shared" si="9"/>
        <v>0.70833333333333304</v>
      </c>
      <c r="D39" s="161" t="str">
        <f t="shared" ca="1" si="10"/>
        <v>Scorpioni</v>
      </c>
      <c r="E39" s="208">
        <f t="shared" si="11"/>
        <v>52</v>
      </c>
      <c r="F39" s="208">
        <f t="shared" si="12"/>
        <v>36</v>
      </c>
      <c r="G39" s="209" t="str">
        <f t="shared" ca="1" si="13"/>
        <v>Serval</v>
      </c>
      <c r="H39" s="211" t="str">
        <f t="shared" si="14"/>
        <v>29-32</v>
      </c>
      <c r="I39" s="211" t="str">
        <f t="shared" si="15"/>
        <v>CAMPO IV</v>
      </c>
    </row>
    <row r="40" spans="1:9" ht="15.95" customHeight="1">
      <c r="A40" s="207">
        <v>85</v>
      </c>
      <c r="B40" s="159">
        <f t="shared" si="8"/>
        <v>44358</v>
      </c>
      <c r="C40" s="160">
        <f t="shared" si="9"/>
        <v>0.77083333333333304</v>
      </c>
      <c r="D40" s="161" t="str">
        <f t="shared" ca="1" si="10"/>
        <v>Giaguari</v>
      </c>
      <c r="E40" s="208">
        <f t="shared" si="11"/>
        <v>70</v>
      </c>
      <c r="F40" s="208">
        <f t="shared" si="12"/>
        <v>42</v>
      </c>
      <c r="G40" s="209" t="str">
        <f t="shared" ca="1" si="13"/>
        <v>Balene</v>
      </c>
      <c r="H40" s="211" t="str">
        <f t="shared" si="14"/>
        <v>5-8</v>
      </c>
      <c r="I40" s="211" t="str">
        <f t="shared" si="15"/>
        <v>CAMPO I</v>
      </c>
    </row>
    <row r="41" spans="1:9" ht="15.95" customHeight="1">
      <c r="A41" s="207">
        <v>86</v>
      </c>
      <c r="B41" s="159">
        <f t="shared" si="8"/>
        <v>44358</v>
      </c>
      <c r="C41" s="160">
        <f t="shared" si="9"/>
        <v>0.77083333333333304</v>
      </c>
      <c r="D41" s="161" t="str">
        <f t="shared" ca="1" si="10"/>
        <v>Coccodrilli</v>
      </c>
      <c r="E41" s="208">
        <f t="shared" si="11"/>
        <v>55</v>
      </c>
      <c r="F41" s="208">
        <f t="shared" si="12"/>
        <v>35</v>
      </c>
      <c r="G41" s="209" t="str">
        <f t="shared" ca="1" si="13"/>
        <v>Piranha</v>
      </c>
      <c r="H41" s="211" t="str">
        <f t="shared" si="14"/>
        <v>5-8</v>
      </c>
      <c r="I41" s="211" t="str">
        <f t="shared" si="15"/>
        <v>CAMPO II</v>
      </c>
    </row>
    <row r="42" spans="1:9" ht="15.95" customHeight="1">
      <c r="A42" s="207">
        <v>87</v>
      </c>
      <c r="B42" s="159">
        <f t="shared" si="8"/>
        <v>44358</v>
      </c>
      <c r="C42" s="160">
        <f t="shared" si="9"/>
        <v>0.85416666666666696</v>
      </c>
      <c r="D42" s="161" t="str">
        <f t="shared" ca="1" si="10"/>
        <v>Leoni</v>
      </c>
      <c r="E42" s="208">
        <f t="shared" si="11"/>
        <v>66</v>
      </c>
      <c r="F42" s="208">
        <f t="shared" si="12"/>
        <v>31</v>
      </c>
      <c r="G42" s="209" t="str">
        <f t="shared" ca="1" si="13"/>
        <v>Bisonti</v>
      </c>
      <c r="H42" s="211" t="str">
        <f t="shared" si="14"/>
        <v>1-4</v>
      </c>
      <c r="I42" s="211" t="str">
        <f t="shared" si="15"/>
        <v>CAMPO III</v>
      </c>
    </row>
    <row r="43" spans="1:9" ht="15.95" customHeight="1">
      <c r="A43" s="207">
        <v>88</v>
      </c>
      <c r="B43" s="159">
        <f t="shared" si="8"/>
        <v>44358</v>
      </c>
      <c r="C43" s="160">
        <f t="shared" si="9"/>
        <v>0.91666666666666696</v>
      </c>
      <c r="D43" s="161" t="str">
        <f t="shared" ca="1" si="10"/>
        <v>Pantere</v>
      </c>
      <c r="E43" s="208">
        <f t="shared" si="11"/>
        <v>68</v>
      </c>
      <c r="F43" s="208">
        <f t="shared" si="12"/>
        <v>47</v>
      </c>
      <c r="G43" s="209" t="str">
        <f t="shared" ca="1" si="13"/>
        <v>Istrici</v>
      </c>
      <c r="H43" s="211" t="str">
        <f t="shared" si="14"/>
        <v>1-4</v>
      </c>
      <c r="I43" s="211" t="str">
        <f t="shared" si="15"/>
        <v>CAMPO III</v>
      </c>
    </row>
    <row r="44" spans="1:9" ht="15.95" customHeight="1">
      <c r="A44" s="207">
        <v>89</v>
      </c>
      <c r="B44" s="159">
        <f t="shared" si="8"/>
        <v>44359</v>
      </c>
      <c r="C44" s="160">
        <f t="shared" si="9"/>
        <v>0.375</v>
      </c>
      <c r="D44" s="161" t="str">
        <f t="shared" ca="1" si="10"/>
        <v>Elefanti</v>
      </c>
      <c r="E44" s="208">
        <f t="shared" si="11"/>
        <v>66</v>
      </c>
      <c r="F44" s="208">
        <f t="shared" si="12"/>
        <v>32</v>
      </c>
      <c r="G44" s="209" t="str">
        <f t="shared" ca="1" si="13"/>
        <v>Gorilla</v>
      </c>
      <c r="H44" s="211" t="str">
        <f t="shared" si="14"/>
        <v>9-12</v>
      </c>
      <c r="I44" s="211" t="str">
        <f t="shared" si="15"/>
        <v>CAMPO I</v>
      </c>
    </row>
    <row r="45" spans="1:9" ht="15.95" customHeight="1">
      <c r="A45" s="207">
        <v>90</v>
      </c>
      <c r="B45" s="159">
        <f t="shared" si="8"/>
        <v>44359</v>
      </c>
      <c r="C45" s="160">
        <f t="shared" si="9"/>
        <v>0.375</v>
      </c>
      <c r="D45" s="161" t="str">
        <f t="shared" ca="1" si="10"/>
        <v>Giraffe</v>
      </c>
      <c r="E45" s="208">
        <f t="shared" si="11"/>
        <v>52</v>
      </c>
      <c r="F45" s="208">
        <f t="shared" si="12"/>
        <v>30</v>
      </c>
      <c r="G45" s="209" t="str">
        <f t="shared" ca="1" si="13"/>
        <v>Bufali</v>
      </c>
      <c r="H45" s="211" t="str">
        <f t="shared" si="14"/>
        <v>9-12</v>
      </c>
      <c r="I45" s="211" t="str">
        <f t="shared" si="15"/>
        <v>CAMPO II</v>
      </c>
    </row>
    <row r="46" spans="1:9" ht="15.95" customHeight="1">
      <c r="A46" s="207">
        <v>91</v>
      </c>
      <c r="B46" s="159">
        <f t="shared" si="8"/>
        <v>44359</v>
      </c>
      <c r="C46" s="160">
        <f t="shared" si="9"/>
        <v>0.375</v>
      </c>
      <c r="D46" s="161" t="str">
        <f t="shared" ca="1" si="10"/>
        <v>Aquile</v>
      </c>
      <c r="E46" s="208">
        <f t="shared" si="11"/>
        <v>54</v>
      </c>
      <c r="F46" s="208">
        <f t="shared" si="12"/>
        <v>36</v>
      </c>
      <c r="G46" s="209" t="str">
        <f t="shared" ca="1" si="13"/>
        <v>Tonni</v>
      </c>
      <c r="H46" s="211" t="str">
        <f t="shared" si="14"/>
        <v>13-16</v>
      </c>
      <c r="I46" s="211" t="str">
        <f t="shared" si="15"/>
        <v>CAMPO III</v>
      </c>
    </row>
    <row r="47" spans="1:9" ht="15.95" customHeight="1">
      <c r="A47" s="207">
        <v>92</v>
      </c>
      <c r="B47" s="159">
        <f t="shared" si="8"/>
        <v>44359</v>
      </c>
      <c r="C47" s="160">
        <f t="shared" si="9"/>
        <v>0.375</v>
      </c>
      <c r="D47" s="161" t="str">
        <f t="shared" ca="1" si="10"/>
        <v>Puma</v>
      </c>
      <c r="E47" s="208">
        <f t="shared" si="11"/>
        <v>64</v>
      </c>
      <c r="F47" s="208">
        <f t="shared" si="12"/>
        <v>33</v>
      </c>
      <c r="G47" s="209" t="str">
        <f t="shared" ca="1" si="13"/>
        <v>Gabbiani</v>
      </c>
      <c r="H47" s="211" t="str">
        <f t="shared" si="14"/>
        <v>13-16</v>
      </c>
      <c r="I47" s="211" t="str">
        <f t="shared" si="15"/>
        <v>CAMPO IV</v>
      </c>
    </row>
    <row r="48" spans="1:9" ht="15.95" customHeight="1">
      <c r="A48" s="207">
        <v>93</v>
      </c>
      <c r="B48" s="159">
        <f t="shared" si="8"/>
        <v>44359</v>
      </c>
      <c r="C48" s="160">
        <f t="shared" si="9"/>
        <v>0.45833333333333298</v>
      </c>
      <c r="D48" s="161" t="str">
        <f t="shared" ca="1" si="10"/>
        <v>Tigri</v>
      </c>
      <c r="E48" s="208">
        <f t="shared" si="11"/>
        <v>57</v>
      </c>
      <c r="F48" s="208">
        <f t="shared" si="12"/>
        <v>49</v>
      </c>
      <c r="G48" s="209" t="str">
        <f t="shared" ca="1" si="13"/>
        <v>Cervi</v>
      </c>
      <c r="H48" s="211" t="str">
        <f t="shared" si="14"/>
        <v>17-20</v>
      </c>
      <c r="I48" s="211" t="str">
        <f t="shared" si="15"/>
        <v>CAMPO I</v>
      </c>
    </row>
    <row r="49" spans="1:9" ht="15.95" customHeight="1">
      <c r="A49" s="207">
        <v>94</v>
      </c>
      <c r="B49" s="159">
        <f t="shared" si="8"/>
        <v>44359</v>
      </c>
      <c r="C49" s="160">
        <f t="shared" si="9"/>
        <v>0.45833333333333298</v>
      </c>
      <c r="D49" s="161" t="str">
        <f t="shared" ca="1" si="10"/>
        <v>Ippopotami</v>
      </c>
      <c r="E49" s="208">
        <f t="shared" si="11"/>
        <v>56</v>
      </c>
      <c r="F49" s="208">
        <f t="shared" si="12"/>
        <v>42</v>
      </c>
      <c r="G49" s="209" t="str">
        <f t="shared" ca="1" si="13"/>
        <v>Orche</v>
      </c>
      <c r="H49" s="211" t="str">
        <f t="shared" si="14"/>
        <v>17-20</v>
      </c>
      <c r="I49" s="211" t="str">
        <f t="shared" si="15"/>
        <v>CAMPO II</v>
      </c>
    </row>
    <row r="50" spans="1:9" ht="15.95" customHeight="1">
      <c r="A50" s="207">
        <v>95</v>
      </c>
      <c r="B50" s="159">
        <f t="shared" si="8"/>
        <v>44359</v>
      </c>
      <c r="C50" s="160">
        <f t="shared" si="9"/>
        <v>0.45833333333333298</v>
      </c>
      <c r="D50" s="161" t="str">
        <f t="shared" ca="1" si="10"/>
        <v>Linci</v>
      </c>
      <c r="E50" s="208">
        <f t="shared" si="11"/>
        <v>53</v>
      </c>
      <c r="F50" s="208">
        <f t="shared" si="12"/>
        <v>49</v>
      </c>
      <c r="G50" s="209" t="str">
        <f t="shared" ca="1" si="13"/>
        <v>Delfini</v>
      </c>
      <c r="H50" s="211" t="str">
        <f t="shared" si="14"/>
        <v>21-24</v>
      </c>
      <c r="I50" s="211" t="str">
        <f t="shared" si="15"/>
        <v>CAMPO III</v>
      </c>
    </row>
    <row r="51" spans="1:9" ht="15.95" customHeight="1">
      <c r="A51" s="207">
        <v>96</v>
      </c>
      <c r="B51" s="159">
        <f t="shared" si="8"/>
        <v>44359</v>
      </c>
      <c r="C51" s="160">
        <f t="shared" si="9"/>
        <v>0.45833333333333298</v>
      </c>
      <c r="D51" s="161" t="str">
        <f t="shared" ca="1" si="10"/>
        <v>Pitoni</v>
      </c>
      <c r="E51" s="208">
        <f t="shared" si="11"/>
        <v>63</v>
      </c>
      <c r="F51" s="208">
        <f t="shared" si="12"/>
        <v>34</v>
      </c>
      <c r="G51" s="209" t="str">
        <f t="shared" ca="1" si="13"/>
        <v>Zebre</v>
      </c>
      <c r="H51" s="211" t="str">
        <f t="shared" si="14"/>
        <v>21-24</v>
      </c>
      <c r="I51" s="211" t="str">
        <f t="shared" si="15"/>
        <v>CAMPO IV</v>
      </c>
    </row>
    <row r="52" spans="1:9" ht="15.95" customHeight="1">
      <c r="A52" s="207">
        <v>97</v>
      </c>
      <c r="B52" s="159">
        <f t="shared" si="8"/>
        <v>44359</v>
      </c>
      <c r="C52" s="160">
        <f t="shared" si="9"/>
        <v>0.64583333333333304</v>
      </c>
      <c r="D52" s="161" t="str">
        <f t="shared" ca="1" si="10"/>
        <v>Scorpioni</v>
      </c>
      <c r="E52" s="208">
        <f t="shared" si="11"/>
        <v>53</v>
      </c>
      <c r="F52" s="208">
        <f t="shared" si="12"/>
        <v>32</v>
      </c>
      <c r="G52" s="209" t="str">
        <f t="shared" ca="1" si="13"/>
        <v>Serval</v>
      </c>
      <c r="H52" s="211" t="str">
        <f t="shared" si="14"/>
        <v>31-32</v>
      </c>
      <c r="I52" s="211" t="str">
        <f t="shared" si="15"/>
        <v>CAMPO I</v>
      </c>
    </row>
    <row r="53" spans="1:9">
      <c r="A53" s="207">
        <v>98</v>
      </c>
      <c r="B53" s="159">
        <f t="shared" si="8"/>
        <v>44359</v>
      </c>
      <c r="C53" s="160">
        <f t="shared" si="9"/>
        <v>0.64583333333333304</v>
      </c>
      <c r="D53" s="161" t="str">
        <f t="shared" ca="1" si="10"/>
        <v>Falchi</v>
      </c>
      <c r="E53" s="208">
        <f t="shared" si="11"/>
        <v>50</v>
      </c>
      <c r="F53" s="208">
        <f t="shared" si="12"/>
        <v>38</v>
      </c>
      <c r="G53" s="209" t="str">
        <f t="shared" ca="1" si="13"/>
        <v>Scorpioni</v>
      </c>
      <c r="H53" s="211" t="str">
        <f t="shared" si="14"/>
        <v>29-30</v>
      </c>
      <c r="I53" s="211" t="str">
        <f t="shared" si="15"/>
        <v>CAMPO II</v>
      </c>
    </row>
    <row r="54" spans="1:9">
      <c r="A54" s="207">
        <v>99</v>
      </c>
      <c r="B54" s="159">
        <f t="shared" si="8"/>
        <v>44359</v>
      </c>
      <c r="C54" s="160">
        <f t="shared" si="9"/>
        <v>0.64583333333333304</v>
      </c>
      <c r="D54" s="161" t="str">
        <f t="shared" ca="1" si="10"/>
        <v>Muli</v>
      </c>
      <c r="E54" s="208">
        <f t="shared" si="11"/>
        <v>62</v>
      </c>
      <c r="F54" s="208">
        <f t="shared" si="12"/>
        <v>47</v>
      </c>
      <c r="G54" s="209" t="str">
        <f t="shared" ca="1" si="13"/>
        <v>Ghepardi</v>
      </c>
      <c r="H54" s="211" t="str">
        <f t="shared" si="14"/>
        <v>27-28</v>
      </c>
      <c r="I54" s="211" t="str">
        <f t="shared" si="15"/>
        <v>CAMPO III</v>
      </c>
    </row>
    <row r="55" spans="1:9">
      <c r="A55" s="207">
        <v>100</v>
      </c>
      <c r="B55" s="159">
        <f t="shared" si="8"/>
        <v>44359</v>
      </c>
      <c r="C55" s="160">
        <f t="shared" si="9"/>
        <v>0.64583333333333304</v>
      </c>
      <c r="D55" s="161" t="str">
        <f t="shared" ca="1" si="10"/>
        <v>Iguane</v>
      </c>
      <c r="E55" s="208">
        <f t="shared" si="11"/>
        <v>69</v>
      </c>
      <c r="F55" s="208">
        <f t="shared" si="12"/>
        <v>31</v>
      </c>
      <c r="G55" s="209" t="str">
        <f t="shared" ca="1" si="13"/>
        <v>Delfini</v>
      </c>
      <c r="H55" s="211" t="str">
        <f t="shared" si="14"/>
        <v>25-26</v>
      </c>
      <c r="I55" s="211" t="str">
        <f t="shared" si="15"/>
        <v>CAMPO IV</v>
      </c>
    </row>
    <row r="56" spans="1:9">
      <c r="A56" s="207">
        <v>101</v>
      </c>
      <c r="B56" s="159">
        <f t="shared" si="8"/>
        <v>44359</v>
      </c>
      <c r="C56" s="160">
        <f t="shared" si="9"/>
        <v>0.70833333333333304</v>
      </c>
      <c r="D56" s="161" t="str">
        <f t="shared" ca="1" si="10"/>
        <v>Delfini</v>
      </c>
      <c r="E56" s="208">
        <f t="shared" si="11"/>
        <v>62</v>
      </c>
      <c r="F56" s="208">
        <f t="shared" si="12"/>
        <v>38</v>
      </c>
      <c r="G56" s="209" t="str">
        <f t="shared" ca="1" si="13"/>
        <v>Zebre</v>
      </c>
      <c r="H56" s="211" t="str">
        <f t="shared" si="14"/>
        <v>23-24</v>
      </c>
      <c r="I56" s="211" t="str">
        <f t="shared" si="15"/>
        <v>CAMPO I</v>
      </c>
    </row>
    <row r="57" spans="1:9">
      <c r="A57" s="207">
        <v>102</v>
      </c>
      <c r="B57" s="159">
        <f t="shared" si="8"/>
        <v>44359</v>
      </c>
      <c r="C57" s="160">
        <f t="shared" si="9"/>
        <v>0.70833333333333304</v>
      </c>
      <c r="D57" s="161" t="str">
        <f t="shared" ca="1" si="10"/>
        <v>Linci</v>
      </c>
      <c r="E57" s="208">
        <f t="shared" si="11"/>
        <v>52</v>
      </c>
      <c r="F57" s="208">
        <f t="shared" si="12"/>
        <v>39</v>
      </c>
      <c r="G57" s="209" t="str">
        <f t="shared" ca="1" si="13"/>
        <v>Pitoni</v>
      </c>
      <c r="H57" s="211" t="str">
        <f t="shared" si="14"/>
        <v>21-22</v>
      </c>
      <c r="I57" s="211" t="str">
        <f t="shared" si="15"/>
        <v>CAMPO II</v>
      </c>
    </row>
    <row r="58" spans="1:9">
      <c r="A58" s="207">
        <v>103</v>
      </c>
      <c r="B58" s="159">
        <f t="shared" si="8"/>
        <v>44359</v>
      </c>
      <c r="C58" s="160">
        <f t="shared" si="9"/>
        <v>0.70833333333333304</v>
      </c>
      <c r="D58" s="161" t="str">
        <f t="shared" ca="1" si="10"/>
        <v>Cervi</v>
      </c>
      <c r="E58" s="208">
        <f t="shared" si="11"/>
        <v>68</v>
      </c>
      <c r="F58" s="208">
        <f t="shared" si="12"/>
        <v>37</v>
      </c>
      <c r="G58" s="209" t="str">
        <f t="shared" ca="1" si="13"/>
        <v>Orche</v>
      </c>
      <c r="H58" s="211" t="str">
        <f t="shared" si="14"/>
        <v>19-20</v>
      </c>
      <c r="I58" s="211" t="str">
        <f t="shared" si="15"/>
        <v>CAMPO III</v>
      </c>
    </row>
    <row r="59" spans="1:9">
      <c r="A59" s="207">
        <v>104</v>
      </c>
      <c r="B59" s="159">
        <f t="shared" si="8"/>
        <v>44359</v>
      </c>
      <c r="C59" s="160">
        <f t="shared" si="9"/>
        <v>0.70833333333333304</v>
      </c>
      <c r="D59" s="161" t="str">
        <f t="shared" ca="1" si="10"/>
        <v>Tigri</v>
      </c>
      <c r="E59" s="208">
        <f t="shared" si="11"/>
        <v>52</v>
      </c>
      <c r="F59" s="208">
        <f t="shared" si="12"/>
        <v>46</v>
      </c>
      <c r="G59" s="209" t="str">
        <f t="shared" ca="1" si="13"/>
        <v>Ippopotami</v>
      </c>
      <c r="H59" s="211" t="str">
        <f t="shared" si="14"/>
        <v>17-18</v>
      </c>
      <c r="I59" s="211" t="str">
        <f t="shared" si="15"/>
        <v>CAMPO IV</v>
      </c>
    </row>
    <row r="60" spans="1:9">
      <c r="A60" s="207">
        <v>105</v>
      </c>
      <c r="B60" s="159">
        <f t="shared" si="8"/>
        <v>44359</v>
      </c>
      <c r="C60" s="160">
        <f t="shared" si="9"/>
        <v>0.77083333333333304</v>
      </c>
      <c r="D60" s="161" t="str">
        <f t="shared" ca="1" si="10"/>
        <v>Tonni</v>
      </c>
      <c r="E60" s="208">
        <f t="shared" si="11"/>
        <v>60</v>
      </c>
      <c r="F60" s="208">
        <f t="shared" si="12"/>
        <v>42</v>
      </c>
      <c r="G60" s="209" t="str">
        <f t="shared" ca="1" si="13"/>
        <v>Gabbiani</v>
      </c>
      <c r="H60" s="211" t="str">
        <f t="shared" si="14"/>
        <v>15-16</v>
      </c>
      <c r="I60" s="211" t="str">
        <f t="shared" si="15"/>
        <v>CAMPO I</v>
      </c>
    </row>
    <row r="61" spans="1:9">
      <c r="A61" s="207">
        <v>106</v>
      </c>
      <c r="B61" s="159">
        <f t="shared" si="8"/>
        <v>44359</v>
      </c>
      <c r="C61" s="160">
        <f t="shared" si="9"/>
        <v>0.77083333333333304</v>
      </c>
      <c r="D61" s="161" t="str">
        <f t="shared" ca="1" si="10"/>
        <v>Aquile</v>
      </c>
      <c r="E61" s="208">
        <f t="shared" si="11"/>
        <v>65</v>
      </c>
      <c r="F61" s="208">
        <f t="shared" si="12"/>
        <v>45</v>
      </c>
      <c r="G61" s="209" t="str">
        <f t="shared" ca="1" si="13"/>
        <v>Puma</v>
      </c>
      <c r="H61" s="211" t="str">
        <f t="shared" si="14"/>
        <v>13-14</v>
      </c>
      <c r="I61" s="211" t="str">
        <f t="shared" si="15"/>
        <v>CAMPO II</v>
      </c>
    </row>
    <row r="62" spans="1:9">
      <c r="A62" s="207">
        <v>107</v>
      </c>
      <c r="B62" s="159">
        <f t="shared" si="8"/>
        <v>44359</v>
      </c>
      <c r="C62" s="160">
        <f t="shared" si="9"/>
        <v>0.77083333333333304</v>
      </c>
      <c r="D62" s="161" t="str">
        <f t="shared" ca="1" si="10"/>
        <v>Gorilla</v>
      </c>
      <c r="E62" s="208">
        <f t="shared" si="11"/>
        <v>50</v>
      </c>
      <c r="F62" s="208">
        <f t="shared" si="12"/>
        <v>47</v>
      </c>
      <c r="G62" s="209" t="str">
        <f t="shared" ca="1" si="13"/>
        <v>Bufali</v>
      </c>
      <c r="H62" s="211" t="str">
        <f t="shared" si="14"/>
        <v>11-12</v>
      </c>
      <c r="I62" s="211" t="str">
        <f t="shared" si="15"/>
        <v>CAMPO III</v>
      </c>
    </row>
    <row r="63" spans="1:9">
      <c r="A63" s="207">
        <v>108</v>
      </c>
      <c r="B63" s="159">
        <f t="shared" si="8"/>
        <v>44359</v>
      </c>
      <c r="C63" s="160">
        <f t="shared" si="9"/>
        <v>0.77083333333333304</v>
      </c>
      <c r="D63" s="161" t="str">
        <f t="shared" ca="1" si="10"/>
        <v>Elefanti</v>
      </c>
      <c r="E63" s="208">
        <f t="shared" si="11"/>
        <v>69</v>
      </c>
      <c r="F63" s="208">
        <f t="shared" si="12"/>
        <v>40</v>
      </c>
      <c r="G63" s="209" t="str">
        <f t="shared" ca="1" si="13"/>
        <v>Giraffe</v>
      </c>
      <c r="H63" s="211" t="str">
        <f t="shared" si="14"/>
        <v>09-10</v>
      </c>
      <c r="I63" s="211" t="str">
        <f t="shared" si="15"/>
        <v>CAMPO IV</v>
      </c>
    </row>
    <row r="64" spans="1:9">
      <c r="A64" s="207">
        <v>109</v>
      </c>
      <c r="B64" s="159">
        <f t="shared" si="8"/>
        <v>44359</v>
      </c>
      <c r="C64" s="160">
        <f t="shared" si="9"/>
        <v>0.875</v>
      </c>
      <c r="D64" s="161" t="str">
        <f t="shared" ca="1" si="10"/>
        <v>Giaguari</v>
      </c>
      <c r="E64" s="208">
        <f t="shared" si="11"/>
        <v>55</v>
      </c>
      <c r="F64" s="208">
        <f t="shared" si="12"/>
        <v>48</v>
      </c>
      <c r="G64" s="209" t="str">
        <f t="shared" ca="1" si="13"/>
        <v>Coccodrilli</v>
      </c>
      <c r="H64" s="211" t="str">
        <f t="shared" si="14"/>
        <v>5-6</v>
      </c>
      <c r="I64" s="211" t="str">
        <f t="shared" si="15"/>
        <v>CAMPO III</v>
      </c>
    </row>
    <row r="65" spans="1:9">
      <c r="A65" s="207">
        <v>110</v>
      </c>
      <c r="B65" s="159">
        <f t="shared" si="8"/>
        <v>44359</v>
      </c>
      <c r="C65" s="160">
        <f t="shared" si="9"/>
        <v>0.875</v>
      </c>
      <c r="D65" s="161" t="str">
        <f t="shared" ca="1" si="10"/>
        <v>Balene</v>
      </c>
      <c r="E65" s="208">
        <f t="shared" si="11"/>
        <v>52</v>
      </c>
      <c r="F65" s="208">
        <f t="shared" si="12"/>
        <v>49</v>
      </c>
      <c r="G65" s="209" t="str">
        <f t="shared" ca="1" si="13"/>
        <v>Piranha</v>
      </c>
      <c r="H65" s="211" t="str">
        <f t="shared" si="14"/>
        <v>7-8</v>
      </c>
      <c r="I65" s="211" t="str">
        <f t="shared" si="15"/>
        <v>CAMPO IV</v>
      </c>
    </row>
    <row r="66" spans="1:9">
      <c r="A66" s="207">
        <v>111</v>
      </c>
      <c r="B66" s="159">
        <f t="shared" si="8"/>
        <v>44360</v>
      </c>
      <c r="C66" s="160">
        <f t="shared" si="9"/>
        <v>0.375</v>
      </c>
      <c r="D66" s="161" t="str">
        <f t="shared" ca="1" si="10"/>
        <v>Bisonti</v>
      </c>
      <c r="E66" s="208">
        <f t="shared" si="11"/>
        <v>65</v>
      </c>
      <c r="F66" s="208">
        <f t="shared" si="12"/>
        <v>45</v>
      </c>
      <c r="G66" s="209" t="str">
        <f t="shared" ca="1" si="13"/>
        <v>Istrici</v>
      </c>
      <c r="H66" s="211" t="str">
        <f t="shared" si="14"/>
        <v>3-4</v>
      </c>
      <c r="I66" s="211" t="str">
        <f t="shared" si="15"/>
        <v>CAMPO III</v>
      </c>
    </row>
    <row r="67" spans="1:9">
      <c r="A67" s="207">
        <v>112</v>
      </c>
      <c r="B67" s="159">
        <f t="shared" si="8"/>
        <v>44360</v>
      </c>
      <c r="C67" s="160">
        <f t="shared" si="9"/>
        <v>0.4375</v>
      </c>
      <c r="D67" s="161" t="str">
        <f t="shared" ca="1" si="10"/>
        <v>Leoni</v>
      </c>
      <c r="E67" s="208">
        <f t="shared" si="11"/>
        <v>69</v>
      </c>
      <c r="F67" s="208">
        <f t="shared" si="12"/>
        <v>42</v>
      </c>
      <c r="G67" s="209" t="str">
        <f t="shared" ca="1" si="13"/>
        <v>Pantere</v>
      </c>
      <c r="H67" s="211" t="str">
        <f t="shared" si="14"/>
        <v>1-2</v>
      </c>
      <c r="I67" s="211" t="str">
        <f t="shared" si="15"/>
        <v>CAMPO III</v>
      </c>
    </row>
  </sheetData>
  <sheetProtection sheet="1" objects="1" scenarios="1" insertColumns="0" insertRows="0" deleteColumns="0" deleteRows="0"/>
  <mergeCells count="3">
    <mergeCell ref="B1:I1"/>
    <mergeCell ref="B2:I2"/>
    <mergeCell ref="E3:F3"/>
  </mergeCells>
  <conditionalFormatting sqref="B5:D67">
    <cfRule type="expression" priority="2">
      <formula>IF(#REF!=CONCATENATE($D4,"_win"),1,0)</formula>
    </cfRule>
  </conditionalFormatting>
  <conditionalFormatting sqref="G4:G67 H4 B4:D67">
    <cfRule type="expression" priority="3">
      <formula>IF(#REF!=CONCATENATE($G4,"_win"),1,0)</formula>
    </cfRule>
  </conditionalFormatting>
  <conditionalFormatting sqref="G3:I3 B3:E3">
    <cfRule type="expression" priority="4">
      <formula>#REF!="Black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37"/>
  <sheetViews>
    <sheetView zoomScale="140" zoomScaleNormal="140" workbookViewId="0"/>
  </sheetViews>
  <sheetFormatPr defaultColWidth="11.5703125" defaultRowHeight="12.75"/>
  <cols>
    <col min="1" max="1" width="4.85546875" style="15" customWidth="1"/>
    <col min="2" max="2" width="17.85546875" style="15" customWidth="1"/>
    <col min="3" max="3" width="4.85546875" style="15" customWidth="1"/>
    <col min="4" max="5" width="4.28515625" style="15" customWidth="1"/>
    <col min="6" max="6" width="4.85546875" style="15" customWidth="1"/>
    <col min="7" max="7" width="17.85546875" style="15" customWidth="1"/>
    <col min="8" max="8" width="4.85546875" style="15" customWidth="1"/>
    <col min="9" max="10" width="4.28515625" style="15" customWidth="1"/>
    <col min="11" max="11" width="4.85546875" style="15" customWidth="1"/>
    <col min="12" max="12" width="17.85546875" style="15" customWidth="1"/>
    <col min="13" max="13" width="4.85546875" style="15" customWidth="1"/>
    <col min="14" max="15" width="4.28515625" style="15" customWidth="1"/>
    <col min="16" max="16" width="4.85546875" style="15" customWidth="1"/>
    <col min="17" max="17" width="17.85546875" style="15" customWidth="1"/>
    <col min="18" max="18" width="4.85546875" style="15" customWidth="1"/>
    <col min="19" max="19" width="4.28515625" style="15" customWidth="1"/>
    <col min="20" max="64" width="11.5703125" style="15"/>
  </cols>
  <sheetData>
    <row r="1" spans="1:19" ht="20.25">
      <c r="A1" s="4" t="str">
        <f>VLOOKUP("NOME_TORNEO",INPUT_DATI_TORNEO,2,0)&amp;" "&amp;VLOOKUP("STAGIONE",INPUT_DATI_TORNEO,2,0)</f>
        <v>Torneo dell’Estate 2021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7" t="s">
        <v>408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</row>
    <row r="4" spans="1:19">
      <c r="A4" s="3" t="s">
        <v>409</v>
      </c>
      <c r="B4" s="3"/>
      <c r="C4" s="3"/>
      <c r="D4" s="213"/>
      <c r="E4" s="212"/>
      <c r="F4" s="3" t="s">
        <v>410</v>
      </c>
      <c r="G4" s="3"/>
      <c r="H4" s="3"/>
      <c r="I4" s="212"/>
      <c r="J4" s="212"/>
      <c r="K4" s="3" t="s">
        <v>411</v>
      </c>
      <c r="L4" s="3"/>
      <c r="M4" s="3"/>
      <c r="N4" s="212"/>
      <c r="O4" s="212"/>
      <c r="P4" s="3" t="s">
        <v>412</v>
      </c>
      <c r="Q4" s="3"/>
      <c r="R4" s="3"/>
      <c r="S4" s="213"/>
    </row>
    <row r="5" spans="1:19">
      <c r="A5" s="3"/>
      <c r="B5" s="3"/>
      <c r="C5" s="3"/>
      <c r="D5" s="213"/>
      <c r="E5" s="212"/>
      <c r="F5" s="3"/>
      <c r="G5" s="3"/>
      <c r="H5" s="3"/>
      <c r="I5" s="212"/>
      <c r="J5" s="212"/>
      <c r="K5" s="3"/>
      <c r="L5" s="3"/>
      <c r="M5" s="3"/>
      <c r="N5" s="212"/>
      <c r="O5" s="212"/>
      <c r="P5" s="3"/>
      <c r="Q5" s="3"/>
      <c r="R5" s="3"/>
      <c r="S5" s="213"/>
    </row>
    <row r="6" spans="1:19">
      <c r="A6" s="214"/>
      <c r="B6" s="215"/>
      <c r="C6" s="212"/>
      <c r="D6" s="213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3"/>
    </row>
    <row r="7" spans="1:19">
      <c r="A7" s="216" t="str">
        <f>TEXT(VLOOKUP(A8,INPUT_DATE_E_RISULTATI_2A_FASE,8,FALSE()),"GGG G MMM")&amp;" "&amp;TEXT(VLOOKUP(A8,INPUT_DATE_E_RISULTATI_2A_FASE,9,FALSE()),"h:mm")&amp;" ("&amp;VLOOKUP(A8,INPUT_DATE_E_RISULTATI_2A_FASE,11,FALSE())&amp;")"</f>
        <v>gio 10 giu 9:00 (CAMPO I)</v>
      </c>
      <c r="B7" s="215"/>
      <c r="C7" s="217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</row>
    <row r="8" spans="1:19">
      <c r="A8" s="2">
        <f>VLOOKUP("1-16/8",B_PARTITE_2A_FASE_PER_CODICE,2,FALSE())</f>
        <v>49</v>
      </c>
      <c r="B8" s="218" t="str">
        <f ca="1">VLOOKUP("1-16/8",B_PARTITE_2A_FASE_PER_CODICE,7,FALSE())</f>
        <v>Leoni</v>
      </c>
      <c r="C8" s="219">
        <f>VLOOKUP("1-16/8",B_PARTITE_2A_FASE_PER_CODICE,9,FALSE())</f>
        <v>67</v>
      </c>
      <c r="D8" s="220" t="str">
        <f>VLOOKUP("1-16/8",B_PARTITE_2A_FASE_PER_CODICE,5,FALSE())</f>
        <v>1A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3"/>
    </row>
    <row r="9" spans="1:19">
      <c r="A9" s="2"/>
      <c r="B9" s="221" t="str">
        <f ca="1">VLOOKUP("1-16/8",B_PARTITE_2A_FASE_PER_CODICE,8,FALSE())</f>
        <v>Elefanti</v>
      </c>
      <c r="C9" s="222">
        <f>VLOOKUP("1-16/8",B_PARTITE_2A_FASE_PER_CODICE,10,FALSE())</f>
        <v>46</v>
      </c>
      <c r="D9" s="223" t="str">
        <f>VLOOKUP("1-16/8",B_PARTITE_2A_FASE_PER_CODICE,6,FALSE())</f>
        <v>2C</v>
      </c>
      <c r="E9" s="212"/>
      <c r="F9" s="224" t="str">
        <f>TEXT(VLOOKUP(F10,INPUT_DATE_E_RISULTATI_2A_FASE,8,FALSE()),"GGG G MMM")&amp;" "&amp;TEXT(VLOOKUP(F10,INPUT_DATE_E_RISULTATI_2A_FASE,9,FALSE()),"h:mm")&amp;" ("&amp;VLOOKUP(F10,INPUT_DATE_E_RISULTATI_2A_FASE,11,FALSE())&amp;")"</f>
        <v>ven 11 giu 9:00 (CAMPO I)</v>
      </c>
      <c r="G9" s="212"/>
      <c r="H9" s="217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3"/>
    </row>
    <row r="10" spans="1:19">
      <c r="A10" s="214"/>
      <c r="B10" s="215"/>
      <c r="C10" s="225"/>
      <c r="D10" s="226"/>
      <c r="E10" s="212"/>
      <c r="F10" s="1">
        <f>VLOOKUP("1-8/4",B_PARTITE_2A_FASE_PER_CODICE,2,FALSE())</f>
        <v>69</v>
      </c>
      <c r="G10" s="218" t="str">
        <f ca="1">VLOOKUP("1-8/4",B_PARTITE_2A_FASE_PER_CODICE,7,FALSE())</f>
        <v>Leoni</v>
      </c>
      <c r="H10" s="219">
        <f>VLOOKUP("1-8/4",B_PARTITE_2A_FASE_PER_CODICE,9,FALSE())</f>
        <v>58</v>
      </c>
      <c r="I10" s="220" t="str">
        <f>VLOOKUP("1-8/4",B_PARTITE_2A_FASE_PER_CODICE,5,FALSE())</f>
        <v>V49</v>
      </c>
      <c r="J10" s="212"/>
      <c r="K10" s="212"/>
      <c r="L10" s="212"/>
      <c r="M10" s="212"/>
      <c r="N10" s="212"/>
      <c r="O10" s="212"/>
      <c r="P10" s="212"/>
      <c r="Q10" s="212"/>
      <c r="R10" s="212"/>
      <c r="S10" s="213"/>
    </row>
    <row r="11" spans="1:19">
      <c r="A11" s="224" t="str">
        <f>TEXT(VLOOKUP(A12,INPUT_DATE_E_RISULTATI_2A_FASE,8,FALSE()),"GGG G MMM")&amp;" "&amp;TEXT(VLOOKUP(A12,INPUT_DATE_E_RISULTATI_2A_FASE,9,FALSE()),"h:mm")&amp;" ("&amp;VLOOKUP(A12,INPUT_DATE_E_RISULTATI_2A_FASE,11,FALSE())&amp;")"</f>
        <v>gio 10 giu 11:00 (CAMPO I)</v>
      </c>
      <c r="B11" s="215"/>
      <c r="C11" s="227"/>
      <c r="D11" s="226"/>
      <c r="E11" s="228"/>
      <c r="F11" s="1"/>
      <c r="G11" s="221" t="str">
        <f ca="1">VLOOKUP("1-8/4",B_PARTITE_2A_FASE_PER_CODICE,8,FALSE())</f>
        <v>Giaguari</v>
      </c>
      <c r="H11" s="222">
        <f>VLOOKUP("1-8/4",B_PARTITE_2A_FASE_PER_CODICE,10,FALSE())</f>
        <v>46</v>
      </c>
      <c r="I11" s="223" t="str">
        <f>VLOOKUP("1-8/4",B_PARTITE_2A_FASE_PER_CODICE,6,FALSE())</f>
        <v>V53</v>
      </c>
      <c r="J11" s="212"/>
      <c r="K11" s="212"/>
      <c r="L11" s="212"/>
      <c r="M11" s="212"/>
      <c r="N11" s="212"/>
      <c r="O11" s="212"/>
      <c r="P11" s="212"/>
      <c r="Q11" s="212"/>
      <c r="R11" s="212"/>
      <c r="S11" s="213"/>
    </row>
    <row r="12" spans="1:19">
      <c r="A12" s="2">
        <f>VLOOKUP("1-16/7",B_PARTITE_2A_FASE_PER_CODICE,2,FALSE())</f>
        <v>53</v>
      </c>
      <c r="B12" s="229" t="str">
        <f ca="1">VLOOKUP("1-16/7",B_PARTITE_2A_FASE_PER_CODICE,7,FALSE())</f>
        <v>Giaguari</v>
      </c>
      <c r="C12" s="219">
        <f>VLOOKUP("1-16/7",B_PARTITE_2A_FASE_PER_CODICE,9,FALSE())</f>
        <v>52</v>
      </c>
      <c r="D12" s="230" t="str">
        <f>VLOOKUP("1-16/7",B_PARTITE_2A_FASE_PER_CODICE,5,FALSE())</f>
        <v>1B</v>
      </c>
      <c r="E12" s="212"/>
      <c r="F12" s="212"/>
      <c r="G12" s="212"/>
      <c r="H12" s="225"/>
      <c r="I12" s="226"/>
      <c r="J12" s="212"/>
      <c r="K12" s="212"/>
      <c r="L12" s="212"/>
      <c r="M12" s="212"/>
      <c r="N12" s="212"/>
      <c r="O12" s="212"/>
      <c r="P12" s="212"/>
      <c r="Q12" s="212"/>
      <c r="R12" s="212"/>
      <c r="S12" s="213"/>
    </row>
    <row r="13" spans="1:19">
      <c r="A13" s="2"/>
      <c r="B13" s="231" t="str">
        <f ca="1">VLOOKUP("1-16/7",B_PARTITE_2A_FASE_PER_CODICE,8,FALSE())</f>
        <v>Aquile</v>
      </c>
      <c r="C13" s="222">
        <f>VLOOKUP("1-16/7",B_PARTITE_2A_FASE_PER_CODICE,10,FALSE())</f>
        <v>43</v>
      </c>
      <c r="D13" s="220" t="str">
        <f>VLOOKUP("1-16/7",B_PARTITE_2A_FASE_PER_CODICE,6,FALSE())</f>
        <v>2D</v>
      </c>
      <c r="E13" s="212"/>
      <c r="F13" s="212"/>
      <c r="G13" s="212"/>
      <c r="H13" s="225"/>
      <c r="I13" s="226"/>
      <c r="J13" s="212"/>
      <c r="K13" s="232" t="str">
        <f>TEXT(VLOOKUP(K14,INPUT_DATE_E_RISULTATI_2A_FASE,8,FALSE()),"GGG G MMM")&amp;" "&amp;TEXT(VLOOKUP(K14,INPUT_DATE_E_RISULTATI_2A_FASE,9,FALSE()),"h:mm")&amp;" ("&amp;VLOOKUP(K14,INPUT_DATE_E_RISULTATI_2A_FASE,11,FALSE())&amp;")"</f>
        <v>ven 11 giu 20:30 (CAMPO III)</v>
      </c>
      <c r="L13" s="212"/>
      <c r="M13" s="212"/>
      <c r="N13" s="212"/>
      <c r="O13" s="212"/>
      <c r="P13" s="212"/>
      <c r="Q13" s="212"/>
      <c r="R13" s="212"/>
      <c r="S13" s="213"/>
    </row>
    <row r="14" spans="1:19">
      <c r="A14" s="214"/>
      <c r="B14" s="215"/>
      <c r="C14" s="225"/>
      <c r="D14" s="212"/>
      <c r="E14" s="212"/>
      <c r="F14" s="212"/>
      <c r="G14" s="212"/>
      <c r="H14" s="225"/>
      <c r="I14" s="226"/>
      <c r="J14" s="212"/>
      <c r="K14" s="244">
        <f>VLOOKUP("1-4/2",B_PARTITE_2A_FASE_PER_CODICE,2,FALSE())</f>
        <v>87</v>
      </c>
      <c r="L14" s="218" t="str">
        <f ca="1">VLOOKUP("1-4/2",B_PARTITE_2A_FASE_PER_CODICE,7,FALSE())</f>
        <v>Leoni</v>
      </c>
      <c r="M14" s="219">
        <f>VLOOKUP("1-4/2",B_PARTITE_2A_FASE_PER_CODICE,9,FALSE())</f>
        <v>66</v>
      </c>
      <c r="N14" s="220" t="str">
        <f>VLOOKUP("1-4/2",B_PARTITE_2A_FASE_PER_CODICE,5,FALSE())</f>
        <v>V69</v>
      </c>
      <c r="O14" s="233"/>
      <c r="P14" s="212"/>
      <c r="Q14" s="212"/>
      <c r="R14" s="212"/>
      <c r="S14" s="213"/>
    </row>
    <row r="15" spans="1:19">
      <c r="A15" s="224" t="str">
        <f>TEXT(VLOOKUP(A16,INPUT_DATE_E_RISULTATI_2A_FASE,8,FALSE()),"GGG G MMM")&amp;" "&amp;TEXT(VLOOKUP(A16,INPUT_DATE_E_RISULTATI_2A_FASE,9,FALSE()),"h:mm")&amp;" ("&amp;VLOOKUP(A16,INPUT_DATE_E_RISULTATI_2A_FASE,11,FALSE())&amp;")"</f>
        <v>gio 10 giu 15:30 (CAMPO I)</v>
      </c>
      <c r="B15" s="215"/>
      <c r="C15" s="227"/>
      <c r="D15" s="212"/>
      <c r="E15" s="212"/>
      <c r="F15" s="212"/>
      <c r="G15" s="212"/>
      <c r="H15" s="227"/>
      <c r="I15" s="226"/>
      <c r="J15" s="228"/>
      <c r="K15" s="244"/>
      <c r="L15" s="221" t="str">
        <f ca="1">VLOOKUP("1-4/2",B_PARTITE_2A_FASE_PER_CODICE,8,FALSE())</f>
        <v>Bisonti</v>
      </c>
      <c r="M15" s="222">
        <f>VLOOKUP("1-4/2",B_PARTITE_2A_FASE_PER_CODICE,10,FALSE())</f>
        <v>31</v>
      </c>
      <c r="N15" s="223" t="str">
        <f>VLOOKUP("1-4/2",B_PARTITE_2A_FASE_PER_CODICE,6,FALSE())</f>
        <v>V70</v>
      </c>
      <c r="O15" s="234"/>
      <c r="P15" s="212"/>
      <c r="Q15" s="212"/>
      <c r="R15" s="212"/>
      <c r="S15" s="213"/>
    </row>
    <row r="16" spans="1:19">
      <c r="A16" s="2">
        <f>VLOOKUP("1-16/6",B_PARTITE_2A_FASE_PER_CODICE,2,FALSE())</f>
        <v>57</v>
      </c>
      <c r="B16" s="229" t="str">
        <f ca="1">VLOOKUP("1-16/6",B_PARTITE_2A_FASE_PER_CODICE,7,FALSE())</f>
        <v>Bisonti</v>
      </c>
      <c r="C16" s="219">
        <f>VLOOKUP("1-16/6",B_PARTITE_2A_FASE_PER_CODICE,9,FALSE())</f>
        <v>58</v>
      </c>
      <c r="D16" s="220" t="str">
        <f>VLOOKUP("1-16/6",B_PARTITE_2A_FASE_PER_CODICE,5,FALSE())</f>
        <v>1E</v>
      </c>
      <c r="E16" s="212"/>
      <c r="F16" s="212"/>
      <c r="G16" s="212"/>
      <c r="H16" s="227"/>
      <c r="I16" s="226"/>
      <c r="J16" s="212"/>
      <c r="K16" s="212"/>
      <c r="L16" s="212"/>
      <c r="M16" s="225"/>
      <c r="N16" s="226"/>
      <c r="O16" s="212"/>
      <c r="P16" s="212"/>
      <c r="Q16" s="212"/>
      <c r="R16" s="212"/>
      <c r="S16" s="213"/>
    </row>
    <row r="17" spans="1:19">
      <c r="A17" s="2"/>
      <c r="B17" s="231" t="str">
        <f ca="1">VLOOKUP("1-16/6",B_PARTITE_2A_FASE_PER_CODICE,8,FALSE())</f>
        <v>Gorilla</v>
      </c>
      <c r="C17" s="222">
        <f>VLOOKUP("1-16/6",B_PARTITE_2A_FASE_PER_CODICE,10,FALSE())</f>
        <v>39</v>
      </c>
      <c r="D17" s="223" t="str">
        <f>VLOOKUP("1-16/6",B_PARTITE_2A_FASE_PER_CODICE,6,FALSE())</f>
        <v>2G</v>
      </c>
      <c r="E17" s="212"/>
      <c r="F17" s="224" t="str">
        <f>TEXT(VLOOKUP(F18,INPUT_DATE_E_RISULTATI_2A_FASE,8,FALSE()),"GGG G MMM")&amp;" "&amp;TEXT(VLOOKUP(F18,INPUT_DATE_E_RISULTATI_2A_FASE,9,FALSE()),"h:mm")&amp;" ("&amp;VLOOKUP(F18,INPUT_DATE_E_RISULTATI_2A_FASE,11,FALSE())&amp;")"</f>
        <v>ven 11 giu 9:00 (CAMPO II)</v>
      </c>
      <c r="G17" s="212"/>
      <c r="H17" s="227"/>
      <c r="I17" s="226"/>
      <c r="J17" s="212"/>
      <c r="K17" s="212"/>
      <c r="L17" s="212"/>
      <c r="M17" s="225"/>
      <c r="N17" s="226"/>
      <c r="O17" s="212"/>
      <c r="P17" s="212"/>
      <c r="Q17" s="212"/>
      <c r="R17" s="212"/>
      <c r="S17" s="213"/>
    </row>
    <row r="18" spans="1:19">
      <c r="A18" s="214"/>
      <c r="B18" s="215"/>
      <c r="C18" s="225"/>
      <c r="D18" s="235"/>
      <c r="E18" s="212"/>
      <c r="F18" s="1">
        <f>VLOOKUP("1-8/3",B_PARTITE_2A_FASE_PER_CODICE,2,FALSE())</f>
        <v>70</v>
      </c>
      <c r="G18" s="218" t="str">
        <f ca="1">VLOOKUP("1-8/3",B_PARTITE_2A_FASE_PER_CODICE,7,FALSE())</f>
        <v>Bisonti</v>
      </c>
      <c r="H18" s="219">
        <f>VLOOKUP("1-8/3",B_PARTITE_2A_FASE_PER_CODICE,9,FALSE())</f>
        <v>60</v>
      </c>
      <c r="I18" s="230" t="str">
        <f>VLOOKUP("1-8/3",B_PARTITE_2A_FASE_PER_CODICE,5,FALSE())</f>
        <v>V57</v>
      </c>
      <c r="J18" s="212"/>
      <c r="K18" s="212"/>
      <c r="L18" s="212"/>
      <c r="M18" s="225"/>
      <c r="N18" s="226"/>
      <c r="O18" s="212"/>
      <c r="P18" s="212"/>
      <c r="Q18" s="212"/>
      <c r="R18" s="212"/>
      <c r="S18" s="213"/>
    </row>
    <row r="19" spans="1:19">
      <c r="A19" s="224" t="str">
        <f>TEXT(VLOOKUP(A20,INPUT_DATE_E_RISULTATI_2A_FASE,8,FALSE()),"GGG G MMM")&amp;" "&amp;TEXT(VLOOKUP(A20,INPUT_DATE_E_RISULTATI_2A_FASE,9,FALSE()),"h:mm")&amp;" ("&amp;VLOOKUP(A20,INPUT_DATE_E_RISULTATI_2A_FASE,11,FALSE())&amp;")"</f>
        <v>gio 10 giu 17:00 (CAMPO I)</v>
      </c>
      <c r="B19" s="215"/>
      <c r="C19" s="227"/>
      <c r="D19" s="235"/>
      <c r="E19" s="228"/>
      <c r="F19" s="1"/>
      <c r="G19" s="221" t="str">
        <f ca="1">VLOOKUP("1-8/3",B_PARTITE_2A_FASE_PER_CODICE,8,FALSE())</f>
        <v>Balene</v>
      </c>
      <c r="H19" s="222">
        <f>VLOOKUP("1-8/3",B_PARTITE_2A_FASE_PER_CODICE,10,FALSE())</f>
        <v>31</v>
      </c>
      <c r="I19" s="220" t="str">
        <f>VLOOKUP("1-8/3",B_PARTITE_2A_FASE_PER_CODICE,6,FALSE())</f>
        <v>V61</v>
      </c>
      <c r="J19" s="212"/>
      <c r="K19" s="212"/>
      <c r="L19" s="212"/>
      <c r="M19" s="225"/>
      <c r="N19" s="226"/>
      <c r="O19" s="212"/>
      <c r="P19" s="212"/>
      <c r="Q19" s="212"/>
      <c r="R19" s="212"/>
      <c r="S19" s="213"/>
    </row>
    <row r="20" spans="1:19">
      <c r="A20" s="2">
        <f>VLOOKUP("1-16/5",B_PARTITE_2A_FASE_PER_CODICE,2,FALSE())</f>
        <v>61</v>
      </c>
      <c r="B20" s="229" t="str">
        <f ca="1">VLOOKUP("1-16/5",B_PARTITE_2A_FASE_PER_CODICE,7,FALSE())</f>
        <v>Balene</v>
      </c>
      <c r="C20" s="219">
        <f>VLOOKUP("1-16/5",B_PARTITE_2A_FASE_PER_CODICE,9,FALSE())</f>
        <v>51</v>
      </c>
      <c r="D20" s="230" t="str">
        <f>VLOOKUP("1-16/5",B_PARTITE_2A_FASE_PER_CODICE,5,FALSE())</f>
        <v>1F</v>
      </c>
      <c r="E20" s="212"/>
      <c r="F20" s="212"/>
      <c r="G20" s="212"/>
      <c r="H20" s="225"/>
      <c r="I20" s="212"/>
      <c r="J20" s="212"/>
      <c r="K20" s="212"/>
      <c r="L20" s="212"/>
      <c r="M20" s="225"/>
      <c r="N20" s="226"/>
      <c r="O20" s="212"/>
      <c r="P20" s="232" t="str">
        <f>TEXT(VLOOKUP(P21,INPUT_DATE_E_RISULTATI_2A_FASE,8,FALSE()),"GGG G MMM")&amp;" "&amp;TEXT(VLOOKUP(P21,INPUT_DATE_E_RISULTATI_2A_FASE,9,FALSE()),"h:mm")&amp;" ("&amp;VLOOKUP(P21,INPUT_DATE_E_RISULTATI_2A_FASE,11,FALSE())&amp;")"</f>
        <v>dom 13 giu 10:30 (CAMPO III)</v>
      </c>
      <c r="Q20" s="212"/>
      <c r="R20" s="212"/>
      <c r="S20" s="213"/>
    </row>
    <row r="21" spans="1:19">
      <c r="A21" s="2"/>
      <c r="B21" s="231" t="str">
        <f ca="1">VLOOKUP("1-16/5",B_PARTITE_2A_FASE_PER_CODICE,8,FALSE())</f>
        <v>Tonni</v>
      </c>
      <c r="C21" s="222">
        <f>VLOOKUP("1-16/5",B_PARTITE_2A_FASE_PER_CODICE,10,FALSE())</f>
        <v>47</v>
      </c>
      <c r="D21" s="220" t="str">
        <f>VLOOKUP("1-16/5",B_PARTITE_2A_FASE_PER_CODICE,6,FALSE())</f>
        <v>2H</v>
      </c>
      <c r="E21" s="212"/>
      <c r="F21" s="212"/>
      <c r="G21" s="212"/>
      <c r="H21" s="225"/>
      <c r="I21" s="212"/>
      <c r="J21" s="212"/>
      <c r="K21" s="212"/>
      <c r="L21" s="212"/>
      <c r="M21" s="225"/>
      <c r="N21" s="226"/>
      <c r="O21" s="212"/>
      <c r="P21" s="245">
        <f>VLOOKUP("1-2/1",B_PARTITE_2A_FASE_PER_CODICE,2,FALSE())</f>
        <v>112</v>
      </c>
      <c r="Q21" s="218" t="str">
        <f ca="1">VLOOKUP("1-2/1",B_PARTITE_2A_FASE_PER_CODICE,7,FALSE())</f>
        <v>Leoni</v>
      </c>
      <c r="R21" s="219">
        <f>VLOOKUP("1-2/1",B_PARTITE_2A_FASE_PER_CODICE,9,FALSE())</f>
        <v>69</v>
      </c>
      <c r="S21" s="236" t="str">
        <f>VLOOKUP("1-2/1",B_PARTITE_2A_FASE_PER_CODICE,5,FALSE())</f>
        <v>V87</v>
      </c>
    </row>
    <row r="22" spans="1:19">
      <c r="A22" s="214"/>
      <c r="B22" s="215"/>
      <c r="C22" s="225"/>
      <c r="D22" s="220"/>
      <c r="E22" s="212"/>
      <c r="F22" s="212"/>
      <c r="G22" s="212"/>
      <c r="H22" s="225"/>
      <c r="I22" s="212"/>
      <c r="J22" s="212"/>
      <c r="K22" s="212"/>
      <c r="L22" s="212"/>
      <c r="M22" s="225"/>
      <c r="N22" s="226"/>
      <c r="O22" s="228"/>
      <c r="P22" s="245"/>
      <c r="Q22" s="221" t="str">
        <f ca="1">VLOOKUP("1-2/1",B_PARTITE_2A_FASE_PER_CODICE,8,FALSE())</f>
        <v>Pantere</v>
      </c>
      <c r="R22" s="222">
        <f>VLOOKUP("1-2/1",B_PARTITE_2A_FASE_PER_CODICE,10,FALSE())</f>
        <v>42</v>
      </c>
      <c r="S22" s="236" t="str">
        <f>VLOOKUP("1-2/1",B_PARTITE_2A_FASE_PER_CODICE,6,FALSE())</f>
        <v>V88</v>
      </c>
    </row>
    <row r="23" spans="1:19">
      <c r="A23" s="246" t="str">
        <f>TEXT(VLOOKUP(A24,INPUT_DATE_E_RISULTATI_2A_FASE,8,FALSE()),"GGG G MMM")&amp;" "&amp;TEXT(VLOOKUP(A24,INPUT_DATE_E_RISULTATI_2A_FASE,9,FALSE()),"h:mm")&amp;" ("&amp;VLOOKUP(A24,INPUT_DATE_E_RISULTATI_2A_FASE,11,FALSE())&amp;")"</f>
        <v>gio 10 giu 9:00 (CAMPO II)</v>
      </c>
      <c r="B23" s="246"/>
      <c r="C23" s="246"/>
      <c r="D23" s="246"/>
      <c r="E23" s="212"/>
      <c r="F23" s="212"/>
      <c r="G23" s="212"/>
      <c r="H23" s="225"/>
      <c r="I23" s="212"/>
      <c r="J23" s="212"/>
      <c r="K23" s="212"/>
      <c r="L23" s="212"/>
      <c r="M23" s="225"/>
      <c r="N23" s="226"/>
      <c r="O23" s="212"/>
      <c r="P23" s="212"/>
      <c r="Q23" s="212"/>
      <c r="R23" s="212"/>
      <c r="S23" s="213"/>
    </row>
    <row r="24" spans="1:19">
      <c r="A24" s="2">
        <f>VLOOKUP("1-16/4",B_PARTITE_2A_FASE_PER_CODICE,2,FALSE())</f>
        <v>50</v>
      </c>
      <c r="B24" s="229" t="str">
        <f ca="1">VLOOKUP("1-16/4",B_PARTITE_2A_FASE_PER_CODICE,7,FALSE())</f>
        <v>Pantere</v>
      </c>
      <c r="C24" s="219">
        <f>VLOOKUP("1-16/4",B_PARTITE_2A_FASE_PER_CODICE,9,FALSE())</f>
        <v>55</v>
      </c>
      <c r="D24" s="220" t="str">
        <f>VLOOKUP("1-16/4",B_PARTITE_2A_FASE_PER_CODICE,5,FALSE())</f>
        <v>2A</v>
      </c>
      <c r="E24" s="212"/>
      <c r="F24" s="212"/>
      <c r="G24" s="212"/>
      <c r="H24" s="225"/>
      <c r="I24" s="212"/>
      <c r="J24" s="212"/>
      <c r="K24" s="212"/>
      <c r="L24" s="212"/>
      <c r="M24" s="225"/>
      <c r="N24" s="226"/>
      <c r="O24" s="212"/>
      <c r="P24" s="212"/>
      <c r="Q24" s="212"/>
      <c r="R24" s="212"/>
      <c r="S24" s="213"/>
    </row>
    <row r="25" spans="1:19">
      <c r="A25" s="2"/>
      <c r="B25" s="231" t="str">
        <f ca="1">VLOOKUP("1-16/4",B_PARTITE_2A_FASE_PER_CODICE,8,FALSE())</f>
        <v>Giraffe</v>
      </c>
      <c r="C25" s="222">
        <f>VLOOKUP("1-16/4",B_PARTITE_2A_FASE_PER_CODICE,10,FALSE())</f>
        <v>36</v>
      </c>
      <c r="D25" s="223" t="str">
        <f>VLOOKUP("1-16/4",B_PARTITE_2A_FASE_PER_CODICE,6,FALSE())</f>
        <v>1C</v>
      </c>
      <c r="E25" s="212"/>
      <c r="F25" s="232" t="str">
        <f>TEXT(VLOOKUP(F26,INPUT_DATE_E_RISULTATI_2A_FASE,8,FALSE()),"GGG G MMM")&amp;" "&amp;TEXT(VLOOKUP(F26,INPUT_DATE_E_RISULTATI_2A_FASE,9,FALSE()),"h:mm")&amp;" ("&amp;VLOOKUP(F26,INPUT_DATE_E_RISULTATI_2A_FASE,11,FALSE())&amp;")"</f>
        <v>ven 11 giu 11:00 (CAMPO I)</v>
      </c>
      <c r="G25" s="212"/>
      <c r="H25" s="225"/>
      <c r="I25" s="212"/>
      <c r="J25" s="212"/>
      <c r="K25" s="212"/>
      <c r="L25" s="212"/>
      <c r="M25" s="225"/>
      <c r="N25" s="226"/>
      <c r="O25" s="212"/>
      <c r="P25" s="247" t="str">
        <f>"Campione "&amp;VLOOKUP("STAGIONE",INPUT_DATI_TORNEO,2,0)</f>
        <v>Campione 2021</v>
      </c>
      <c r="Q25" s="247"/>
      <c r="R25" s="247"/>
      <c r="S25" s="213"/>
    </row>
    <row r="26" spans="1:19">
      <c r="A26" s="214"/>
      <c r="B26" s="215"/>
      <c r="C26" s="225"/>
      <c r="D26" s="235"/>
      <c r="E26" s="212"/>
      <c r="F26" s="1">
        <f>VLOOKUP("1-8/2",B_PARTITE_2A_FASE_PER_CODICE,2,FALSE())</f>
        <v>73</v>
      </c>
      <c r="G26" s="218" t="str">
        <f ca="1">VLOOKUP("1-8/2",B_PARTITE_2A_FASE_PER_CODICE,7,FALSE())</f>
        <v>Pantere</v>
      </c>
      <c r="H26" s="219">
        <f>VLOOKUP("1-8/2",B_PARTITE_2A_FASE_PER_CODICE,9,FALSE())</f>
        <v>56</v>
      </c>
      <c r="I26" s="220" t="str">
        <f>VLOOKUP("1-8/2",B_PARTITE_2A_FASE_PER_CODICE,5,FALSE())</f>
        <v>V50</v>
      </c>
      <c r="J26" s="212"/>
      <c r="K26" s="212"/>
      <c r="L26" s="212"/>
      <c r="M26" s="225"/>
      <c r="N26" s="226"/>
      <c r="O26" s="212"/>
      <c r="P26" s="248" t="str">
        <f ca="1">VLOOKUP("1-2/1",B_PARTITE_2A_FASE_PER_CODICE,11,FALSE())</f>
        <v>Leoni</v>
      </c>
      <c r="Q26" s="248"/>
      <c r="R26" s="248"/>
      <c r="S26" s="213"/>
    </row>
    <row r="27" spans="1:19">
      <c r="A27" s="224" t="str">
        <f>TEXT(VLOOKUP(A28,INPUT_DATE_E_RISULTATI_2A_FASE,8,FALSE()),"GGG G MMM")&amp;" "&amp;TEXT(VLOOKUP(A28,INPUT_DATE_E_RISULTATI_2A_FASE,9,FALSE()),"h:mm")&amp;" ("&amp;VLOOKUP(A28,INPUT_DATE_E_RISULTATI_2A_FASE,11,FALSE())&amp;")"</f>
        <v>gio 10 giu 11:00 (CAMPO II)</v>
      </c>
      <c r="B27" s="215"/>
      <c r="C27" s="227"/>
      <c r="D27" s="235"/>
      <c r="E27" s="228"/>
      <c r="F27" s="1"/>
      <c r="G27" s="221" t="str">
        <f ca="1">VLOOKUP("1-8/2",B_PARTITE_2A_FASE_PER_CODICE,8,FALSE())</f>
        <v>Coccodrilli</v>
      </c>
      <c r="H27" s="222">
        <f>VLOOKUP("1-8/2",B_PARTITE_2A_FASE_PER_CODICE,10,FALSE())</f>
        <v>34</v>
      </c>
      <c r="I27" s="223" t="str">
        <f>VLOOKUP("1-8/2",B_PARTITE_2A_FASE_PER_CODICE,6,FALSE())</f>
        <v>V54</v>
      </c>
      <c r="J27" s="212"/>
      <c r="K27" s="212"/>
      <c r="L27" s="212"/>
      <c r="M27" s="225"/>
      <c r="N27" s="226"/>
      <c r="O27" s="212"/>
      <c r="P27" s="248"/>
      <c r="Q27" s="248"/>
      <c r="R27" s="248"/>
      <c r="S27" s="213"/>
    </row>
    <row r="28" spans="1:19">
      <c r="A28" s="2">
        <f>VLOOKUP("1-16/3",B_PARTITE_2A_FASE_PER_CODICE,2,FALSE())</f>
        <v>54</v>
      </c>
      <c r="B28" s="237" t="str">
        <f ca="1">VLOOKUP("1-16/3",B_PARTITE_2A_FASE_PER_CODICE,7,FALSE())</f>
        <v>Coccodrilli</v>
      </c>
      <c r="C28" s="219">
        <f>VLOOKUP("1-16/3",B_PARTITE_2A_FASE_PER_CODICE,9,FALSE())</f>
        <v>67</v>
      </c>
      <c r="D28" s="230" t="str">
        <f>VLOOKUP("1-16/3",B_PARTITE_2A_FASE_PER_CODICE,5,FALSE())</f>
        <v>1D</v>
      </c>
      <c r="E28" s="212"/>
      <c r="F28" s="212"/>
      <c r="G28" s="212"/>
      <c r="H28" s="225"/>
      <c r="I28" s="226"/>
      <c r="J28" s="212"/>
      <c r="K28" s="212"/>
      <c r="L28" s="212"/>
      <c r="M28" s="225"/>
      <c r="N28" s="226"/>
      <c r="O28" s="212"/>
      <c r="P28" s="248"/>
      <c r="Q28" s="248"/>
      <c r="R28" s="248"/>
      <c r="S28" s="213"/>
    </row>
    <row r="29" spans="1:19">
      <c r="A29" s="2"/>
      <c r="B29" s="231" t="str">
        <f ca="1">VLOOKUP("1-16/3",B_PARTITE_2A_FASE_PER_CODICE,8,FALSE())</f>
        <v>Puma</v>
      </c>
      <c r="C29" s="222">
        <f>VLOOKUP("1-16/3",B_PARTITE_2A_FASE_PER_CODICE,10,FALSE())</f>
        <v>34</v>
      </c>
      <c r="D29" s="220" t="str">
        <f>VLOOKUP("1-16/3",B_PARTITE_2A_FASE_PER_CODICE,6,FALSE())</f>
        <v>2B</v>
      </c>
      <c r="E29" s="212"/>
      <c r="F29" s="212"/>
      <c r="G29" s="212"/>
      <c r="H29" s="225"/>
      <c r="I29" s="226"/>
      <c r="J29" s="212"/>
      <c r="K29" s="232" t="str">
        <f>TEXT(VLOOKUP(K30,INPUT_DATE_E_RISULTATI_2A_FASE,8,FALSE()),"GGG G MMM")&amp;" "&amp;TEXT(VLOOKUP(K30,INPUT_DATE_E_RISULTATI_2A_FASE,9,FALSE()),"h:mm")&amp;" ("&amp;VLOOKUP(K30,INPUT_DATE_E_RISULTATI_2A_FASE,11,FALSE())&amp;")"</f>
        <v>ven 11 giu 22:00 (CAMPO III)</v>
      </c>
      <c r="L29" s="212"/>
      <c r="M29" s="225"/>
      <c r="N29" s="226"/>
      <c r="O29" s="233"/>
      <c r="P29" s="212"/>
      <c r="Q29" s="212"/>
      <c r="R29" s="212"/>
      <c r="S29" s="213"/>
    </row>
    <row r="30" spans="1:19">
      <c r="A30" s="214"/>
      <c r="B30" s="215"/>
      <c r="C30" s="225"/>
      <c r="D30" s="220"/>
      <c r="E30" s="212"/>
      <c r="F30" s="212"/>
      <c r="G30" s="212"/>
      <c r="H30" s="225"/>
      <c r="I30" s="226"/>
      <c r="J30" s="212"/>
      <c r="K30" s="244">
        <f>VLOOKUP("1-4/1",B_PARTITE_2A_FASE_PER_CODICE,2,FALSE())</f>
        <v>88</v>
      </c>
      <c r="L30" s="218" t="str">
        <f ca="1">VLOOKUP("1-4/1",B_PARTITE_2A_FASE_PER_CODICE,7,FALSE())</f>
        <v>Pantere</v>
      </c>
      <c r="M30" s="219">
        <f>VLOOKUP("1-4/1",B_PARTITE_2A_FASE_PER_CODICE,9,FALSE())</f>
        <v>68</v>
      </c>
      <c r="N30" s="230" t="str">
        <f>VLOOKUP("1-4/1",B_PARTITE_2A_FASE_PER_CODICE,5,FALSE())</f>
        <v>V73</v>
      </c>
      <c r="O30" s="233"/>
      <c r="P30" s="212"/>
      <c r="Q30" s="212"/>
      <c r="R30" s="212"/>
      <c r="S30" s="213"/>
    </row>
    <row r="31" spans="1:19">
      <c r="A31" s="224" t="str">
        <f>TEXT(VLOOKUP(A32,INPUT_DATE_E_RISULTATI_2A_FASE,8,FALSE()),"GGG G MMM")&amp;" "&amp;TEXT(VLOOKUP(A32,INPUT_DATE_E_RISULTATI_2A_FASE,9,FALSE()),"h:mm")&amp;" ("&amp;VLOOKUP(A32,INPUT_DATE_E_RISULTATI_2A_FASE,11,FALSE())&amp;")"</f>
        <v>gio 10 giu 15:30 (CAMPO II)</v>
      </c>
      <c r="B31" s="215"/>
      <c r="C31" s="227"/>
      <c r="D31" s="220"/>
      <c r="E31" s="212"/>
      <c r="F31" s="212"/>
      <c r="G31" s="212"/>
      <c r="H31" s="227"/>
      <c r="I31" s="226"/>
      <c r="J31" s="228"/>
      <c r="K31" s="244"/>
      <c r="L31" s="221" t="str">
        <f ca="1">VLOOKUP("1-4/1",B_PARTITE_2A_FASE_PER_CODICE,8,FALSE())</f>
        <v>Istrici</v>
      </c>
      <c r="M31" s="222">
        <f>VLOOKUP("1-4/1",B_PARTITE_2A_FASE_PER_CODICE,10,FALSE())</f>
        <v>47</v>
      </c>
      <c r="N31" s="238" t="str">
        <f>VLOOKUP("1-4/1",B_PARTITE_2A_FASE_PER_CODICE,6,FALSE())</f>
        <v>V74</v>
      </c>
      <c r="O31" s="233"/>
      <c r="P31" s="212"/>
      <c r="Q31" s="212"/>
      <c r="R31" s="212"/>
      <c r="S31" s="213"/>
    </row>
    <row r="32" spans="1:19">
      <c r="A32" s="2">
        <f>VLOOKUP("1-16/2",B_PARTITE_2A_FASE_PER_CODICE,2,FALSE())</f>
        <v>58</v>
      </c>
      <c r="B32" s="229" t="str">
        <f ca="1">VLOOKUP("1-16/2",B_PARTITE_2A_FASE_PER_CODICE,7,FALSE())</f>
        <v>Istrici</v>
      </c>
      <c r="C32" s="219">
        <f>VLOOKUP("1-16/2",B_PARTITE_2A_FASE_PER_CODICE,9,FALSE())</f>
        <v>64</v>
      </c>
      <c r="D32" s="220" t="str">
        <f>VLOOKUP("1-16/2",B_PARTITE_2A_FASE_PER_CODICE,5,FALSE())</f>
        <v>1G</v>
      </c>
      <c r="E32" s="212"/>
      <c r="F32" s="212"/>
      <c r="G32" s="212"/>
      <c r="H32" s="227"/>
      <c r="I32" s="226"/>
      <c r="J32" s="212"/>
      <c r="K32" s="212"/>
      <c r="L32" s="212"/>
      <c r="M32" s="212"/>
      <c r="N32" s="212"/>
      <c r="O32" s="212"/>
      <c r="P32" s="212"/>
      <c r="Q32" s="212"/>
      <c r="R32" s="212"/>
      <c r="S32" s="213"/>
    </row>
    <row r="33" spans="1:19">
      <c r="A33" s="2"/>
      <c r="B33" s="231" t="str">
        <f ca="1">VLOOKUP("1-16/2",B_PARTITE_2A_FASE_PER_CODICE,8,FALSE())</f>
        <v>Bufali</v>
      </c>
      <c r="C33" s="222">
        <f>VLOOKUP("1-16/2",B_PARTITE_2A_FASE_PER_CODICE,10,FALSE())</f>
        <v>43</v>
      </c>
      <c r="D33" s="223" t="str">
        <f>VLOOKUP("1-16/2",B_PARTITE_2A_FASE_PER_CODICE,6,FALSE())</f>
        <v>2E</v>
      </c>
      <c r="E33" s="212"/>
      <c r="F33" s="232" t="str">
        <f>TEXT(VLOOKUP(F34,INPUT_DATE_E_RISULTATI_2A_FASE,8,FALSE()),"GGG G MMM")&amp;" "&amp;TEXT(VLOOKUP(F34,INPUT_DATE_E_RISULTATI_2A_FASE,9,FALSE()),"h:mm")&amp;" ("&amp;VLOOKUP(F34,INPUT_DATE_E_RISULTATI_2A_FASE,11,FALSE())&amp;")"</f>
        <v>ven 11 giu 11:00 (CAMPO II)</v>
      </c>
      <c r="G33" s="212"/>
      <c r="H33" s="227"/>
      <c r="I33" s="226"/>
      <c r="J33" s="212"/>
      <c r="K33" s="212"/>
      <c r="L33" s="212"/>
      <c r="M33" s="212"/>
      <c r="N33" s="212"/>
      <c r="O33" s="212"/>
      <c r="P33" s="212"/>
      <c r="Q33" s="212"/>
      <c r="R33" s="212"/>
      <c r="S33" s="213"/>
    </row>
    <row r="34" spans="1:19">
      <c r="A34" s="214"/>
      <c r="B34" s="215"/>
      <c r="C34" s="225"/>
      <c r="D34" s="235"/>
      <c r="E34" s="212"/>
      <c r="F34" s="1">
        <f>VLOOKUP("1-8/1",B_PARTITE_2A_FASE_PER_CODICE,2,FALSE())</f>
        <v>74</v>
      </c>
      <c r="G34" s="218" t="str">
        <f ca="1">VLOOKUP("1-8/1",B_PARTITE_2A_FASE_PER_CODICE,7,FALSE())</f>
        <v>Istrici</v>
      </c>
      <c r="H34" s="219">
        <f>VLOOKUP("1-8/1",B_PARTITE_2A_FASE_PER_CODICE,9,FALSE())</f>
        <v>52</v>
      </c>
      <c r="I34" s="230" t="str">
        <f>VLOOKUP("1-8/1",B_PARTITE_2A_FASE_PER_CODICE,5,FALSE())</f>
        <v>V58</v>
      </c>
      <c r="J34" s="212"/>
      <c r="K34" s="212"/>
      <c r="L34" s="212"/>
      <c r="M34" s="212"/>
      <c r="N34" s="212"/>
      <c r="O34" s="212"/>
      <c r="P34" s="212"/>
      <c r="Q34" s="212"/>
      <c r="R34" s="212"/>
      <c r="S34" s="213"/>
    </row>
    <row r="35" spans="1:19">
      <c r="A35" s="224" t="str">
        <f>TEXT(VLOOKUP(A36,INPUT_DATE_E_RISULTATI_2A_FASE,8,FALSE()),"GGG G MMM")&amp;" "&amp;TEXT(VLOOKUP(A36,INPUT_DATE_E_RISULTATI_2A_FASE,9,FALSE()),"h:mm")&amp;" ("&amp;VLOOKUP(A36,INPUT_DATE_E_RISULTATI_2A_FASE,11,FALSE())&amp;")"</f>
        <v>gio 10 giu 17:00 (CAMPO II)</v>
      </c>
      <c r="B35" s="239"/>
      <c r="C35" s="240"/>
      <c r="D35" s="241"/>
      <c r="E35" s="228"/>
      <c r="F35" s="1"/>
      <c r="G35" s="221" t="str">
        <f ca="1">VLOOKUP("1-8/1",B_PARTITE_2A_FASE_PER_CODICE,8,FALSE())</f>
        <v>Piranha</v>
      </c>
      <c r="H35" s="222">
        <f>VLOOKUP("1-8/1",B_PARTITE_2A_FASE_PER_CODICE,10,FALSE())</f>
        <v>36</v>
      </c>
      <c r="I35" s="220" t="str">
        <f>VLOOKUP("1-8/1",B_PARTITE_2A_FASE_PER_CODICE,6,FALSE())</f>
        <v>V62</v>
      </c>
      <c r="J35" s="212"/>
      <c r="K35" s="212"/>
      <c r="L35" s="212"/>
      <c r="M35" s="212"/>
      <c r="N35" s="212"/>
      <c r="O35" s="212"/>
      <c r="P35" s="212"/>
      <c r="Q35" s="212"/>
      <c r="R35" s="212"/>
      <c r="S35" s="213"/>
    </row>
    <row r="36" spans="1:19">
      <c r="A36" s="2">
        <f>VLOOKUP("1-16/1",B_PARTITE_2A_FASE_PER_CODICE,2,FALSE())</f>
        <v>62</v>
      </c>
      <c r="B36" s="229" t="str">
        <f ca="1">VLOOKUP("1-16/1",B_PARTITE_2A_FASE_PER_CODICE,7,FALSE())</f>
        <v>Piranha</v>
      </c>
      <c r="C36" s="219">
        <f>VLOOKUP("1-16/1",B_PARTITE_2A_FASE_PER_CODICE,9,FALSE())</f>
        <v>60</v>
      </c>
      <c r="D36" s="230" t="str">
        <f>VLOOKUP("1-16/1",B_PARTITE_2A_FASE_PER_CODICE,5,FALSE())</f>
        <v>1H</v>
      </c>
      <c r="E36" s="212"/>
      <c r="F36" s="212"/>
      <c r="G36" s="212"/>
      <c r="H36" s="213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3"/>
    </row>
    <row r="37" spans="1:19">
      <c r="A37" s="2"/>
      <c r="B37" s="231" t="str">
        <f ca="1">VLOOKUP("1-16/1",B_PARTITE_2A_FASE_PER_CODICE,8,FALSE())</f>
        <v>Gabbiani</v>
      </c>
      <c r="C37" s="222">
        <f>VLOOKUP("1-16/1",B_PARTITE_2A_FASE_PER_CODICE,10,FALSE())</f>
        <v>30</v>
      </c>
      <c r="D37" s="220" t="str">
        <f>VLOOKUP("1-16/1",B_PARTITE_2A_FASE_PER_CODICE,6,FALSE())</f>
        <v>2F</v>
      </c>
      <c r="E37" s="212"/>
      <c r="F37" s="212"/>
      <c r="G37" s="212"/>
      <c r="H37" s="213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3"/>
    </row>
  </sheetData>
  <sheetProtection sheet="1" objects="1" scenarios="1" insertColumns="0" insertRows="0" deleteColumns="0" deleteRows="0"/>
  <mergeCells count="24">
    <mergeCell ref="F34:F35"/>
    <mergeCell ref="A36:A37"/>
    <mergeCell ref="F26:F27"/>
    <mergeCell ref="P26:R28"/>
    <mergeCell ref="A28:A29"/>
    <mergeCell ref="K30:K31"/>
    <mergeCell ref="A32:A33"/>
    <mergeCell ref="F18:F19"/>
    <mergeCell ref="A20:A21"/>
    <mergeCell ref="P21:P22"/>
    <mergeCell ref="A23:D23"/>
    <mergeCell ref="A24:A25"/>
    <mergeCell ref="P25:R25"/>
    <mergeCell ref="A8:A9"/>
    <mergeCell ref="F10:F11"/>
    <mergeCell ref="A12:A13"/>
    <mergeCell ref="K14:K15"/>
    <mergeCell ref="A16:A17"/>
    <mergeCell ref="A1:S1"/>
    <mergeCell ref="A2:S2"/>
    <mergeCell ref="A4:C5"/>
    <mergeCell ref="F4:H5"/>
    <mergeCell ref="K4:M5"/>
    <mergeCell ref="P4:R5"/>
  </mergeCells>
  <conditionalFormatting sqref="S29">
    <cfRule type="expression" priority="2">
      <formula>IF(#REF!=#REF!,1,IF(#REF!=#REF!,1,0))</formula>
    </cfRule>
  </conditionalFormatting>
  <conditionalFormatting sqref="B15">
    <cfRule type="expression" priority="3">
      <formula>IF($AU15=#REF!,1,0)</formula>
    </cfRule>
    <cfRule type="expression" priority="4">
      <formula>IF($AU14=#REF!,1,0)</formula>
    </cfRule>
  </conditionalFormatting>
  <conditionalFormatting sqref="B35">
    <cfRule type="expression" priority="5">
      <formula>IF($AU35=#REF!,1,0)</formula>
    </cfRule>
    <cfRule type="expression" priority="6">
      <formula>IF($AU34=#REF!,1,0)</formula>
    </cfRule>
  </conditionalFormatting>
  <conditionalFormatting sqref="B27">
    <cfRule type="expression" priority="7">
      <formula>IF($AU27=#REF!,1,0)</formula>
    </cfRule>
    <cfRule type="expression" priority="8">
      <formula>IF($AU26=#REF!,1,0)</formula>
    </cfRule>
  </conditionalFormatting>
  <conditionalFormatting sqref="B18 B14 B26 B34 B30:B31 B22">
    <cfRule type="expression" priority="9">
      <formula>IF($AU14=#REF!,1,0)</formula>
    </cfRule>
    <cfRule type="expression" priority="10">
      <formula>IF($AU15=#REF!,1,0)</formula>
    </cfRule>
  </conditionalFormatting>
  <conditionalFormatting sqref="B19">
    <cfRule type="expression" priority="11">
      <formula>IF($AU19=#REF!,1,0)</formula>
    </cfRule>
    <cfRule type="expression" priority="12">
      <formula>IF($AU18=#REF!,1,0)</formula>
    </cfRule>
  </conditionalFormatting>
  <conditionalFormatting sqref="C14 C34 C37 C26 C30 C18 C22 C10">
    <cfRule type="expression" priority="13">
      <formula>IF(AND(#REF!&gt;#REF!,ISNUMBER(#REF!),ISNUMBER(#REF!)),1,0)</formula>
    </cfRule>
  </conditionalFormatting>
  <conditionalFormatting sqref="C15 C35 C27 C31 C19 C23 C11">
    <cfRule type="expression" priority="14">
      <formula>IF(AND(#REF!&lt;#REF!,ISNUMBER(#REF!),ISNUMBER(#REF!)),1,0)</formula>
    </cfRule>
  </conditionalFormatting>
  <conditionalFormatting sqref="B10">
    <cfRule type="expression" priority="15">
      <formula>$P$4="Black and White"</formula>
    </cfRule>
  </conditionalFormatting>
  <conditionalFormatting sqref="B11">
    <cfRule type="expression" priority="16">
      <formula>$P$4="Black and White"</formula>
    </cfRule>
  </conditionalFormatting>
  <conditionalFormatting sqref="B23">
    <cfRule type="expression" priority="17">
      <formula>IF($AU23=#REF!,1,0)</formula>
    </cfRule>
    <cfRule type="expression" priority="18">
      <formula>IF($AU22=#REF!,1,0)</formula>
    </cfRule>
  </conditionalFormatting>
  <conditionalFormatting sqref="B37">
    <cfRule type="expression" priority="19">
      <formula>IF($AU37=#REF!,1,0)</formula>
    </cfRule>
    <cfRule type="expression" priority="20">
      <formula>IF(#REF!=#REF!,1,0)</formula>
    </cfRule>
  </conditionalFormatting>
  <conditionalFormatting sqref="H12">
    <cfRule type="expression" priority="21">
      <formula>IF(AND(#REF!&gt;#REF!,ISNUMBER(#REF!),ISNUMBER(#REF!)),1,0)</formula>
    </cfRule>
  </conditionalFormatting>
  <conditionalFormatting sqref="H13">
    <cfRule type="expression" priority="22">
      <formula>IF(AND(#REF!&lt;#REF!,ISNUMBER(#REF!),ISNUMBER(#REF!)),1,0)</formula>
    </cfRule>
  </conditionalFormatting>
  <conditionalFormatting sqref="H20">
    <cfRule type="expression" priority="23">
      <formula>IF(AND(#REF!&gt;#REF!,ISNUMBER(#REF!),ISNUMBER(#REF!)),1,0)</formula>
    </cfRule>
  </conditionalFormatting>
  <conditionalFormatting sqref="H21">
    <cfRule type="expression" priority="24">
      <formula>IF(AND(#REF!&lt;#REF!,ISNUMBER(#REF!),ISNUMBER(#REF!)),1,0)</formula>
    </cfRule>
  </conditionalFormatting>
  <conditionalFormatting sqref="H36">
    <cfRule type="expression" priority="25">
      <formula>IF(AND(#REF!&gt;#REF!,ISNUMBER(#REF!),ISNUMBER(#REF!)),1,0)</formula>
    </cfRule>
  </conditionalFormatting>
  <conditionalFormatting sqref="H37">
    <cfRule type="expression" priority="26">
      <formula>IF(AND(#REF!&lt;#REF!,ISNUMBER(#REF!),ISNUMBER(#REF!)),1,0)</formula>
    </cfRule>
  </conditionalFormatting>
  <conditionalFormatting sqref="G13">
    <cfRule type="expression" priority="27">
      <formula>$P$4="Black and White"</formula>
    </cfRule>
  </conditionalFormatting>
  <conditionalFormatting sqref="G21">
    <cfRule type="expression" priority="28">
      <formula>$P$4="Black and White"</formula>
    </cfRule>
  </conditionalFormatting>
  <conditionalFormatting sqref="G37">
    <cfRule type="expression" priority="29">
      <formula>$P$4="Black and White"</formula>
    </cfRule>
  </conditionalFormatting>
  <conditionalFormatting sqref="G12 G20 G36 G28 L16 L32 Q23">
    <cfRule type="expression" priority="30">
      <formula>$P$4="Black and White"</formula>
    </cfRule>
  </conditionalFormatting>
  <conditionalFormatting sqref="H28">
    <cfRule type="expression" priority="31">
      <formula>IF(AND(#REF!&gt;#REF!,ISNUMBER(#REF!),ISNUMBER(#REF!)),1,0)</formula>
    </cfRule>
  </conditionalFormatting>
  <conditionalFormatting sqref="H29">
    <cfRule type="expression" priority="32">
      <formula>IF(AND(#REF!&lt;#REF!,ISNUMBER(#REF!),ISNUMBER(#REF!)),1,0)</formula>
    </cfRule>
  </conditionalFormatting>
  <conditionalFormatting sqref="G29">
    <cfRule type="expression" priority="33">
      <formula>$P$4="Black and White"</formula>
    </cfRule>
  </conditionalFormatting>
  <conditionalFormatting sqref="M16">
    <cfRule type="expression" priority="34">
      <formula>IF(AND(#REF!&gt;#REF!,ISNUMBER(#REF!),ISNUMBER(#REF!)),1,0)</formula>
    </cfRule>
  </conditionalFormatting>
  <conditionalFormatting sqref="M17">
    <cfRule type="expression" priority="35">
      <formula>IF(AND(#REF!&lt;#REF!,ISNUMBER(#REF!),ISNUMBER(#REF!)),1,0)</formula>
    </cfRule>
  </conditionalFormatting>
  <conditionalFormatting sqref="M32">
    <cfRule type="expression" priority="36">
      <formula>IF(AND(#REF!&gt;#REF!,ISNUMBER(#REF!),ISNUMBER(#REF!)),1,0)</formula>
    </cfRule>
  </conditionalFormatting>
  <conditionalFormatting sqref="M33">
    <cfRule type="expression" priority="37">
      <formula>IF(AND(#REF!&lt;#REF!,ISNUMBER(#REF!),ISNUMBER(#REF!)),1,0)</formula>
    </cfRule>
  </conditionalFormatting>
  <conditionalFormatting sqref="R23">
    <cfRule type="expression" priority="38">
      <formula>IF(AND(#REF!&gt;#REF!,ISNUMBER(#REF!),ISNUMBER(#REF!)),1,0)</formula>
    </cfRule>
  </conditionalFormatting>
  <conditionalFormatting sqref="R24">
    <cfRule type="expression" priority="39">
      <formula>IF(AND(#REF!&lt;#REF!,ISNUMBER(#REF!),ISNUMBER(#REF!)),1,0)</formula>
    </cfRule>
  </conditionalFormatting>
  <conditionalFormatting sqref="L17">
    <cfRule type="expression" priority="40">
      <formula>$P$4="Black and White"</formula>
    </cfRule>
  </conditionalFormatting>
  <conditionalFormatting sqref="L33">
    <cfRule type="expression" priority="41">
      <formula>$P$4="Black and White"</formula>
    </cfRule>
  </conditionalFormatting>
  <conditionalFormatting sqref="Q24">
    <cfRule type="expression" priority="42">
      <formula>$P$4="Black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L35"/>
  <sheetViews>
    <sheetView zoomScale="140" zoomScaleNormal="140" workbookViewId="0"/>
  </sheetViews>
  <sheetFormatPr defaultColWidth="11.5703125" defaultRowHeight="12.75"/>
  <cols>
    <col min="1" max="1" width="16.7109375" style="15" customWidth="1"/>
    <col min="2" max="2" width="28" style="15" customWidth="1"/>
    <col min="3" max="64" width="11.5703125" style="15"/>
  </cols>
  <sheetData>
    <row r="1" spans="1:2" ht="20.25">
      <c r="A1" s="8" t="str">
        <f>VLOOKUP("NOME_TORNEO",INPUT_DATI_TORNEO,2,0)&amp;" "&amp;VLOOKUP("STAGIONE",INPUT_DATI_TORNEO,2,0)</f>
        <v>Torneo dell’Estate 2021</v>
      </c>
      <c r="B1" s="8"/>
    </row>
    <row r="2" spans="1:2" ht="15.75" customHeight="1">
      <c r="A2" s="7" t="s">
        <v>413</v>
      </c>
      <c r="B2" s="7"/>
    </row>
    <row r="3" spans="1:2" ht="15.95" customHeight="1">
      <c r="A3" s="157" t="s">
        <v>390</v>
      </c>
      <c r="B3" s="157" t="s">
        <v>117</v>
      </c>
    </row>
    <row r="4" spans="1:2" ht="15.95" customHeight="1">
      <c r="A4" s="242" t="str">
        <f t="shared" ref="A4:A35" si="0">ROW()-3&amp;"a Classificata"</f>
        <v>1a Classificata</v>
      </c>
      <c r="B4" s="243" t="str">
        <f ca="1">VLOOKUP("1-2/1",B_PARTITE_2A_FASE_PER_CODICE,11,FALSE())</f>
        <v>Leoni</v>
      </c>
    </row>
    <row r="5" spans="1:2" ht="15.95" customHeight="1">
      <c r="A5" s="161" t="str">
        <f t="shared" si="0"/>
        <v>2a Classificata</v>
      </c>
      <c r="B5" s="162" t="str">
        <f ca="1">VLOOKUP("1-2/1",B_PARTITE_2A_FASE_PER_CODICE,12,FALSE())</f>
        <v>Pantere</v>
      </c>
    </row>
    <row r="6" spans="1:2" ht="15.95" customHeight="1">
      <c r="A6" s="242" t="str">
        <f t="shared" si="0"/>
        <v>3a Classificata</v>
      </c>
      <c r="B6" s="243" t="str">
        <f ca="1">VLOOKUP("3-4/1",B_PARTITE_2A_FASE_PER_CODICE,11,FALSE())</f>
        <v>Bisonti</v>
      </c>
    </row>
    <row r="7" spans="1:2" ht="15.95" customHeight="1">
      <c r="A7" s="161" t="str">
        <f t="shared" si="0"/>
        <v>4a Classificata</v>
      </c>
      <c r="B7" s="162" t="str">
        <f ca="1">VLOOKUP("3-4/1",B_PARTITE_2A_FASE_PER_CODICE,12,FALSE())</f>
        <v>Istrici</v>
      </c>
    </row>
    <row r="8" spans="1:2" ht="15.95" customHeight="1">
      <c r="A8" s="242" t="str">
        <f t="shared" si="0"/>
        <v>5a Classificata</v>
      </c>
      <c r="B8" s="243" t="str">
        <f ca="1">VLOOKUP("5-6/1",B_PARTITE_2A_FASE_PER_CODICE,11,FALSE())</f>
        <v>Giaguari</v>
      </c>
    </row>
    <row r="9" spans="1:2" ht="15.95" customHeight="1">
      <c r="A9" s="161" t="str">
        <f t="shared" si="0"/>
        <v>6a Classificata</v>
      </c>
      <c r="B9" s="162" t="str">
        <f ca="1">VLOOKUP("5-6/1",B_PARTITE_2A_FASE_PER_CODICE,12,FALSE())</f>
        <v>Coccodrilli</v>
      </c>
    </row>
    <row r="10" spans="1:2" ht="15.95" customHeight="1">
      <c r="A10" s="242" t="str">
        <f t="shared" si="0"/>
        <v>7a Classificata</v>
      </c>
      <c r="B10" s="243" t="str">
        <f ca="1">VLOOKUP("7-8/1",B_PARTITE_2A_FASE_PER_CODICE,11,FALSE())</f>
        <v>Balene</v>
      </c>
    </row>
    <row r="11" spans="1:2" ht="15.95" customHeight="1">
      <c r="A11" s="161" t="str">
        <f t="shared" si="0"/>
        <v>8a Classificata</v>
      </c>
      <c r="B11" s="162" t="str">
        <f ca="1">VLOOKUP("7-8/1",B_PARTITE_2A_FASE_PER_CODICE,12,FALSE())</f>
        <v>Piranha</v>
      </c>
    </row>
    <row r="12" spans="1:2" ht="15.95" customHeight="1">
      <c r="A12" s="242" t="str">
        <f t="shared" si="0"/>
        <v>9a Classificata</v>
      </c>
      <c r="B12" s="243" t="str">
        <f ca="1">VLOOKUP("9-10/1",B_PARTITE_2A_FASE_PER_CODICE,11,FALSE())</f>
        <v>Elefanti</v>
      </c>
    </row>
    <row r="13" spans="1:2" ht="15.95" customHeight="1">
      <c r="A13" s="161" t="str">
        <f t="shared" si="0"/>
        <v>10a Classificata</v>
      </c>
      <c r="B13" s="162" t="str">
        <f ca="1">VLOOKUP("9-10/1",B_PARTITE_2A_FASE_PER_CODICE,12,FALSE())</f>
        <v>Giraffe</v>
      </c>
    </row>
    <row r="14" spans="1:2" ht="15.95" customHeight="1">
      <c r="A14" s="242" t="str">
        <f t="shared" si="0"/>
        <v>11a Classificata</v>
      </c>
      <c r="B14" s="243" t="str">
        <f ca="1">VLOOKUP("11-12/1",B_PARTITE_2A_FASE_PER_CODICE,11,FALSE())</f>
        <v>Gorilla</v>
      </c>
    </row>
    <row r="15" spans="1:2" ht="15.95" customHeight="1">
      <c r="A15" s="161" t="str">
        <f t="shared" si="0"/>
        <v>12a Classificata</v>
      </c>
      <c r="B15" s="162" t="str">
        <f ca="1">VLOOKUP("11-12/1",B_PARTITE_2A_FASE_PER_CODICE,12,FALSE())</f>
        <v>Bufali</v>
      </c>
    </row>
    <row r="16" spans="1:2" ht="15.95" customHeight="1">
      <c r="A16" s="242" t="str">
        <f t="shared" si="0"/>
        <v>13a Classificata</v>
      </c>
      <c r="B16" s="243" t="str">
        <f ca="1">VLOOKUP("13-14/1",B_PARTITE_2A_FASE_PER_CODICE,11,FALSE())</f>
        <v>Aquile</v>
      </c>
    </row>
    <row r="17" spans="1:2" ht="15.95" customHeight="1">
      <c r="A17" s="161" t="str">
        <f t="shared" si="0"/>
        <v>14a Classificata</v>
      </c>
      <c r="B17" s="162" t="str">
        <f ca="1">VLOOKUP("13-14/1",B_PARTITE_2A_FASE_PER_CODICE,12,FALSE())</f>
        <v>Puma</v>
      </c>
    </row>
    <row r="18" spans="1:2" ht="15.95" customHeight="1">
      <c r="A18" s="242" t="str">
        <f t="shared" si="0"/>
        <v>15a Classificata</v>
      </c>
      <c r="B18" s="243" t="str">
        <f ca="1">VLOOKUP("15-16/1",B_PARTITE_2A_FASE_PER_CODICE,11,FALSE())</f>
        <v>Tonni</v>
      </c>
    </row>
    <row r="19" spans="1:2" ht="15.95" customHeight="1">
      <c r="A19" s="161" t="str">
        <f t="shared" si="0"/>
        <v>16a Classificata</v>
      </c>
      <c r="B19" s="162" t="str">
        <f ca="1">VLOOKUP("15-16/1",B_PARTITE_2A_FASE_PER_CODICE,12,FALSE())</f>
        <v>Gabbiani</v>
      </c>
    </row>
    <row r="20" spans="1:2" ht="15.95" customHeight="1">
      <c r="A20" s="242" t="str">
        <f t="shared" si="0"/>
        <v>17a Classificata</v>
      </c>
      <c r="B20" s="243" t="str">
        <f ca="1">VLOOKUP("17-18/1",B_PARTITE_2A_FASE_PER_CODICE,11,FALSE())</f>
        <v>Tigri</v>
      </c>
    </row>
    <row r="21" spans="1:2" ht="15.95" customHeight="1">
      <c r="A21" s="161" t="str">
        <f t="shared" si="0"/>
        <v>18a Classificata</v>
      </c>
      <c r="B21" s="162" t="str">
        <f ca="1">VLOOKUP("17-18/1",B_PARTITE_2A_FASE_PER_CODICE,12,FALSE())</f>
        <v>Ippopotami</v>
      </c>
    </row>
    <row r="22" spans="1:2" ht="15.95" customHeight="1">
      <c r="A22" s="242" t="str">
        <f t="shared" si="0"/>
        <v>19a Classificata</v>
      </c>
      <c r="B22" s="243" t="str">
        <f ca="1">VLOOKUP("19-20/1",B_PARTITE_2A_FASE_PER_CODICE,11,FALSE())</f>
        <v>Cervi</v>
      </c>
    </row>
    <row r="23" spans="1:2" ht="15.95" customHeight="1">
      <c r="A23" s="161" t="str">
        <f t="shared" si="0"/>
        <v>20a Classificata</v>
      </c>
      <c r="B23" s="162" t="str">
        <f ca="1">VLOOKUP("19-20/1",B_PARTITE_2A_FASE_PER_CODICE,12,FALSE())</f>
        <v>Orche</v>
      </c>
    </row>
    <row r="24" spans="1:2" ht="15.95" customHeight="1">
      <c r="A24" s="242" t="str">
        <f t="shared" si="0"/>
        <v>21a Classificata</v>
      </c>
      <c r="B24" s="243" t="str">
        <f ca="1">VLOOKUP("21-22/1",B_PARTITE_2A_FASE_PER_CODICE,11,FALSE())</f>
        <v>Linci</v>
      </c>
    </row>
    <row r="25" spans="1:2" ht="15.95" customHeight="1">
      <c r="A25" s="161" t="str">
        <f t="shared" si="0"/>
        <v>22a Classificata</v>
      </c>
      <c r="B25" s="162" t="str">
        <f ca="1">VLOOKUP("21-22/1",B_PARTITE_2A_FASE_PER_CODICE,12,FALSE())</f>
        <v>Pitoni</v>
      </c>
    </row>
    <row r="26" spans="1:2" ht="15.95" customHeight="1">
      <c r="A26" s="242" t="str">
        <f t="shared" si="0"/>
        <v>23a Classificata</v>
      </c>
      <c r="B26" s="243" t="str">
        <f ca="1">VLOOKUP("23-24/1",B_PARTITE_2A_FASE_PER_CODICE,11,FALSE())</f>
        <v>Delfini</v>
      </c>
    </row>
    <row r="27" spans="1:2" ht="15.95" customHeight="1">
      <c r="A27" s="161" t="str">
        <f t="shared" si="0"/>
        <v>24a Classificata</v>
      </c>
      <c r="B27" s="162" t="str">
        <f ca="1">VLOOKUP("23-24/1",B_PARTITE_2A_FASE_PER_CODICE,12,FALSE())</f>
        <v>Zebre</v>
      </c>
    </row>
    <row r="28" spans="1:2" ht="15.95" customHeight="1">
      <c r="A28" s="242" t="str">
        <f t="shared" si="0"/>
        <v>25a Classificata</v>
      </c>
      <c r="B28" s="243" t="str">
        <f ca="1">VLOOKUP("25-26/1",B_PARTITE_2A_FASE_PER_CODICE,11,FALSE())</f>
        <v>Iguane</v>
      </c>
    </row>
    <row r="29" spans="1:2" ht="15.95" customHeight="1">
      <c r="A29" s="161" t="str">
        <f t="shared" si="0"/>
        <v>26a Classificata</v>
      </c>
      <c r="B29" s="162" t="str">
        <f ca="1">VLOOKUP("25-26/1",B_PARTITE_2A_FASE_PER_CODICE,12,FALSE())</f>
        <v>Delfini</v>
      </c>
    </row>
    <row r="30" spans="1:2" ht="15.95" customHeight="1">
      <c r="A30" s="242" t="str">
        <f t="shared" si="0"/>
        <v>27a Classificata</v>
      </c>
      <c r="B30" s="243" t="str">
        <f ca="1">VLOOKUP("27-28/1",B_PARTITE_2A_FASE_PER_CODICE,11,FALSE())</f>
        <v>Muli</v>
      </c>
    </row>
    <row r="31" spans="1:2" ht="15.95" customHeight="1">
      <c r="A31" s="161" t="str">
        <f t="shared" si="0"/>
        <v>28a Classificata</v>
      </c>
      <c r="B31" s="162" t="str">
        <f ca="1">VLOOKUP("27-28/1",B_PARTITE_2A_FASE_PER_CODICE,12,FALSE())</f>
        <v>Ghepardi</v>
      </c>
    </row>
    <row r="32" spans="1:2" ht="15.95" customHeight="1">
      <c r="A32" s="242" t="str">
        <f t="shared" si="0"/>
        <v>29a Classificata</v>
      </c>
      <c r="B32" s="243" t="str">
        <f ca="1">VLOOKUP("29-30/1",B_PARTITE_2A_FASE_PER_CODICE,11,FALSE())</f>
        <v>Falchi</v>
      </c>
    </row>
    <row r="33" spans="1:2" ht="15.95" customHeight="1">
      <c r="A33" s="161" t="str">
        <f t="shared" si="0"/>
        <v>30a Classificata</v>
      </c>
      <c r="B33" s="162" t="str">
        <f ca="1">VLOOKUP("29-30/1",B_PARTITE_2A_FASE_PER_CODICE,12,FALSE())</f>
        <v>Scorpioni</v>
      </c>
    </row>
    <row r="34" spans="1:2" ht="15.95" customHeight="1">
      <c r="A34" s="242" t="str">
        <f t="shared" si="0"/>
        <v>31a Classificata</v>
      </c>
      <c r="B34" s="243" t="str">
        <f ca="1">VLOOKUP("31-32/1",B_PARTITE_2A_FASE_PER_CODICE,11,FALSE())</f>
        <v>Scorpioni</v>
      </c>
    </row>
    <row r="35" spans="1:2">
      <c r="A35" s="161" t="str">
        <f t="shared" si="0"/>
        <v>32a Classificata</v>
      </c>
      <c r="B35" s="162" t="str">
        <f ca="1">VLOOKUP("31-32/1",B_PARTITE_2A_FASE_PER_CODICE,12,FALSE())</f>
        <v>Serval</v>
      </c>
    </row>
  </sheetData>
  <sheetProtection sheet="1" objects="1" scenarios="1" insertColumns="0" insertRows="0" deleteColumns="0" deleteRows="0"/>
  <mergeCells count="2">
    <mergeCell ref="A1:B1"/>
    <mergeCell ref="A2:B2"/>
  </mergeCells>
  <conditionalFormatting sqref="A4:A35">
    <cfRule type="expression" priority="2">
      <formula>IF(#REF!=CONCATENATE(#REF!,"_win"),1,0)</formula>
    </cfRule>
  </conditionalFormatting>
  <conditionalFormatting sqref="A3:B3">
    <cfRule type="expression" priority="3">
      <formula>#REF!="Black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40</vt:i4>
      </vt:variant>
    </vt:vector>
  </HeadingPairs>
  <TitlesOfParts>
    <vt:vector size="49" baseType="lpstr">
      <vt:lpstr>Dati Torneo</vt:lpstr>
      <vt:lpstr>Risultati Gironi</vt:lpstr>
      <vt:lpstr>Risultati 2a Fase</vt:lpstr>
      <vt:lpstr>Calcolo</vt:lpstr>
      <vt:lpstr>Calendario Gironi</vt:lpstr>
      <vt:lpstr>Classifiche Gironi</vt:lpstr>
      <vt:lpstr>Calendario Seconda Fase</vt:lpstr>
      <vt:lpstr>Tabellone Principale</vt:lpstr>
      <vt:lpstr>Classifica Finale</vt:lpstr>
      <vt:lpstr>B_CLASSIFICA_GIRONE_A</vt:lpstr>
      <vt:lpstr>B_CLASSIFICA_GIRONE_B</vt:lpstr>
      <vt:lpstr>B_CLASSIFICA_GIRONE_C</vt:lpstr>
      <vt:lpstr>B_CLASSIFICA_GIRONE_D</vt:lpstr>
      <vt:lpstr>B_CLASSIFICA_GIRONE_E</vt:lpstr>
      <vt:lpstr>B_CLASSIFICA_GIRONE_F</vt:lpstr>
      <vt:lpstr>B_CLASSIFICA_GIRONE_G</vt:lpstr>
      <vt:lpstr>B_CLASSIFICA_GIRONE_H</vt:lpstr>
      <vt:lpstr>B_CLASSIFICHE_GIRONI</vt:lpstr>
      <vt:lpstr>B_COEFF_GIRONE_A</vt:lpstr>
      <vt:lpstr>B_COEFF_GIRONE_B</vt:lpstr>
      <vt:lpstr>B_COEFF_GIRONE_C</vt:lpstr>
      <vt:lpstr>B_COEFF_GIRONE_D</vt:lpstr>
      <vt:lpstr>B_COEFF_GIRONE_E</vt:lpstr>
      <vt:lpstr>B_COEFF_GIRONE_F</vt:lpstr>
      <vt:lpstr>B_COEFF_GIRONE_G</vt:lpstr>
      <vt:lpstr>B_COEFF_GIRONE_H</vt:lpstr>
      <vt:lpstr>B_DIFF_CANESTRI_SQUADRA_A_GIRONI</vt:lpstr>
      <vt:lpstr>B_DIFF_CANESTRI_SQUADRA_B_GIRONI</vt:lpstr>
      <vt:lpstr>B_FORFAIT_SQUADRA_A_GIRONI</vt:lpstr>
      <vt:lpstr>B_FORFAIT_SQUADRA_B_GIRONI</vt:lpstr>
      <vt:lpstr>B_PARTITE_2A_FASE_PER_CODICE</vt:lpstr>
      <vt:lpstr>B_PARTITE_2A_FASE_PER_NUMERO</vt:lpstr>
      <vt:lpstr>B_PARTITE_GIRONI</vt:lpstr>
      <vt:lpstr>B_PERSE_SQUADRA_A_GIRONI</vt:lpstr>
      <vt:lpstr>B_PERSE_SQUADRA_B_GIRONI</vt:lpstr>
      <vt:lpstr>B_PUNTI_FATTI_SQUADRA_A_GIRONI</vt:lpstr>
      <vt:lpstr>B_PUNTI_FATTI_SQUADRA_B_GIRONI</vt:lpstr>
      <vt:lpstr>B_PUNTI_SUBITI_SQUADRA_A_GIRONI</vt:lpstr>
      <vt:lpstr>B_PUNTI_SUBITI_SQUADRA_B_GIRONI</vt:lpstr>
      <vt:lpstr>B_SQUADRA_A_GIRONI</vt:lpstr>
      <vt:lpstr>B_SQUADRA_B_GIRONI</vt:lpstr>
      <vt:lpstr>B_VINTE_SQUADRA_A_GIRONI</vt:lpstr>
      <vt:lpstr>B_VINTE_SQUADRA_B_GIRONI</vt:lpstr>
      <vt:lpstr>INPUT_CAMPI</vt:lpstr>
      <vt:lpstr>INPUT_DATE_E_RISULTATI_2A_FASE</vt:lpstr>
      <vt:lpstr>INPUT_DATE_E_RISULTATI_GIRONI</vt:lpstr>
      <vt:lpstr>INPUT_DATI_TORNEO</vt:lpstr>
      <vt:lpstr>INPUT_SQUADRE</vt:lpstr>
      <vt:lpstr>SQUADRE_PER_CODICE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Lolli</dc:creator>
  <cp:lastModifiedBy>Utente Windows</cp:lastModifiedBy>
  <cp:revision>147</cp:revision>
  <dcterms:created xsi:type="dcterms:W3CDTF">2017-10-20T23:41:04Z</dcterms:created>
  <dcterms:modified xsi:type="dcterms:W3CDTF">2020-08-11T08:42:27Z</dcterms:modified>
  <dc:language>it-IT</dc:language>
</cp:coreProperties>
</file>