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1"/>
  </bookViews>
  <sheets>
    <sheet name="A_INPUT" sheetId="1" r:id="rId1"/>
    <sheet name="B_ELABORAZIONE" sheetId="2" r:id="rId2"/>
    <sheet name="C_OUTPUT" sheetId="3" r:id="rId3"/>
  </sheets>
  <definedNames>
    <definedName name="A_1_INPUT_DATI_TORNEO">A_INPUT!$A$3:$B$4</definedName>
    <definedName name="A_2_INPUT_SQUADRE">A_INPUT!$D$3:$I$34</definedName>
    <definedName name="A_3_INPUT_CAMPI">A_INPUT!$K$3:$L$34</definedName>
    <definedName name="A_4_INPUT_DATE_E_RISULTATI_GIRONI">A_INPUT!$N$3:$X$50</definedName>
    <definedName name="A_5_INPUT_DATE_E_RISULTATI_2A_FASE">A_INPUT!$Z$1:$AJ$66</definedName>
    <definedName name="A_SQUADRE_PER_CODICE">A_INPUT!$E$3:$I$34</definedName>
    <definedName name="B_CLASSIFICA_GIRONE_A">B_ELABORAZIONE!$Y$3:$AS$6</definedName>
    <definedName name="B_CLASSIFICA_GIRONE_B">B_ELABORAZIONE!$Y$7:$AS$10</definedName>
    <definedName name="B_CLASSIFICA_GIRONE_C">B_ELABORAZIONE!$Y$11:$AS$14</definedName>
    <definedName name="B_CLASSIFICA_GIRONE_D">B_ELABORAZIONE!$Y$15:$AS$18</definedName>
    <definedName name="B_CLASSIFICA_GIRONE_E">B_ELABORAZIONE!$Y$19:$AS$22</definedName>
    <definedName name="B_CLASSIFICA_GIRONE_F">B_ELABORAZIONE!$Y$23:$AS$26</definedName>
    <definedName name="B_CLASSIFICA_GIRONE_G">B_ELABORAZIONE!$Y$27:$AS$30</definedName>
    <definedName name="B_CLASSIFICA_GIRONE_H">B_ELABORAZIONE!$Y$31:$AS$34</definedName>
    <definedName name="B_CLASSIFICHE_GIRONI">B_ELABORAZIONE!$Y$3:$AS$34</definedName>
    <definedName name="B_COEFF_GIRONE_A">B_ELABORAZIONE!$AS$3:$AS$6</definedName>
    <definedName name="B_COEFF_GIRONE_B">B_ELABORAZIONE!$AS$7:$AS$10</definedName>
    <definedName name="B_COEFF_GIRONE_C">B_ELABORAZIONE!$AS$11:$AS$14</definedName>
    <definedName name="B_COEFF_GIRONE_D">B_ELABORAZIONE!$AS$15:$AS$18</definedName>
    <definedName name="B_COEFF_GIRONE_E">B_ELABORAZIONE!$AS$19:$AS$22</definedName>
    <definedName name="B_COEFF_GIRONE_F">B_ELABORAZIONE!$AS$23:$AS$26</definedName>
    <definedName name="B_COEFF_GIRONE_G">B_ELABORAZIONE!$AS$27:$AS$30</definedName>
    <definedName name="B_COEFF_GIRONE_H">B_ELABORAZIONE!$AS$31:$AS$34</definedName>
    <definedName name="B_DIFF_CANESTRI_SQUADRA_A_GIRONI">B_ELABORAZIONE!$Q$3:$Q$50</definedName>
    <definedName name="B_DIFF_CANESTRI_SQUADRA_B_GIRONI">B_ELABORAZIONE!$W$3:$W$50</definedName>
    <definedName name="B_FORFAIT_SQUADRA_A_GIRONI">B_ELABORAZIONE!$N$3:$N$50</definedName>
    <definedName name="B_FORFAIT_SQUADRA_B_GIRONI">B_ELABORAZIONE!$T$3:$T$50</definedName>
    <definedName name="B_PARTITE_2A_FASE_PER_CODICE">B_ELABORAZIONE!$AU$1:$BR$66</definedName>
    <definedName name="B_PARTITE_2A_FASE_PER_NUMERO">B_ELABORAZIONE!$AV$1:$BR$66</definedName>
    <definedName name="B_PARTITE_GIRONI">B_ELABORAZIONE!$A$3:$W$50</definedName>
    <definedName name="B_PERSE_SQUADRA_A_GIRONI">B_ELABORAZIONE!$M$3:$M$50</definedName>
    <definedName name="B_PERSE_SQUADRA_B_GIRONI">B_ELABORAZIONE!$S$3:$S$50</definedName>
    <definedName name="B_PUNTI_FATTI_SQUADRA_A_GIRONI">B_ELABORAZIONE!$O$3:$O$50</definedName>
    <definedName name="B_PUNTI_FATTI_SQUADRA_B_GIRONI">B_ELABORAZIONE!$U$3:$U$50</definedName>
    <definedName name="B_PUNTI_SUBITI_SQUADRA_A_GIRONI">B_ELABORAZIONE!$P$3:$P$50</definedName>
    <definedName name="B_PUNTI_SUBITI_SQUADRA_B_GIRONI">B_ELABORAZIONE!$V$3:$V$50</definedName>
    <definedName name="B_SQUADRA_A_GIRONI">B_ELABORAZIONE!$F$3:$F$50</definedName>
    <definedName name="B_SQUADRA_B_GIRONI">B_ELABORAZIONE!$G$3:$G$50</definedName>
    <definedName name="B_VINTE_SQUADRA_A_GIRONI">B_ELABORAZIONE!$L$3:$L$50</definedName>
    <definedName name="B_VINTE_SQUADRA_B_GIRONI">B_ELABORAZIONE!$R$3:$R$50</definedName>
    <definedName name="CLASSIFICA_GIRONE_A">#N/A</definedName>
    <definedName name="CLASSIFICA_GIRONE_B">#N/A</definedName>
    <definedName name="CLASSIFICA_GIRONE_C">#N/A</definedName>
    <definedName name="CLASSIFICA_GIRONE_D">#N/A</definedName>
    <definedName name="CLASSIFICA_GIRONE_E">#N/A</definedName>
    <definedName name="CLASSIFICA_GIRONE_F">#N/A</definedName>
    <definedName name="CLASSIFICA_GIRONE_G">#N/A</definedName>
    <definedName name="CLASSIFICA_GIRONE_H">#N/A</definedName>
  </definedNames>
  <calcPr calcId="125725"/>
</workbook>
</file>

<file path=xl/calcChain.xml><?xml version="1.0" encoding="utf-8"?>
<calcChain xmlns="http://schemas.openxmlformats.org/spreadsheetml/2006/main">
  <c r="E3" i="1"/>
  <c r="O3"/>
  <c r="P3"/>
  <c r="X3"/>
  <c r="AA3"/>
  <c r="AB3"/>
  <c r="AJ3"/>
  <c r="E4"/>
  <c r="O4"/>
  <c r="P4"/>
  <c r="X4"/>
  <c r="AA4"/>
  <c r="AB4"/>
  <c r="AJ4"/>
  <c r="E5"/>
  <c r="O5"/>
  <c r="P5"/>
  <c r="X5"/>
  <c r="AA5"/>
  <c r="AB5"/>
  <c r="AJ5"/>
  <c r="E6"/>
  <c r="O6"/>
  <c r="P6"/>
  <c r="X6"/>
  <c r="AA6"/>
  <c r="AB6"/>
  <c r="AJ6"/>
  <c r="E7"/>
  <c r="L7"/>
  <c r="O7"/>
  <c r="P7"/>
  <c r="X7"/>
  <c r="AA7"/>
  <c r="AB7"/>
  <c r="AJ7"/>
  <c r="E8"/>
  <c r="L8"/>
  <c r="O8"/>
  <c r="P8"/>
  <c r="X8"/>
  <c r="AA8"/>
  <c r="AB8"/>
  <c r="AJ8"/>
  <c r="E9"/>
  <c r="L9"/>
  <c r="O9"/>
  <c r="P9"/>
  <c r="X9"/>
  <c r="AA9"/>
  <c r="AB9"/>
  <c r="AJ9"/>
  <c r="E10"/>
  <c r="L10"/>
  <c r="O10"/>
  <c r="P10"/>
  <c r="X10"/>
  <c r="AA10"/>
  <c r="AB10"/>
  <c r="AJ10"/>
  <c r="E11"/>
  <c r="L11"/>
  <c r="O11"/>
  <c r="P11"/>
  <c r="X11"/>
  <c r="AA11"/>
  <c r="AB11"/>
  <c r="AJ11"/>
  <c r="E12"/>
  <c r="L12"/>
  <c r="O12"/>
  <c r="P12"/>
  <c r="X12"/>
  <c r="AA12"/>
  <c r="AB12"/>
  <c r="AJ12"/>
  <c r="E13"/>
  <c r="L13"/>
  <c r="O13"/>
  <c r="P13"/>
  <c r="X13"/>
  <c r="AA13"/>
  <c r="AB13"/>
  <c r="AJ13"/>
  <c r="E14"/>
  <c r="L14"/>
  <c r="O14"/>
  <c r="P14"/>
  <c r="X14"/>
  <c r="AA14"/>
  <c r="AB14"/>
  <c r="AJ14"/>
  <c r="E15"/>
  <c r="L15"/>
  <c r="O15"/>
  <c r="P15"/>
  <c r="X15"/>
  <c r="AA15"/>
  <c r="AB15"/>
  <c r="AJ15"/>
  <c r="E16"/>
  <c r="L16"/>
  <c r="O16"/>
  <c r="P16"/>
  <c r="X16"/>
  <c r="AA16"/>
  <c r="AB16"/>
  <c r="AJ16"/>
  <c r="E17"/>
  <c r="L17"/>
  <c r="O17"/>
  <c r="P17"/>
  <c r="X17"/>
  <c r="AA17"/>
  <c r="AB17"/>
  <c r="AJ17"/>
  <c r="E18"/>
  <c r="L18"/>
  <c r="O18"/>
  <c r="P18"/>
  <c r="X18"/>
  <c r="AA18"/>
  <c r="AB18"/>
  <c r="AJ18"/>
  <c r="E19"/>
  <c r="L19"/>
  <c r="O19"/>
  <c r="P19"/>
  <c r="X19"/>
  <c r="AA19"/>
  <c r="AB19"/>
  <c r="AJ19"/>
  <c r="E20"/>
  <c r="L20"/>
  <c r="O20"/>
  <c r="P20"/>
  <c r="X20"/>
  <c r="AA20"/>
  <c r="AB20"/>
  <c r="AJ20"/>
  <c r="E21"/>
  <c r="L21"/>
  <c r="O21"/>
  <c r="P21"/>
  <c r="X21"/>
  <c r="AA21"/>
  <c r="AB21"/>
  <c r="AJ21"/>
  <c r="E22"/>
  <c r="L22"/>
  <c r="O22"/>
  <c r="P22"/>
  <c r="X22"/>
  <c r="AA22"/>
  <c r="AB22"/>
  <c r="AJ22"/>
  <c r="E23"/>
  <c r="L23"/>
  <c r="O23"/>
  <c r="P23"/>
  <c r="X23"/>
  <c r="AA23"/>
  <c r="AB23"/>
  <c r="AJ23"/>
  <c r="E24"/>
  <c r="L24"/>
  <c r="O24"/>
  <c r="P24"/>
  <c r="X24"/>
  <c r="AA24"/>
  <c r="AB24"/>
  <c r="AJ24"/>
  <c r="E25"/>
  <c r="L25"/>
  <c r="O25"/>
  <c r="P25"/>
  <c r="X25"/>
  <c r="AA25"/>
  <c r="AB25"/>
  <c r="AJ25"/>
  <c r="E26"/>
  <c r="L26"/>
  <c r="O26"/>
  <c r="P26"/>
  <c r="X26"/>
  <c r="AA26"/>
  <c r="AB26"/>
  <c r="AJ26"/>
  <c r="E27"/>
  <c r="L27"/>
  <c r="O27"/>
  <c r="P27"/>
  <c r="X27"/>
  <c r="AA27"/>
  <c r="AB27"/>
  <c r="AJ27"/>
  <c r="E28"/>
  <c r="L28"/>
  <c r="O28"/>
  <c r="P28"/>
  <c r="X28"/>
  <c r="AA28"/>
  <c r="AB28"/>
  <c r="AJ28"/>
  <c r="E29"/>
  <c r="L29"/>
  <c r="O29"/>
  <c r="P29"/>
  <c r="X29"/>
  <c r="AA29"/>
  <c r="AB29"/>
  <c r="AJ29"/>
  <c r="E30"/>
  <c r="L30"/>
  <c r="O30"/>
  <c r="P30"/>
  <c r="X30"/>
  <c r="AA30"/>
  <c r="AB30"/>
  <c r="AJ30"/>
  <c r="E31"/>
  <c r="L31"/>
  <c r="O31"/>
  <c r="P31"/>
  <c r="X31"/>
  <c r="AA31"/>
  <c r="AB31"/>
  <c r="AJ31"/>
  <c r="E32"/>
  <c r="L32"/>
  <c r="O32"/>
  <c r="P32"/>
  <c r="X32"/>
  <c r="AA32"/>
  <c r="AB32"/>
  <c r="AJ32"/>
  <c r="E33"/>
  <c r="L33"/>
  <c r="O33"/>
  <c r="P33"/>
  <c r="X33"/>
  <c r="AA33"/>
  <c r="AB33"/>
  <c r="AJ33"/>
  <c r="E34"/>
  <c r="L34"/>
  <c r="O34"/>
  <c r="P34"/>
  <c r="X34"/>
  <c r="AA34"/>
  <c r="AB34"/>
  <c r="AJ34"/>
  <c r="O35"/>
  <c r="P35"/>
  <c r="X35"/>
  <c r="AA35"/>
  <c r="AB35"/>
  <c r="AJ35"/>
  <c r="O36"/>
  <c r="P36"/>
  <c r="X36"/>
  <c r="AA36"/>
  <c r="AB36"/>
  <c r="AJ36"/>
  <c r="O37"/>
  <c r="P37"/>
  <c r="X37"/>
  <c r="AA37"/>
  <c r="AB37"/>
  <c r="AJ37"/>
  <c r="O38"/>
  <c r="P38"/>
  <c r="X38"/>
  <c r="AA38"/>
  <c r="AB38"/>
  <c r="AJ38"/>
  <c r="O39"/>
  <c r="P39"/>
  <c r="X39"/>
  <c r="AA39"/>
  <c r="AB39"/>
  <c r="AJ39"/>
  <c r="O40"/>
  <c r="P40"/>
  <c r="X40"/>
  <c r="AA40"/>
  <c r="AB40"/>
  <c r="AJ40"/>
  <c r="O41"/>
  <c r="P41"/>
  <c r="X41"/>
  <c r="AA41"/>
  <c r="AB41"/>
  <c r="AJ41"/>
  <c r="O42"/>
  <c r="P42"/>
  <c r="X42"/>
  <c r="AA42"/>
  <c r="AB42"/>
  <c r="AJ42"/>
  <c r="O43"/>
  <c r="P43"/>
  <c r="X43"/>
  <c r="AA43"/>
  <c r="AB43"/>
  <c r="AJ43"/>
  <c r="O44"/>
  <c r="P44"/>
  <c r="X44"/>
  <c r="AA44"/>
  <c r="AB44"/>
  <c r="AJ44"/>
  <c r="O45"/>
  <c r="P45"/>
  <c r="X45"/>
  <c r="AA45"/>
  <c r="AB45"/>
  <c r="AJ45"/>
  <c r="O46"/>
  <c r="P46"/>
  <c r="X46"/>
  <c r="AA46"/>
  <c r="AB46"/>
  <c r="AJ46"/>
  <c r="O47"/>
  <c r="P47"/>
  <c r="X47"/>
  <c r="AA47"/>
  <c r="AB47"/>
  <c r="AJ47"/>
  <c r="O48"/>
  <c r="P48"/>
  <c r="X48"/>
  <c r="AA48"/>
  <c r="AB48"/>
  <c r="AJ48"/>
  <c r="O49"/>
  <c r="P49"/>
  <c r="X49"/>
  <c r="AA49"/>
  <c r="AB49"/>
  <c r="AJ49"/>
  <c r="O50"/>
  <c r="P50"/>
  <c r="X50"/>
  <c r="AA50"/>
  <c r="AB50"/>
  <c r="AJ50"/>
  <c r="AA51"/>
  <c r="AB51"/>
  <c r="AJ51"/>
  <c r="AA52"/>
  <c r="AB52"/>
  <c r="AJ52"/>
  <c r="AA53"/>
  <c r="AB53"/>
  <c r="AJ53"/>
  <c r="AA54"/>
  <c r="AB54"/>
  <c r="AJ54"/>
  <c r="AA55"/>
  <c r="AB55"/>
  <c r="AJ55"/>
  <c r="AA56"/>
  <c r="AB56"/>
  <c r="AJ56"/>
  <c r="AA57"/>
  <c r="AB57"/>
  <c r="AJ57"/>
  <c r="AA58"/>
  <c r="AB58"/>
  <c r="AJ58"/>
  <c r="AA59"/>
  <c r="AB59"/>
  <c r="AJ59"/>
  <c r="AA60"/>
  <c r="AB60"/>
  <c r="AJ60"/>
  <c r="AA61"/>
  <c r="AB61"/>
  <c r="AJ61"/>
  <c r="AA62"/>
  <c r="AB62"/>
  <c r="AJ62"/>
  <c r="AA63"/>
  <c r="AB63"/>
  <c r="AJ63"/>
  <c r="AA64"/>
  <c r="AB64"/>
  <c r="AJ64"/>
  <c r="AA65"/>
  <c r="AB65"/>
  <c r="AJ65"/>
  <c r="AA66"/>
  <c r="AB66"/>
  <c r="AJ66"/>
  <c r="F3" i="2"/>
  <c r="Q3" i="1" s="1"/>
  <c r="D4" i="3" s="1"/>
  <c r="G3" i="2"/>
  <c r="R3" i="1" s="1"/>
  <c r="H3" i="2"/>
  <c r="J3" s="1"/>
  <c r="I3"/>
  <c r="U3" s="1"/>
  <c r="O3"/>
  <c r="AB3"/>
  <c r="BC3"/>
  <c r="BM3" s="1"/>
  <c r="BD3"/>
  <c r="BK3" s="1"/>
  <c r="BP3"/>
  <c r="F4"/>
  <c r="G4"/>
  <c r="R11" i="1" s="1"/>
  <c r="H4" i="2"/>
  <c r="L4" s="1"/>
  <c r="I4"/>
  <c r="P4" s="1"/>
  <c r="T4"/>
  <c r="U4"/>
  <c r="AB4"/>
  <c r="BC4"/>
  <c r="BD4"/>
  <c r="BG4" s="1"/>
  <c r="BJ4"/>
  <c r="F5"/>
  <c r="Q27" i="1" s="1"/>
  <c r="G5" i="2"/>
  <c r="R27" i="1" s="1"/>
  <c r="H5" i="2"/>
  <c r="M5" s="1"/>
  <c r="I5"/>
  <c r="O5"/>
  <c r="U5"/>
  <c r="AB5"/>
  <c r="BC5"/>
  <c r="BG5" s="1"/>
  <c r="BD5"/>
  <c r="BK5" s="1"/>
  <c r="BO5"/>
  <c r="BP5"/>
  <c r="F6"/>
  <c r="G6"/>
  <c r="R39" i="1" s="1"/>
  <c r="H6" i="2"/>
  <c r="K6" s="1"/>
  <c r="I6"/>
  <c r="R6" s="1"/>
  <c r="N6"/>
  <c r="P6"/>
  <c r="U6"/>
  <c r="AB6"/>
  <c r="BC6"/>
  <c r="BQ6" s="1"/>
  <c r="BD6"/>
  <c r="BP6" s="1"/>
  <c r="BJ6"/>
  <c r="F7"/>
  <c r="Q15" i="1" s="1"/>
  <c r="G7" i="2"/>
  <c r="R15" i="1" s="1"/>
  <c r="H7" i="2"/>
  <c r="J7" s="1"/>
  <c r="I7"/>
  <c r="M7"/>
  <c r="O7"/>
  <c r="U7"/>
  <c r="AB7"/>
  <c r="BC7"/>
  <c r="BM7" s="1"/>
  <c r="BD7"/>
  <c r="BK7"/>
  <c r="BP7"/>
  <c r="F8"/>
  <c r="Q4" i="1" s="1"/>
  <c r="G8" i="2"/>
  <c r="R4" i="1" s="1"/>
  <c r="G5" i="3" s="1"/>
  <c r="H8" i="2"/>
  <c r="I8"/>
  <c r="P8"/>
  <c r="T8"/>
  <c r="U8"/>
  <c r="AB8"/>
  <c r="BC8"/>
  <c r="BJ8" s="1"/>
  <c r="BD8"/>
  <c r="BH8" s="1"/>
  <c r="BP8"/>
  <c r="F9"/>
  <c r="Q5" i="1" s="1"/>
  <c r="G9" i="2"/>
  <c r="R5" i="1" s="1"/>
  <c r="H9" i="2"/>
  <c r="I9"/>
  <c r="U9" s="1"/>
  <c r="W9" s="1"/>
  <c r="O9"/>
  <c r="V9"/>
  <c r="AB9"/>
  <c r="BC9"/>
  <c r="BO9" s="1"/>
  <c r="BD9"/>
  <c r="BK9" s="1"/>
  <c r="BP9"/>
  <c r="F10"/>
  <c r="Q12" i="1" s="1"/>
  <c r="G10" i="2"/>
  <c r="R12" i="1" s="1"/>
  <c r="H10" i="2"/>
  <c r="I10"/>
  <c r="N10" s="1"/>
  <c r="J10"/>
  <c r="L10"/>
  <c r="P10"/>
  <c r="R10"/>
  <c r="T10"/>
  <c r="V10"/>
  <c r="AB10"/>
  <c r="BC10"/>
  <c r="BQ10" s="1"/>
  <c r="BD10"/>
  <c r="BJ10"/>
  <c r="BP10"/>
  <c r="F11"/>
  <c r="Q28" i="1" s="1"/>
  <c r="G11" i="2"/>
  <c r="R28" i="1" s="1"/>
  <c r="H11" i="2"/>
  <c r="S11" s="1"/>
  <c r="I11"/>
  <c r="U11" s="1"/>
  <c r="O11"/>
  <c r="AB11"/>
  <c r="BC11"/>
  <c r="BM11" s="1"/>
  <c r="BD11"/>
  <c r="BP11" s="1"/>
  <c r="BK11"/>
  <c r="F12"/>
  <c r="Q40" i="1" s="1"/>
  <c r="G12" i="2"/>
  <c r="R40" i="1" s="1"/>
  <c r="H12" i="2"/>
  <c r="I12"/>
  <c r="S12" s="1"/>
  <c r="L12"/>
  <c r="P12"/>
  <c r="U12"/>
  <c r="AB12"/>
  <c r="BC12"/>
  <c r="BH12" s="1"/>
  <c r="BD12"/>
  <c r="BP12"/>
  <c r="F13"/>
  <c r="Q16" i="1" s="1"/>
  <c r="G13" i="2"/>
  <c r="R16" i="1" s="1"/>
  <c r="H13" i="2"/>
  <c r="O13" s="1"/>
  <c r="I13"/>
  <c r="M13" s="1"/>
  <c r="U13"/>
  <c r="W13" s="1"/>
  <c r="V13"/>
  <c r="AB13"/>
  <c r="BC13"/>
  <c r="BQ13" s="1"/>
  <c r="BD13"/>
  <c r="BP13" s="1"/>
  <c r="F14"/>
  <c r="Q6" i="1" s="1"/>
  <c r="G14" i="2"/>
  <c r="R6" i="1" s="1"/>
  <c r="H14" i="2"/>
  <c r="I14"/>
  <c r="P14" s="1"/>
  <c r="L14"/>
  <c r="N14"/>
  <c r="T14"/>
  <c r="U14"/>
  <c r="V14"/>
  <c r="AB14"/>
  <c r="BC14"/>
  <c r="BQ14" s="1"/>
  <c r="BD14"/>
  <c r="BJ14"/>
  <c r="F15"/>
  <c r="Q7" i="1" s="1"/>
  <c r="G15" i="2"/>
  <c r="R7" i="1" s="1"/>
  <c r="H15" i="2"/>
  <c r="O15" s="1"/>
  <c r="I15"/>
  <c r="AB15"/>
  <c r="BC15"/>
  <c r="BD15"/>
  <c r="BK15" s="1"/>
  <c r="F16"/>
  <c r="Q13" i="1" s="1"/>
  <c r="G16" i="2"/>
  <c r="R13" i="1" s="1"/>
  <c r="H16" i="2"/>
  <c r="J16" s="1"/>
  <c r="I16"/>
  <c r="L16"/>
  <c r="N16"/>
  <c r="P16"/>
  <c r="T16"/>
  <c r="U16"/>
  <c r="AB16"/>
  <c r="BC16"/>
  <c r="BJ16" s="1"/>
  <c r="BD16"/>
  <c r="BN16" s="1"/>
  <c r="F17"/>
  <c r="Q29" i="1" s="1"/>
  <c r="D31" i="3" s="1"/>
  <c r="G17" i="2"/>
  <c r="R29" i="1" s="1"/>
  <c r="H17" i="2"/>
  <c r="K17" s="1"/>
  <c r="I17"/>
  <c r="J17" s="1"/>
  <c r="O17"/>
  <c r="V17"/>
  <c r="AB17"/>
  <c r="BC17"/>
  <c r="BI17" s="1"/>
  <c r="BD17"/>
  <c r="BK17" s="1"/>
  <c r="BP17"/>
  <c r="F18"/>
  <c r="Q41" i="1" s="1"/>
  <c r="G18" i="2"/>
  <c r="R41" i="1" s="1"/>
  <c r="H18" i="2"/>
  <c r="I18"/>
  <c r="U18" s="1"/>
  <c r="N18"/>
  <c r="P18"/>
  <c r="AB18"/>
  <c r="BC18"/>
  <c r="BQ18" s="1"/>
  <c r="BD18"/>
  <c r="F19"/>
  <c r="Q17" i="1" s="1"/>
  <c r="G19" i="2"/>
  <c r="R17" i="1" s="1"/>
  <c r="H19" i="2"/>
  <c r="I19"/>
  <c r="U19" s="1"/>
  <c r="O19"/>
  <c r="Q19" s="1"/>
  <c r="P19"/>
  <c r="AB19"/>
  <c r="BC19"/>
  <c r="BH19" s="1"/>
  <c r="BD19"/>
  <c r="BN19" s="1"/>
  <c r="BJ19"/>
  <c r="BL19" s="1"/>
  <c r="BK19"/>
  <c r="BO19"/>
  <c r="BP19"/>
  <c r="F20"/>
  <c r="G20"/>
  <c r="R8" i="1" s="1"/>
  <c r="G9" i="3" s="1"/>
  <c r="H20" i="2"/>
  <c r="J20" s="1"/>
  <c r="I20"/>
  <c r="L20"/>
  <c r="N20"/>
  <c r="P20"/>
  <c r="U20"/>
  <c r="W20" s="1"/>
  <c r="V20"/>
  <c r="AB20"/>
  <c r="BC20"/>
  <c r="BD20"/>
  <c r="BN20" s="1"/>
  <c r="BJ20"/>
  <c r="BQ20"/>
  <c r="F21"/>
  <c r="Q9" i="1" s="1"/>
  <c r="G21" i="2"/>
  <c r="R9" i="1" s="1"/>
  <c r="G10" i="3" s="1"/>
  <c r="H21" i="2"/>
  <c r="I21"/>
  <c r="M21" s="1"/>
  <c r="K21"/>
  <c r="L21"/>
  <c r="P21"/>
  <c r="S21"/>
  <c r="U21"/>
  <c r="AB21"/>
  <c r="BC21"/>
  <c r="BJ21" s="1"/>
  <c r="BD21"/>
  <c r="BG21" s="1"/>
  <c r="BO21"/>
  <c r="F22"/>
  <c r="Q14" i="1" s="1"/>
  <c r="G22" i="2"/>
  <c r="R14" i="1" s="1"/>
  <c r="H22" i="2"/>
  <c r="J22" s="1"/>
  <c r="I22"/>
  <c r="L22"/>
  <c r="M22"/>
  <c r="P22"/>
  <c r="U22"/>
  <c r="W22" s="1"/>
  <c r="V22"/>
  <c r="AB22"/>
  <c r="BC22"/>
  <c r="BD22"/>
  <c r="BH22" s="1"/>
  <c r="F23"/>
  <c r="Q30" i="1" s="1"/>
  <c r="G23" i="2"/>
  <c r="R30" i="1" s="1"/>
  <c r="H23" i="2"/>
  <c r="R23" s="1"/>
  <c r="I23"/>
  <c r="S23" s="1"/>
  <c r="O23"/>
  <c r="AB23"/>
  <c r="BC23"/>
  <c r="AA10" i="3" s="1"/>
  <c r="BD23" i="2"/>
  <c r="F24"/>
  <c r="Q42" i="1" s="1"/>
  <c r="D44" i="3" s="1"/>
  <c r="G24" i="2"/>
  <c r="R42" i="1" s="1"/>
  <c r="H24" i="2"/>
  <c r="I24"/>
  <c r="L24" s="1"/>
  <c r="J24"/>
  <c r="K24"/>
  <c r="O24"/>
  <c r="P24"/>
  <c r="R24"/>
  <c r="U24"/>
  <c r="V24"/>
  <c r="W24" s="1"/>
  <c r="AB24"/>
  <c r="BC24"/>
  <c r="BD24"/>
  <c r="BI24" s="1"/>
  <c r="BJ24"/>
  <c r="BM24"/>
  <c r="BQ24"/>
  <c r="F25"/>
  <c r="Q18" i="1" s="1"/>
  <c r="G25" i="2"/>
  <c r="R18" i="1" s="1"/>
  <c r="H25" i="2"/>
  <c r="S25" s="1"/>
  <c r="I25"/>
  <c r="AB25"/>
  <c r="BC25"/>
  <c r="BG25" s="1"/>
  <c r="BD25"/>
  <c r="BK25"/>
  <c r="BM25"/>
  <c r="BP25"/>
  <c r="F26"/>
  <c r="Q10" i="1" s="1"/>
  <c r="G26" i="2"/>
  <c r="R10" i="1" s="1"/>
  <c r="H26" i="2"/>
  <c r="M26" s="1"/>
  <c r="I26"/>
  <c r="R26" s="1"/>
  <c r="AB26"/>
  <c r="BC26"/>
  <c r="BD26"/>
  <c r="F27"/>
  <c r="Q19" i="1" s="1"/>
  <c r="G27" i="2"/>
  <c r="R19" i="1" s="1"/>
  <c r="H27" i="2"/>
  <c r="K27" s="1"/>
  <c r="I27"/>
  <c r="M27"/>
  <c r="N27"/>
  <c r="S27"/>
  <c r="U27"/>
  <c r="AB27"/>
  <c r="BC27"/>
  <c r="BM27" s="1"/>
  <c r="BD27"/>
  <c r="BP27" s="1"/>
  <c r="BK27"/>
  <c r="F28"/>
  <c r="Q31" i="1" s="1"/>
  <c r="G28" i="2"/>
  <c r="R31" i="1" s="1"/>
  <c r="H28" i="2"/>
  <c r="I28"/>
  <c r="P28"/>
  <c r="U28"/>
  <c r="AB28"/>
  <c r="BC28"/>
  <c r="BJ28" s="1"/>
  <c r="BD28"/>
  <c r="BN28" s="1"/>
  <c r="F29"/>
  <c r="Q43" i="1" s="1"/>
  <c r="G29" i="2"/>
  <c r="R43" i="1" s="1"/>
  <c r="H29" i="2"/>
  <c r="K29" s="1"/>
  <c r="I29"/>
  <c r="L29"/>
  <c r="M29"/>
  <c r="P29"/>
  <c r="U29"/>
  <c r="AB29"/>
  <c r="BC29"/>
  <c r="BD29"/>
  <c r="BP29" s="1"/>
  <c r="BJ29"/>
  <c r="BL29" s="1"/>
  <c r="BK29"/>
  <c r="BQ29"/>
  <c r="F30"/>
  <c r="Q47" i="1" s="1"/>
  <c r="D49" i="3" s="1"/>
  <c r="G30" i="2"/>
  <c r="R47" i="1" s="1"/>
  <c r="H30" i="2"/>
  <c r="I30"/>
  <c r="M30" s="1"/>
  <c r="J30"/>
  <c r="L30"/>
  <c r="P30"/>
  <c r="R30"/>
  <c r="U30"/>
  <c r="W30" s="1"/>
  <c r="V30"/>
  <c r="AB30"/>
  <c r="BC30"/>
  <c r="BN30" s="1"/>
  <c r="BD30"/>
  <c r="BK30"/>
  <c r="BP30"/>
  <c r="F31"/>
  <c r="Q35" i="1" s="1"/>
  <c r="G31" i="2"/>
  <c r="R35" i="1" s="1"/>
  <c r="H31" i="2"/>
  <c r="R31" s="1"/>
  <c r="I31"/>
  <c r="S31" s="1"/>
  <c r="O31"/>
  <c r="AB31"/>
  <c r="BC31"/>
  <c r="BH31" s="1"/>
  <c r="BD31"/>
  <c r="F32"/>
  <c r="Q23" i="1" s="1"/>
  <c r="G32" i="2"/>
  <c r="R23" i="1" s="1"/>
  <c r="G25" i="3" s="1"/>
  <c r="H32" i="2"/>
  <c r="M32" s="1"/>
  <c r="I32"/>
  <c r="K32"/>
  <c r="L32"/>
  <c r="P32"/>
  <c r="R32"/>
  <c r="T32"/>
  <c r="U32"/>
  <c r="AB32"/>
  <c r="BC32"/>
  <c r="BM32" s="1"/>
  <c r="BD32"/>
  <c r="BI32"/>
  <c r="BJ32"/>
  <c r="F33"/>
  <c r="Q20" i="1" s="1"/>
  <c r="G33" i="2"/>
  <c r="R20" i="1" s="1"/>
  <c r="H33" i="2"/>
  <c r="I33"/>
  <c r="M33"/>
  <c r="S33"/>
  <c r="AB33"/>
  <c r="BC33"/>
  <c r="BD33"/>
  <c r="BK33" s="1"/>
  <c r="F34"/>
  <c r="Q32" i="1" s="1"/>
  <c r="G34" i="2"/>
  <c r="R32" i="1" s="1"/>
  <c r="H34" i="2"/>
  <c r="I34"/>
  <c r="AB34"/>
  <c r="BC34"/>
  <c r="BD34"/>
  <c r="F35"/>
  <c r="Q44" i="1" s="1"/>
  <c r="G35" i="2"/>
  <c r="R44" i="1" s="1"/>
  <c r="H35" i="2"/>
  <c r="J35" s="1"/>
  <c r="I35"/>
  <c r="K35"/>
  <c r="M35"/>
  <c r="R35"/>
  <c r="S35"/>
  <c r="U35"/>
  <c r="BC35"/>
  <c r="BH35" s="1"/>
  <c r="BD35"/>
  <c r="BN35" s="1"/>
  <c r="F36"/>
  <c r="Q48" i="1" s="1"/>
  <c r="G36" i="2"/>
  <c r="R48" i="1" s="1"/>
  <c r="H36" i="2"/>
  <c r="K36" s="1"/>
  <c r="I36"/>
  <c r="M36"/>
  <c r="N36"/>
  <c r="S36"/>
  <c r="U36"/>
  <c r="BC36"/>
  <c r="BD36"/>
  <c r="BN36" s="1"/>
  <c r="F37"/>
  <c r="Q36" i="1" s="1"/>
  <c r="D38" i="3" s="1"/>
  <c r="G37" i="2"/>
  <c r="R36" i="1" s="1"/>
  <c r="H37" i="2"/>
  <c r="N37" s="1"/>
  <c r="I37"/>
  <c r="R37" s="1"/>
  <c r="M37"/>
  <c r="S37"/>
  <c r="U37"/>
  <c r="BC37"/>
  <c r="BD37"/>
  <c r="F38"/>
  <c r="Q24" i="1" s="1"/>
  <c r="D26" i="3" s="1"/>
  <c r="G38" i="2"/>
  <c r="R24" i="1" s="1"/>
  <c r="G26" i="3" s="1"/>
  <c r="H38" i="2"/>
  <c r="M38" s="1"/>
  <c r="I38"/>
  <c r="K38" s="1"/>
  <c r="O38"/>
  <c r="U38"/>
  <c r="W38" s="1"/>
  <c r="V38"/>
  <c r="BC38"/>
  <c r="BD38"/>
  <c r="BM38" s="1"/>
  <c r="BI38"/>
  <c r="BJ38"/>
  <c r="BN38"/>
  <c r="BO38"/>
  <c r="BP38"/>
  <c r="F39"/>
  <c r="Q21" i="1" s="1"/>
  <c r="G39" i="2"/>
  <c r="R21" i="1" s="1"/>
  <c r="H39" i="2"/>
  <c r="M39" s="1"/>
  <c r="I39"/>
  <c r="P39" s="1"/>
  <c r="U39"/>
  <c r="BC39"/>
  <c r="BJ39" s="1"/>
  <c r="BD39"/>
  <c r="BK39"/>
  <c r="BP39"/>
  <c r="F40"/>
  <c r="Q33" i="1" s="1"/>
  <c r="G40" i="2"/>
  <c r="R33" i="1" s="1"/>
  <c r="H40" i="2"/>
  <c r="I40"/>
  <c r="BC40"/>
  <c r="BD40"/>
  <c r="BI40" s="1"/>
  <c r="BJ40"/>
  <c r="BQ40"/>
  <c r="F41"/>
  <c r="Q45" i="1" s="1"/>
  <c r="G41" i="2"/>
  <c r="R45" i="1" s="1"/>
  <c r="H41" i="2"/>
  <c r="I41"/>
  <c r="M41" s="1"/>
  <c r="BC41"/>
  <c r="BH41" s="1"/>
  <c r="BD41"/>
  <c r="BP41" s="1"/>
  <c r="BK41"/>
  <c r="F42"/>
  <c r="Q49" i="1" s="1"/>
  <c r="G42" i="2"/>
  <c r="R49" i="1" s="1"/>
  <c r="H42" i="2"/>
  <c r="I42"/>
  <c r="U42" s="1"/>
  <c r="BC42"/>
  <c r="BH42" s="1"/>
  <c r="BD42"/>
  <c r="BP42" s="1"/>
  <c r="BK42"/>
  <c r="F43"/>
  <c r="Q37" i="1" s="1"/>
  <c r="G43" i="2"/>
  <c r="R37" i="1" s="1"/>
  <c r="H43" i="2"/>
  <c r="I43"/>
  <c r="U43" s="1"/>
  <c r="M43"/>
  <c r="P43"/>
  <c r="BC43"/>
  <c r="BD43"/>
  <c r="BI43" s="1"/>
  <c r="BJ43"/>
  <c r="BQ43"/>
  <c r="F44"/>
  <c r="Q25" i="1" s="1"/>
  <c r="G44" i="2"/>
  <c r="R25" i="1" s="1"/>
  <c r="H44" i="2"/>
  <c r="I44"/>
  <c r="BC44"/>
  <c r="BJ44" s="1"/>
  <c r="BD44"/>
  <c r="BK44"/>
  <c r="BP44"/>
  <c r="F45"/>
  <c r="Q22" i="1" s="1"/>
  <c r="G45" i="2"/>
  <c r="R22" i="1" s="1"/>
  <c r="H45" i="2"/>
  <c r="M45" s="1"/>
  <c r="I45"/>
  <c r="P45"/>
  <c r="U45"/>
  <c r="BC45"/>
  <c r="BD45"/>
  <c r="BM45" s="1"/>
  <c r="BI45"/>
  <c r="BJ45"/>
  <c r="BN45"/>
  <c r="BO45"/>
  <c r="BP45"/>
  <c r="F46"/>
  <c r="Q34" i="1" s="1"/>
  <c r="G46" i="2"/>
  <c r="R34" i="1" s="1"/>
  <c r="H46" i="2"/>
  <c r="I46"/>
  <c r="BC46"/>
  <c r="BD46"/>
  <c r="BM46" s="1"/>
  <c r="BI46"/>
  <c r="BJ46"/>
  <c r="BN46"/>
  <c r="BO46"/>
  <c r="BP46"/>
  <c r="F47"/>
  <c r="Q38" i="1" s="1"/>
  <c r="G47" i="2"/>
  <c r="R38" i="1" s="1"/>
  <c r="H47" i="2"/>
  <c r="M47" s="1"/>
  <c r="I47"/>
  <c r="P47" s="1"/>
  <c r="U47"/>
  <c r="BC47"/>
  <c r="BJ47" s="1"/>
  <c r="BD47"/>
  <c r="BK47"/>
  <c r="BP47"/>
  <c r="F48"/>
  <c r="Q46" i="1" s="1"/>
  <c r="G48" i="2"/>
  <c r="R46" i="1" s="1"/>
  <c r="H48" i="2"/>
  <c r="I48"/>
  <c r="BC48"/>
  <c r="BD48"/>
  <c r="BI48" s="1"/>
  <c r="BJ48"/>
  <c r="BQ48"/>
  <c r="F49"/>
  <c r="Q26" i="1" s="1"/>
  <c r="G49" i="2"/>
  <c r="R26" i="1" s="1"/>
  <c r="H49" i="2"/>
  <c r="I49"/>
  <c r="M49" s="1"/>
  <c r="BC49"/>
  <c r="BH49" s="1"/>
  <c r="BD49"/>
  <c r="BP49" s="1"/>
  <c r="BK49"/>
  <c r="F50"/>
  <c r="Q50" i="1" s="1"/>
  <c r="G50" i="2"/>
  <c r="R50" i="1" s="1"/>
  <c r="H50" i="2"/>
  <c r="I50"/>
  <c r="U50" s="1"/>
  <c r="BC50"/>
  <c r="BH50" s="1"/>
  <c r="BD50"/>
  <c r="BP50" s="1"/>
  <c r="BK50"/>
  <c r="BC51"/>
  <c r="BD51"/>
  <c r="BC52"/>
  <c r="BD52"/>
  <c r="BO52" s="1"/>
  <c r="BG52"/>
  <c r="BI52"/>
  <c r="BJ52"/>
  <c r="BK52"/>
  <c r="BM52"/>
  <c r="BN52"/>
  <c r="BP52"/>
  <c r="BQ52"/>
  <c r="BR52" s="1"/>
  <c r="BC53"/>
  <c r="BD53"/>
  <c r="BC54"/>
  <c r="BD54"/>
  <c r="BI54" s="1"/>
  <c r="BJ54"/>
  <c r="BQ54"/>
  <c r="BC55"/>
  <c r="BD55"/>
  <c r="BC56"/>
  <c r="BD56"/>
  <c r="BM56" s="1"/>
  <c r="BJ56"/>
  <c r="BP56"/>
  <c r="BC57"/>
  <c r="BD57"/>
  <c r="BP57" s="1"/>
  <c r="BC58"/>
  <c r="BJ58" s="1"/>
  <c r="BD58"/>
  <c r="BM58" s="1"/>
  <c r="BN58"/>
  <c r="BC59"/>
  <c r="BD59"/>
  <c r="BC60"/>
  <c r="BH60" s="1"/>
  <c r="BD60"/>
  <c r="BI60"/>
  <c r="BJ60"/>
  <c r="BL60" s="1"/>
  <c r="BK60"/>
  <c r="BN60"/>
  <c r="BO60"/>
  <c r="BP60"/>
  <c r="BC61"/>
  <c r="BD61"/>
  <c r="BC62"/>
  <c r="BD62"/>
  <c r="BI62" s="1"/>
  <c r="BJ62"/>
  <c r="BK62"/>
  <c r="BQ62"/>
  <c r="BC63"/>
  <c r="BD63"/>
  <c r="BC64"/>
  <c r="BD64"/>
  <c r="BM64" s="1"/>
  <c r="BJ64"/>
  <c r="BL64" s="1"/>
  <c r="BK64"/>
  <c r="BP64"/>
  <c r="BC65"/>
  <c r="BD65"/>
  <c r="BC66"/>
  <c r="BD66"/>
  <c r="BM66" s="1"/>
  <c r="BI66"/>
  <c r="BJ66"/>
  <c r="BN66"/>
  <c r="BO66"/>
  <c r="BP66"/>
  <c r="B1" i="3"/>
  <c r="K1"/>
  <c r="T1"/>
  <c r="B4"/>
  <c r="C4"/>
  <c r="E4"/>
  <c r="F4"/>
  <c r="G4"/>
  <c r="H4"/>
  <c r="I4"/>
  <c r="B5"/>
  <c r="C5"/>
  <c r="D5"/>
  <c r="E5"/>
  <c r="F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T8"/>
  <c r="T7" s="1"/>
  <c r="V8"/>
  <c r="W8"/>
  <c r="B9"/>
  <c r="C9"/>
  <c r="E9"/>
  <c r="F9"/>
  <c r="H9"/>
  <c r="I9"/>
  <c r="V9"/>
  <c r="W9"/>
  <c r="B10"/>
  <c r="C10"/>
  <c r="D10"/>
  <c r="E10"/>
  <c r="F10"/>
  <c r="H10"/>
  <c r="I10"/>
  <c r="Y10"/>
  <c r="Y9" s="1"/>
  <c r="AB10"/>
  <c r="B11"/>
  <c r="C11"/>
  <c r="D11"/>
  <c r="E11"/>
  <c r="F11"/>
  <c r="G11"/>
  <c r="H11"/>
  <c r="I11"/>
  <c r="AA11"/>
  <c r="AB11"/>
  <c r="T12"/>
  <c r="T11" s="1"/>
  <c r="V12"/>
  <c r="W12"/>
  <c r="B13"/>
  <c r="C13"/>
  <c r="E13"/>
  <c r="F13"/>
  <c r="G13"/>
  <c r="H13"/>
  <c r="I13"/>
  <c r="V13"/>
  <c r="W13"/>
  <c r="B14"/>
  <c r="C14"/>
  <c r="D14"/>
  <c r="E14"/>
  <c r="F14"/>
  <c r="G14"/>
  <c r="H14"/>
  <c r="I14"/>
  <c r="AD14"/>
  <c r="AD13" s="1"/>
  <c r="AG14"/>
  <c r="B15"/>
  <c r="C15"/>
  <c r="D15"/>
  <c r="E15"/>
  <c r="F15"/>
  <c r="G15"/>
  <c r="H15"/>
  <c r="I15"/>
  <c r="AF15"/>
  <c r="AG15"/>
  <c r="B16"/>
  <c r="C16"/>
  <c r="D16"/>
  <c r="E16"/>
  <c r="F16"/>
  <c r="G16"/>
  <c r="H16"/>
  <c r="I16"/>
  <c r="T16"/>
  <c r="T15" s="1"/>
  <c r="V16"/>
  <c r="W16"/>
  <c r="B17"/>
  <c r="C17"/>
  <c r="D17"/>
  <c r="E17"/>
  <c r="F17"/>
  <c r="G17"/>
  <c r="H17"/>
  <c r="I17"/>
  <c r="V17"/>
  <c r="W17"/>
  <c r="B18"/>
  <c r="C18"/>
  <c r="D18"/>
  <c r="E18"/>
  <c r="F18"/>
  <c r="G18"/>
  <c r="H18"/>
  <c r="I18"/>
  <c r="Y18"/>
  <c r="Y17" s="1"/>
  <c r="AA18"/>
  <c r="AB18"/>
  <c r="B19"/>
  <c r="C19"/>
  <c r="D19"/>
  <c r="E19"/>
  <c r="F19"/>
  <c r="G19"/>
  <c r="H19"/>
  <c r="I19"/>
  <c r="T19"/>
  <c r="AA19"/>
  <c r="AB19"/>
  <c r="B20"/>
  <c r="C20"/>
  <c r="D20"/>
  <c r="E20"/>
  <c r="F20"/>
  <c r="G20"/>
  <c r="H20"/>
  <c r="I20"/>
  <c r="T20"/>
  <c r="W20"/>
  <c r="B21"/>
  <c r="C21"/>
  <c r="D21"/>
  <c r="E21"/>
  <c r="F21"/>
  <c r="G21"/>
  <c r="H21"/>
  <c r="I21"/>
  <c r="V21"/>
  <c r="W21"/>
  <c r="AI21"/>
  <c r="AI20" s="1"/>
  <c r="AK21"/>
  <c r="AL21"/>
  <c r="B22"/>
  <c r="C22"/>
  <c r="D22"/>
  <c r="E22"/>
  <c r="F22"/>
  <c r="G22"/>
  <c r="H22"/>
  <c r="I22"/>
  <c r="AK22"/>
  <c r="AL22"/>
  <c r="B23"/>
  <c r="C23"/>
  <c r="D23"/>
  <c r="E23"/>
  <c r="F23"/>
  <c r="G23"/>
  <c r="H23"/>
  <c r="I23"/>
  <c r="B24"/>
  <c r="C24"/>
  <c r="D24"/>
  <c r="E24"/>
  <c r="F24"/>
  <c r="G24"/>
  <c r="H24"/>
  <c r="I24"/>
  <c r="T24"/>
  <c r="T23" s="1"/>
  <c r="V24"/>
  <c r="W24"/>
  <c r="B25"/>
  <c r="C25"/>
  <c r="D25"/>
  <c r="E25"/>
  <c r="F25"/>
  <c r="H25"/>
  <c r="I25"/>
  <c r="W25"/>
  <c r="B26"/>
  <c r="C26"/>
  <c r="E26"/>
  <c r="F26"/>
  <c r="H26"/>
  <c r="I26"/>
  <c r="Y26"/>
  <c r="Y25" s="1"/>
  <c r="AA26"/>
  <c r="AB26"/>
  <c r="B27"/>
  <c r="C27"/>
  <c r="D27"/>
  <c r="E27"/>
  <c r="F27"/>
  <c r="G27"/>
  <c r="H27"/>
  <c r="I27"/>
  <c r="AA27"/>
  <c r="AB27"/>
  <c r="B28"/>
  <c r="C28"/>
  <c r="D28"/>
  <c r="E28"/>
  <c r="F28"/>
  <c r="G28"/>
  <c r="H28"/>
  <c r="I28"/>
  <c r="T28"/>
  <c r="T27" s="1"/>
  <c r="V28"/>
  <c r="W28"/>
  <c r="B29"/>
  <c r="C29"/>
  <c r="D29"/>
  <c r="E29"/>
  <c r="F29"/>
  <c r="G29"/>
  <c r="H29"/>
  <c r="I29"/>
  <c r="V29"/>
  <c r="W29"/>
  <c r="B30"/>
  <c r="C30"/>
  <c r="D30"/>
  <c r="E30"/>
  <c r="F30"/>
  <c r="G30"/>
  <c r="H30"/>
  <c r="I30"/>
  <c r="AD30"/>
  <c r="AD29" s="1"/>
  <c r="AF30"/>
  <c r="AG30"/>
  <c r="B31"/>
  <c r="C31"/>
  <c r="E31"/>
  <c r="F31"/>
  <c r="G31"/>
  <c r="H31"/>
  <c r="I31"/>
  <c r="AF31"/>
  <c r="AG31"/>
  <c r="B32"/>
  <c r="C32"/>
  <c r="D32"/>
  <c r="E32"/>
  <c r="F32"/>
  <c r="G32"/>
  <c r="H32"/>
  <c r="I32"/>
  <c r="T32"/>
  <c r="T31" s="1"/>
  <c r="V32"/>
  <c r="W32"/>
  <c r="B33"/>
  <c r="C33"/>
  <c r="D33"/>
  <c r="E33"/>
  <c r="F33"/>
  <c r="G33"/>
  <c r="H33"/>
  <c r="I33"/>
  <c r="V33"/>
  <c r="W33"/>
  <c r="B34"/>
  <c r="C34"/>
  <c r="D34"/>
  <c r="E34"/>
  <c r="F34"/>
  <c r="G34"/>
  <c r="H34"/>
  <c r="I34"/>
  <c r="Y34"/>
  <c r="Y33" s="1"/>
  <c r="AA34"/>
  <c r="AB34"/>
  <c r="B35"/>
  <c r="C35"/>
  <c r="D35"/>
  <c r="E35"/>
  <c r="F35"/>
  <c r="G35"/>
  <c r="H35"/>
  <c r="I35"/>
  <c r="AA35"/>
  <c r="AB35"/>
  <c r="B36"/>
  <c r="C36"/>
  <c r="D36"/>
  <c r="E36"/>
  <c r="F36"/>
  <c r="G36"/>
  <c r="H36"/>
  <c r="I36"/>
  <c r="T36"/>
  <c r="T35" s="1"/>
  <c r="W36"/>
  <c r="B37"/>
  <c r="C37"/>
  <c r="D37"/>
  <c r="E37"/>
  <c r="F37"/>
  <c r="G37"/>
  <c r="H37"/>
  <c r="I37"/>
  <c r="V37"/>
  <c r="W37"/>
  <c r="B38"/>
  <c r="C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1"/>
  <c r="C41"/>
  <c r="E41"/>
  <c r="F41"/>
  <c r="G41"/>
  <c r="H41"/>
  <c r="I41"/>
  <c r="B42"/>
  <c r="C42"/>
  <c r="D42"/>
  <c r="E42"/>
  <c r="F42"/>
  <c r="G42"/>
  <c r="H42"/>
  <c r="I42"/>
  <c r="B43"/>
  <c r="C43"/>
  <c r="D43"/>
  <c r="E43"/>
  <c r="F43"/>
  <c r="G43"/>
  <c r="H43"/>
  <c r="I43"/>
  <c r="B44"/>
  <c r="C44"/>
  <c r="E44"/>
  <c r="F44"/>
  <c r="G44"/>
  <c r="H44"/>
  <c r="I44"/>
  <c r="B45"/>
  <c r="C45"/>
  <c r="D45"/>
  <c r="E45"/>
  <c r="F45"/>
  <c r="G45"/>
  <c r="H45"/>
  <c r="I45"/>
  <c r="B46"/>
  <c r="C46"/>
  <c r="D46"/>
  <c r="E46"/>
  <c r="F46"/>
  <c r="G46"/>
  <c r="H46"/>
  <c r="I46"/>
  <c r="B47"/>
  <c r="C47"/>
  <c r="D47"/>
  <c r="E47"/>
  <c r="F47"/>
  <c r="G47"/>
  <c r="H47"/>
  <c r="I47"/>
  <c r="B48"/>
  <c r="C48"/>
  <c r="D48"/>
  <c r="E48"/>
  <c r="F48"/>
  <c r="G48"/>
  <c r="H48"/>
  <c r="I48"/>
  <c r="B49"/>
  <c r="C49"/>
  <c r="E49"/>
  <c r="F49"/>
  <c r="G49"/>
  <c r="H49"/>
  <c r="I49"/>
  <c r="B50"/>
  <c r="C50"/>
  <c r="D50"/>
  <c r="E50"/>
  <c r="F50"/>
  <c r="G50"/>
  <c r="H50"/>
  <c r="I50"/>
  <c r="B51"/>
  <c r="C51"/>
  <c r="D51"/>
  <c r="E51"/>
  <c r="F51"/>
  <c r="G51"/>
  <c r="H51"/>
  <c r="I51"/>
  <c r="B52"/>
  <c r="C52"/>
  <c r="D52"/>
  <c r="E52"/>
  <c r="F52"/>
  <c r="G52"/>
  <c r="H52"/>
  <c r="I52"/>
  <c r="BK66" i="2" l="1"/>
  <c r="BH66"/>
  <c r="BO64"/>
  <c r="BH64"/>
  <c r="BP62"/>
  <c r="BP58"/>
  <c r="BK56"/>
  <c r="BL56" s="1"/>
  <c r="BK54"/>
  <c r="BL52"/>
  <c r="BH52"/>
  <c r="BO50"/>
  <c r="BI50"/>
  <c r="BO49"/>
  <c r="BI49"/>
  <c r="P49"/>
  <c r="BK48"/>
  <c r="BQ47"/>
  <c r="BI47"/>
  <c r="BK46"/>
  <c r="BH46"/>
  <c r="BK45"/>
  <c r="BH45"/>
  <c r="BQ44"/>
  <c r="BI44"/>
  <c r="BK43"/>
  <c r="BO42"/>
  <c r="BI42"/>
  <c r="BO41"/>
  <c r="BI41"/>
  <c r="P41"/>
  <c r="AI27" s="1"/>
  <c r="BK40"/>
  <c r="BQ39"/>
  <c r="BR39" s="1"/>
  <c r="BI39"/>
  <c r="BK38"/>
  <c r="BH38"/>
  <c r="S38"/>
  <c r="V37"/>
  <c r="O37"/>
  <c r="AH24" s="1"/>
  <c r="J37"/>
  <c r="V36"/>
  <c r="W36" s="1"/>
  <c r="O36"/>
  <c r="N35"/>
  <c r="BN34"/>
  <c r="BM33"/>
  <c r="BN32"/>
  <c r="O32"/>
  <c r="Q32" s="1"/>
  <c r="BM31"/>
  <c r="M31"/>
  <c r="BG30"/>
  <c r="BH29"/>
  <c r="BQ28"/>
  <c r="R28"/>
  <c r="BG27"/>
  <c r="V27"/>
  <c r="O27"/>
  <c r="T24"/>
  <c r="M24"/>
  <c r="M23"/>
  <c r="BQ21"/>
  <c r="BQ19"/>
  <c r="BR19" s="1"/>
  <c r="BM19"/>
  <c r="BG19"/>
  <c r="BJ18"/>
  <c r="U17"/>
  <c r="W17" s="1"/>
  <c r="BK13"/>
  <c r="T12"/>
  <c r="BG11"/>
  <c r="K11"/>
  <c r="U10"/>
  <c r="K10"/>
  <c r="BQ7"/>
  <c r="S7"/>
  <c r="L7"/>
  <c r="J6"/>
  <c r="V5"/>
  <c r="BP4"/>
  <c r="BI3"/>
  <c r="K3"/>
  <c r="BQ60"/>
  <c r="BR60" s="1"/>
  <c r="BM60"/>
  <c r="BG60"/>
  <c r="BK58"/>
  <c r="BL58" s="1"/>
  <c r="BH58"/>
  <c r="BO56"/>
  <c r="BH56"/>
  <c r="BP54"/>
  <c r="BJ50"/>
  <c r="BL50" s="1"/>
  <c r="BJ49"/>
  <c r="BL49" s="1"/>
  <c r="U49"/>
  <c r="AH34" s="1"/>
  <c r="BP48"/>
  <c r="BR48" s="1"/>
  <c r="BP43"/>
  <c r="BR43" s="1"/>
  <c r="BJ42"/>
  <c r="BL42" s="1"/>
  <c r="BJ41"/>
  <c r="BL41" s="1"/>
  <c r="U41"/>
  <c r="AH30" s="1"/>
  <c r="BP40"/>
  <c r="T38"/>
  <c r="N38"/>
  <c r="K37"/>
  <c r="BH36"/>
  <c r="R36"/>
  <c r="V35"/>
  <c r="AI26" s="1"/>
  <c r="O35"/>
  <c r="BP33"/>
  <c r="BG33"/>
  <c r="BQ32"/>
  <c r="BH32"/>
  <c r="V32"/>
  <c r="W32" s="1"/>
  <c r="J32"/>
  <c r="V31"/>
  <c r="N31"/>
  <c r="BH30"/>
  <c r="S29"/>
  <c r="BQ27"/>
  <c r="BR27" s="1"/>
  <c r="BH27"/>
  <c r="R27"/>
  <c r="Q24"/>
  <c r="BM23"/>
  <c r="V23"/>
  <c r="N23"/>
  <c r="R22"/>
  <c r="BK21"/>
  <c r="BL21" s="1"/>
  <c r="BH21"/>
  <c r="T20"/>
  <c r="BI19"/>
  <c r="N17"/>
  <c r="R16"/>
  <c r="S13"/>
  <c r="BN12"/>
  <c r="BQ11"/>
  <c r="BI11"/>
  <c r="M11"/>
  <c r="BH10"/>
  <c r="W10"/>
  <c r="BN8"/>
  <c r="BI7"/>
  <c r="K7"/>
  <c r="T6"/>
  <c r="L6"/>
  <c r="AD4" s="1"/>
  <c r="M3"/>
  <c r="BL66"/>
  <c r="BO58"/>
  <c r="BI58"/>
  <c r="BN50"/>
  <c r="BM50"/>
  <c r="BN49"/>
  <c r="BM49"/>
  <c r="BR47"/>
  <c r="BL46"/>
  <c r="M46"/>
  <c r="BL45"/>
  <c r="BN42"/>
  <c r="BM42"/>
  <c r="BN41"/>
  <c r="BM41"/>
  <c r="BL38"/>
  <c r="R38"/>
  <c r="AD26" s="1"/>
  <c r="W37"/>
  <c r="W27"/>
  <c r="BN22"/>
  <c r="BP21"/>
  <c r="BR21" s="1"/>
  <c r="S17"/>
  <c r="W14"/>
  <c r="BO11"/>
  <c r="L11"/>
  <c r="V6"/>
  <c r="W6" s="1"/>
  <c r="BN5"/>
  <c r="W5"/>
  <c r="S4"/>
  <c r="BQ3"/>
  <c r="S3"/>
  <c r="L3"/>
  <c r="AD3" s="1"/>
  <c r="V36" i="3"/>
  <c r="V25"/>
  <c r="AF14"/>
  <c r="BQ66" i="2"/>
  <c r="BR66" s="1"/>
  <c r="BG66"/>
  <c r="BN64"/>
  <c r="BI64"/>
  <c r="BH63"/>
  <c r="BO62"/>
  <c r="BL62"/>
  <c r="BH62"/>
  <c r="BQ58"/>
  <c r="BG58"/>
  <c r="BN56"/>
  <c r="BI56"/>
  <c r="BO54"/>
  <c r="BL54"/>
  <c r="BH54"/>
  <c r="BQ50"/>
  <c r="BR50" s="1"/>
  <c r="BG50"/>
  <c r="BQ49"/>
  <c r="BR49" s="1"/>
  <c r="BG49"/>
  <c r="BO48"/>
  <c r="BL48"/>
  <c r="BH48"/>
  <c r="BO47"/>
  <c r="BL47"/>
  <c r="BH47"/>
  <c r="BQ46"/>
  <c r="BR46" s="1"/>
  <c r="BG46"/>
  <c r="BQ45"/>
  <c r="BR45" s="1"/>
  <c r="BG45"/>
  <c r="BO44"/>
  <c r="BL44"/>
  <c r="BH44"/>
  <c r="BO43"/>
  <c r="BL43"/>
  <c r="BH43"/>
  <c r="BQ42"/>
  <c r="BR42" s="1"/>
  <c r="BG42"/>
  <c r="BQ41"/>
  <c r="BR41" s="1"/>
  <c r="BG41"/>
  <c r="BO40"/>
  <c r="BL40"/>
  <c r="BH40"/>
  <c r="BO39"/>
  <c r="BL39"/>
  <c r="BH39"/>
  <c r="BQ38"/>
  <c r="BR38" s="1"/>
  <c r="BG38"/>
  <c r="BQ33"/>
  <c r="BR33" s="1"/>
  <c r="BO29"/>
  <c r="BG29"/>
  <c r="BQ25"/>
  <c r="BR25" s="1"/>
  <c r="BH23"/>
  <c r="BK22"/>
  <c r="BM21"/>
  <c r="BP15"/>
  <c r="BI13"/>
  <c r="BJ12"/>
  <c r="BG8"/>
  <c r="BO7"/>
  <c r="BG7"/>
  <c r="BH6"/>
  <c r="BN4"/>
  <c r="BO3"/>
  <c r="BG3"/>
  <c r="BR62"/>
  <c r="BM62"/>
  <c r="BG62"/>
  <c r="BR54"/>
  <c r="BM54"/>
  <c r="BG54"/>
  <c r="BM48"/>
  <c r="BG48"/>
  <c r="BM47"/>
  <c r="BG47"/>
  <c r="BR44"/>
  <c r="BM44"/>
  <c r="BG44"/>
  <c r="BM43"/>
  <c r="BG43"/>
  <c r="BR40"/>
  <c r="BM40"/>
  <c r="BG40"/>
  <c r="BM39"/>
  <c r="BG39"/>
  <c r="BR29"/>
  <c r="BN24"/>
  <c r="BH24"/>
  <c r="BP22"/>
  <c r="BG22"/>
  <c r="BQ17"/>
  <c r="BR17" s="1"/>
  <c r="BG12"/>
  <c r="BR7"/>
  <c r="BR6"/>
  <c r="BH4"/>
  <c r="BR3"/>
  <c r="BQ64"/>
  <c r="BR64" s="1"/>
  <c r="BG64"/>
  <c r="BN62"/>
  <c r="BQ56"/>
  <c r="BR56" s="1"/>
  <c r="BG56"/>
  <c r="BN54"/>
  <c r="BG53"/>
  <c r="BN48"/>
  <c r="BN47"/>
  <c r="BN44"/>
  <c r="BN43"/>
  <c r="BN40"/>
  <c r="BN39"/>
  <c r="BM29"/>
  <c r="BR11"/>
  <c r="BR10"/>
  <c r="BN65"/>
  <c r="BM65"/>
  <c r="BN61"/>
  <c r="BM61"/>
  <c r="BN59"/>
  <c r="BM59"/>
  <c r="BN55"/>
  <c r="BM55"/>
  <c r="BN51"/>
  <c r="BM51"/>
  <c r="S48"/>
  <c r="R48"/>
  <c r="S44"/>
  <c r="R44"/>
  <c r="S40"/>
  <c r="R40"/>
  <c r="BI37"/>
  <c r="BQ37"/>
  <c r="BG37"/>
  <c r="BJ37"/>
  <c r="BO37"/>
  <c r="K34"/>
  <c r="O34"/>
  <c r="L34"/>
  <c r="V34"/>
  <c r="J34"/>
  <c r="N34"/>
  <c r="T34"/>
  <c r="BI26"/>
  <c r="BQ26"/>
  <c r="BG26"/>
  <c r="BJ26"/>
  <c r="BO26"/>
  <c r="AF20"/>
  <c r="AE20"/>
  <c r="Q8" i="1"/>
  <c r="D9" i="3" s="1"/>
  <c r="BJ15" i="2"/>
  <c r="BL15" s="1"/>
  <c r="BN15"/>
  <c r="BH15"/>
  <c r="BQ15"/>
  <c r="BR15" s="1"/>
  <c r="BG15"/>
  <c r="BO15"/>
  <c r="BM15"/>
  <c r="K49"/>
  <c r="O49"/>
  <c r="Q49" s="1"/>
  <c r="J49"/>
  <c r="N49"/>
  <c r="V49"/>
  <c r="W49" s="1"/>
  <c r="K47"/>
  <c r="O47"/>
  <c r="Q47" s="1"/>
  <c r="J47"/>
  <c r="N47"/>
  <c r="AF32" s="1"/>
  <c r="V47"/>
  <c r="K43"/>
  <c r="O43"/>
  <c r="Q43" s="1"/>
  <c r="J43"/>
  <c r="N43"/>
  <c r="V43"/>
  <c r="W43" s="1"/>
  <c r="AJ30" s="1"/>
  <c r="BG20"/>
  <c r="BK20"/>
  <c r="BL20" s="1"/>
  <c r="BO20"/>
  <c r="BH20"/>
  <c r="BM20"/>
  <c r="BP20"/>
  <c r="BR20" s="1"/>
  <c r="BG18"/>
  <c r="BK18"/>
  <c r="BL18" s="1"/>
  <c r="BO18"/>
  <c r="BI18"/>
  <c r="BP18"/>
  <c r="BR18" s="1"/>
  <c r="BH18"/>
  <c r="BN18"/>
  <c r="BM18"/>
  <c r="S47"/>
  <c r="AE34" s="1"/>
  <c r="R47"/>
  <c r="S43"/>
  <c r="R43"/>
  <c r="AD30" s="1"/>
  <c r="BI35"/>
  <c r="BQ35"/>
  <c r="BG35"/>
  <c r="BJ35"/>
  <c r="BO35"/>
  <c r="J33"/>
  <c r="N33"/>
  <c r="V33"/>
  <c r="L33"/>
  <c r="K33"/>
  <c r="O33"/>
  <c r="T33"/>
  <c r="AF24" s="1"/>
  <c r="BG28"/>
  <c r="BK28"/>
  <c r="BO28"/>
  <c r="BH28"/>
  <c r="BM28"/>
  <c r="BP28"/>
  <c r="BR28" s="1"/>
  <c r="BH25"/>
  <c r="BJ25"/>
  <c r="BL25" s="1"/>
  <c r="BO25"/>
  <c r="BI25"/>
  <c r="BN25"/>
  <c r="BJ23"/>
  <c r="BG23"/>
  <c r="BQ23"/>
  <c r="BI23"/>
  <c r="BO23"/>
  <c r="AE15"/>
  <c r="J38"/>
  <c r="BL28"/>
  <c r="J27"/>
  <c r="BG65"/>
  <c r="BG63"/>
  <c r="BG61"/>
  <c r="BG59"/>
  <c r="BO57"/>
  <c r="BG55"/>
  <c r="BO53"/>
  <c r="BO51"/>
  <c r="L50"/>
  <c r="T48"/>
  <c r="L48"/>
  <c r="AD33" s="1"/>
  <c r="L46"/>
  <c r="T44"/>
  <c r="T42"/>
  <c r="L42"/>
  <c r="AD28" s="1"/>
  <c r="T40"/>
  <c r="AE24"/>
  <c r="BP65"/>
  <c r="BH65"/>
  <c r="BP61"/>
  <c r="BP59"/>
  <c r="BH59"/>
  <c r="M48"/>
  <c r="U46"/>
  <c r="BH37"/>
  <c r="J36"/>
  <c r="M34"/>
  <c r="BH26"/>
  <c r="BI20"/>
  <c r="BI15"/>
  <c r="BN63"/>
  <c r="BM63"/>
  <c r="BN57"/>
  <c r="BM57"/>
  <c r="BN53"/>
  <c r="BM53"/>
  <c r="S50"/>
  <c r="AE31" s="1"/>
  <c r="R50"/>
  <c r="S46"/>
  <c r="R46"/>
  <c r="S42"/>
  <c r="R42"/>
  <c r="K45"/>
  <c r="O45"/>
  <c r="Q45" s="1"/>
  <c r="J45"/>
  <c r="N45"/>
  <c r="V45"/>
  <c r="K41"/>
  <c r="O41"/>
  <c r="Q41" s="1"/>
  <c r="J41"/>
  <c r="N41"/>
  <c r="V41"/>
  <c r="K39"/>
  <c r="O39"/>
  <c r="Q39" s="1"/>
  <c r="J39"/>
  <c r="N39"/>
  <c r="V39"/>
  <c r="W39" s="1"/>
  <c r="BI34"/>
  <c r="BQ34"/>
  <c r="BG34"/>
  <c r="BJ34"/>
  <c r="BO34"/>
  <c r="M28"/>
  <c r="AE19" s="1"/>
  <c r="K28"/>
  <c r="J28"/>
  <c r="O28"/>
  <c r="Q28" s="1"/>
  <c r="T28"/>
  <c r="N28"/>
  <c r="S28"/>
  <c r="AE21" s="1"/>
  <c r="J25"/>
  <c r="N25"/>
  <c r="V25"/>
  <c r="L25"/>
  <c r="K25"/>
  <c r="O25"/>
  <c r="T25"/>
  <c r="S49"/>
  <c r="R49"/>
  <c r="AD34" s="1"/>
  <c r="S45"/>
  <c r="R45"/>
  <c r="S41"/>
  <c r="R41"/>
  <c r="BJ65"/>
  <c r="BI65"/>
  <c r="BQ65"/>
  <c r="BJ63"/>
  <c r="BI63"/>
  <c r="BQ63"/>
  <c r="BJ61"/>
  <c r="BI61"/>
  <c r="BQ61"/>
  <c r="BJ59"/>
  <c r="BI59"/>
  <c r="BQ59"/>
  <c r="BJ57"/>
  <c r="BI57"/>
  <c r="BQ57"/>
  <c r="BR57" s="1"/>
  <c r="BJ55"/>
  <c r="BI55"/>
  <c r="BQ55"/>
  <c r="BJ53"/>
  <c r="BI53"/>
  <c r="BQ53"/>
  <c r="BJ51"/>
  <c r="BI51"/>
  <c r="BQ51"/>
  <c r="K50"/>
  <c r="O50"/>
  <c r="J50"/>
  <c r="N50"/>
  <c r="V50"/>
  <c r="K48"/>
  <c r="O48"/>
  <c r="J48"/>
  <c r="N48"/>
  <c r="V48"/>
  <c r="K46"/>
  <c r="O46"/>
  <c r="AH31" s="1"/>
  <c r="J46"/>
  <c r="N46"/>
  <c r="V46"/>
  <c r="K44"/>
  <c r="O44"/>
  <c r="J44"/>
  <c r="N44"/>
  <c r="AF29" s="1"/>
  <c r="V44"/>
  <c r="K42"/>
  <c r="O42"/>
  <c r="AH28" s="1"/>
  <c r="J42"/>
  <c r="N42"/>
  <c r="V42"/>
  <c r="W42" s="1"/>
  <c r="K40"/>
  <c r="O40"/>
  <c r="J40"/>
  <c r="N40"/>
  <c r="V40"/>
  <c r="BI36"/>
  <c r="BQ36"/>
  <c r="BG36"/>
  <c r="BJ36"/>
  <c r="BO36"/>
  <c r="BH33"/>
  <c r="BJ33"/>
  <c r="BL33" s="1"/>
  <c r="BO33"/>
  <c r="BI33"/>
  <c r="BN33"/>
  <c r="BJ31"/>
  <c r="BG31"/>
  <c r="BQ31"/>
  <c r="BI31"/>
  <c r="BO31"/>
  <c r="K26"/>
  <c r="O26"/>
  <c r="AH17" s="1"/>
  <c r="L26"/>
  <c r="AD17" s="1"/>
  <c r="V26"/>
  <c r="J26"/>
  <c r="N26"/>
  <c r="T26"/>
  <c r="M18"/>
  <c r="J18"/>
  <c r="O18"/>
  <c r="Q18" s="1"/>
  <c r="T18"/>
  <c r="L18"/>
  <c r="S18"/>
  <c r="K18"/>
  <c r="R18"/>
  <c r="AD13" s="1"/>
  <c r="V18"/>
  <c r="W18" s="1"/>
  <c r="BI9"/>
  <c r="BM9"/>
  <c r="BQ9"/>
  <c r="BR9" s="1"/>
  <c r="BH9"/>
  <c r="BJ9"/>
  <c r="BL9" s="1"/>
  <c r="BG9"/>
  <c r="W47"/>
  <c r="W45"/>
  <c r="W41"/>
  <c r="BO65"/>
  <c r="BO63"/>
  <c r="BO61"/>
  <c r="BO59"/>
  <c r="BG57"/>
  <c r="BO55"/>
  <c r="BG51"/>
  <c r="T50"/>
  <c r="T46"/>
  <c r="L44"/>
  <c r="L40"/>
  <c r="AD21"/>
  <c r="AI12"/>
  <c r="BP63"/>
  <c r="BH61"/>
  <c r="BH57"/>
  <c r="BP55"/>
  <c r="BR55" s="1"/>
  <c r="BH55"/>
  <c r="BP53"/>
  <c r="BH53"/>
  <c r="BP51"/>
  <c r="BR51" s="1"/>
  <c r="BH51"/>
  <c r="M50"/>
  <c r="U48"/>
  <c r="U44"/>
  <c r="W44" s="1"/>
  <c r="M44"/>
  <c r="M42"/>
  <c r="U40"/>
  <c r="AH29" s="1"/>
  <c r="M40"/>
  <c r="AE27" s="1"/>
  <c r="S39"/>
  <c r="V20" i="3"/>
  <c r="BK65" i="2"/>
  <c r="BK63"/>
  <c r="BK61"/>
  <c r="BK59"/>
  <c r="BK57"/>
  <c r="BK55"/>
  <c r="BK53"/>
  <c r="BK51"/>
  <c r="P50"/>
  <c r="AI34" s="1"/>
  <c r="T49"/>
  <c r="L49"/>
  <c r="P48"/>
  <c r="T47"/>
  <c r="AF34" s="1"/>
  <c r="L47"/>
  <c r="P46"/>
  <c r="T45"/>
  <c r="L45"/>
  <c r="P44"/>
  <c r="AI29" s="1"/>
  <c r="T43"/>
  <c r="L43"/>
  <c r="P42"/>
  <c r="AI28" s="1"/>
  <c r="T41"/>
  <c r="AF30" s="1"/>
  <c r="L41"/>
  <c r="P40"/>
  <c r="T39"/>
  <c r="AF28" s="1"/>
  <c r="L39"/>
  <c r="AD27" s="1"/>
  <c r="BN37"/>
  <c r="BH34"/>
  <c r="R34"/>
  <c r="AE33"/>
  <c r="BI28"/>
  <c r="V28"/>
  <c r="W28" s="1"/>
  <c r="AJ21" s="1"/>
  <c r="L28"/>
  <c r="BN26"/>
  <c r="M25"/>
  <c r="AE16" s="1"/>
  <c r="AF23"/>
  <c r="L31"/>
  <c r="AD20" s="1"/>
  <c r="P31"/>
  <c r="AI20" s="1"/>
  <c r="T31"/>
  <c r="AH26"/>
  <c r="AE23"/>
  <c r="L23"/>
  <c r="AD15" s="1"/>
  <c r="P23"/>
  <c r="Q23" s="1"/>
  <c r="T23"/>
  <c r="AF18" s="1"/>
  <c r="R19"/>
  <c r="AD14" s="1"/>
  <c r="M19"/>
  <c r="S19"/>
  <c r="BN17"/>
  <c r="BH17"/>
  <c r="BM17"/>
  <c r="L15"/>
  <c r="P15"/>
  <c r="Q15" s="1"/>
  <c r="T15"/>
  <c r="R15"/>
  <c r="BI14"/>
  <c r="BM14"/>
  <c r="BG14"/>
  <c r="BK14"/>
  <c r="BL14" s="1"/>
  <c r="BO14"/>
  <c r="BH13"/>
  <c r="BJ13"/>
  <c r="BM13"/>
  <c r="J8"/>
  <c r="N8"/>
  <c r="AF5" s="1"/>
  <c r="R8"/>
  <c r="V8"/>
  <c r="M8"/>
  <c r="K8"/>
  <c r="O8"/>
  <c r="Q8" s="1"/>
  <c r="L8"/>
  <c r="BM37"/>
  <c r="BM36"/>
  <c r="BM35"/>
  <c r="BM34"/>
  <c r="S34"/>
  <c r="AE25" s="1"/>
  <c r="R33"/>
  <c r="BN31"/>
  <c r="BM26"/>
  <c r="S26"/>
  <c r="R25"/>
  <c r="AD18" s="1"/>
  <c r="BN23"/>
  <c r="BN9"/>
  <c r="AF9"/>
  <c r="W8"/>
  <c r="BG32"/>
  <c r="BK32"/>
  <c r="BL32" s="1"/>
  <c r="BO32"/>
  <c r="BI30"/>
  <c r="BQ30"/>
  <c r="BR30" s="1"/>
  <c r="K30"/>
  <c r="O30"/>
  <c r="Q30" s="1"/>
  <c r="J29"/>
  <c r="N29"/>
  <c r="V29"/>
  <c r="W29" s="1"/>
  <c r="BJ27"/>
  <c r="BL27" s="1"/>
  <c r="BG24"/>
  <c r="BK24"/>
  <c r="BL24" s="1"/>
  <c r="BO24"/>
  <c r="BI22"/>
  <c r="BQ22"/>
  <c r="BR22" s="1"/>
  <c r="K22"/>
  <c r="O22"/>
  <c r="Q22" s="1"/>
  <c r="J21"/>
  <c r="N21"/>
  <c r="V21"/>
  <c r="W21" s="1"/>
  <c r="BG16"/>
  <c r="BK16"/>
  <c r="BL16" s="1"/>
  <c r="BO16"/>
  <c r="BM16"/>
  <c r="BH16"/>
  <c r="BP16"/>
  <c r="K9"/>
  <c r="S9"/>
  <c r="J9"/>
  <c r="N9"/>
  <c r="R9"/>
  <c r="L9"/>
  <c r="AD7" s="1"/>
  <c r="P9"/>
  <c r="Q9" s="1"/>
  <c r="T9"/>
  <c r="AD5"/>
  <c r="R39"/>
  <c r="BP37"/>
  <c r="BK37"/>
  <c r="BP36"/>
  <c r="BK36"/>
  <c r="BP35"/>
  <c r="BK35"/>
  <c r="BP34"/>
  <c r="BR34" s="1"/>
  <c r="BK34"/>
  <c r="U34"/>
  <c r="W34" s="1"/>
  <c r="P34"/>
  <c r="U33"/>
  <c r="P33"/>
  <c r="BP31"/>
  <c r="BR31" s="1"/>
  <c r="BK31"/>
  <c r="U31"/>
  <c r="J31"/>
  <c r="BP26"/>
  <c r="BK26"/>
  <c r="U26"/>
  <c r="W26" s="1"/>
  <c r="P26"/>
  <c r="AI17" s="1"/>
  <c r="U25"/>
  <c r="P25"/>
  <c r="AI16" s="1"/>
  <c r="BP23"/>
  <c r="BR23" s="1"/>
  <c r="BK23"/>
  <c r="AH23"/>
  <c r="U23"/>
  <c r="W23" s="1"/>
  <c r="J23"/>
  <c r="K19"/>
  <c r="S15"/>
  <c r="AE12" s="1"/>
  <c r="K15"/>
  <c r="BN14"/>
  <c r="BO13"/>
  <c r="BN13"/>
  <c r="S8"/>
  <c r="L38"/>
  <c r="P38"/>
  <c r="Q38" s="1"/>
  <c r="L37"/>
  <c r="P37"/>
  <c r="T37"/>
  <c r="L36"/>
  <c r="P36"/>
  <c r="Q36" s="1"/>
  <c r="T36"/>
  <c r="L35"/>
  <c r="P35"/>
  <c r="Q35" s="1"/>
  <c r="T35"/>
  <c r="AF26" s="1"/>
  <c r="L27"/>
  <c r="AD19" s="1"/>
  <c r="P27"/>
  <c r="Q27" s="1"/>
  <c r="T27"/>
  <c r="AH22"/>
  <c r="S20"/>
  <c r="AE14" s="1"/>
  <c r="M20"/>
  <c r="R20"/>
  <c r="L17"/>
  <c r="P17"/>
  <c r="Q17" s="1"/>
  <c r="T17"/>
  <c r="M17"/>
  <c r="R17"/>
  <c r="M16"/>
  <c r="AE11" s="1"/>
  <c r="K16"/>
  <c r="O16"/>
  <c r="Q16" s="1"/>
  <c r="V16"/>
  <c r="K14"/>
  <c r="O14"/>
  <c r="Q14" s="1"/>
  <c r="S14"/>
  <c r="M14"/>
  <c r="J14"/>
  <c r="R14"/>
  <c r="BN10"/>
  <c r="BI10"/>
  <c r="BM10"/>
  <c r="BG10"/>
  <c r="BK10"/>
  <c r="BL10" s="1"/>
  <c r="BO10"/>
  <c r="AI6"/>
  <c r="AE10"/>
  <c r="Q39" i="1"/>
  <c r="D41" i="3" s="1"/>
  <c r="AH6" i="2"/>
  <c r="AH10"/>
  <c r="AH14"/>
  <c r="AE18"/>
  <c r="BP32"/>
  <c r="BR32" s="1"/>
  <c r="AD32"/>
  <c r="S32"/>
  <c r="AE22" s="1"/>
  <c r="N32"/>
  <c r="AD31"/>
  <c r="K31"/>
  <c r="BO30"/>
  <c r="BJ30"/>
  <c r="BL30" s="1"/>
  <c r="BM30"/>
  <c r="T30"/>
  <c r="AF21" s="1"/>
  <c r="N30"/>
  <c r="S30"/>
  <c r="BN29"/>
  <c r="BI29"/>
  <c r="T29"/>
  <c r="O29"/>
  <c r="Q29" s="1"/>
  <c r="R29"/>
  <c r="AD22" s="1"/>
  <c r="BO27"/>
  <c r="BI27"/>
  <c r="BN27"/>
  <c r="AE26"/>
  <c r="BP24"/>
  <c r="BR24" s="1"/>
  <c r="AD24"/>
  <c r="S24"/>
  <c r="N24"/>
  <c r="K23"/>
  <c r="BO22"/>
  <c r="BJ22"/>
  <c r="BL22" s="1"/>
  <c r="BM22"/>
  <c r="T22"/>
  <c r="N22"/>
  <c r="S22"/>
  <c r="AE17" s="1"/>
  <c r="BN21"/>
  <c r="BI21"/>
  <c r="AH21"/>
  <c r="T21"/>
  <c r="O21"/>
  <c r="Q21" s="1"/>
  <c r="R21"/>
  <c r="T19"/>
  <c r="AF14" s="1"/>
  <c r="L19"/>
  <c r="AD12" s="1"/>
  <c r="BO17"/>
  <c r="BG17"/>
  <c r="W16"/>
  <c r="U15"/>
  <c r="M15"/>
  <c r="BP14"/>
  <c r="BR14" s="1"/>
  <c r="BH14"/>
  <c r="BR13"/>
  <c r="BG13"/>
  <c r="AF13"/>
  <c r="BL12"/>
  <c r="J11"/>
  <c r="M9"/>
  <c r="BI5"/>
  <c r="BM5"/>
  <c r="BQ5"/>
  <c r="BR5" s="1"/>
  <c r="BH5"/>
  <c r="BJ5"/>
  <c r="BL5" s="1"/>
  <c r="K20"/>
  <c r="O20"/>
  <c r="Q20" s="1"/>
  <c r="J19"/>
  <c r="N19"/>
  <c r="V19"/>
  <c r="W19" s="1"/>
  <c r="AJ14" s="1"/>
  <c r="BJ17"/>
  <c r="BL17" s="1"/>
  <c r="K13"/>
  <c r="J13"/>
  <c r="N13"/>
  <c r="R13"/>
  <c r="AD10" s="1"/>
  <c r="L13"/>
  <c r="P13"/>
  <c r="T13"/>
  <c r="AF10" s="1"/>
  <c r="J12"/>
  <c r="N12"/>
  <c r="R12"/>
  <c r="AD9" s="1"/>
  <c r="V12"/>
  <c r="W12" s="1"/>
  <c r="AJ9" s="1"/>
  <c r="M12"/>
  <c r="AE8" s="1"/>
  <c r="K12"/>
  <c r="O12"/>
  <c r="Q12" s="1"/>
  <c r="AH9"/>
  <c r="BN6"/>
  <c r="BI6"/>
  <c r="BM6"/>
  <c r="BG6"/>
  <c r="BK6"/>
  <c r="BL6" s="1"/>
  <c r="BO6"/>
  <c r="K5"/>
  <c r="S5"/>
  <c r="AE6" s="1"/>
  <c r="J5"/>
  <c r="N5"/>
  <c r="R5"/>
  <c r="AD6" s="1"/>
  <c r="L5"/>
  <c r="P5"/>
  <c r="Q5" s="1"/>
  <c r="T5"/>
  <c r="J4"/>
  <c r="N4"/>
  <c r="R4"/>
  <c r="V4"/>
  <c r="AI5" s="1"/>
  <c r="M4"/>
  <c r="AE3" s="1"/>
  <c r="K4"/>
  <c r="O4"/>
  <c r="S16"/>
  <c r="J15"/>
  <c r="Q7"/>
  <c r="BQ16"/>
  <c r="BI16"/>
  <c r="AH16"/>
  <c r="V15"/>
  <c r="N15"/>
  <c r="BQ12"/>
  <c r="BR12" s="1"/>
  <c r="BM12"/>
  <c r="BI12"/>
  <c r="BH11"/>
  <c r="V11"/>
  <c r="W11" s="1"/>
  <c r="AJ10" s="1"/>
  <c r="R11"/>
  <c r="N11"/>
  <c r="M10"/>
  <c r="AE7" s="1"/>
  <c r="BQ8"/>
  <c r="BR8" s="1"/>
  <c r="BM8"/>
  <c r="BI8"/>
  <c r="BH7"/>
  <c r="V7"/>
  <c r="W7" s="1"/>
  <c r="AJ6" s="1"/>
  <c r="R7"/>
  <c r="N7"/>
  <c r="M6"/>
  <c r="AE4" s="1"/>
  <c r="BQ4"/>
  <c r="BR4" s="1"/>
  <c r="BM4"/>
  <c r="BI4"/>
  <c r="AH4"/>
  <c r="BH3"/>
  <c r="V3"/>
  <c r="W3" s="1"/>
  <c r="R3"/>
  <c r="N3"/>
  <c r="AF3" s="1"/>
  <c r="Q11" i="1"/>
  <c r="D13" i="3" s="1"/>
  <c r="BO12" i="2"/>
  <c r="BK12"/>
  <c r="BN11"/>
  <c r="BJ11"/>
  <c r="BL11" s="1"/>
  <c r="T11"/>
  <c r="P11"/>
  <c r="AI7" s="1"/>
  <c r="S10"/>
  <c r="O10"/>
  <c r="BO8"/>
  <c r="BK8"/>
  <c r="BL8" s="1"/>
  <c r="BN7"/>
  <c r="BJ7"/>
  <c r="BL7" s="1"/>
  <c r="T7"/>
  <c r="P7"/>
  <c r="S6"/>
  <c r="AE5" s="1"/>
  <c r="O6"/>
  <c r="Q6" s="1"/>
  <c r="AJ4" s="1"/>
  <c r="BO4"/>
  <c r="BK4"/>
  <c r="BL4" s="1"/>
  <c r="BN3"/>
  <c r="BJ3"/>
  <c r="BL3" s="1"/>
  <c r="T3"/>
  <c r="P3"/>
  <c r="Q3" s="1"/>
  <c r="AJ25" l="1"/>
  <c r="AJ11"/>
  <c r="W35"/>
  <c r="AJ26" s="1"/>
  <c r="AI9"/>
  <c r="AJ13"/>
  <c r="AJ19"/>
  <c r="BR26"/>
  <c r="AF15"/>
  <c r="BL13"/>
  <c r="AF31"/>
  <c r="BR58"/>
  <c r="AI3"/>
  <c r="AF8"/>
  <c r="AG8" s="1"/>
  <c r="AD8"/>
  <c r="AH18"/>
  <c r="AF16"/>
  <c r="AI10"/>
  <c r="AF25"/>
  <c r="Q37"/>
  <c r="AI25"/>
  <c r="W33"/>
  <c r="AJ24" s="1"/>
  <c r="AH27"/>
  <c r="AE29"/>
  <c r="AD29"/>
  <c r="Q44"/>
  <c r="AF33"/>
  <c r="AI31"/>
  <c r="AE32"/>
  <c r="W46"/>
  <c r="W50"/>
  <c r="AI4"/>
  <c r="AF4"/>
  <c r="AF7"/>
  <c r="AG7" s="1"/>
  <c r="AH12"/>
  <c r="AF11"/>
  <c r="AE13"/>
  <c r="AF6"/>
  <c r="AC6" s="1"/>
  <c r="AF12"/>
  <c r="AD16"/>
  <c r="AF17"/>
  <c r="AF22"/>
  <c r="AC22" s="1"/>
  <c r="AH11"/>
  <c r="AE9"/>
  <c r="AI13"/>
  <c r="AD23"/>
  <c r="AC23" s="1"/>
  <c r="AD25"/>
  <c r="AI14"/>
  <c r="W31"/>
  <c r="AJ22" s="1"/>
  <c r="AI23"/>
  <c r="BR35"/>
  <c r="AJ15"/>
  <c r="AI33"/>
  <c r="AE28"/>
  <c r="AI32"/>
  <c r="AI18"/>
  <c r="AF19"/>
  <c r="AC19" s="1"/>
  <c r="AF27"/>
  <c r="AG27" s="1"/>
  <c r="AI30"/>
  <c r="AI21"/>
  <c r="AH20"/>
  <c r="AE30"/>
  <c r="AC30" s="1"/>
  <c r="BL31"/>
  <c r="BR61"/>
  <c r="BR53"/>
  <c r="AC27"/>
  <c r="AC13"/>
  <c r="AG13"/>
  <c r="AG17"/>
  <c r="AC17"/>
  <c r="AC12"/>
  <c r="AG12"/>
  <c r="AG23"/>
  <c r="AC25"/>
  <c r="AG25"/>
  <c r="AC15"/>
  <c r="AG15"/>
  <c r="AC29"/>
  <c r="AG29"/>
  <c r="AG19"/>
  <c r="AC9"/>
  <c r="AG9"/>
  <c r="AG16"/>
  <c r="AC16"/>
  <c r="AG18"/>
  <c r="AC18"/>
  <c r="AG20"/>
  <c r="AC20"/>
  <c r="AG28"/>
  <c r="AC28"/>
  <c r="AG30"/>
  <c r="AC4"/>
  <c r="AG4"/>
  <c r="AC5"/>
  <c r="AG5"/>
  <c r="Q10"/>
  <c r="AJ7" s="1"/>
  <c r="AH7"/>
  <c r="AJ3"/>
  <c r="Q11"/>
  <c r="AI19"/>
  <c r="AI11"/>
  <c r="W15"/>
  <c r="AJ12" s="1"/>
  <c r="AI24"/>
  <c r="BR36"/>
  <c r="AH5"/>
  <c r="BR63"/>
  <c r="Q40"/>
  <c r="AJ27" s="1"/>
  <c r="Q48"/>
  <c r="BL55"/>
  <c r="BL63"/>
  <c r="BL34"/>
  <c r="BR59"/>
  <c r="Q33"/>
  <c r="AH33"/>
  <c r="AH32"/>
  <c r="BL26"/>
  <c r="Q13"/>
  <c r="AJ8" s="1"/>
  <c r="AI8"/>
  <c r="AC3"/>
  <c r="AG3"/>
  <c r="Q4"/>
  <c r="AH3"/>
  <c r="AC24"/>
  <c r="AG24"/>
  <c r="AC26"/>
  <c r="AG26"/>
  <c r="AH8"/>
  <c r="AI22"/>
  <c r="Q42"/>
  <c r="AJ28" s="1"/>
  <c r="Q50"/>
  <c r="AJ34" s="1"/>
  <c r="BL57"/>
  <c r="BL65"/>
  <c r="AH25"/>
  <c r="W25"/>
  <c r="AJ18" s="1"/>
  <c r="BL36"/>
  <c r="Q46"/>
  <c r="AJ31" s="1"/>
  <c r="BL53"/>
  <c r="BL61"/>
  <c r="Q31"/>
  <c r="AJ20" s="1"/>
  <c r="BR65"/>
  <c r="AI15"/>
  <c r="BL35"/>
  <c r="Q34"/>
  <c r="AC31"/>
  <c r="AG31"/>
  <c r="AC32"/>
  <c r="AG32"/>
  <c r="AG14"/>
  <c r="AC14"/>
  <c r="AC10"/>
  <c r="AG10"/>
  <c r="AC33"/>
  <c r="AG33"/>
  <c r="AC34"/>
  <c r="AG34"/>
  <c r="AC21"/>
  <c r="AG21"/>
  <c r="W4"/>
  <c r="AJ5" s="1"/>
  <c r="BR37"/>
  <c r="BR16"/>
  <c r="AD11"/>
  <c r="W40"/>
  <c r="AJ29" s="1"/>
  <c r="W48"/>
  <c r="AJ32" s="1"/>
  <c r="Q26"/>
  <c r="AJ17" s="1"/>
  <c r="BL51"/>
  <c r="BL59"/>
  <c r="Q25"/>
  <c r="AJ16" s="1"/>
  <c r="AH13"/>
  <c r="AH15"/>
  <c r="BL23"/>
  <c r="AH19"/>
  <c r="BL37"/>
  <c r="AG6" l="1"/>
  <c r="AO5" s="1"/>
  <c r="AC8"/>
  <c r="AG22"/>
  <c r="AJ33"/>
  <c r="AC7"/>
  <c r="AJ23"/>
  <c r="AL24"/>
  <c r="AP24"/>
  <c r="AL9"/>
  <c r="AP9"/>
  <c r="AM9"/>
  <c r="AQ9"/>
  <c r="AQ19"/>
  <c r="AM19"/>
  <c r="AL22"/>
  <c r="AP22"/>
  <c r="AM22"/>
  <c r="AK22"/>
  <c r="AQ22"/>
  <c r="AO22"/>
  <c r="AC11"/>
  <c r="AG11"/>
  <c r="AK14" s="1"/>
  <c r="AK21"/>
  <c r="AO21"/>
  <c r="AK33"/>
  <c r="AO33"/>
  <c r="AM33"/>
  <c r="AQ33"/>
  <c r="AM31"/>
  <c r="AQ31"/>
  <c r="AO31"/>
  <c r="AK31"/>
  <c r="AM7"/>
  <c r="AQ7"/>
  <c r="AP7"/>
  <c r="AL7"/>
  <c r="AL5"/>
  <c r="AP5"/>
  <c r="AM5"/>
  <c r="AQ5"/>
  <c r="AL30"/>
  <c r="AP30"/>
  <c r="AM30"/>
  <c r="AK30"/>
  <c r="AQ30"/>
  <c r="AO30"/>
  <c r="AL20"/>
  <c r="AP20"/>
  <c r="AL16"/>
  <c r="AP16"/>
  <c r="AM6"/>
  <c r="AQ6"/>
  <c r="AK6"/>
  <c r="AK29"/>
  <c r="AO29"/>
  <c r="AM29"/>
  <c r="AL29"/>
  <c r="AQ29"/>
  <c r="AP29"/>
  <c r="AK25"/>
  <c r="AO25"/>
  <c r="AL12"/>
  <c r="AP12"/>
  <c r="AK13"/>
  <c r="AO13"/>
  <c r="AL3"/>
  <c r="AP3"/>
  <c r="AK3"/>
  <c r="AO3"/>
  <c r="AK8"/>
  <c r="AO8"/>
  <c r="AL8"/>
  <c r="AP8"/>
  <c r="AK17"/>
  <c r="AO17"/>
  <c r="AM27"/>
  <c r="AQ27"/>
  <c r="AL27"/>
  <c r="AK27"/>
  <c r="AP27"/>
  <c r="AO27"/>
  <c r="AL14"/>
  <c r="AP14"/>
  <c r="AQ14"/>
  <c r="AM14"/>
  <c r="AL26"/>
  <c r="AP26"/>
  <c r="AO26"/>
  <c r="AM26"/>
  <c r="AQ26"/>
  <c r="AK26"/>
  <c r="AL34"/>
  <c r="AP34"/>
  <c r="AO34"/>
  <c r="AM34"/>
  <c r="AK34"/>
  <c r="AQ34"/>
  <c r="AL10"/>
  <c r="AP10"/>
  <c r="AO10"/>
  <c r="AK10"/>
  <c r="AO32"/>
  <c r="AM32"/>
  <c r="AL32"/>
  <c r="AQ32"/>
  <c r="AK32"/>
  <c r="AP32"/>
  <c r="AK4"/>
  <c r="AO4"/>
  <c r="AQ4"/>
  <c r="AM4"/>
  <c r="AL28"/>
  <c r="AQ28"/>
  <c r="AK28"/>
  <c r="AP28"/>
  <c r="AO28"/>
  <c r="AM28"/>
  <c r="AK18"/>
  <c r="AP18"/>
  <c r="AO18"/>
  <c r="AM18"/>
  <c r="AL18"/>
  <c r="AQ18"/>
  <c r="AM15"/>
  <c r="AQ15"/>
  <c r="AM23"/>
  <c r="AQ23"/>
  <c r="AO19"/>
  <c r="AP19"/>
  <c r="AQ21"/>
  <c r="AO16"/>
  <c r="AP25"/>
  <c r="AK12"/>
  <c r="AP13"/>
  <c r="AM17"/>
  <c r="AL17"/>
  <c r="AQ10"/>
  <c r="AK15"/>
  <c r="AL15"/>
  <c r="AP15"/>
  <c r="AK23"/>
  <c r="AM12"/>
  <c r="AP23"/>
  <c r="AQ24"/>
  <c r="AP21"/>
  <c r="AM25"/>
  <c r="AL13"/>
  <c r="AO15"/>
  <c r="AK24"/>
  <c r="AO9"/>
  <c r="AK19"/>
  <c r="AL21"/>
  <c r="AL33"/>
  <c r="AO7"/>
  <c r="AK20"/>
  <c r="AM20"/>
  <c r="AQ16"/>
  <c r="AL25"/>
  <c r="AQ13"/>
  <c r="AQ8"/>
  <c r="AP17"/>
  <c r="AM10"/>
  <c r="AO23"/>
  <c r="AM13"/>
  <c r="AM8"/>
  <c r="AO24"/>
  <c r="AL31"/>
  <c r="AK16"/>
  <c r="AO12"/>
  <c r="AQ17"/>
  <c r="AM24"/>
  <c r="AK9"/>
  <c r="AL19"/>
  <c r="AM21"/>
  <c r="AP31"/>
  <c r="AK7"/>
  <c r="AQ20"/>
  <c r="AM16"/>
  <c r="AQ25"/>
  <c r="AP33"/>
  <c r="AO20"/>
  <c r="AQ12"/>
  <c r="AL23"/>
  <c r="AL4" l="1"/>
  <c r="AN4" s="1"/>
  <c r="AO14"/>
  <c r="AN3"/>
  <c r="AM3"/>
  <c r="AL6"/>
  <c r="AK5"/>
  <c r="AN5" s="1"/>
  <c r="AO6"/>
  <c r="AP4"/>
  <c r="AQ3"/>
  <c r="AP6"/>
  <c r="AR6" s="1"/>
  <c r="AR18"/>
  <c r="AN14"/>
  <c r="AR32"/>
  <c r="AN34"/>
  <c r="AN30"/>
  <c r="AN22"/>
  <c r="AR20"/>
  <c r="AN7"/>
  <c r="AN9"/>
  <c r="AR12"/>
  <c r="AN16"/>
  <c r="AR24"/>
  <c r="AR23"/>
  <c r="AN20"/>
  <c r="AR7"/>
  <c r="AN19"/>
  <c r="AR9"/>
  <c r="AS9" s="1"/>
  <c r="AN24"/>
  <c r="AR15"/>
  <c r="AN23"/>
  <c r="AN15"/>
  <c r="AN12"/>
  <c r="AR16"/>
  <c r="AS16" s="1"/>
  <c r="AR19"/>
  <c r="AS19" s="1"/>
  <c r="AM11"/>
  <c r="AQ11"/>
  <c r="AN28"/>
  <c r="AR34"/>
  <c r="AR17"/>
  <c r="AR25"/>
  <c r="AN29"/>
  <c r="AR5"/>
  <c r="AS5" s="1"/>
  <c r="AN33"/>
  <c r="AN10"/>
  <c r="AN8"/>
  <c r="AN25"/>
  <c r="AR4"/>
  <c r="AN18"/>
  <c r="AN32"/>
  <c r="AN26"/>
  <c r="AR26"/>
  <c r="AR3"/>
  <c r="AS3" s="1"/>
  <c r="AN13"/>
  <c r="AR29"/>
  <c r="AN6"/>
  <c r="AR30"/>
  <c r="AN31"/>
  <c r="AR31"/>
  <c r="AR33"/>
  <c r="AS33" s="1"/>
  <c r="AN21"/>
  <c r="AR22"/>
  <c r="AN27"/>
  <c r="AN17"/>
  <c r="AR8"/>
  <c r="AR28"/>
  <c r="AS28" s="1"/>
  <c r="AR10"/>
  <c r="AR14"/>
  <c r="AR27"/>
  <c r="AR13"/>
  <c r="AS13" s="1"/>
  <c r="AR21"/>
  <c r="AK11"/>
  <c r="AL11"/>
  <c r="AP11"/>
  <c r="AO11"/>
  <c r="AS4" l="1"/>
  <c r="AS7"/>
  <c r="AS6"/>
  <c r="Y6" s="1"/>
  <c r="AS14"/>
  <c r="AS18"/>
  <c r="AS30"/>
  <c r="AS32"/>
  <c r="Y33" s="1"/>
  <c r="AS15"/>
  <c r="AS20"/>
  <c r="AS22"/>
  <c r="AS24"/>
  <c r="AS21"/>
  <c r="AS10"/>
  <c r="AS34"/>
  <c r="AR11"/>
  <c r="AS11" s="1"/>
  <c r="AN11"/>
  <c r="AS31"/>
  <c r="AS29"/>
  <c r="Y5"/>
  <c r="AS26"/>
  <c r="AS17"/>
  <c r="Y17" s="1"/>
  <c r="AS23"/>
  <c r="Y4"/>
  <c r="AS27"/>
  <c r="AS8"/>
  <c r="Y8" s="1"/>
  <c r="Y3"/>
  <c r="AS25"/>
  <c r="AS12"/>
  <c r="BA5" l="1"/>
  <c r="BA3"/>
  <c r="BA4"/>
  <c r="BB6"/>
  <c r="Y31"/>
  <c r="Y34"/>
  <c r="Y15"/>
  <c r="Y13"/>
  <c r="Y26"/>
  <c r="Y24"/>
  <c r="Y16"/>
  <c r="Y19"/>
  <c r="Y20"/>
  <c r="L26" i="3" s="1"/>
  <c r="Y22" i="2"/>
  <c r="Y11"/>
  <c r="M15" i="3" s="1"/>
  <c r="Y21" i="2"/>
  <c r="Y29"/>
  <c r="P19" i="3"/>
  <c r="O21"/>
  <c r="M21"/>
  <c r="L21"/>
  <c r="N21"/>
  <c r="M19"/>
  <c r="Y27" i="2"/>
  <c r="Y28"/>
  <c r="M4" i="3"/>
  <c r="Q4"/>
  <c r="M5"/>
  <c r="Q5"/>
  <c r="M6"/>
  <c r="Q6"/>
  <c r="M7"/>
  <c r="Q7"/>
  <c r="L4"/>
  <c r="P4"/>
  <c r="L5"/>
  <c r="P5"/>
  <c r="L6"/>
  <c r="P6"/>
  <c r="L7"/>
  <c r="P7"/>
  <c r="O4"/>
  <c r="R5"/>
  <c r="R6"/>
  <c r="R7"/>
  <c r="N4"/>
  <c r="O6"/>
  <c r="O7"/>
  <c r="R4"/>
  <c r="K6"/>
  <c r="O5"/>
  <c r="K4"/>
  <c r="N5"/>
  <c r="N6"/>
  <c r="N7"/>
  <c r="K5"/>
  <c r="K7"/>
  <c r="Y25" i="2"/>
  <c r="Y9"/>
  <c r="Y7"/>
  <c r="Y10"/>
  <c r="Y18"/>
  <c r="L15" i="3"/>
  <c r="O15"/>
  <c r="R15"/>
  <c r="Q15"/>
  <c r="L24"/>
  <c r="P24"/>
  <c r="P26"/>
  <c r="K24"/>
  <c r="Q24"/>
  <c r="N27"/>
  <c r="O24"/>
  <c r="M27"/>
  <c r="N24"/>
  <c r="R26"/>
  <c r="R24"/>
  <c r="M26"/>
  <c r="M24"/>
  <c r="K26"/>
  <c r="M39"/>
  <c r="Q39"/>
  <c r="N39"/>
  <c r="R39"/>
  <c r="L39"/>
  <c r="K39"/>
  <c r="P39"/>
  <c r="O39"/>
  <c r="Y12" i="2"/>
  <c r="L14" i="3" s="1"/>
  <c r="Y30" i="2"/>
  <c r="Y14"/>
  <c r="Y23"/>
  <c r="Y32"/>
  <c r="M41" i="3" s="1"/>
  <c r="L20" l="1"/>
  <c r="BA11" i="2"/>
  <c r="K20" i="3"/>
  <c r="M20"/>
  <c r="P21"/>
  <c r="O19"/>
  <c r="Q19"/>
  <c r="P20"/>
  <c r="BB10" i="2"/>
  <c r="BB18"/>
  <c r="BA10"/>
  <c r="BA18"/>
  <c r="BB9"/>
  <c r="BB17"/>
  <c r="BA9"/>
  <c r="BA17"/>
  <c r="Q17" i="3"/>
  <c r="K15"/>
  <c r="P15"/>
  <c r="R20"/>
  <c r="Q20"/>
  <c r="N20"/>
  <c r="O20"/>
  <c r="K21"/>
  <c r="L19"/>
  <c r="BB8" i="2"/>
  <c r="BB16"/>
  <c r="BA8"/>
  <c r="BA16"/>
  <c r="BB7"/>
  <c r="BB15"/>
  <c r="BA7"/>
  <c r="BA15"/>
  <c r="BB14"/>
  <c r="BA6"/>
  <c r="BA14"/>
  <c r="BB5"/>
  <c r="BB13"/>
  <c r="BA13"/>
  <c r="N15" i="3"/>
  <c r="P22"/>
  <c r="R19"/>
  <c r="N19"/>
  <c r="Q21"/>
  <c r="R21"/>
  <c r="K19"/>
  <c r="BB4" i="2"/>
  <c r="BB12"/>
  <c r="BA12"/>
  <c r="BB3"/>
  <c r="BB11"/>
  <c r="Q14" i="3"/>
  <c r="K40"/>
  <c r="N17"/>
  <c r="K16"/>
  <c r="P14"/>
  <c r="R14"/>
  <c r="R16"/>
  <c r="K41"/>
  <c r="N41"/>
  <c r="Q40"/>
  <c r="R27"/>
  <c r="BF10" i="2"/>
  <c r="BB20" s="1"/>
  <c r="Q26" i="3"/>
  <c r="Q27"/>
  <c r="K25"/>
  <c r="L25"/>
  <c r="P41"/>
  <c r="L41"/>
  <c r="O41"/>
  <c r="Q41"/>
  <c r="O27"/>
  <c r="O25"/>
  <c r="Q25"/>
  <c r="P27"/>
  <c r="P25"/>
  <c r="O17"/>
  <c r="N16"/>
  <c r="K27"/>
  <c r="L27"/>
  <c r="O42"/>
  <c r="K42"/>
  <c r="R42"/>
  <c r="Q42"/>
  <c r="R25"/>
  <c r="M25"/>
  <c r="N25"/>
  <c r="N26"/>
  <c r="O26"/>
  <c r="R17"/>
  <c r="P16"/>
  <c r="L34"/>
  <c r="P34"/>
  <c r="L35"/>
  <c r="P35"/>
  <c r="L36"/>
  <c r="P36"/>
  <c r="L37"/>
  <c r="P37"/>
  <c r="M34"/>
  <c r="R34"/>
  <c r="K35"/>
  <c r="Q35"/>
  <c r="O36"/>
  <c r="N37"/>
  <c r="M37"/>
  <c r="M36"/>
  <c r="R36"/>
  <c r="K37"/>
  <c r="Q37"/>
  <c r="K36"/>
  <c r="K34"/>
  <c r="Q34"/>
  <c r="O35"/>
  <c r="N36"/>
  <c r="R37"/>
  <c r="O34"/>
  <c r="N35"/>
  <c r="N34"/>
  <c r="M35"/>
  <c r="R35"/>
  <c r="Q36"/>
  <c r="O37"/>
  <c r="AC3" i="1"/>
  <c r="U8" i="3"/>
  <c r="BE3" i="2"/>
  <c r="BA23" s="1"/>
  <c r="AC4" i="1"/>
  <c r="U24" i="3"/>
  <c r="BE4" i="2"/>
  <c r="BA27" s="1"/>
  <c r="R40" i="3"/>
  <c r="L40"/>
  <c r="N40"/>
  <c r="O40"/>
  <c r="P40"/>
  <c r="M42"/>
  <c r="M40"/>
  <c r="Q16"/>
  <c r="O16"/>
  <c r="M14"/>
  <c r="N14"/>
  <c r="M16"/>
  <c r="L17"/>
  <c r="Q22"/>
  <c r="N22"/>
  <c r="L9"/>
  <c r="P9"/>
  <c r="L10"/>
  <c r="P10"/>
  <c r="L11"/>
  <c r="P11"/>
  <c r="L12"/>
  <c r="P12"/>
  <c r="K9"/>
  <c r="O9"/>
  <c r="K10"/>
  <c r="O10"/>
  <c r="K11"/>
  <c r="O11"/>
  <c r="M9"/>
  <c r="Q10"/>
  <c r="R11"/>
  <c r="M12"/>
  <c r="R12"/>
  <c r="N10"/>
  <c r="Q11"/>
  <c r="K12"/>
  <c r="Q9"/>
  <c r="M10"/>
  <c r="N11"/>
  <c r="O12"/>
  <c r="R9"/>
  <c r="Q12"/>
  <c r="N9"/>
  <c r="R10"/>
  <c r="M11"/>
  <c r="N12"/>
  <c r="AC5" i="1"/>
  <c r="BE5" i="2"/>
  <c r="BA25" s="1"/>
  <c r="P17" i="3"/>
  <c r="M22"/>
  <c r="L22"/>
  <c r="L29"/>
  <c r="P29"/>
  <c r="L30"/>
  <c r="P30"/>
  <c r="L31"/>
  <c r="P31"/>
  <c r="L32"/>
  <c r="P32"/>
  <c r="N29"/>
  <c r="K30"/>
  <c r="Q30"/>
  <c r="O31"/>
  <c r="N32"/>
  <c r="M29"/>
  <c r="R29"/>
  <c r="O30"/>
  <c r="N31"/>
  <c r="Q29"/>
  <c r="M31"/>
  <c r="R31"/>
  <c r="K32"/>
  <c r="M32"/>
  <c r="R32"/>
  <c r="K29"/>
  <c r="N30"/>
  <c r="Q32"/>
  <c r="M30"/>
  <c r="R30"/>
  <c r="Q31"/>
  <c r="O29"/>
  <c r="K31"/>
  <c r="O32"/>
  <c r="AD6" i="1"/>
  <c r="BF6" i="2"/>
  <c r="BA20" s="1"/>
  <c r="N42" i="3"/>
  <c r="R41"/>
  <c r="P42"/>
  <c r="L42"/>
  <c r="O14"/>
  <c r="K17"/>
  <c r="M17"/>
  <c r="K14"/>
  <c r="L16"/>
  <c r="O22"/>
  <c r="K22"/>
  <c r="R22"/>
  <c r="AD20" i="1" l="1"/>
  <c r="BF20" i="2"/>
  <c r="BB38" s="1"/>
  <c r="AC20" i="1"/>
  <c r="BE20" i="2"/>
  <c r="BB36" s="1"/>
  <c r="BE27"/>
  <c r="BA42" s="1"/>
  <c r="Z26" i="3"/>
  <c r="AC27" i="1"/>
  <c r="AC25"/>
  <c r="BE25" i="2"/>
  <c r="BA47" s="1"/>
  <c r="Z10" i="3"/>
  <c r="AC23" i="1"/>
  <c r="BE23" i="2"/>
  <c r="BA41" s="1"/>
  <c r="AD10" i="1"/>
  <c r="AD18"/>
  <c r="BF18" i="2"/>
  <c r="BB22" s="1"/>
  <c r="AD7" i="1"/>
  <c r="U13" i="3"/>
  <c r="BF7" i="2"/>
  <c r="BB31" s="1"/>
  <c r="AC7" i="1"/>
  <c r="BE7" i="2"/>
  <c r="BB23" s="1"/>
  <c r="U12" i="3"/>
  <c r="AC6" i="1"/>
  <c r="BE6" i="2"/>
  <c r="BA29" s="1"/>
  <c r="AD16" i="1"/>
  <c r="U37" i="3"/>
  <c r="BF16" i="2"/>
  <c r="BB34" s="1"/>
  <c r="AD5" i="1"/>
  <c r="BF5" i="2"/>
  <c r="BA19" s="1"/>
  <c r="AD8" i="1"/>
  <c r="BF8" i="2"/>
  <c r="BB33" s="1"/>
  <c r="U29" i="3"/>
  <c r="AC12" i="1"/>
  <c r="U32" i="3"/>
  <c r="BE12" i="2"/>
  <c r="BA28" s="1"/>
  <c r="AC9" i="1"/>
  <c r="BE9" i="2"/>
  <c r="BB25" s="1"/>
  <c r="AC15" i="1"/>
  <c r="U20" i="3"/>
  <c r="BE15" i="2"/>
  <c r="BB24" s="1"/>
  <c r="AD14" i="1"/>
  <c r="BF14" i="2"/>
  <c r="BA22" s="1"/>
  <c r="AD13" i="1"/>
  <c r="BF13" i="2"/>
  <c r="BA21" s="1"/>
  <c r="AC13" i="1"/>
  <c r="BE13" i="2"/>
  <c r="BA26" s="1"/>
  <c r="AC11" i="1"/>
  <c r="U16" i="3"/>
  <c r="BE11" i="2"/>
  <c r="BA24" s="1"/>
  <c r="AC10" i="1"/>
  <c r="BE10" i="2"/>
  <c r="BB29" s="1"/>
  <c r="AD17" i="1"/>
  <c r="BF17" i="2"/>
  <c r="AC14" i="1"/>
  <c r="BE14" i="2"/>
  <c r="BA30" s="1"/>
  <c r="AD4" i="1"/>
  <c r="BF4" i="2"/>
  <c r="BA33" s="1"/>
  <c r="U25" i="3"/>
  <c r="AC16" i="1"/>
  <c r="U36" i="3"/>
  <c r="BE16" i="2"/>
  <c r="BB28" s="1"/>
  <c r="AD11" i="1"/>
  <c r="U17" i="3"/>
  <c r="BF11" i="2"/>
  <c r="BA32" s="1"/>
  <c r="AC8" i="1"/>
  <c r="U28" i="3"/>
  <c r="BE8" i="2"/>
  <c r="BB27" s="1"/>
  <c r="AC18" i="1"/>
  <c r="BE18" i="2"/>
  <c r="BB30" s="1"/>
  <c r="AD3" i="1"/>
  <c r="U9" i="3"/>
  <c r="BF3" i="2"/>
  <c r="BA31" s="1"/>
  <c r="AD12" i="1"/>
  <c r="BF12" i="2"/>
  <c r="BA34" s="1"/>
  <c r="U33" i="3"/>
  <c r="AD9" i="1"/>
  <c r="BF9" i="2"/>
  <c r="BB19" s="1"/>
  <c r="AC17" i="1"/>
  <c r="BE17" i="2"/>
  <c r="AD15" i="1"/>
  <c r="U21" i="3"/>
  <c r="BF15" i="2"/>
  <c r="BB32" s="1"/>
  <c r="BA36" l="1"/>
  <c r="BB26"/>
  <c r="Z27" i="3"/>
  <c r="AD27" i="1"/>
  <c r="BF27" i="2"/>
  <c r="BA40" s="1"/>
  <c r="AC30" i="1"/>
  <c r="BE30" i="2"/>
  <c r="BB48" s="1"/>
  <c r="BF29"/>
  <c r="BA50" s="1"/>
  <c r="AD29" i="1"/>
  <c r="Z34" i="3"/>
  <c r="AC28" i="1"/>
  <c r="BE28" i="2"/>
  <c r="BB42" s="1"/>
  <c r="AD33" i="1"/>
  <c r="BF33" i="2"/>
  <c r="BA46" s="1"/>
  <c r="AD34" i="1"/>
  <c r="BF34" i="2"/>
  <c r="BB46" s="1"/>
  <c r="AD31" i="1"/>
  <c r="BF31" i="2"/>
  <c r="BA45" s="1"/>
  <c r="BF38"/>
  <c r="BB51" s="1"/>
  <c r="AD38" i="1"/>
  <c r="BF32" i="2"/>
  <c r="BB45" s="1"/>
  <c r="AD32" i="1"/>
  <c r="AC22"/>
  <c r="BE22" i="2"/>
  <c r="AC42" i="1"/>
  <c r="BE42" i="2"/>
  <c r="BB66" s="1"/>
  <c r="AE30" i="3"/>
  <c r="AC31" i="1"/>
  <c r="BE31" i="2"/>
  <c r="BA43" s="1"/>
  <c r="AC32" i="1"/>
  <c r="BE32" i="2"/>
  <c r="BB43" s="1"/>
  <c r="BE21"/>
  <c r="BB35" s="1"/>
  <c r="AC21" i="1"/>
  <c r="Z19" i="3"/>
  <c r="AD24" i="1"/>
  <c r="BF24" i="2"/>
  <c r="BB39" s="1"/>
  <c r="BE29"/>
  <c r="BA48" s="1"/>
  <c r="AC29" i="1"/>
  <c r="AD22"/>
  <c r="BF22" i="2"/>
  <c r="AC34" i="1"/>
  <c r="BE34" i="2"/>
  <c r="BB44" s="1"/>
  <c r="BE26"/>
  <c r="BB47" s="1"/>
  <c r="AC26" i="1"/>
  <c r="BE47" i="2"/>
  <c r="BA58" s="1"/>
  <c r="AC47" i="1"/>
  <c r="BF19" i="2"/>
  <c r="BA37" s="1"/>
  <c r="AD19" i="1"/>
  <c r="BF30" i="2"/>
  <c r="BB50" s="1"/>
  <c r="AD30" i="1"/>
  <c r="AD28"/>
  <c r="Z35" i="3"/>
  <c r="BF28" i="2"/>
  <c r="BB40" s="1"/>
  <c r="BE33"/>
  <c r="BA44" s="1"/>
  <c r="AC33" i="1"/>
  <c r="BB21" i="2"/>
  <c r="BA38"/>
  <c r="Z18" i="3"/>
  <c r="AC24" i="1"/>
  <c r="BE24" i="2"/>
  <c r="BB41" s="1"/>
  <c r="AD25" i="1"/>
  <c r="BF25" i="2"/>
  <c r="BA49" s="1"/>
  <c r="BE19"/>
  <c r="BA35" s="1"/>
  <c r="AC19" i="1"/>
  <c r="Z11" i="3"/>
  <c r="BF23" i="2"/>
  <c r="BA39" s="1"/>
  <c r="AD23" i="1"/>
  <c r="BE41" i="2"/>
  <c r="BA66" s="1"/>
  <c r="AE14" i="3"/>
  <c r="AC41" i="1"/>
  <c r="BF36" i="2"/>
  <c r="BB53" s="1"/>
  <c r="AD36" i="1"/>
  <c r="BE39" i="2" l="1"/>
  <c r="BA63" s="1"/>
  <c r="AC39" i="1"/>
  <c r="AC45"/>
  <c r="BE45" i="2"/>
  <c r="BA60" s="1"/>
  <c r="AC38" i="1"/>
  <c r="BE38" i="2"/>
  <c r="BB52" s="1"/>
  <c r="BF40"/>
  <c r="BB64" s="1"/>
  <c r="AD40" i="1"/>
  <c r="BF50" i="2"/>
  <c r="BB55" s="1"/>
  <c r="AD50" i="1"/>
  <c r="AC58"/>
  <c r="BE58" i="2"/>
  <c r="BE48"/>
  <c r="BB58" s="1"/>
  <c r="AC48" i="1"/>
  <c r="BE43" i="2"/>
  <c r="BA62" s="1"/>
  <c r="AC43" i="1"/>
  <c r="BF45" i="2"/>
  <c r="BA59" s="1"/>
  <c r="AD45" i="1"/>
  <c r="BE40" i="2"/>
  <c r="BB63" s="1"/>
  <c r="AC40" i="1"/>
  <c r="BE36" i="2"/>
  <c r="BB54" s="1"/>
  <c r="AC36" i="1"/>
  <c r="BE44" i="2"/>
  <c r="BB62" s="1"/>
  <c r="AC44" i="1"/>
  <c r="BF53" i="2"/>
  <c r="AD53" i="1"/>
  <c r="BE37" i="2"/>
  <c r="BA52" s="1"/>
  <c r="AC37" i="1"/>
  <c r="BF47" i="2"/>
  <c r="BA57" s="1"/>
  <c r="AD47" i="1"/>
  <c r="BF43" i="2"/>
  <c r="BA61" s="1"/>
  <c r="AD43" i="1"/>
  <c r="BF51" i="2"/>
  <c r="AD51" i="1"/>
  <c r="BF48" i="2"/>
  <c r="BB57" s="1"/>
  <c r="AD48" i="1"/>
  <c r="BE49" i="2"/>
  <c r="BA56" s="1"/>
  <c r="AC49" i="1"/>
  <c r="BF44" i="2"/>
  <c r="BB61" s="1"/>
  <c r="AD44" i="1"/>
  <c r="AD66"/>
  <c r="BF66" i="2"/>
  <c r="AJ22" i="3"/>
  <c r="AC46" i="1"/>
  <c r="BE46" i="2"/>
  <c r="BB60" s="1"/>
  <c r="BF26"/>
  <c r="BB49" s="1"/>
  <c r="AD26" i="1"/>
  <c r="AC35"/>
  <c r="BE35" i="2"/>
  <c r="BA54" s="1"/>
  <c r="AJ21" i="3"/>
  <c r="AC66" i="1"/>
  <c r="BE66" i="2"/>
  <c r="BF41"/>
  <c r="BA65" s="1"/>
  <c r="AE15" i="3"/>
  <c r="AD41" i="1"/>
  <c r="BF21" i="2"/>
  <c r="BB37" s="1"/>
  <c r="AD21" i="1"/>
  <c r="BF39" i="2"/>
  <c r="BA64" s="1"/>
  <c r="AD39" i="1"/>
  <c r="AD35"/>
  <c r="BF35" i="2"/>
  <c r="BA53" s="1"/>
  <c r="AD46" i="1"/>
  <c r="BF46" i="2"/>
  <c r="BB59" s="1"/>
  <c r="BF42"/>
  <c r="BB65" s="1"/>
  <c r="AE31" i="3"/>
  <c r="AD42" i="1"/>
  <c r="AC50"/>
  <c r="BE50" i="2"/>
  <c r="BB56" s="1"/>
  <c r="BF56" l="1"/>
  <c r="AD56" i="1"/>
  <c r="BE60" i="2"/>
  <c r="AC60" i="1"/>
  <c r="AC53"/>
  <c r="BE53" i="2"/>
  <c r="AC65" i="1"/>
  <c r="BE65" i="2"/>
  <c r="AC54" i="1"/>
  <c r="BE54" i="2"/>
  <c r="BF60"/>
  <c r="AD60" i="1"/>
  <c r="BE56" i="2"/>
  <c r="AC56" i="1"/>
  <c r="AC57"/>
  <c r="BE57" i="2"/>
  <c r="AD54" i="1"/>
  <c r="BF54" i="2"/>
  <c r="AC59" i="1"/>
  <c r="BE59" i="2"/>
  <c r="AD58" i="1"/>
  <c r="BF58" i="2"/>
  <c r="BF55"/>
  <c r="AD55" i="1"/>
  <c r="AC63"/>
  <c r="BE63" i="2"/>
  <c r="AD37" i="1"/>
  <c r="BF37" i="2"/>
  <c r="BA51" s="1"/>
  <c r="BE64"/>
  <c r="AC64" i="1"/>
  <c r="BF49" i="2"/>
  <c r="BA55" s="1"/>
  <c r="AD49" i="1"/>
  <c r="BF52" i="2"/>
  <c r="AD52" i="1"/>
  <c r="BF59" i="2"/>
  <c r="AD59" i="1"/>
  <c r="BF61" i="2"/>
  <c r="AD61" i="1"/>
  <c r="AD57"/>
  <c r="BF57" i="2"/>
  <c r="AC61" i="1"/>
  <c r="BE61" i="2"/>
  <c r="BE52"/>
  <c r="AC52" i="1"/>
  <c r="BF62" i="2"/>
  <c r="AD62" i="1"/>
  <c r="BF63" i="2"/>
  <c r="AD63" i="1"/>
  <c r="AC62"/>
  <c r="BE62" i="2"/>
  <c r="BF64"/>
  <c r="AD64" i="1"/>
  <c r="AD65"/>
  <c r="BF65" i="2"/>
  <c r="AC55" i="1" l="1"/>
  <c r="BE55" i="2"/>
  <c r="AC51" i="1"/>
  <c r="BE51" i="2"/>
</calcChain>
</file>

<file path=xl/sharedStrings.xml><?xml version="1.0" encoding="utf-8"?>
<sst xmlns="http://schemas.openxmlformats.org/spreadsheetml/2006/main" count="944" uniqueCount="448">
  <si>
    <t>DATI_TORNEO</t>
  </si>
  <si>
    <t>SQUADRE</t>
  </si>
  <si>
    <t>CAMPI</t>
  </si>
  <si>
    <t>DATE_E_RISULTATI_GIRONI</t>
  </si>
  <si>
    <t>DATE_E_RISULTATI_2A_FASE</t>
  </si>
  <si>
    <t>ID</t>
  </si>
  <si>
    <t>Valore</t>
  </si>
  <si>
    <t>Codice</t>
  </si>
  <si>
    <t>Nome</t>
  </si>
  <si>
    <t>Note</t>
  </si>
  <si>
    <t>Girone</t>
  </si>
  <si>
    <t>ID Nel Girone</t>
  </si>
  <si>
    <t>N.
Gara</t>
  </si>
  <si>
    <t>Fase</t>
  </si>
  <si>
    <t>Squadra
A</t>
  </si>
  <si>
    <t>Squadra
B</t>
  </si>
  <si>
    <t>Risultato
Squadra
A</t>
  </si>
  <si>
    <t>Risultato
Squadra
B</t>
  </si>
  <si>
    <t>Data</t>
  </si>
  <si>
    <t>Ora</t>
  </si>
  <si>
    <t>ID
Campo</t>
  </si>
  <si>
    <t>Nome Campo</t>
  </si>
  <si>
    <t>Turno</t>
  </si>
  <si>
    <t>NOME_TORNEO</t>
  </si>
  <si>
    <t>Torneo dell’Estate</t>
  </si>
  <si>
    <t>Leoni</t>
  </si>
  <si>
    <t>A</t>
  </si>
  <si>
    <t>Cristo Re 1</t>
  </si>
  <si>
    <t>STAGIONE</t>
  </si>
  <si>
    <t>Pantere</t>
  </si>
  <si>
    <t>Cristo Re 2</t>
  </si>
  <si>
    <t>Tigri</t>
  </si>
  <si>
    <t>Basket Giovane</t>
  </si>
  <si>
    <t>Ghepardi</t>
  </si>
  <si>
    <t>Nuova Scuola</t>
  </si>
  <si>
    <t>Giaguari</t>
  </si>
  <si>
    <t>B</t>
  </si>
  <si>
    <t>Puma</t>
  </si>
  <si>
    <t>Linci</t>
  </si>
  <si>
    <t>Serval</t>
  </si>
  <si>
    <t>Elefanti</t>
  </si>
  <si>
    <t>C</t>
  </si>
  <si>
    <t>Giraffe</t>
  </si>
  <si>
    <t>Ippopotami</t>
  </si>
  <si>
    <t>Iguane</t>
  </si>
  <si>
    <t>Coccodrilli</t>
  </si>
  <si>
    <t>D</t>
  </si>
  <si>
    <t>Pitoni</t>
  </si>
  <si>
    <t>Aquile</t>
  </si>
  <si>
    <t>Falchi</t>
  </si>
  <si>
    <t>Bisonti</t>
  </si>
  <si>
    <t>E</t>
  </si>
  <si>
    <t>Bufali</t>
  </si>
  <si>
    <t>Cervi</t>
  </si>
  <si>
    <t>Cinghiali</t>
  </si>
  <si>
    <t>Balene</t>
  </si>
  <si>
    <t>F</t>
  </si>
  <si>
    <t>Gabbiani</t>
  </si>
  <si>
    <t>Delfini</t>
  </si>
  <si>
    <t>Fenicotteri</t>
  </si>
  <si>
    <t>Istrici</t>
  </si>
  <si>
    <t>G</t>
  </si>
  <si>
    <t>Gorilla</t>
  </si>
  <si>
    <t>Muli</t>
  </si>
  <si>
    <t>Orche</t>
  </si>
  <si>
    <t>Piranha</t>
  </si>
  <si>
    <t>H</t>
  </si>
  <si>
    <t>Scorpioni</t>
  </si>
  <si>
    <t>Tonni</t>
  </si>
  <si>
    <t>Zebre</t>
  </si>
  <si>
    <t>COLORI</t>
  </si>
  <si>
    <t>ROSSO</t>
  </si>
  <si>
    <t>ff0000</t>
  </si>
  <si>
    <t>ARANCIONE</t>
  </si>
  <si>
    <t>ffa500</t>
  </si>
  <si>
    <t>GIALLO</t>
  </si>
  <si>
    <t>ffff00</t>
  </si>
  <si>
    <t>VERDE</t>
  </si>
  <si>
    <t>000800</t>
  </si>
  <si>
    <t>BLU</t>
  </si>
  <si>
    <t>0000ff</t>
  </si>
  <si>
    <t>INDACO</t>
  </si>
  <si>
    <t>4b0082</t>
  </si>
  <si>
    <t>VIOLETTO</t>
  </si>
  <si>
    <t>ee82ee</t>
  </si>
  <si>
    <t>NERO</t>
  </si>
  <si>
    <t>000000</t>
  </si>
  <si>
    <t>BLU_SCURO</t>
  </si>
  <si>
    <t>1f4e79</t>
  </si>
  <si>
    <t>VERDE_MEDIO</t>
  </si>
  <si>
    <t>a9d18e</t>
  </si>
  <si>
    <t>VERDE_CHIARO</t>
  </si>
  <si>
    <t>c5e0b4</t>
  </si>
  <si>
    <t>PARTITE_GIRONI</t>
  </si>
  <si>
    <t>CLASSIFICHE_GIRONI</t>
  </si>
  <si>
    <t>PARTITE_2A_FASE</t>
  </si>
  <si>
    <t>Codice
Sq.
A</t>
  </si>
  <si>
    <t>Codice
Sq.
B</t>
  </si>
  <si>
    <t>Squadra A</t>
  </si>
  <si>
    <t>Squadra B</t>
  </si>
  <si>
    <t>Squadra
Vincente</t>
  </si>
  <si>
    <t>Squadra
Perdente</t>
  </si>
  <si>
    <t>Vinta
A</t>
  </si>
  <si>
    <t>Persa
A</t>
  </si>
  <si>
    <t>Forfait
A</t>
  </si>
  <si>
    <t>P. Fatti
A</t>
  </si>
  <si>
    <t>P. Subiti
A</t>
  </si>
  <si>
    <t>Differenza
Canestri
A</t>
  </si>
  <si>
    <t>Vinta
B</t>
  </si>
  <si>
    <t>Persa
B</t>
  </si>
  <si>
    <t>Forfait
B</t>
  </si>
  <si>
    <t>P. Fatti
B</t>
  </si>
  <si>
    <t>P. Subiti
B</t>
  </si>
  <si>
    <t>Differenza
Canestri
B</t>
  </si>
  <si>
    <t>Posiz.</t>
  </si>
  <si>
    <t>Codice
Squadra</t>
  </si>
  <si>
    <t>Squadra</t>
  </si>
  <si>
    <t>Giocate</t>
  </si>
  <si>
    <t>Vinte</t>
  </si>
  <si>
    <t>Perse</t>
  </si>
  <si>
    <t>Forfait</t>
  </si>
  <si>
    <t>Punti
Class.</t>
  </si>
  <si>
    <t>Punti
Gara
Fatti
Tot.
(4)</t>
  </si>
  <si>
    <t>Punti
Gara
Subiti
Tot.</t>
  </si>
  <si>
    <t>Diff.
Punti
Gara
Tot.
(3)</t>
  </si>
  <si>
    <t>Punti
Gara
Fatti
Scontro
Dir. 1</t>
  </si>
  <si>
    <t>Punti
Gara
Fatti
Scontro
Dir. 2</t>
  </si>
  <si>
    <t>Punti
Gara
Fatti
Scontro
Dir. 3</t>
  </si>
  <si>
    <t>Punti
Gara
Tot.
Sc. Dir.
(2)</t>
  </si>
  <si>
    <t>Diff.
Punti
Gara
Scontro
Dir. 1</t>
  </si>
  <si>
    <t>Diff.
Punti
Gara
Scontro
Dir. 2</t>
  </si>
  <si>
    <t>Diff.
Punti
Gara
Scontro
Dir. 3</t>
  </si>
  <si>
    <t>Diff.
Punti
Gara
Tot. Sc.
Dir. (1)</t>
  </si>
  <si>
    <t>Coefficiente</t>
  </si>
  <si>
    <t>Cod.
Gara</t>
  </si>
  <si>
    <t>A1</t>
  </si>
  <si>
    <t>A2</t>
  </si>
  <si>
    <t>1-16/8</t>
  </si>
  <si>
    <t>2aFase</t>
  </si>
  <si>
    <t>1-16</t>
  </si>
  <si>
    <t>1A</t>
  </si>
  <si>
    <t>2C</t>
  </si>
  <si>
    <t>A3</t>
  </si>
  <si>
    <t>1-16/4</t>
  </si>
  <si>
    <t>2A</t>
  </si>
  <si>
    <t>1C</t>
  </si>
  <si>
    <t>A4</t>
  </si>
  <si>
    <t>17-32/8</t>
  </si>
  <si>
    <t>17-32</t>
  </si>
  <si>
    <t>3A</t>
  </si>
  <si>
    <t>4C</t>
  </si>
  <si>
    <t>17-32/7</t>
  </si>
  <si>
    <t>3C</t>
  </si>
  <si>
    <t>4A</t>
  </si>
  <si>
    <t>B1</t>
  </si>
  <si>
    <t>1-16/7</t>
  </si>
  <si>
    <t>1B</t>
  </si>
  <si>
    <t>2D</t>
  </si>
  <si>
    <t>B2</t>
  </si>
  <si>
    <t>1-16/3</t>
  </si>
  <si>
    <t>1D</t>
  </si>
  <si>
    <t>2B</t>
  </si>
  <si>
    <t>B3</t>
  </si>
  <si>
    <t>17-32/6</t>
  </si>
  <si>
    <t>3B</t>
  </si>
  <si>
    <t>4D</t>
  </si>
  <si>
    <t>B4</t>
  </si>
  <si>
    <t>17-32/5</t>
  </si>
  <si>
    <t>3D</t>
  </si>
  <si>
    <t>4B</t>
  </si>
  <si>
    <t>C1</t>
  </si>
  <si>
    <t>1-16/6</t>
  </si>
  <si>
    <t>1E</t>
  </si>
  <si>
    <t>2G</t>
  </si>
  <si>
    <t>C2</t>
  </si>
  <si>
    <t>1-16/2</t>
  </si>
  <si>
    <t>1G</t>
  </si>
  <si>
    <t>2E</t>
  </si>
  <si>
    <t>C3</t>
  </si>
  <si>
    <t>17-32/4</t>
  </si>
  <si>
    <t>3E</t>
  </si>
  <si>
    <t>4G</t>
  </si>
  <si>
    <t>C4</t>
  </si>
  <si>
    <t>17-32/3</t>
  </si>
  <si>
    <t>3G</t>
  </si>
  <si>
    <t>4E</t>
  </si>
  <si>
    <t>D1</t>
  </si>
  <si>
    <t>1-16/5</t>
  </si>
  <si>
    <t>1F</t>
  </si>
  <si>
    <t>2H</t>
  </si>
  <si>
    <t>D2</t>
  </si>
  <si>
    <t>1-16/1</t>
  </si>
  <si>
    <t>1H</t>
  </si>
  <si>
    <t>2F</t>
  </si>
  <si>
    <t>D3</t>
  </si>
  <si>
    <t>17-32/2</t>
  </si>
  <si>
    <t>3F</t>
  </si>
  <si>
    <t>4H</t>
  </si>
  <si>
    <t>D4</t>
  </si>
  <si>
    <t>17-32/1</t>
  </si>
  <si>
    <t>3H</t>
  </si>
  <si>
    <t>4F</t>
  </si>
  <si>
    <t>E1</t>
  </si>
  <si>
    <t>25-32/4</t>
  </si>
  <si>
    <t>25-32</t>
  </si>
  <si>
    <t>P51</t>
  </si>
  <si>
    <t>P55</t>
  </si>
  <si>
    <t>E2</t>
  </si>
  <si>
    <t>25-32/3</t>
  </si>
  <si>
    <t>P52</t>
  </si>
  <si>
    <t>P56</t>
  </si>
  <si>
    <t>E3</t>
  </si>
  <si>
    <t>25-32/2</t>
  </si>
  <si>
    <t>P59</t>
  </si>
  <si>
    <t>P63</t>
  </si>
  <si>
    <t>E4</t>
  </si>
  <si>
    <t>25-32/1</t>
  </si>
  <si>
    <t>P60</t>
  </si>
  <si>
    <t>P64</t>
  </si>
  <si>
    <t>F1</t>
  </si>
  <si>
    <t>1-8/4</t>
  </si>
  <si>
    <t>1-8</t>
  </si>
  <si>
    <t>V49</t>
  </si>
  <si>
    <t>V53</t>
  </si>
  <si>
    <t>F2</t>
  </si>
  <si>
    <t>1-8/3</t>
  </si>
  <si>
    <t>V57</t>
  </si>
  <si>
    <t>V61</t>
  </si>
  <si>
    <t>F3</t>
  </si>
  <si>
    <t>17-24/4</t>
  </si>
  <si>
    <t>17-24</t>
  </si>
  <si>
    <t>V51</t>
  </si>
  <si>
    <t>V55</t>
  </si>
  <si>
    <t>F4</t>
  </si>
  <si>
    <t>17-24/3</t>
  </si>
  <si>
    <t>V59</t>
  </si>
  <si>
    <t>V63</t>
  </si>
  <si>
    <t>G1</t>
  </si>
  <si>
    <t>1-8/2</t>
  </si>
  <si>
    <t>V50</t>
  </si>
  <si>
    <t>V54</t>
  </si>
  <si>
    <t>G2</t>
  </si>
  <si>
    <t>1-8/1</t>
  </si>
  <si>
    <t>V58</t>
  </si>
  <si>
    <t>V62</t>
  </si>
  <si>
    <t>G3</t>
  </si>
  <si>
    <t>17-24/2</t>
  </si>
  <si>
    <t>V52</t>
  </si>
  <si>
    <t>V56</t>
  </si>
  <si>
    <t>G4</t>
  </si>
  <si>
    <t>17-24/1</t>
  </si>
  <si>
    <t>V60</t>
  </si>
  <si>
    <t>V64</t>
  </si>
  <si>
    <t>H1</t>
  </si>
  <si>
    <t>9-16/4</t>
  </si>
  <si>
    <t>9-16</t>
  </si>
  <si>
    <t>P49</t>
  </si>
  <si>
    <t>P53</t>
  </si>
  <si>
    <t>H2</t>
  </si>
  <si>
    <t>9-16/3</t>
  </si>
  <si>
    <t>P57</t>
  </si>
  <si>
    <t>P61</t>
  </si>
  <si>
    <t>H3</t>
  </si>
  <si>
    <t>9-16/2</t>
  </si>
  <si>
    <t>P50</t>
  </si>
  <si>
    <t>P54</t>
  </si>
  <si>
    <t>H4</t>
  </si>
  <si>
    <t>9-16/1</t>
  </si>
  <si>
    <t>P58</t>
  </si>
  <si>
    <t>P62</t>
  </si>
  <si>
    <t>25-28/2</t>
  </si>
  <si>
    <t>25-28</t>
  </si>
  <si>
    <t>V65</t>
  </si>
  <si>
    <t>V67</t>
  </si>
  <si>
    <t>25-28/1</t>
  </si>
  <si>
    <t>V66</t>
  </si>
  <si>
    <t>29-32/2</t>
  </si>
  <si>
    <t>29-32</t>
  </si>
  <si>
    <t>P65</t>
  </si>
  <si>
    <t>P67</t>
  </si>
  <si>
    <t>29-32/1</t>
  </si>
  <si>
    <t>P66</t>
  </si>
  <si>
    <t>5-8/2</t>
  </si>
  <si>
    <t>5-8</t>
  </si>
  <si>
    <t>P69</t>
  </si>
  <si>
    <t>P70</t>
  </si>
  <si>
    <t>5-8/1</t>
  </si>
  <si>
    <t>P73</t>
  </si>
  <si>
    <t>P74</t>
  </si>
  <si>
    <t>1-4/2</t>
  </si>
  <si>
    <t>1-4</t>
  </si>
  <si>
    <t>V69</t>
  </si>
  <si>
    <t>V70</t>
  </si>
  <si>
    <t>1-4/1</t>
  </si>
  <si>
    <t>V73</t>
  </si>
  <si>
    <t>V74</t>
  </si>
  <si>
    <t>9-12/2</t>
  </si>
  <si>
    <t>9-12</t>
  </si>
  <si>
    <t>V77</t>
  </si>
  <si>
    <t>V78</t>
  </si>
  <si>
    <t>9-12/1</t>
  </si>
  <si>
    <t>V79</t>
  </si>
  <si>
    <t>V80</t>
  </si>
  <si>
    <t>13-16/2</t>
  </si>
  <si>
    <t>13-16</t>
  </si>
  <si>
    <t>P77</t>
  </si>
  <si>
    <t>P78</t>
  </si>
  <si>
    <t>13-16/1</t>
  </si>
  <si>
    <t>P79</t>
  </si>
  <si>
    <t>P80</t>
  </si>
  <si>
    <t>17-20/2</t>
  </si>
  <si>
    <t>17-20</t>
  </si>
  <si>
    <t>V71</t>
  </si>
  <si>
    <t>V72</t>
  </si>
  <si>
    <t>17-20/1</t>
  </si>
  <si>
    <t>V75</t>
  </si>
  <si>
    <t>V76</t>
  </si>
  <si>
    <t>21-24/2</t>
  </si>
  <si>
    <t>21-24</t>
  </si>
  <si>
    <t>P71</t>
  </si>
  <si>
    <t>P72</t>
  </si>
  <si>
    <t>21-24/1</t>
  </si>
  <si>
    <t>P75</t>
  </si>
  <si>
    <t>P76</t>
  </si>
  <si>
    <t>31-32/1</t>
  </si>
  <si>
    <t>31-32</t>
  </si>
  <si>
    <t>P83</t>
  </si>
  <si>
    <t>P84</t>
  </si>
  <si>
    <t>29-30/1</t>
  </si>
  <si>
    <t>29-30</t>
  </si>
  <si>
    <t>V83</t>
  </si>
  <si>
    <t>V84</t>
  </si>
  <si>
    <t>27-28/1</t>
  </si>
  <si>
    <t>27-28</t>
  </si>
  <si>
    <t>P81</t>
  </si>
  <si>
    <t>P82</t>
  </si>
  <si>
    <t>25-26/1</t>
  </si>
  <si>
    <t>25-26</t>
  </si>
  <si>
    <t>V81</t>
  </si>
  <si>
    <t>V82</t>
  </si>
  <si>
    <t>23-24/1</t>
  </si>
  <si>
    <t>23-24</t>
  </si>
  <si>
    <t>P95</t>
  </si>
  <si>
    <t>P96</t>
  </si>
  <si>
    <t>21-22/1</t>
  </si>
  <si>
    <t>21-22</t>
  </si>
  <si>
    <t>V95</t>
  </si>
  <si>
    <t>V96</t>
  </si>
  <si>
    <t>19-20/1</t>
  </si>
  <si>
    <t>19-20</t>
  </si>
  <si>
    <t>P93</t>
  </si>
  <si>
    <t>P94</t>
  </si>
  <si>
    <t>17-18/1</t>
  </si>
  <si>
    <t>17-18</t>
  </si>
  <si>
    <t>V93</t>
  </si>
  <si>
    <t>V94</t>
  </si>
  <si>
    <t>15-16/1</t>
  </si>
  <si>
    <t>15-16</t>
  </si>
  <si>
    <t>P91</t>
  </si>
  <si>
    <t>P92</t>
  </si>
  <si>
    <t>13-14/1</t>
  </si>
  <si>
    <t>13-14</t>
  </si>
  <si>
    <t>V91</t>
  </si>
  <si>
    <t>V92</t>
  </si>
  <si>
    <t>11-12/1</t>
  </si>
  <si>
    <t>11-12</t>
  </si>
  <si>
    <t>P89</t>
  </si>
  <si>
    <t>P90</t>
  </si>
  <si>
    <t>9-10/1</t>
  </si>
  <si>
    <t>09-10</t>
  </si>
  <si>
    <t>V89</t>
  </si>
  <si>
    <t>V90</t>
  </si>
  <si>
    <t>5-6/1</t>
  </si>
  <si>
    <t>5-6</t>
  </si>
  <si>
    <t>V85</t>
  </si>
  <si>
    <t>V86</t>
  </si>
  <si>
    <t>7-8/1</t>
  </si>
  <si>
    <t>7-8</t>
  </si>
  <si>
    <t>P85</t>
  </si>
  <si>
    <t>P86</t>
  </si>
  <si>
    <t>3-4/1</t>
  </si>
  <si>
    <t>3-4</t>
  </si>
  <si>
    <t>P87</t>
  </si>
  <si>
    <t>P88</t>
  </si>
  <si>
    <t>1-2/1</t>
  </si>
  <si>
    <t>1-2</t>
  </si>
  <si>
    <t>V87</t>
  </si>
  <si>
    <t>V88</t>
  </si>
  <si>
    <t>Fase a Gironi</t>
  </si>
  <si>
    <t>Classifiche Gironi</t>
  </si>
  <si>
    <t>Tabellone Principale</t>
  </si>
  <si>
    <t>Risultato</t>
  </si>
  <si>
    <t>Gp</t>
  </si>
  <si>
    <t>Campo</t>
  </si>
  <si>
    <t>Girone A</t>
  </si>
  <si>
    <t>V</t>
  </si>
  <si>
    <t>P</t>
  </si>
  <si>
    <t>PC</t>
  </si>
  <si>
    <t>PGF</t>
  </si>
  <si>
    <t>PGS</t>
  </si>
  <si>
    <t>Gruppo A</t>
  </si>
  <si>
    <t>N</t>
  </si>
  <si>
    <t>GF</t>
  </si>
  <si>
    <t>GS</t>
  </si>
  <si>
    <t>DR</t>
  </si>
  <si>
    <t>P.ti</t>
  </si>
  <si>
    <t>Rank</t>
  </si>
  <si>
    <t>Ottavi di finale</t>
  </si>
  <si>
    <t>Quarti di finale</t>
  </si>
  <si>
    <t>Semifinali</t>
  </si>
  <si>
    <t>Finale</t>
  </si>
  <si>
    <t>Francia</t>
  </si>
  <si>
    <t>Albania</t>
  </si>
  <si>
    <t>Svizzera</t>
  </si>
  <si>
    <t>Romania</t>
  </si>
  <si>
    <t>Girone B</t>
  </si>
  <si>
    <t>Gruppo B</t>
  </si>
  <si>
    <t>Inghilterra</t>
  </si>
  <si>
    <t>Galles</t>
  </si>
  <si>
    <t>Slovacchia</t>
  </si>
  <si>
    <t>Russia</t>
  </si>
  <si>
    <t>Girone C</t>
  </si>
  <si>
    <t>Gruppo C</t>
  </si>
  <si>
    <t>Irlanda</t>
  </si>
  <si>
    <t>Germania</t>
  </si>
  <si>
    <t>Polonia</t>
  </si>
  <si>
    <t>Ucraina</t>
  </si>
  <si>
    <t>Girone D</t>
  </si>
  <si>
    <t>Gruppo D</t>
  </si>
  <si>
    <t>Turchia</t>
  </si>
  <si>
    <t>Croazia</t>
  </si>
  <si>
    <t>Spagna</t>
  </si>
  <si>
    <t>Rep. Ceca</t>
  </si>
  <si>
    <t>Girone E</t>
  </si>
  <si>
    <t>Gruppo E</t>
  </si>
  <si>
    <t>Italia</t>
  </si>
  <si>
    <t>Belgio</t>
  </si>
  <si>
    <t>Svezia</t>
  </si>
  <si>
    <t>Rep. d'Irlanda</t>
  </si>
  <si>
    <t>Girone F</t>
  </si>
  <si>
    <t>Gruppo F</t>
  </si>
  <si>
    <t>Portogallo</t>
  </si>
  <si>
    <t>Austria</t>
  </si>
  <si>
    <t>Ungheria</t>
  </si>
  <si>
    <t>Islanda</t>
  </si>
  <si>
    <t>Girone G</t>
  </si>
  <si>
    <t>Gruppo Terze</t>
  </si>
  <si>
    <t>Girone H</t>
  </si>
</sst>
</file>

<file path=xl/styles.xml><?xml version="1.0" encoding="utf-8"?>
<styleSheet xmlns="http://schemas.openxmlformats.org/spreadsheetml/2006/main">
  <numFmts count="5">
    <numFmt numFmtId="164" formatCode="ddd\ dd/mm/yyyy"/>
    <numFmt numFmtId="165" formatCode="\+0;\-0"/>
    <numFmt numFmtId="166" formatCode="#.000000000000"/>
    <numFmt numFmtId="167" formatCode="&quot;VERO&quot;;&quot;VERO&quot;;&quot;FALSO&quot;"/>
    <numFmt numFmtId="168" formatCode="ddd\ d\ mmm"/>
  </numFmts>
  <fonts count="16">
    <font>
      <sz val="10"/>
      <name val="Arial"/>
      <family val="2"/>
    </font>
    <font>
      <b/>
      <sz val="10"/>
      <color indexed="9"/>
      <name val="Mangal"/>
      <family val="2"/>
    </font>
    <font>
      <b/>
      <sz val="10"/>
      <name val="Mang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55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2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21"/>
      </patternFill>
    </fill>
    <fill>
      <patternFill patternType="solid">
        <fgColor indexed="12"/>
        <bgColor indexed="39"/>
      </patternFill>
    </fill>
    <fill>
      <patternFill patternType="solid">
        <fgColor indexed="28"/>
        <bgColor indexed="20"/>
      </patternFill>
    </fill>
    <fill>
      <patternFill patternType="solid">
        <fgColor indexed="45"/>
        <bgColor indexed="29"/>
      </patternFill>
    </fill>
    <fill>
      <patternFill patternType="solid">
        <fgColor indexed="8"/>
        <bgColor indexed="58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6"/>
        <bgColor indexed="46"/>
      </patternFill>
    </fill>
    <fill>
      <patternFill patternType="solid">
        <fgColor indexed="41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47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19"/>
        <bgColor indexed="23"/>
      </patternFill>
    </fill>
    <fill>
      <patternFill patternType="solid">
        <fgColor indexed="46"/>
        <bgColor indexed="26"/>
      </patternFill>
    </fill>
    <fill>
      <patternFill patternType="solid">
        <fgColor indexed="25"/>
        <bgColor indexed="61"/>
      </patternFill>
    </fill>
    <fill>
      <patternFill patternType="solid">
        <fgColor indexed="53"/>
        <bgColor indexed="29"/>
      </patternFill>
    </fill>
    <fill>
      <patternFill patternType="solid">
        <fgColor indexed="56"/>
        <bgColor indexed="62"/>
      </patternFill>
    </fill>
  </fills>
  <borders count="5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dotted">
        <color indexed="8"/>
      </bottom>
      <diagonal/>
    </border>
    <border>
      <left/>
      <right style="hair">
        <color indexed="8"/>
      </right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hair">
        <color indexed="8"/>
      </left>
      <right/>
      <top style="hair">
        <color indexed="8"/>
      </top>
      <bottom style="dotted">
        <color indexed="8"/>
      </bottom>
      <diagonal/>
    </border>
    <border>
      <left/>
      <right/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/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12"/>
      </left>
      <right style="hair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hair">
        <color indexed="12"/>
      </left>
      <right style="hair">
        <color indexed="12"/>
      </right>
      <top style="thin">
        <color indexed="8"/>
      </top>
      <bottom style="dotted">
        <color indexed="8"/>
      </bottom>
      <diagonal/>
    </border>
    <border>
      <left style="hair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thin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4"/>
      </top>
      <bottom style="hair">
        <color indexed="54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/>
      <right/>
      <top style="hair">
        <color indexed="54"/>
      </top>
      <bottom style="thin">
        <color indexed="54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indexed="24"/>
      </right>
      <top style="thin">
        <color indexed="24"/>
      </top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24"/>
      </left>
      <right/>
      <top/>
      <bottom/>
      <diagonal/>
    </border>
    <border>
      <left style="thin">
        <color indexed="48"/>
      </left>
      <right/>
      <top style="thin">
        <color indexed="48"/>
      </top>
      <bottom/>
      <diagonal/>
    </border>
  </borders>
  <cellStyleXfs count="11">
    <xf numFmtId="0" fontId="0" fillId="0" borderId="0"/>
    <xf numFmtId="0" fontId="1" fillId="2" borderId="0" applyNumberFormat="0" applyBorder="0" applyProtection="0">
      <alignment horizontal="center"/>
    </xf>
    <xf numFmtId="0" fontId="1" fillId="3" borderId="0" applyNumberFormat="0" applyBorder="0" applyProtection="0">
      <alignment horizontal="center"/>
    </xf>
    <xf numFmtId="0" fontId="2" fillId="4" borderId="0" applyNumberFormat="0" applyBorder="0" applyProtection="0">
      <alignment horizontal="center"/>
    </xf>
    <xf numFmtId="0" fontId="1" fillId="5" borderId="0" applyNumberFormat="0" applyBorder="0" applyProtection="0">
      <alignment horizontal="center"/>
    </xf>
    <xf numFmtId="0" fontId="1" fillId="6" borderId="0" applyNumberFormat="0" applyBorder="0" applyProtection="0">
      <alignment horizontal="center"/>
    </xf>
    <xf numFmtId="0" fontId="1" fillId="7" borderId="0" applyNumberFormat="0" applyBorder="0" applyProtection="0">
      <alignment horizontal="center"/>
    </xf>
    <xf numFmtId="0" fontId="1" fillId="8" borderId="0" applyNumberFormat="0" applyBorder="0" applyProtection="0">
      <alignment horizontal="center"/>
    </xf>
    <xf numFmtId="0" fontId="1" fillId="9" borderId="0" applyNumberFormat="0" applyBorder="0" applyProtection="0">
      <alignment horizontal="center"/>
    </xf>
    <xf numFmtId="0" fontId="1" fillId="10" borderId="0" applyNumberFormat="0" applyBorder="0" applyProtection="0">
      <alignment horizontal="center" vertical="center"/>
    </xf>
    <xf numFmtId="0" fontId="3" fillId="10" borderId="0" applyNumberFormat="0">
      <alignment horizontal="center" vertical="center"/>
      <protection hidden="1"/>
    </xf>
  </cellStyleXfs>
  <cellXfs count="246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0" fillId="4" borderId="6" xfId="0" applyFont="1" applyFill="1" applyBorder="1"/>
    <xf numFmtId="0" fontId="7" fillId="0" borderId="5" xfId="0" applyFont="1" applyBorder="1"/>
    <xf numFmtId="0" fontId="0" fillId="0" borderId="5" xfId="0" applyFont="1" applyBorder="1" applyAlignment="1">
      <alignment horizontal="center"/>
    </xf>
    <xf numFmtId="0" fontId="0" fillId="4" borderId="7" xfId="0" applyFont="1" applyFill="1" applyBorder="1"/>
    <xf numFmtId="0" fontId="0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8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9" xfId="0" applyNumberFormat="1" applyBorder="1" applyAlignment="1"/>
    <xf numFmtId="0" fontId="0" fillId="0" borderId="9" xfId="0" applyBorder="1" applyAlignment="1"/>
    <xf numFmtId="0" fontId="0" fillId="4" borderId="10" xfId="0" applyFill="1" applyBorder="1" applyAlignment="1">
      <alignment horizontal="center"/>
    </xf>
    <xf numFmtId="164" fontId="0" fillId="4" borderId="9" xfId="0" applyNumberFormat="1" applyFill="1" applyBorder="1"/>
    <xf numFmtId="20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0" fontId="0" fillId="0" borderId="11" xfId="0" applyBorder="1"/>
    <xf numFmtId="0" fontId="0" fillId="0" borderId="9" xfId="0" applyNumberForma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0" fillId="4" borderId="13" xfId="0" applyFill="1" applyBorder="1" applyAlignment="1">
      <alignment horizontal="left"/>
    </xf>
    <xf numFmtId="0" fontId="7" fillId="0" borderId="14" xfId="0" applyFont="1" applyBorder="1"/>
    <xf numFmtId="0" fontId="0" fillId="4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ont="1" applyFill="1" applyBorder="1"/>
    <xf numFmtId="0" fontId="7" fillId="0" borderId="14" xfId="0" applyFont="1" applyBorder="1" applyAlignment="1">
      <alignment horizontal="right"/>
    </xf>
    <xf numFmtId="0" fontId="0" fillId="0" borderId="15" xfId="0" applyBorder="1" applyAlignment="1"/>
    <xf numFmtId="0" fontId="0" fillId="4" borderId="17" xfId="0" applyFill="1" applyBorder="1" applyAlignment="1">
      <alignment horizontal="center"/>
    </xf>
    <xf numFmtId="164" fontId="0" fillId="4" borderId="15" xfId="0" applyNumberFormat="1" applyFill="1" applyBorder="1"/>
    <xf numFmtId="20" fontId="0" fillId="4" borderId="15" xfId="0" applyNumberFormat="1" applyFill="1" applyBorder="1"/>
    <xf numFmtId="0" fontId="0" fillId="4" borderId="15" xfId="0" applyFill="1" applyBorder="1" applyAlignment="1">
      <alignment horizontal="center"/>
    </xf>
    <xf numFmtId="0" fontId="0" fillId="0" borderId="16" xfId="0" applyBorder="1"/>
    <xf numFmtId="0" fontId="0" fillId="0" borderId="15" xfId="0" applyBorder="1" applyAlignment="1">
      <alignment horizontal="center"/>
    </xf>
    <xf numFmtId="0" fontId="7" fillId="0" borderId="12" xfId="0" applyFont="1" applyBorder="1"/>
    <xf numFmtId="0" fontId="0" fillId="4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/>
    <xf numFmtId="0" fontId="7" fillId="0" borderId="0" xfId="0" applyFont="1"/>
    <xf numFmtId="0" fontId="4" fillId="2" borderId="4" xfId="1" applyFont="1" applyBorder="1">
      <alignment horizontal="center"/>
    </xf>
    <xf numFmtId="0" fontId="0" fillId="0" borderId="4" xfId="0" applyFont="1" applyBorder="1" applyAlignment="1">
      <alignment horizontal="center"/>
    </xf>
    <xf numFmtId="0" fontId="4" fillId="3" borderId="4" xfId="2" applyFont="1" applyBorder="1">
      <alignment horizontal="center"/>
    </xf>
    <xf numFmtId="0" fontId="6" fillId="4" borderId="4" xfId="3" applyFont="1" applyBorder="1">
      <alignment horizontal="center"/>
    </xf>
    <xf numFmtId="0" fontId="4" fillId="5" borderId="4" xfId="4" applyFont="1" applyBorder="1">
      <alignment horizontal="center"/>
    </xf>
    <xf numFmtId="0" fontId="4" fillId="6" borderId="4" xfId="5" applyFont="1" applyBorder="1">
      <alignment horizontal="center"/>
    </xf>
    <xf numFmtId="0" fontId="4" fillId="7" borderId="4" xfId="6" applyFont="1" applyBorder="1">
      <alignment horizontal="center"/>
    </xf>
    <xf numFmtId="0" fontId="4" fillId="8" borderId="4" xfId="7" applyFont="1" applyBorder="1">
      <alignment horizontal="center"/>
    </xf>
    <xf numFmtId="0" fontId="4" fillId="9" borderId="4" xfId="8" applyFont="1" applyBorder="1">
      <alignment horizontal="center"/>
    </xf>
    <xf numFmtId="0" fontId="4" fillId="10" borderId="4" xfId="9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0" fontId="0" fillId="0" borderId="18" xfId="0" applyBorder="1" applyAlignment="1"/>
    <xf numFmtId="0" fontId="0" fillId="4" borderId="19" xfId="0" applyFill="1" applyBorder="1" applyAlignment="1">
      <alignment horizontal="center"/>
    </xf>
    <xf numFmtId="164" fontId="0" fillId="4" borderId="18" xfId="0" applyNumberFormat="1" applyFill="1" applyBorder="1"/>
    <xf numFmtId="20" fontId="0" fillId="4" borderId="18" xfId="0" applyNumberFormat="1" applyFill="1" applyBorder="1"/>
    <xf numFmtId="0" fontId="0" fillId="4" borderId="18" xfId="0" applyFill="1" applyBorder="1" applyAlignment="1">
      <alignment horizontal="center"/>
    </xf>
    <xf numFmtId="0" fontId="0" fillId="0" borderId="13" xfId="0" applyBorder="1"/>
    <xf numFmtId="0" fontId="6" fillId="12" borderId="4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ont="1"/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13" borderId="20" xfId="0" applyFont="1" applyFill="1" applyBorder="1"/>
    <xf numFmtId="0" fontId="8" fillId="13" borderId="20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13" borderId="20" xfId="0" applyFont="1" applyFill="1" applyBorder="1" applyAlignment="1">
      <alignment horizontal="center"/>
    </xf>
    <xf numFmtId="0" fontId="9" fillId="13" borderId="20" xfId="0" applyFont="1" applyFill="1" applyBorder="1" applyAlignment="1">
      <alignment horizontal="right" wrapText="1"/>
    </xf>
    <xf numFmtId="0" fontId="7" fillId="0" borderId="8" xfId="0" applyFont="1" applyBorder="1"/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13" borderId="22" xfId="0" applyFont="1" applyFill="1" applyBorder="1"/>
    <xf numFmtId="0" fontId="8" fillId="13" borderId="2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6" fontId="10" fillId="13" borderId="22" xfId="0" applyNumberFormat="1" applyFont="1" applyFill="1" applyBorder="1"/>
    <xf numFmtId="166" fontId="11" fillId="13" borderId="22" xfId="0" applyNumberFormat="1" applyFont="1" applyFill="1" applyBorder="1" applyAlignment="1">
      <alignment horizontal="right"/>
    </xf>
    <xf numFmtId="0" fontId="12" fillId="0" borderId="8" xfId="0" applyFont="1" applyBorder="1"/>
    <xf numFmtId="0" fontId="13" fillId="0" borderId="9" xfId="0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0" fillId="0" borderId="15" xfId="0" applyBorder="1"/>
    <xf numFmtId="0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0" fillId="13" borderId="23" xfId="0" applyFont="1" applyFill="1" applyBorder="1"/>
    <xf numFmtId="0" fontId="8" fillId="13" borderId="2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6" fontId="10" fillId="13" borderId="23" xfId="0" applyNumberFormat="1" applyFont="1" applyFill="1" applyBorder="1"/>
    <xf numFmtId="166" fontId="11" fillId="13" borderId="23" xfId="0" applyNumberFormat="1" applyFont="1" applyFill="1" applyBorder="1" applyAlignment="1">
      <alignment horizontal="right"/>
    </xf>
    <xf numFmtId="0" fontId="12" fillId="0" borderId="14" xfId="0" applyFont="1" applyBorder="1"/>
    <xf numFmtId="0" fontId="13" fillId="0" borderId="15" xfId="0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10" fillId="13" borderId="26" xfId="0" applyFont="1" applyFill="1" applyBorder="1"/>
    <xf numFmtId="0" fontId="8" fillId="13" borderId="26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6" fontId="10" fillId="13" borderId="26" xfId="0" applyNumberFormat="1" applyFont="1" applyFill="1" applyBorder="1"/>
    <xf numFmtId="0" fontId="0" fillId="0" borderId="27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0" fillId="13" borderId="29" xfId="0" applyFont="1" applyFill="1" applyBorder="1"/>
    <xf numFmtId="0" fontId="8" fillId="13" borderId="29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165" fontId="7" fillId="0" borderId="28" xfId="0" applyNumberFormat="1" applyFon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6" fontId="10" fillId="13" borderId="29" xfId="0" applyNumberFormat="1" applyFont="1" applyFill="1" applyBorder="1"/>
    <xf numFmtId="167" fontId="13" fillId="0" borderId="15" xfId="0" applyNumberFormat="1" applyFont="1" applyBorder="1" applyAlignment="1">
      <alignment horizontal="center"/>
    </xf>
    <xf numFmtId="0" fontId="0" fillId="0" borderId="15" xfId="0" applyNumberFormat="1" applyBorder="1"/>
    <xf numFmtId="0" fontId="0" fillId="0" borderId="12" xfId="0" applyBorder="1" applyAlignment="1">
      <alignment horizontal="center"/>
    </xf>
    <xf numFmtId="0" fontId="10" fillId="13" borderId="30" xfId="0" applyFont="1" applyFill="1" applyBorder="1"/>
    <xf numFmtId="0" fontId="8" fillId="13" borderId="30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10" fillId="13" borderId="30" xfId="0" applyNumberFormat="1" applyFont="1" applyFill="1" applyBorder="1"/>
    <xf numFmtId="0" fontId="0" fillId="0" borderId="18" xfId="0" applyBorder="1"/>
    <xf numFmtId="0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3" fillId="0" borderId="18" xfId="0" applyFont="1" applyBorder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166" fontId="11" fillId="13" borderId="30" xfId="0" applyNumberFormat="1" applyFont="1" applyFill="1" applyBorder="1" applyAlignment="1">
      <alignment horizontal="right"/>
    </xf>
    <xf numFmtId="0" fontId="12" fillId="0" borderId="12" xfId="0" applyFont="1" applyBorder="1"/>
    <xf numFmtId="0" fontId="0" fillId="0" borderId="0" xfId="0" applyFont="1" applyBorder="1"/>
    <xf numFmtId="0" fontId="14" fillId="14" borderId="0" xfId="0" applyNumberFormat="1" applyFont="1" applyFill="1" applyBorder="1" applyAlignment="1" applyProtection="1">
      <alignment horizontal="right"/>
      <protection hidden="1"/>
    </xf>
    <xf numFmtId="0" fontId="0" fillId="14" borderId="0" xfId="0" applyFont="1" applyFill="1" applyAlignment="1" applyProtection="1">
      <alignment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4" fillId="2" borderId="32" xfId="1" applyFont="1" applyBorder="1" applyAlignment="1" applyProtection="1">
      <alignment horizontal="left" vertical="center"/>
      <protection hidden="1"/>
    </xf>
    <xf numFmtId="0" fontId="4" fillId="2" borderId="33" xfId="1" applyFont="1" applyBorder="1" applyAlignment="1" applyProtection="1">
      <alignment horizontal="center" vertical="center"/>
      <protection hidden="1"/>
    </xf>
    <xf numFmtId="0" fontId="4" fillId="2" borderId="34" xfId="1" applyFont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Border="1" applyAlignment="1">
      <alignment horizontal="center"/>
    </xf>
    <xf numFmtId="168" fontId="0" fillId="14" borderId="4" xfId="0" applyNumberFormat="1" applyFont="1" applyFill="1" applyBorder="1" applyAlignment="1" applyProtection="1">
      <alignment horizontal="center" vertical="center" shrinkToFit="1"/>
      <protection hidden="1"/>
    </xf>
    <xf numFmtId="20" fontId="0" fillId="14" borderId="4" xfId="0" applyNumberFormat="1" applyFont="1" applyFill="1" applyBorder="1" applyAlignment="1" applyProtection="1">
      <alignment horizontal="center" vertical="center" shrinkToFit="1"/>
      <protection hidden="1"/>
    </xf>
    <xf numFmtId="0" fontId="0" fillId="14" borderId="1" xfId="0" applyNumberFormat="1" applyFont="1" applyFill="1" applyBorder="1" applyAlignment="1" applyProtection="1">
      <alignment horizontal="center" vertical="center" shrinkToFit="1"/>
      <protection hidden="1"/>
    </xf>
    <xf numFmtId="0" fontId="10" fillId="13" borderId="31" xfId="0" applyFont="1" applyFill="1" applyBorder="1" applyAlignment="1" applyProtection="1">
      <alignment horizontal="center" vertical="center"/>
      <protection locked="0"/>
    </xf>
    <xf numFmtId="0" fontId="0" fillId="14" borderId="2" xfId="0" applyFont="1" applyFill="1" applyBorder="1" applyAlignment="1" applyProtection="1">
      <alignment horizontal="center" vertical="center" shrinkToFit="1"/>
      <protection hidden="1"/>
    </xf>
    <xf numFmtId="0" fontId="0" fillId="14" borderId="4" xfId="0" applyFont="1" applyFill="1" applyBorder="1" applyAlignment="1" applyProtection="1">
      <alignment horizontal="center" vertical="center" shrinkToFit="1"/>
      <protection hidden="1"/>
    </xf>
    <xf numFmtId="0" fontId="0" fillId="14" borderId="4" xfId="0" applyFont="1" applyFill="1" applyBorder="1" applyAlignment="1" applyProtection="1">
      <alignment horizontal="center" vertical="center"/>
      <protection hidden="1"/>
    </xf>
    <xf numFmtId="0" fontId="8" fillId="12" borderId="8" xfId="0" applyFont="1" applyFill="1" applyBorder="1" applyAlignment="1" applyProtection="1">
      <alignment horizontal="left" vertical="center"/>
      <protection hidden="1"/>
    </xf>
    <xf numFmtId="1" fontId="8" fillId="12" borderId="9" xfId="0" applyNumberFormat="1" applyFont="1" applyFill="1" applyBorder="1" applyAlignment="1" applyProtection="1">
      <alignment horizontal="center" vertical="center"/>
      <protection hidden="1"/>
    </xf>
    <xf numFmtId="1" fontId="8" fillId="12" borderId="11" xfId="0" applyNumberFormat="1" applyFont="1" applyFill="1" applyBorder="1" applyAlignment="1" applyProtection="1">
      <alignment horizontal="center" vertical="center"/>
      <protection hidden="1"/>
    </xf>
    <xf numFmtId="0" fontId="0" fillId="14" borderId="0" xfId="0" applyFont="1" applyFill="1" applyBorder="1" applyAlignment="1" applyProtection="1">
      <alignment horizontal="left" vertical="center"/>
      <protection hidden="1"/>
    </xf>
    <xf numFmtId="0" fontId="0" fillId="14" borderId="0" xfId="0" applyFont="1" applyFill="1" applyBorder="1" applyAlignment="1" applyProtection="1">
      <alignment horizontal="center" vertical="center"/>
      <protection hidden="1"/>
    </xf>
    <xf numFmtId="0" fontId="0" fillId="16" borderId="0" xfId="0" applyFont="1" applyFill="1" applyAlignment="1" applyProtection="1">
      <alignment vertical="center"/>
      <protection hidden="1"/>
    </xf>
    <xf numFmtId="0" fontId="0" fillId="14" borderId="1" xfId="0" applyFont="1" applyFill="1" applyBorder="1" applyAlignment="1" applyProtection="1">
      <alignment horizontal="center" vertical="center" shrinkToFit="1"/>
      <protection hidden="1"/>
    </xf>
    <xf numFmtId="0" fontId="6" fillId="12" borderId="14" xfId="0" applyFont="1" applyFill="1" applyBorder="1" applyAlignment="1" applyProtection="1">
      <alignment horizontal="left" vertical="center"/>
      <protection hidden="1"/>
    </xf>
    <xf numFmtId="1" fontId="6" fillId="12" borderId="15" xfId="0" applyNumberFormat="1" applyFont="1" applyFill="1" applyBorder="1" applyAlignment="1" applyProtection="1">
      <alignment horizontal="center" vertical="center"/>
      <protection hidden="1"/>
    </xf>
    <xf numFmtId="1" fontId="6" fillId="12" borderId="16" xfId="0" applyNumberFormat="1" applyFont="1" applyFill="1" applyBorder="1" applyAlignment="1" applyProtection="1">
      <alignment horizontal="center" vertical="center"/>
      <protection hidden="1"/>
    </xf>
    <xf numFmtId="0" fontId="0" fillId="15" borderId="14" xfId="0" applyFont="1" applyFill="1" applyBorder="1" applyAlignment="1" applyProtection="1">
      <alignment horizontal="left" vertical="center"/>
      <protection hidden="1"/>
    </xf>
    <xf numFmtId="1" fontId="0" fillId="15" borderId="15" xfId="0" applyNumberFormat="1" applyFont="1" applyFill="1" applyBorder="1" applyAlignment="1" applyProtection="1">
      <alignment horizontal="center" vertical="center"/>
      <protection hidden="1"/>
    </xf>
    <xf numFmtId="1" fontId="0" fillId="15" borderId="16" xfId="0" applyNumberFormat="1" applyFont="1" applyFill="1" applyBorder="1" applyAlignment="1" applyProtection="1">
      <alignment horizontal="center" vertical="center"/>
      <protection hidden="1"/>
    </xf>
    <xf numFmtId="0" fontId="0" fillId="14" borderId="0" xfId="0" applyNumberFormat="1" applyFont="1" applyFill="1" applyAlignment="1" applyProtection="1">
      <alignment vertical="center"/>
      <protection hidden="1"/>
    </xf>
    <xf numFmtId="0" fontId="0" fillId="14" borderId="0" xfId="0" applyFont="1" applyFill="1" applyAlignment="1" applyProtection="1">
      <alignment horizontal="center" vertical="center"/>
      <protection hidden="1"/>
    </xf>
    <xf numFmtId="1" fontId="0" fillId="14" borderId="0" xfId="0" applyNumberFormat="1" applyFont="1" applyFill="1" applyBorder="1" applyAlignment="1" applyProtection="1">
      <alignment horizontal="center" vertical="center"/>
      <protection hidden="1"/>
    </xf>
    <xf numFmtId="0" fontId="0" fillId="15" borderId="12" xfId="0" applyFont="1" applyFill="1" applyBorder="1" applyAlignment="1" applyProtection="1">
      <alignment horizontal="left" vertical="center"/>
      <protection hidden="1"/>
    </xf>
    <xf numFmtId="1" fontId="0" fillId="15" borderId="18" xfId="0" applyNumberFormat="1" applyFont="1" applyFill="1" applyBorder="1" applyAlignment="1" applyProtection="1">
      <alignment horizontal="center" vertical="center"/>
      <protection hidden="1"/>
    </xf>
    <xf numFmtId="1" fontId="0" fillId="15" borderId="13" xfId="0" applyNumberFormat="1" applyFont="1" applyFill="1" applyBorder="1" applyAlignment="1" applyProtection="1">
      <alignment horizontal="center" vertical="center"/>
      <protection hidden="1"/>
    </xf>
    <xf numFmtId="0" fontId="0" fillId="14" borderId="0" xfId="0" applyNumberFormat="1" applyFont="1" applyFill="1" applyAlignment="1" applyProtection="1">
      <alignment horizontal="left" vertical="center"/>
      <protection hidden="1"/>
    </xf>
    <xf numFmtId="0" fontId="0" fillId="14" borderId="36" xfId="0" applyFont="1" applyFill="1" applyBorder="1" applyAlignment="1" applyProtection="1">
      <alignment horizontal="right" vertical="center"/>
      <protection hidden="1"/>
    </xf>
    <xf numFmtId="0" fontId="4" fillId="3" borderId="1" xfId="2" applyFont="1" applyBorder="1" applyAlignment="1" applyProtection="1">
      <alignment horizontal="left" vertical="center"/>
      <protection hidden="1"/>
    </xf>
    <xf numFmtId="0" fontId="4" fillId="3" borderId="3" xfId="2" applyFont="1" applyBorder="1" applyAlignment="1" applyProtection="1">
      <alignment horizontal="center" vertical="center"/>
      <protection hidden="1"/>
    </xf>
    <xf numFmtId="0" fontId="4" fillId="3" borderId="2" xfId="2" applyFont="1" applyBorder="1" applyAlignment="1" applyProtection="1">
      <alignment horizontal="center" vertical="center"/>
      <protection hidden="1"/>
    </xf>
    <xf numFmtId="0" fontId="6" fillId="15" borderId="38" xfId="0" applyFont="1" applyFill="1" applyBorder="1" applyAlignment="1" applyProtection="1">
      <alignment horizontal="center" vertical="center"/>
      <protection hidden="1"/>
    </xf>
    <xf numFmtId="0" fontId="6" fillId="13" borderId="39" xfId="0" applyFont="1" applyFill="1" applyBorder="1" applyAlignment="1" applyProtection="1">
      <alignment horizontal="center" vertical="center"/>
      <protection hidden="1"/>
    </xf>
    <xf numFmtId="0" fontId="13" fillId="14" borderId="0" xfId="0" applyFont="1" applyFill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6" fillId="15" borderId="40" xfId="0" applyFont="1" applyFill="1" applyBorder="1" applyAlignment="1" applyProtection="1">
      <alignment horizontal="center" vertical="center"/>
      <protection hidden="1"/>
    </xf>
    <xf numFmtId="0" fontId="6" fillId="13" borderId="41" xfId="0" applyFont="1" applyFill="1" applyBorder="1" applyAlignment="1" applyProtection="1">
      <alignment horizontal="center" vertical="center"/>
      <protection hidden="1"/>
    </xf>
    <xf numFmtId="0" fontId="13" fillId="14" borderId="42" xfId="0" applyFont="1" applyFill="1" applyBorder="1" applyAlignment="1" applyProtection="1">
      <alignment vertical="center"/>
      <protection hidden="1"/>
    </xf>
    <xf numFmtId="49" fontId="0" fillId="14" borderId="0" xfId="0" applyNumberFormat="1" applyFont="1" applyFill="1" applyAlignment="1" applyProtection="1">
      <alignment horizontal="left" vertical="center"/>
      <protection hidden="1"/>
    </xf>
    <xf numFmtId="0" fontId="6" fillId="14" borderId="0" xfId="0" applyFont="1" applyFill="1" applyAlignment="1" applyProtection="1">
      <alignment vertical="center"/>
      <protection hidden="1"/>
    </xf>
    <xf numFmtId="0" fontId="0" fillId="14" borderId="43" xfId="0" applyFont="1" applyFill="1" applyBorder="1" applyAlignment="1" applyProtection="1">
      <alignment vertical="center"/>
      <protection hidden="1"/>
    </xf>
    <xf numFmtId="0" fontId="6" fillId="14" borderId="0" xfId="0" applyFont="1" applyFill="1" applyBorder="1" applyAlignment="1" applyProtection="1">
      <alignment horizontal="right" vertical="center"/>
      <protection hidden="1"/>
    </xf>
    <xf numFmtId="0" fontId="0" fillId="14" borderId="44" xfId="0" applyFont="1" applyFill="1" applyBorder="1" applyAlignment="1" applyProtection="1">
      <alignment vertical="center"/>
      <protection hidden="1"/>
    </xf>
    <xf numFmtId="0" fontId="6" fillId="15" borderId="45" xfId="0" applyFont="1" applyFill="1" applyBorder="1" applyAlignment="1" applyProtection="1">
      <alignment horizontal="center" vertical="center" shrinkToFit="1"/>
      <protection hidden="1"/>
    </xf>
    <xf numFmtId="0" fontId="13" fillId="14" borderId="46" xfId="0" applyFont="1" applyFill="1" applyBorder="1" applyAlignment="1" applyProtection="1">
      <alignment vertical="center"/>
      <protection hidden="1"/>
    </xf>
    <xf numFmtId="0" fontId="15" fillId="4" borderId="1" xfId="3" applyFont="1" applyBorder="1" applyAlignment="1" applyProtection="1">
      <alignment horizontal="left" vertical="center"/>
      <protection hidden="1"/>
    </xf>
    <xf numFmtId="0" fontId="15" fillId="4" borderId="3" xfId="3" applyFont="1" applyBorder="1" applyAlignment="1" applyProtection="1">
      <alignment horizontal="center" vertical="center"/>
      <protection hidden="1"/>
    </xf>
    <xf numFmtId="0" fontId="15" fillId="4" borderId="2" xfId="3" applyFont="1" applyBorder="1" applyAlignment="1" applyProtection="1">
      <alignment horizontal="center" vertical="center"/>
      <protection hidden="1"/>
    </xf>
    <xf numFmtId="0" fontId="6" fillId="15" borderId="47" xfId="0" applyFont="1" applyFill="1" applyBorder="1" applyAlignment="1" applyProtection="1">
      <alignment horizontal="center" vertical="center" shrinkToFit="1"/>
      <protection hidden="1"/>
    </xf>
    <xf numFmtId="49" fontId="0" fillId="14" borderId="0" xfId="0" applyNumberFormat="1" applyFont="1" applyFill="1" applyAlignment="1" applyProtection="1">
      <alignment vertic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0" fillId="14" borderId="0" xfId="0" applyFont="1" applyFill="1" applyBorder="1" applyAlignment="1" applyProtection="1">
      <alignment vertical="center"/>
      <protection hidden="1"/>
    </xf>
    <xf numFmtId="0" fontId="0" fillId="14" borderId="48" xfId="0" applyFont="1" applyFill="1" applyBorder="1" applyAlignment="1" applyProtection="1">
      <alignment vertical="center"/>
      <protection hidden="1"/>
    </xf>
    <xf numFmtId="0" fontId="4" fillId="5" borderId="1" xfId="4" applyFont="1" applyBorder="1" applyAlignment="1" applyProtection="1">
      <alignment horizontal="left" vertical="center"/>
      <protection hidden="1"/>
    </xf>
    <xf numFmtId="0" fontId="4" fillId="5" borderId="3" xfId="4" applyFont="1" applyBorder="1" applyAlignment="1" applyProtection="1">
      <alignment horizontal="center" vertical="center"/>
      <protection hidden="1"/>
    </xf>
    <xf numFmtId="0" fontId="4" fillId="5" borderId="2" xfId="4" applyFont="1" applyBorder="1" applyAlignment="1" applyProtection="1">
      <alignment horizontal="center" vertical="center"/>
      <protection hidden="1"/>
    </xf>
    <xf numFmtId="0" fontId="13" fillId="14" borderId="43" xfId="0" applyFont="1" applyFill="1" applyBorder="1" applyAlignment="1" applyProtection="1">
      <alignment vertical="center"/>
      <protection hidden="1"/>
    </xf>
    <xf numFmtId="0" fontId="4" fillId="20" borderId="0" xfId="0" applyFont="1" applyFill="1" applyBorder="1" applyAlignment="1" applyProtection="1">
      <alignment horizontal="center" vertical="center"/>
      <protection hidden="1"/>
    </xf>
    <xf numFmtId="0" fontId="13" fillId="14" borderId="0" xfId="0" applyNumberFormat="1" applyFont="1" applyFill="1" applyBorder="1" applyAlignment="1" applyProtection="1">
      <alignment horizontal="left"/>
      <protection hidden="1"/>
    </xf>
    <xf numFmtId="0" fontId="4" fillId="6" borderId="1" xfId="5" applyFont="1" applyBorder="1" applyAlignment="1" applyProtection="1">
      <alignment horizontal="left" vertical="center"/>
      <protection hidden="1"/>
    </xf>
    <xf numFmtId="0" fontId="4" fillId="6" borderId="3" xfId="5" applyFont="1" applyBorder="1" applyAlignment="1" applyProtection="1">
      <alignment horizontal="center" vertical="center"/>
      <protection hidden="1"/>
    </xf>
    <xf numFmtId="0" fontId="4" fillId="6" borderId="2" xfId="5" applyFont="1" applyBorder="1" applyAlignment="1" applyProtection="1">
      <alignment horizontal="center" vertical="center"/>
      <protection hidden="1"/>
    </xf>
    <xf numFmtId="0" fontId="4" fillId="22" borderId="0" xfId="0" applyFont="1" applyFill="1" applyBorder="1" applyAlignment="1" applyProtection="1">
      <alignment horizontal="center" vertical="center"/>
      <protection hidden="1"/>
    </xf>
    <xf numFmtId="0" fontId="4" fillId="7" borderId="1" xfId="6" applyFont="1" applyBorder="1" applyAlignment="1" applyProtection="1">
      <alignment horizontal="left" vertical="center"/>
      <protection hidden="1"/>
    </xf>
    <xf numFmtId="0" fontId="4" fillId="7" borderId="3" xfId="6" applyFont="1" applyBorder="1" applyAlignment="1" applyProtection="1">
      <alignment horizontal="center" vertical="center"/>
      <protection hidden="1"/>
    </xf>
    <xf numFmtId="0" fontId="4" fillId="7" borderId="2" xfId="6" applyFont="1" applyBorder="1" applyAlignment="1" applyProtection="1">
      <alignment horizontal="center" vertical="center"/>
      <protection hidden="1"/>
    </xf>
    <xf numFmtId="0" fontId="6" fillId="15" borderId="49" xfId="0" applyFont="1" applyFill="1" applyBorder="1" applyAlignment="1" applyProtection="1">
      <alignment horizontal="center" vertical="center" shrinkToFit="1"/>
      <protection hidden="1"/>
    </xf>
    <xf numFmtId="0" fontId="4" fillId="23" borderId="0" xfId="0" applyFont="1" applyFill="1" applyBorder="1" applyAlignment="1" applyProtection="1">
      <alignment horizontal="center" vertical="center"/>
      <protection hidden="1"/>
    </xf>
    <xf numFmtId="0" fontId="13" fillId="14" borderId="0" xfId="0" applyFont="1" applyFill="1" applyBorder="1" applyAlignment="1" applyProtection="1">
      <alignment vertical="center"/>
      <protection hidden="1"/>
    </xf>
    <xf numFmtId="0" fontId="4" fillId="8" borderId="1" xfId="7" applyFont="1" applyBorder="1" applyAlignment="1" applyProtection="1">
      <alignment horizontal="left" vertical="center"/>
      <protection hidden="1"/>
    </xf>
    <xf numFmtId="1" fontId="4" fillId="8" borderId="3" xfId="7" applyNumberFormat="1" applyFont="1" applyBorder="1" applyAlignment="1" applyProtection="1">
      <alignment horizontal="center" vertical="center"/>
      <protection hidden="1"/>
    </xf>
    <xf numFmtId="1" fontId="4" fillId="8" borderId="2" xfId="7" applyNumberFormat="1" applyFont="1" applyBorder="1" applyAlignment="1" applyProtection="1">
      <alignment horizontal="center" vertical="center"/>
      <protection hidden="1"/>
    </xf>
    <xf numFmtId="0" fontId="4" fillId="24" borderId="0" xfId="0" applyFont="1" applyFill="1" applyAlignment="1" applyProtection="1">
      <alignment horizontal="center" vertical="center"/>
      <protection hidden="1"/>
    </xf>
    <xf numFmtId="0" fontId="0" fillId="14" borderId="0" xfId="0" applyFont="1" applyFill="1" applyAlignment="1" applyProtection="1">
      <alignment horizontal="left" vertical="center"/>
      <protection hidden="1"/>
    </xf>
    <xf numFmtId="0" fontId="6" fillId="14" borderId="0" xfId="0" applyFont="1" applyFill="1" applyBorder="1" applyAlignment="1" applyProtection="1">
      <alignment horizontal="left" vertical="center"/>
      <protection hidden="1"/>
    </xf>
    <xf numFmtId="0" fontId="13" fillId="14" borderId="43" xfId="0" applyFont="1" applyFill="1" applyBorder="1" applyAlignment="1" applyProtection="1">
      <alignment horizontal="left" vertical="center"/>
      <protection hidden="1"/>
    </xf>
    <xf numFmtId="0" fontId="4" fillId="9" borderId="1" xfId="8" applyFont="1" applyBorder="1" applyAlignment="1" applyProtection="1">
      <alignment horizontal="left" vertical="center"/>
      <protection hidden="1"/>
    </xf>
    <xf numFmtId="0" fontId="4" fillId="9" borderId="3" xfId="8" applyFont="1" applyBorder="1" applyAlignment="1" applyProtection="1">
      <alignment horizontal="center" vertical="center"/>
      <protection hidden="1"/>
    </xf>
    <xf numFmtId="0" fontId="4" fillId="9" borderId="2" xfId="8" applyFont="1" applyBorder="1" applyAlignment="1" applyProtection="1">
      <alignment horizontal="center" vertical="center"/>
      <protection hidden="1"/>
    </xf>
    <xf numFmtId="0" fontId="14" fillId="14" borderId="0" xfId="0" applyNumberFormat="1" applyFont="1" applyFill="1" applyBorder="1" applyAlignment="1" applyProtection="1">
      <alignment horizontal="center" vertical="center"/>
      <protection hidden="1"/>
    </xf>
    <xf numFmtId="0" fontId="0" fillId="14" borderId="0" xfId="0" applyFont="1" applyFill="1" applyAlignment="1" applyProtection="1">
      <alignment vertical="center" shrinkToFit="1"/>
      <protection hidden="1"/>
    </xf>
    <xf numFmtId="0" fontId="0" fillId="14" borderId="0" xfId="0" applyFont="1" applyFill="1" applyAlignment="1" applyProtection="1">
      <alignment horizontal="center" vertical="center" shrinkToFit="1"/>
      <protection hidden="1"/>
    </xf>
    <xf numFmtId="0" fontId="0" fillId="15" borderId="18" xfId="0" applyFont="1" applyFill="1" applyBorder="1" applyAlignment="1" applyProtection="1">
      <alignment horizontal="center" vertical="center"/>
      <protection hidden="1"/>
    </xf>
    <xf numFmtId="0" fontId="0" fillId="15" borderId="13" xfId="0" applyFont="1" applyFill="1" applyBorder="1" applyAlignment="1" applyProtection="1">
      <alignment horizontal="center" vertical="center"/>
      <protection hidden="1"/>
    </xf>
    <xf numFmtId="0" fontId="4" fillId="10" borderId="0" xfId="9" applyFont="1">
      <alignment horizontal="center" vertical="center"/>
    </xf>
    <xf numFmtId="0" fontId="4" fillId="10" borderId="1" xfId="9" applyFont="1" applyBorder="1" applyAlignment="1">
      <alignment horizontal="center" vertical="center"/>
    </xf>
    <xf numFmtId="0" fontId="3" fillId="10" borderId="0" xfId="10">
      <alignment horizontal="center" vertical="center"/>
      <protection hidden="1"/>
    </xf>
    <xf numFmtId="0" fontId="3" fillId="1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31" xfId="0" applyNumberFormat="1" applyFont="1" applyFill="1" applyBorder="1" applyAlignment="1" applyProtection="1">
      <alignment horizontal="center"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6" fillId="15" borderId="35" xfId="0" applyFont="1" applyFill="1" applyBorder="1" applyAlignment="1" applyProtection="1">
      <alignment horizontal="center" vertical="center"/>
      <protection hidden="1"/>
    </xf>
    <xf numFmtId="0" fontId="0" fillId="17" borderId="37" xfId="0" applyNumberFormat="1" applyFont="1" applyFill="1" applyBorder="1" applyAlignment="1" applyProtection="1">
      <alignment horizontal="center" vertical="center"/>
      <protection hidden="1"/>
    </xf>
    <xf numFmtId="0" fontId="0" fillId="18" borderId="37" xfId="0" applyFont="1" applyFill="1" applyBorder="1" applyAlignment="1" applyProtection="1">
      <alignment horizontal="center" vertical="center"/>
      <protection hidden="1"/>
    </xf>
    <xf numFmtId="0" fontId="0" fillId="19" borderId="37" xfId="0" applyFont="1" applyFill="1" applyBorder="1" applyAlignment="1" applyProtection="1">
      <alignment horizontal="center" vertical="center"/>
      <protection hidden="1"/>
    </xf>
    <xf numFmtId="0" fontId="0" fillId="21" borderId="37" xfId="0" applyFont="1" applyFill="1" applyBorder="1" applyAlignment="1" applyProtection="1">
      <alignment horizontal="center" vertical="center"/>
      <protection hidden="1"/>
    </xf>
    <xf numFmtId="49" fontId="0" fillId="14" borderId="0" xfId="0" applyNumberFormat="1" applyFont="1" applyFill="1" applyAlignment="1" applyProtection="1">
      <alignment horizontal="center" vertical="center"/>
      <protection hidden="1"/>
    </xf>
  </cellXfs>
  <cellStyles count="11">
    <cellStyle name="GIRONE_A" xfId="1"/>
    <cellStyle name="GIRONE_B" xfId="2"/>
    <cellStyle name="GIRONE_C" xfId="3"/>
    <cellStyle name="GIRONE_D" xfId="4"/>
    <cellStyle name="GIRONE_E" xfId="5"/>
    <cellStyle name="GIRONE_F" xfId="6"/>
    <cellStyle name="GIRONE_G" xfId="7"/>
    <cellStyle name="GIRONE_H" xfId="8"/>
    <cellStyle name="INTESTAZIONE" xfId="9"/>
    <cellStyle name="INTESTAZIONE_GRANDE" xfId="10"/>
    <cellStyle name="Normale" xfId="0" builtinId="0"/>
  </cellStyles>
  <dxfs count="16">
    <dxf>
      <font>
        <b/>
        <i val="0"/>
        <condense val="0"/>
        <extend val="0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9"/>
          <bgColor indexed="45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0"/>
          <bgColor indexed="2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9"/>
          <bgColor indexed="1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1"/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9"/>
          <bgColor indexed="45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0"/>
          <bgColor indexed="2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9"/>
          <bgColor indexed="1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1"/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7F7F7F"/>
      <rgbColor rgb="008497B0"/>
      <rgbColor rgb="00993366"/>
      <rgbColor rgb="00FFF2CC"/>
      <rgbColor rgb="00DEEBF7"/>
      <rgbColor rgb="004B0082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2F2"/>
      <rgbColor rgb="00E2F0D9"/>
      <rgbColor rgb="00FFFF99"/>
      <rgbColor rgb="00C5E0B4"/>
      <rgbColor rgb="00EE82EE"/>
      <rgbColor rgb="00FBE5D6"/>
      <rgbColor rgb="00FFE699"/>
      <rgbColor rgb="003366FF"/>
      <rgbColor rgb="0033CCCC"/>
      <rgbColor rgb="0099CC00"/>
      <rgbColor rgb="00FFCC00"/>
      <rgbColor rgb="00FFA500"/>
      <rgbColor rgb="00FF6600"/>
      <rgbColor rgb="004472C4"/>
      <rgbColor rgb="00969696"/>
      <rgbColor rgb="00003366"/>
      <rgbColor rgb="005B9BD5"/>
      <rgbColor rgb="00003300"/>
      <rgbColor rgb="00333300"/>
      <rgbColor rgb="00993300"/>
      <rgbColor rgb="00993366"/>
      <rgbColor rgb="001F4E7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66"/>
  <sheetViews>
    <sheetView topLeftCell="F1" zoomScale="140" zoomScaleNormal="140" workbookViewId="0">
      <selection activeCell="N3" sqref="N3"/>
    </sheetView>
  </sheetViews>
  <sheetFormatPr defaultColWidth="11.5703125" defaultRowHeight="12.75"/>
  <cols>
    <col min="1" max="1" width="16.5703125" customWidth="1"/>
    <col min="2" max="2" width="16.28515625" customWidth="1"/>
    <col min="4" max="4" width="3.5703125" customWidth="1"/>
    <col min="5" max="5" width="7.7109375" customWidth="1"/>
    <col min="6" max="6" width="10.5703125" customWidth="1"/>
    <col min="7" max="7" width="15.7109375" customWidth="1"/>
    <col min="8" max="8" width="7.42578125" customWidth="1"/>
    <col min="9" max="9" width="13.140625" customWidth="1"/>
    <col min="11" max="11" width="3.5703125" customWidth="1"/>
    <col min="12" max="12" width="14.5703125" customWidth="1"/>
    <col min="14" max="14" width="5.7109375" customWidth="1"/>
    <col min="15" max="16" width="7.42578125" customWidth="1"/>
    <col min="17" max="18" width="14.28515625" customWidth="1"/>
    <col min="19" max="20" width="9.42578125" customWidth="1"/>
    <col min="21" max="21" width="14.28515625" customWidth="1"/>
    <col min="22" max="22" width="6.140625" customWidth="1"/>
    <col min="23" max="23" width="7.85546875" style="1" customWidth="1"/>
    <col min="24" max="24" width="14.5703125" customWidth="1"/>
    <col min="26" max="26" width="5.7109375" customWidth="1"/>
    <col min="27" max="28" width="7.42578125" customWidth="1"/>
    <col min="29" max="30" width="14.28515625" customWidth="1"/>
    <col min="31" max="32" width="9.42578125" customWidth="1"/>
    <col min="33" max="33" width="14.28515625" customWidth="1"/>
    <col min="34" max="34" width="6.140625" customWidth="1"/>
    <col min="35" max="35" width="7.85546875" style="1" customWidth="1"/>
    <col min="36" max="36" width="14.5703125" customWidth="1"/>
  </cols>
  <sheetData>
    <row r="1" spans="1:36">
      <c r="A1" s="234" t="s">
        <v>0</v>
      </c>
      <c r="B1" s="234"/>
      <c r="D1" s="234" t="s">
        <v>1</v>
      </c>
      <c r="E1" s="234"/>
      <c r="F1" s="234"/>
      <c r="G1" s="234"/>
      <c r="H1" s="234"/>
      <c r="I1" s="234"/>
      <c r="K1" s="234" t="s">
        <v>2</v>
      </c>
      <c r="L1" s="234"/>
      <c r="N1" s="234" t="s">
        <v>3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Z1" s="234" t="s">
        <v>4</v>
      </c>
      <c r="AA1" s="234"/>
      <c r="AB1" s="234"/>
      <c r="AC1" s="234"/>
      <c r="AD1" s="234"/>
      <c r="AE1" s="234"/>
      <c r="AF1" s="234"/>
      <c r="AG1" s="234"/>
      <c r="AH1" s="234"/>
      <c r="AI1" s="234"/>
      <c r="AJ1" s="234"/>
    </row>
    <row r="2" spans="1:36" ht="38.25">
      <c r="A2" s="2" t="s">
        <v>5</v>
      </c>
      <c r="B2" s="3" t="s">
        <v>6</v>
      </c>
      <c r="D2" s="2" t="s">
        <v>5</v>
      </c>
      <c r="E2" s="4" t="s">
        <v>7</v>
      </c>
      <c r="F2" s="5" t="s">
        <v>8</v>
      </c>
      <c r="G2" s="5" t="s">
        <v>9</v>
      </c>
      <c r="H2" s="6" t="s">
        <v>10</v>
      </c>
      <c r="I2" s="7" t="s">
        <v>11</v>
      </c>
      <c r="K2" s="2" t="s">
        <v>5</v>
      </c>
      <c r="L2" s="3" t="s">
        <v>8</v>
      </c>
      <c r="N2" s="8" t="s">
        <v>12</v>
      </c>
      <c r="O2" s="6" t="s">
        <v>13</v>
      </c>
      <c r="P2" s="6" t="s">
        <v>10</v>
      </c>
      <c r="Q2" s="9" t="s">
        <v>14</v>
      </c>
      <c r="R2" s="9" t="s">
        <v>15</v>
      </c>
      <c r="S2" s="10" t="s">
        <v>16</v>
      </c>
      <c r="T2" s="10" t="s">
        <v>17</v>
      </c>
      <c r="U2" s="11" t="s">
        <v>18</v>
      </c>
      <c r="V2" s="11" t="s">
        <v>19</v>
      </c>
      <c r="W2" s="9" t="s">
        <v>20</v>
      </c>
      <c r="X2" s="3" t="s">
        <v>21</v>
      </c>
      <c r="Z2" s="8" t="s">
        <v>12</v>
      </c>
      <c r="AA2" s="6" t="s">
        <v>13</v>
      </c>
      <c r="AB2" s="6" t="s">
        <v>22</v>
      </c>
      <c r="AC2" s="9" t="s">
        <v>14</v>
      </c>
      <c r="AD2" s="9" t="s">
        <v>15</v>
      </c>
      <c r="AE2" s="10" t="s">
        <v>16</v>
      </c>
      <c r="AF2" s="10" t="s">
        <v>17</v>
      </c>
      <c r="AG2" s="11" t="s">
        <v>18</v>
      </c>
      <c r="AH2" s="11" t="s">
        <v>19</v>
      </c>
      <c r="AI2" s="9" t="s">
        <v>20</v>
      </c>
      <c r="AJ2" s="3" t="s">
        <v>21</v>
      </c>
    </row>
    <row r="3" spans="1:36">
      <c r="A3" s="12" t="s">
        <v>23</v>
      </c>
      <c r="B3" s="13" t="s">
        <v>24</v>
      </c>
      <c r="D3" s="14">
        <v>1</v>
      </c>
      <c r="E3" s="15" t="str">
        <f t="shared" ref="E3:E34" si="0">H3&amp;I3</f>
        <v>A1</v>
      </c>
      <c r="F3" s="16" t="s">
        <v>25</v>
      </c>
      <c r="G3" s="16"/>
      <c r="H3" s="17" t="s">
        <v>26</v>
      </c>
      <c r="I3" s="18">
        <v>1</v>
      </c>
      <c r="K3" s="14">
        <v>1</v>
      </c>
      <c r="L3" s="13" t="s">
        <v>27</v>
      </c>
      <c r="N3" s="19">
        <v>1</v>
      </c>
      <c r="O3" s="20" t="str">
        <f t="shared" ref="O3:O50" si="1">VLOOKUP(N3,B_PARTITE_GIRONI,2,0)</f>
        <v>Girone</v>
      </c>
      <c r="P3" s="20" t="str">
        <f t="shared" ref="P3:P50" si="2">VLOOKUP(N3,B_PARTITE_GIRONI,3,0)</f>
        <v>A</v>
      </c>
      <c r="Q3" s="21" t="str">
        <f t="shared" ref="Q3:Q50" si="3">VLOOKUP(N3,B_PARTITE_GIRONI,6,0)</f>
        <v>Leoni</v>
      </c>
      <c r="R3" s="22" t="str">
        <f t="shared" ref="R3:R50" si="4">VLOOKUP(N3,B_PARTITE_GIRONI,7,0)</f>
        <v>Pantere</v>
      </c>
      <c r="S3" s="23">
        <v>72</v>
      </c>
      <c r="T3" s="23">
        <v>49</v>
      </c>
      <c r="U3" s="24">
        <v>44354</v>
      </c>
      <c r="V3" s="25">
        <v>0.66666666666666663</v>
      </c>
      <c r="W3" s="26">
        <v>1</v>
      </c>
      <c r="X3" s="27" t="str">
        <f t="shared" ref="X3:X50" si="5">VLOOKUP(W3,A_3_INPUT_CAMPI,2,0)</f>
        <v>Cristo Re 1</v>
      </c>
      <c r="Z3" s="19">
        <v>49</v>
      </c>
      <c r="AA3" s="20" t="str">
        <f t="shared" ref="AA3:AA66" si="6">VLOOKUP(Z3,B_PARTITE_2A_FASE_PER_NUMERO,2,0)</f>
        <v>2aFase</v>
      </c>
      <c r="AB3" s="28" t="str">
        <f t="shared" ref="AB3:AB66" si="7">VLOOKUP(Z3,B_PARTITE_2A_FASE_PER_NUMERO,3,0)</f>
        <v>1-16</v>
      </c>
      <c r="AC3" s="21" t="str">
        <f t="shared" ref="AC3:AC66" ca="1" si="8">VLOOKUP(Z3,B_PARTITE_2A_FASE_PER_NUMERO,6,0)</f>
        <v>Leoni</v>
      </c>
      <c r="AD3" s="22" t="str">
        <f t="shared" ref="AD3:AD66" ca="1" si="9">VLOOKUP(Z3,B_PARTITE_2A_FASE_PER_NUMERO,7,0)</f>
        <v>Elefanti</v>
      </c>
      <c r="AE3" s="23">
        <v>67</v>
      </c>
      <c r="AF3" s="23">
        <v>46</v>
      </c>
      <c r="AG3" s="24">
        <v>44357</v>
      </c>
      <c r="AH3" s="25">
        <v>0.375</v>
      </c>
      <c r="AI3" s="26">
        <v>1</v>
      </c>
      <c r="AJ3" s="27" t="str">
        <f t="shared" ref="AJ3:AJ66" si="10">VLOOKUP(AI3,A_3_INPUT_CAMPI,2,0)</f>
        <v>Cristo Re 1</v>
      </c>
    </row>
    <row r="4" spans="1:36">
      <c r="A4" s="29" t="s">
        <v>28</v>
      </c>
      <c r="B4" s="30">
        <v>2021</v>
      </c>
      <c r="D4" s="31">
        <v>2</v>
      </c>
      <c r="E4" s="15" t="str">
        <f t="shared" si="0"/>
        <v>A2</v>
      </c>
      <c r="F4" s="32" t="s">
        <v>29</v>
      </c>
      <c r="G4" s="32"/>
      <c r="H4" s="33" t="s">
        <v>26</v>
      </c>
      <c r="I4" s="34">
        <v>2</v>
      </c>
      <c r="K4" s="31">
        <v>2</v>
      </c>
      <c r="L4" s="35" t="s">
        <v>30</v>
      </c>
      <c r="N4" s="36">
        <v>2</v>
      </c>
      <c r="O4" s="33" t="str">
        <f t="shared" si="1"/>
        <v>Girone</v>
      </c>
      <c r="P4" s="20" t="str">
        <f t="shared" si="2"/>
        <v>A</v>
      </c>
      <c r="Q4" s="37" t="str">
        <f t="shared" si="3"/>
        <v>Tigri</v>
      </c>
      <c r="R4" s="37" t="str">
        <f t="shared" si="4"/>
        <v>Ghepardi</v>
      </c>
      <c r="S4" s="38">
        <v>67</v>
      </c>
      <c r="T4" s="38">
        <v>51</v>
      </c>
      <c r="U4" s="39">
        <v>44354</v>
      </c>
      <c r="V4" s="40">
        <v>0.75</v>
      </c>
      <c r="W4" s="41">
        <v>1</v>
      </c>
      <c r="X4" s="42" t="str">
        <f t="shared" si="5"/>
        <v>Cristo Re 1</v>
      </c>
      <c r="Z4" s="36">
        <v>50</v>
      </c>
      <c r="AA4" s="33" t="str">
        <f t="shared" si="6"/>
        <v>2aFase</v>
      </c>
      <c r="AB4" s="43" t="str">
        <f t="shared" si="7"/>
        <v>1-16</v>
      </c>
      <c r="AC4" s="37" t="str">
        <f t="shared" ca="1" si="8"/>
        <v>Pantere</v>
      </c>
      <c r="AD4" s="37" t="str">
        <f t="shared" ca="1" si="9"/>
        <v>Giraffe</v>
      </c>
      <c r="AE4" s="38">
        <v>55</v>
      </c>
      <c r="AF4" s="38">
        <v>36</v>
      </c>
      <c r="AG4" s="39">
        <v>44357</v>
      </c>
      <c r="AH4" s="40">
        <v>0.375</v>
      </c>
      <c r="AI4" s="41">
        <v>2</v>
      </c>
      <c r="AJ4" s="42" t="str">
        <f t="shared" si="10"/>
        <v>Cristo Re 2</v>
      </c>
    </row>
    <row r="5" spans="1:36">
      <c r="D5" s="31">
        <v>3</v>
      </c>
      <c r="E5" s="15" t="str">
        <f t="shared" si="0"/>
        <v>A3</v>
      </c>
      <c r="F5" s="32" t="s">
        <v>31</v>
      </c>
      <c r="G5" s="32"/>
      <c r="H5" s="33" t="s">
        <v>26</v>
      </c>
      <c r="I5" s="34">
        <v>3</v>
      </c>
      <c r="K5" s="31">
        <v>3</v>
      </c>
      <c r="L5" s="35" t="s">
        <v>32</v>
      </c>
      <c r="N5" s="36">
        <v>3</v>
      </c>
      <c r="O5" s="33" t="str">
        <f t="shared" si="1"/>
        <v>Girone</v>
      </c>
      <c r="P5" s="20" t="str">
        <f t="shared" si="2"/>
        <v>B</v>
      </c>
      <c r="Q5" s="37" t="str">
        <f t="shared" si="3"/>
        <v>Giaguari</v>
      </c>
      <c r="R5" s="37" t="str">
        <f t="shared" si="4"/>
        <v>Puma</v>
      </c>
      <c r="S5" s="38">
        <v>100</v>
      </c>
      <c r="T5" s="38">
        <v>51</v>
      </c>
      <c r="U5" s="39">
        <v>44354</v>
      </c>
      <c r="V5" s="40">
        <v>0.66666666666666663</v>
      </c>
      <c r="W5" s="41">
        <v>2</v>
      </c>
      <c r="X5" s="42" t="str">
        <f t="shared" si="5"/>
        <v>Cristo Re 2</v>
      </c>
      <c r="Z5" s="36">
        <v>51</v>
      </c>
      <c r="AA5" s="33" t="str">
        <f t="shared" si="6"/>
        <v>2aFase</v>
      </c>
      <c r="AB5" s="43" t="str">
        <f t="shared" si="7"/>
        <v>17-32</v>
      </c>
      <c r="AC5" s="37" t="str">
        <f t="shared" ca="1" si="8"/>
        <v>Tigri</v>
      </c>
      <c r="AD5" s="37" t="str">
        <f t="shared" ca="1" si="9"/>
        <v>Iguane</v>
      </c>
      <c r="AE5" s="38">
        <v>56</v>
      </c>
      <c r="AF5" s="38">
        <v>38</v>
      </c>
      <c r="AG5" s="39">
        <v>44357</v>
      </c>
      <c r="AH5" s="40">
        <v>0.375</v>
      </c>
      <c r="AI5" s="41">
        <v>3</v>
      </c>
      <c r="AJ5" s="42" t="str">
        <f t="shared" si="10"/>
        <v>Basket Giovane</v>
      </c>
    </row>
    <row r="6" spans="1:36">
      <c r="D6" s="31">
        <v>4</v>
      </c>
      <c r="E6" s="15" t="str">
        <f t="shared" si="0"/>
        <v>A4</v>
      </c>
      <c r="F6" s="32" t="s">
        <v>33</v>
      </c>
      <c r="G6" s="32"/>
      <c r="H6" s="33" t="s">
        <v>26</v>
      </c>
      <c r="I6" s="34">
        <v>4</v>
      </c>
      <c r="K6" s="31">
        <v>4</v>
      </c>
      <c r="L6" s="35" t="s">
        <v>34</v>
      </c>
      <c r="N6" s="36">
        <v>4</v>
      </c>
      <c r="O6" s="33" t="str">
        <f t="shared" si="1"/>
        <v>Girone</v>
      </c>
      <c r="P6" s="20" t="str">
        <f t="shared" si="2"/>
        <v>B</v>
      </c>
      <c r="Q6" s="37" t="str">
        <f t="shared" si="3"/>
        <v>Linci</v>
      </c>
      <c r="R6" s="37" t="str">
        <f t="shared" si="4"/>
        <v>Serval</v>
      </c>
      <c r="S6" s="38">
        <v>96</v>
      </c>
      <c r="T6" s="38">
        <v>86</v>
      </c>
      <c r="U6" s="39">
        <v>44354</v>
      </c>
      <c r="V6" s="40">
        <v>0.75</v>
      </c>
      <c r="W6" s="41">
        <v>2</v>
      </c>
      <c r="X6" s="42" t="str">
        <f t="shared" si="5"/>
        <v>Cristo Re 2</v>
      </c>
      <c r="Z6" s="36">
        <v>52</v>
      </c>
      <c r="AA6" s="33" t="str">
        <f t="shared" si="6"/>
        <v>2aFase</v>
      </c>
      <c r="AB6" s="43" t="str">
        <f t="shared" si="7"/>
        <v>17-32</v>
      </c>
      <c r="AC6" s="37" t="str">
        <f t="shared" ca="1" si="8"/>
        <v>Ippopotami</v>
      </c>
      <c r="AD6" s="37" t="str">
        <f t="shared" ca="1" si="9"/>
        <v>Ghepardi</v>
      </c>
      <c r="AE6" s="38">
        <v>56</v>
      </c>
      <c r="AF6" s="38">
        <v>43</v>
      </c>
      <c r="AG6" s="39">
        <v>44357</v>
      </c>
      <c r="AH6" s="40">
        <v>0.375</v>
      </c>
      <c r="AI6" s="41">
        <v>4</v>
      </c>
      <c r="AJ6" s="42" t="str">
        <f t="shared" si="10"/>
        <v>Nuova Scuola</v>
      </c>
    </row>
    <row r="7" spans="1:36">
      <c r="D7" s="31">
        <v>5</v>
      </c>
      <c r="E7" s="15" t="str">
        <f t="shared" si="0"/>
        <v>B1</v>
      </c>
      <c r="F7" s="32" t="s">
        <v>35</v>
      </c>
      <c r="G7" s="32"/>
      <c r="H7" s="33" t="s">
        <v>36</v>
      </c>
      <c r="I7" s="34">
        <v>1</v>
      </c>
      <c r="K7" s="31">
        <v>5</v>
      </c>
      <c r="L7" s="35" t="str">
        <f t="shared" ref="L7:L34" si="11">"CAMPO "&amp;ROMAN(K7)</f>
        <v>CAMPO V</v>
      </c>
      <c r="N7" s="36">
        <v>5</v>
      </c>
      <c r="O7" s="33" t="str">
        <f t="shared" si="1"/>
        <v>Girone</v>
      </c>
      <c r="P7" s="20" t="str">
        <f t="shared" si="2"/>
        <v>C</v>
      </c>
      <c r="Q7" s="37" t="str">
        <f t="shared" si="3"/>
        <v>Elefanti</v>
      </c>
      <c r="R7" s="37" t="str">
        <f t="shared" si="4"/>
        <v>Giraffe</v>
      </c>
      <c r="S7" s="38">
        <v>79</v>
      </c>
      <c r="T7" s="38">
        <v>48</v>
      </c>
      <c r="U7" s="39">
        <v>44354</v>
      </c>
      <c r="V7" s="40">
        <v>0.66666666666666663</v>
      </c>
      <c r="W7" s="41">
        <v>3</v>
      </c>
      <c r="X7" s="42" t="str">
        <f t="shared" si="5"/>
        <v>Basket Giovane</v>
      </c>
      <c r="Z7" s="36">
        <v>53</v>
      </c>
      <c r="AA7" s="33" t="str">
        <f t="shared" si="6"/>
        <v>2aFase</v>
      </c>
      <c r="AB7" s="43" t="str">
        <f t="shared" si="7"/>
        <v>1-16</v>
      </c>
      <c r="AC7" s="37" t="str">
        <f t="shared" ca="1" si="8"/>
        <v>Giaguari</v>
      </c>
      <c r="AD7" s="37" t="str">
        <f t="shared" ca="1" si="9"/>
        <v>Aquile</v>
      </c>
      <c r="AE7" s="38">
        <v>52</v>
      </c>
      <c r="AF7" s="38">
        <v>43</v>
      </c>
      <c r="AG7" s="39">
        <v>44357</v>
      </c>
      <c r="AH7" s="40">
        <v>0.45833333333333331</v>
      </c>
      <c r="AI7" s="41">
        <v>1</v>
      </c>
      <c r="AJ7" s="42" t="str">
        <f t="shared" si="10"/>
        <v>Cristo Re 1</v>
      </c>
    </row>
    <row r="8" spans="1:36">
      <c r="D8" s="31">
        <v>6</v>
      </c>
      <c r="E8" s="15" t="str">
        <f t="shared" si="0"/>
        <v>B2</v>
      </c>
      <c r="F8" s="32" t="s">
        <v>37</v>
      </c>
      <c r="G8" s="32"/>
      <c r="H8" s="33" t="s">
        <v>36</v>
      </c>
      <c r="I8" s="34">
        <v>2</v>
      </c>
      <c r="K8" s="31">
        <v>6</v>
      </c>
      <c r="L8" s="35" t="str">
        <f t="shared" si="11"/>
        <v>CAMPO VI</v>
      </c>
      <c r="N8" s="36">
        <v>6</v>
      </c>
      <c r="O8" s="33" t="str">
        <f t="shared" si="1"/>
        <v>Girone</v>
      </c>
      <c r="P8" s="20" t="str">
        <f t="shared" si="2"/>
        <v>C</v>
      </c>
      <c r="Q8" s="37" t="str">
        <f t="shared" si="3"/>
        <v>Ippopotami</v>
      </c>
      <c r="R8" s="37" t="str">
        <f t="shared" si="4"/>
        <v>Iguane</v>
      </c>
      <c r="S8" s="38">
        <v>62</v>
      </c>
      <c r="T8" s="38">
        <v>44</v>
      </c>
      <c r="U8" s="39">
        <v>44354</v>
      </c>
      <c r="V8" s="40">
        <v>0.75</v>
      </c>
      <c r="W8" s="41">
        <v>3</v>
      </c>
      <c r="X8" s="42" t="str">
        <f t="shared" si="5"/>
        <v>Basket Giovane</v>
      </c>
      <c r="Z8" s="36">
        <v>54</v>
      </c>
      <c r="AA8" s="33" t="str">
        <f t="shared" si="6"/>
        <v>2aFase</v>
      </c>
      <c r="AB8" s="43" t="str">
        <f t="shared" si="7"/>
        <v>1-16</v>
      </c>
      <c r="AC8" s="37" t="str">
        <f t="shared" ca="1" si="8"/>
        <v>Coccodrilli</v>
      </c>
      <c r="AD8" s="37" t="str">
        <f t="shared" ca="1" si="9"/>
        <v>Puma</v>
      </c>
      <c r="AE8" s="38">
        <v>67</v>
      </c>
      <c r="AF8" s="38">
        <v>34</v>
      </c>
      <c r="AG8" s="39">
        <v>44357</v>
      </c>
      <c r="AH8" s="40">
        <v>0.45833333333333331</v>
      </c>
      <c r="AI8" s="41">
        <v>2</v>
      </c>
      <c r="AJ8" s="42" t="str">
        <f t="shared" si="10"/>
        <v>Cristo Re 2</v>
      </c>
    </row>
    <row r="9" spans="1:36">
      <c r="D9" s="31">
        <v>7</v>
      </c>
      <c r="E9" s="15" t="str">
        <f t="shared" si="0"/>
        <v>B3</v>
      </c>
      <c r="F9" s="32" t="s">
        <v>38</v>
      </c>
      <c r="G9" s="32"/>
      <c r="H9" s="33" t="s">
        <v>36</v>
      </c>
      <c r="I9" s="34">
        <v>3</v>
      </c>
      <c r="K9" s="31">
        <v>7</v>
      </c>
      <c r="L9" s="35" t="str">
        <f t="shared" si="11"/>
        <v>CAMPO VII</v>
      </c>
      <c r="N9" s="36">
        <v>7</v>
      </c>
      <c r="O9" s="33" t="str">
        <f t="shared" si="1"/>
        <v>Girone</v>
      </c>
      <c r="P9" s="20" t="str">
        <f t="shared" si="2"/>
        <v>D</v>
      </c>
      <c r="Q9" s="37" t="str">
        <f t="shared" si="3"/>
        <v>Coccodrilli</v>
      </c>
      <c r="R9" s="37" t="str">
        <f t="shared" si="4"/>
        <v>Pitoni</v>
      </c>
      <c r="S9" s="38">
        <v>96</v>
      </c>
      <c r="T9" s="38">
        <v>25</v>
      </c>
      <c r="U9" s="39">
        <v>44354</v>
      </c>
      <c r="V9" s="40">
        <v>0.66666666666666663</v>
      </c>
      <c r="W9" s="41">
        <v>4</v>
      </c>
      <c r="X9" s="42" t="str">
        <f t="shared" si="5"/>
        <v>Nuova Scuola</v>
      </c>
      <c r="Z9" s="36">
        <v>55</v>
      </c>
      <c r="AA9" s="33" t="str">
        <f t="shared" si="6"/>
        <v>2aFase</v>
      </c>
      <c r="AB9" s="43" t="str">
        <f t="shared" si="7"/>
        <v>17-32</v>
      </c>
      <c r="AC9" s="37" t="str">
        <f t="shared" ca="1" si="8"/>
        <v>Linci</v>
      </c>
      <c r="AD9" s="37" t="str">
        <f t="shared" ca="1" si="9"/>
        <v>Falchi</v>
      </c>
      <c r="AE9" s="38">
        <v>59</v>
      </c>
      <c r="AF9" s="38">
        <v>41</v>
      </c>
      <c r="AG9" s="39">
        <v>44357</v>
      </c>
      <c r="AH9" s="40">
        <v>0.45833333333333331</v>
      </c>
      <c r="AI9" s="41">
        <v>3</v>
      </c>
      <c r="AJ9" s="42" t="str">
        <f t="shared" si="10"/>
        <v>Basket Giovane</v>
      </c>
    </row>
    <row r="10" spans="1:36">
      <c r="D10" s="31">
        <v>8</v>
      </c>
      <c r="E10" s="15" t="str">
        <f t="shared" si="0"/>
        <v>B4</v>
      </c>
      <c r="F10" s="32" t="s">
        <v>39</v>
      </c>
      <c r="G10" s="32"/>
      <c r="H10" s="33" t="s">
        <v>36</v>
      </c>
      <c r="I10" s="34">
        <v>4</v>
      </c>
      <c r="K10" s="31">
        <v>8</v>
      </c>
      <c r="L10" s="35" t="str">
        <f t="shared" si="11"/>
        <v>CAMPO VIII</v>
      </c>
      <c r="N10" s="36">
        <v>8</v>
      </c>
      <c r="O10" s="33" t="str">
        <f t="shared" si="1"/>
        <v>Girone</v>
      </c>
      <c r="P10" s="20" t="str">
        <f t="shared" si="2"/>
        <v>D</v>
      </c>
      <c r="Q10" s="37" t="str">
        <f t="shared" si="3"/>
        <v>Aquile</v>
      </c>
      <c r="R10" s="37" t="str">
        <f t="shared" si="4"/>
        <v>Falchi</v>
      </c>
      <c r="S10" s="38">
        <v>72</v>
      </c>
      <c r="T10" s="38">
        <v>52</v>
      </c>
      <c r="U10" s="39">
        <v>44354</v>
      </c>
      <c r="V10" s="40">
        <v>0.75</v>
      </c>
      <c r="W10" s="41">
        <v>4</v>
      </c>
      <c r="X10" s="42" t="str">
        <f t="shared" si="5"/>
        <v>Nuova Scuola</v>
      </c>
      <c r="Z10" s="36">
        <v>56</v>
      </c>
      <c r="AA10" s="33" t="str">
        <f t="shared" si="6"/>
        <v>2aFase</v>
      </c>
      <c r="AB10" s="43" t="str">
        <f t="shared" si="7"/>
        <v>17-32</v>
      </c>
      <c r="AC10" s="37" t="str">
        <f t="shared" ca="1" si="8"/>
        <v>Pitoni</v>
      </c>
      <c r="AD10" s="37" t="str">
        <f t="shared" ca="1" si="9"/>
        <v>Serval</v>
      </c>
      <c r="AE10" s="38">
        <v>52</v>
      </c>
      <c r="AF10" s="38">
        <v>30</v>
      </c>
      <c r="AG10" s="39">
        <v>44357</v>
      </c>
      <c r="AH10" s="40">
        <v>0.45833333333333331</v>
      </c>
      <c r="AI10" s="41">
        <v>4</v>
      </c>
      <c r="AJ10" s="42" t="str">
        <f t="shared" si="10"/>
        <v>Nuova Scuola</v>
      </c>
    </row>
    <row r="11" spans="1:36">
      <c r="D11" s="31">
        <v>9</v>
      </c>
      <c r="E11" s="15" t="str">
        <f t="shared" si="0"/>
        <v>C1</v>
      </c>
      <c r="F11" s="32" t="s">
        <v>40</v>
      </c>
      <c r="G11" s="32"/>
      <c r="H11" s="33" t="s">
        <v>41</v>
      </c>
      <c r="I11" s="34">
        <v>1</v>
      </c>
      <c r="K11" s="31">
        <v>9</v>
      </c>
      <c r="L11" s="35" t="str">
        <f t="shared" si="11"/>
        <v>CAMPO IX</v>
      </c>
      <c r="N11" s="36">
        <v>9</v>
      </c>
      <c r="O11" s="33" t="str">
        <f t="shared" si="1"/>
        <v>Girone</v>
      </c>
      <c r="P11" s="20" t="str">
        <f t="shared" si="2"/>
        <v>A</v>
      </c>
      <c r="Q11" s="37" t="str">
        <f t="shared" si="3"/>
        <v>Leoni</v>
      </c>
      <c r="R11" s="37" t="str">
        <f t="shared" si="4"/>
        <v>Tigri</v>
      </c>
      <c r="S11" s="38">
        <v>90</v>
      </c>
      <c r="T11" s="38">
        <v>22</v>
      </c>
      <c r="U11" s="39">
        <v>44355</v>
      </c>
      <c r="V11" s="40">
        <v>0.375</v>
      </c>
      <c r="W11" s="41">
        <v>1</v>
      </c>
      <c r="X11" s="42" t="str">
        <f t="shared" si="5"/>
        <v>Cristo Re 1</v>
      </c>
      <c r="Z11" s="36">
        <v>57</v>
      </c>
      <c r="AA11" s="33" t="str">
        <f t="shared" si="6"/>
        <v>2aFase</v>
      </c>
      <c r="AB11" s="43" t="str">
        <f t="shared" si="7"/>
        <v>1-16</v>
      </c>
      <c r="AC11" s="37" t="str">
        <f t="shared" ca="1" si="8"/>
        <v>Bisonti</v>
      </c>
      <c r="AD11" s="37" t="str">
        <f t="shared" ca="1" si="9"/>
        <v>Gorilla</v>
      </c>
      <c r="AE11" s="38">
        <v>58</v>
      </c>
      <c r="AF11" s="38">
        <v>39</v>
      </c>
      <c r="AG11" s="39">
        <v>44357</v>
      </c>
      <c r="AH11" s="40">
        <v>0.64583333333333337</v>
      </c>
      <c r="AI11" s="41">
        <v>1</v>
      </c>
      <c r="AJ11" s="42" t="str">
        <f t="shared" si="10"/>
        <v>Cristo Re 1</v>
      </c>
    </row>
    <row r="12" spans="1:36">
      <c r="D12" s="31">
        <v>10</v>
      </c>
      <c r="E12" s="15" t="str">
        <f t="shared" si="0"/>
        <v>C2</v>
      </c>
      <c r="F12" s="32" t="s">
        <v>42</v>
      </c>
      <c r="G12" s="32"/>
      <c r="H12" s="33" t="s">
        <v>41</v>
      </c>
      <c r="I12" s="34">
        <v>2</v>
      </c>
      <c r="K12" s="31">
        <v>10</v>
      </c>
      <c r="L12" s="35" t="str">
        <f t="shared" si="11"/>
        <v>CAMPO X</v>
      </c>
      <c r="N12" s="36">
        <v>10</v>
      </c>
      <c r="O12" s="33" t="str">
        <f t="shared" si="1"/>
        <v>Girone</v>
      </c>
      <c r="P12" s="20" t="str">
        <f t="shared" si="2"/>
        <v>B</v>
      </c>
      <c r="Q12" s="37" t="str">
        <f t="shared" si="3"/>
        <v>Giaguari</v>
      </c>
      <c r="R12" s="37" t="str">
        <f t="shared" si="4"/>
        <v>Linci</v>
      </c>
      <c r="S12" s="38">
        <v>56</v>
      </c>
      <c r="T12" s="38">
        <v>47</v>
      </c>
      <c r="U12" s="39">
        <v>44355</v>
      </c>
      <c r="V12" s="40">
        <v>0.375</v>
      </c>
      <c r="W12" s="41">
        <v>2</v>
      </c>
      <c r="X12" s="42" t="str">
        <f t="shared" si="5"/>
        <v>Cristo Re 2</v>
      </c>
      <c r="Z12" s="36">
        <v>58</v>
      </c>
      <c r="AA12" s="33" t="str">
        <f t="shared" si="6"/>
        <v>2aFase</v>
      </c>
      <c r="AB12" s="43" t="str">
        <f t="shared" si="7"/>
        <v>1-16</v>
      </c>
      <c r="AC12" s="37" t="str">
        <f t="shared" ca="1" si="8"/>
        <v>Istrici</v>
      </c>
      <c r="AD12" s="37" t="str">
        <f t="shared" ca="1" si="9"/>
        <v>Bufali</v>
      </c>
      <c r="AE12" s="38">
        <v>64</v>
      </c>
      <c r="AF12" s="38">
        <v>43</v>
      </c>
      <c r="AG12" s="39">
        <v>44357</v>
      </c>
      <c r="AH12" s="40">
        <v>0.64583333333333337</v>
      </c>
      <c r="AI12" s="41">
        <v>2</v>
      </c>
      <c r="AJ12" s="42" t="str">
        <f t="shared" si="10"/>
        <v>Cristo Re 2</v>
      </c>
    </row>
    <row r="13" spans="1:36">
      <c r="D13" s="31">
        <v>11</v>
      </c>
      <c r="E13" s="15" t="str">
        <f t="shared" si="0"/>
        <v>C3</v>
      </c>
      <c r="F13" s="32" t="s">
        <v>43</v>
      </c>
      <c r="G13" s="32"/>
      <c r="H13" s="33" t="s">
        <v>41</v>
      </c>
      <c r="I13" s="34">
        <v>3</v>
      </c>
      <c r="K13" s="31">
        <v>11</v>
      </c>
      <c r="L13" s="35" t="str">
        <f t="shared" si="11"/>
        <v>CAMPO XI</v>
      </c>
      <c r="N13" s="36">
        <v>11</v>
      </c>
      <c r="O13" s="33" t="str">
        <f t="shared" si="1"/>
        <v>Girone</v>
      </c>
      <c r="P13" s="20" t="str">
        <f t="shared" si="2"/>
        <v>C</v>
      </c>
      <c r="Q13" s="37" t="str">
        <f t="shared" si="3"/>
        <v>Elefanti</v>
      </c>
      <c r="R13" s="37" t="str">
        <f t="shared" si="4"/>
        <v>Ippopotami</v>
      </c>
      <c r="S13" s="38">
        <v>66</v>
      </c>
      <c r="T13" s="38">
        <v>95</v>
      </c>
      <c r="U13" s="39">
        <v>44355</v>
      </c>
      <c r="V13" s="40">
        <v>0.375</v>
      </c>
      <c r="W13" s="41">
        <v>3</v>
      </c>
      <c r="X13" s="42" t="str">
        <f t="shared" si="5"/>
        <v>Basket Giovane</v>
      </c>
      <c r="Z13" s="36">
        <v>59</v>
      </c>
      <c r="AA13" s="33" t="str">
        <f t="shared" si="6"/>
        <v>2aFase</v>
      </c>
      <c r="AB13" s="43" t="str">
        <f t="shared" si="7"/>
        <v>17-32</v>
      </c>
      <c r="AC13" s="37" t="str">
        <f t="shared" ca="1" si="8"/>
        <v>Cervi</v>
      </c>
      <c r="AD13" s="37" t="str">
        <f t="shared" ca="1" si="9"/>
        <v>Muli</v>
      </c>
      <c r="AE13" s="38">
        <v>50</v>
      </c>
      <c r="AF13" s="38">
        <v>43</v>
      </c>
      <c r="AG13" s="39">
        <v>44357</v>
      </c>
      <c r="AH13" s="40">
        <v>0.64583333333333337</v>
      </c>
      <c r="AI13" s="41">
        <v>3</v>
      </c>
      <c r="AJ13" s="42" t="str">
        <f t="shared" si="10"/>
        <v>Basket Giovane</v>
      </c>
    </row>
    <row r="14" spans="1:36">
      <c r="D14" s="31">
        <v>12</v>
      </c>
      <c r="E14" s="15" t="str">
        <f t="shared" si="0"/>
        <v>C4</v>
      </c>
      <c r="F14" s="32" t="s">
        <v>44</v>
      </c>
      <c r="G14" s="32"/>
      <c r="H14" s="33" t="s">
        <v>41</v>
      </c>
      <c r="I14" s="34">
        <v>4</v>
      </c>
      <c r="K14" s="31">
        <v>12</v>
      </c>
      <c r="L14" s="35" t="str">
        <f t="shared" si="11"/>
        <v>CAMPO XII</v>
      </c>
      <c r="N14" s="36">
        <v>12</v>
      </c>
      <c r="O14" s="33" t="str">
        <f t="shared" si="1"/>
        <v>Girone</v>
      </c>
      <c r="P14" s="20" t="str">
        <f t="shared" si="2"/>
        <v>D</v>
      </c>
      <c r="Q14" s="37" t="str">
        <f t="shared" si="3"/>
        <v>Coccodrilli</v>
      </c>
      <c r="R14" s="37" t="str">
        <f t="shared" si="4"/>
        <v>Aquile</v>
      </c>
      <c r="S14" s="38">
        <v>29</v>
      </c>
      <c r="T14" s="38">
        <v>39</v>
      </c>
      <c r="U14" s="39">
        <v>44355</v>
      </c>
      <c r="V14" s="40">
        <v>0.375</v>
      </c>
      <c r="W14" s="41">
        <v>4</v>
      </c>
      <c r="X14" s="42" t="str">
        <f t="shared" si="5"/>
        <v>Nuova Scuola</v>
      </c>
      <c r="Z14" s="36">
        <v>60</v>
      </c>
      <c r="AA14" s="33" t="str">
        <f t="shared" si="6"/>
        <v>2aFase</v>
      </c>
      <c r="AB14" s="43" t="str">
        <f t="shared" si="7"/>
        <v>17-32</v>
      </c>
      <c r="AC14" s="37" t="str">
        <f t="shared" ca="1" si="8"/>
        <v>Orche</v>
      </c>
      <c r="AD14" s="37" t="str">
        <f t="shared" ca="1" si="9"/>
        <v>Cinghiali</v>
      </c>
      <c r="AE14" s="38">
        <v>52</v>
      </c>
      <c r="AF14" s="38">
        <v>42</v>
      </c>
      <c r="AG14" s="39">
        <v>44357</v>
      </c>
      <c r="AH14" s="40">
        <v>0.64583333333333337</v>
      </c>
      <c r="AI14" s="41">
        <v>4</v>
      </c>
      <c r="AJ14" s="42" t="str">
        <f t="shared" si="10"/>
        <v>Nuova Scuola</v>
      </c>
    </row>
    <row r="15" spans="1:36">
      <c r="D15" s="31">
        <v>13</v>
      </c>
      <c r="E15" s="15" t="str">
        <f t="shared" si="0"/>
        <v>D1</v>
      </c>
      <c r="F15" s="32" t="s">
        <v>45</v>
      </c>
      <c r="G15" s="32"/>
      <c r="H15" s="33" t="s">
        <v>46</v>
      </c>
      <c r="I15" s="34">
        <v>1</v>
      </c>
      <c r="K15" s="31">
        <v>13</v>
      </c>
      <c r="L15" s="35" t="str">
        <f t="shared" si="11"/>
        <v>CAMPO XIII</v>
      </c>
      <c r="N15" s="36">
        <v>13</v>
      </c>
      <c r="O15" s="33" t="str">
        <f t="shared" si="1"/>
        <v>Girone</v>
      </c>
      <c r="P15" s="20" t="str">
        <f t="shared" si="2"/>
        <v>A</v>
      </c>
      <c r="Q15" s="37" t="str">
        <f t="shared" si="3"/>
        <v>Pantere</v>
      </c>
      <c r="R15" s="37" t="str">
        <f t="shared" si="4"/>
        <v>Ghepardi</v>
      </c>
      <c r="S15" s="38">
        <v>57</v>
      </c>
      <c r="T15" s="38">
        <v>21</v>
      </c>
      <c r="U15" s="39">
        <v>44355</v>
      </c>
      <c r="V15" s="40">
        <v>0.45833333333333331</v>
      </c>
      <c r="W15" s="41">
        <v>1</v>
      </c>
      <c r="X15" s="42" t="str">
        <f t="shared" si="5"/>
        <v>Cristo Re 1</v>
      </c>
      <c r="Z15" s="36">
        <v>61</v>
      </c>
      <c r="AA15" s="33" t="str">
        <f t="shared" si="6"/>
        <v>2aFase</v>
      </c>
      <c r="AB15" s="43" t="str">
        <f t="shared" si="7"/>
        <v>1-16</v>
      </c>
      <c r="AC15" s="37" t="str">
        <f t="shared" ca="1" si="8"/>
        <v>Balene</v>
      </c>
      <c r="AD15" s="37" t="str">
        <f t="shared" ca="1" si="9"/>
        <v>Tonni</v>
      </c>
      <c r="AE15" s="38">
        <v>51</v>
      </c>
      <c r="AF15" s="38">
        <v>47</v>
      </c>
      <c r="AG15" s="39">
        <v>44357</v>
      </c>
      <c r="AH15" s="40">
        <v>0.70833333333333337</v>
      </c>
      <c r="AI15" s="41">
        <v>1</v>
      </c>
      <c r="AJ15" s="42" t="str">
        <f t="shared" si="10"/>
        <v>Cristo Re 1</v>
      </c>
    </row>
    <row r="16" spans="1:36">
      <c r="D16" s="31">
        <v>14</v>
      </c>
      <c r="E16" s="15" t="str">
        <f t="shared" si="0"/>
        <v>D2</v>
      </c>
      <c r="F16" s="32" t="s">
        <v>47</v>
      </c>
      <c r="G16" s="32"/>
      <c r="H16" s="33" t="s">
        <v>46</v>
      </c>
      <c r="I16" s="34">
        <v>2</v>
      </c>
      <c r="K16" s="31">
        <v>14</v>
      </c>
      <c r="L16" s="35" t="str">
        <f t="shared" si="11"/>
        <v>CAMPO XIV</v>
      </c>
      <c r="N16" s="36">
        <v>14</v>
      </c>
      <c r="O16" s="33" t="str">
        <f t="shared" si="1"/>
        <v>Girone</v>
      </c>
      <c r="P16" s="20" t="str">
        <f t="shared" si="2"/>
        <v>B</v>
      </c>
      <c r="Q16" s="37" t="str">
        <f t="shared" si="3"/>
        <v>Puma</v>
      </c>
      <c r="R16" s="37" t="str">
        <f t="shared" si="4"/>
        <v>Serval</v>
      </c>
      <c r="S16" s="38">
        <v>68</v>
      </c>
      <c r="T16" s="38">
        <v>45</v>
      </c>
      <c r="U16" s="39">
        <v>44355</v>
      </c>
      <c r="V16" s="40">
        <v>0.45833333333333331</v>
      </c>
      <c r="W16" s="41">
        <v>2</v>
      </c>
      <c r="X16" s="42" t="str">
        <f t="shared" si="5"/>
        <v>Cristo Re 2</v>
      </c>
      <c r="Z16" s="36">
        <v>62</v>
      </c>
      <c r="AA16" s="33" t="str">
        <f t="shared" si="6"/>
        <v>2aFase</v>
      </c>
      <c r="AB16" s="43" t="str">
        <f t="shared" si="7"/>
        <v>1-16</v>
      </c>
      <c r="AC16" s="37" t="str">
        <f t="shared" ca="1" si="8"/>
        <v>Piranha</v>
      </c>
      <c r="AD16" s="37" t="str">
        <f t="shared" ca="1" si="9"/>
        <v>Gabbiani</v>
      </c>
      <c r="AE16" s="38">
        <v>60</v>
      </c>
      <c r="AF16" s="38">
        <v>30</v>
      </c>
      <c r="AG16" s="39">
        <v>44357</v>
      </c>
      <c r="AH16" s="40">
        <v>0.70833333333333337</v>
      </c>
      <c r="AI16" s="41">
        <v>2</v>
      </c>
      <c r="AJ16" s="42" t="str">
        <f t="shared" si="10"/>
        <v>Cristo Re 2</v>
      </c>
    </row>
    <row r="17" spans="4:36">
      <c r="D17" s="31">
        <v>15</v>
      </c>
      <c r="E17" s="15" t="str">
        <f t="shared" si="0"/>
        <v>D3</v>
      </c>
      <c r="F17" s="32" t="s">
        <v>48</v>
      </c>
      <c r="G17" s="32"/>
      <c r="H17" s="33" t="s">
        <v>46</v>
      </c>
      <c r="I17" s="34">
        <v>3</v>
      </c>
      <c r="K17" s="31">
        <v>15</v>
      </c>
      <c r="L17" s="35" t="str">
        <f t="shared" si="11"/>
        <v>CAMPO XV</v>
      </c>
      <c r="N17" s="36">
        <v>15</v>
      </c>
      <c r="O17" s="33" t="str">
        <f t="shared" si="1"/>
        <v>Girone</v>
      </c>
      <c r="P17" s="20" t="str">
        <f t="shared" si="2"/>
        <v>C</v>
      </c>
      <c r="Q17" s="37" t="str">
        <f t="shared" si="3"/>
        <v>Giraffe</v>
      </c>
      <c r="R17" s="37" t="str">
        <f t="shared" si="4"/>
        <v>Iguane</v>
      </c>
      <c r="S17" s="38">
        <v>60</v>
      </c>
      <c r="T17" s="38">
        <v>34</v>
      </c>
      <c r="U17" s="39">
        <v>44355</v>
      </c>
      <c r="V17" s="40">
        <v>0.45833333333333331</v>
      </c>
      <c r="W17" s="41">
        <v>3</v>
      </c>
      <c r="X17" s="42" t="str">
        <f t="shared" si="5"/>
        <v>Basket Giovane</v>
      </c>
      <c r="Z17" s="36">
        <v>63</v>
      </c>
      <c r="AA17" s="33" t="str">
        <f t="shared" si="6"/>
        <v>2aFase</v>
      </c>
      <c r="AB17" s="43" t="str">
        <f t="shared" si="7"/>
        <v>17-32</v>
      </c>
      <c r="AC17" s="37" t="str">
        <f t="shared" ca="1" si="8"/>
        <v>Delfini</v>
      </c>
      <c r="AD17" s="37" t="str">
        <f t="shared" ca="1" si="9"/>
        <v>Scorpioni</v>
      </c>
      <c r="AE17" s="38">
        <v>66</v>
      </c>
      <c r="AF17" s="38">
        <v>39</v>
      </c>
      <c r="AG17" s="39">
        <v>44357</v>
      </c>
      <c r="AH17" s="40">
        <v>0.70833333333333337</v>
      </c>
      <c r="AI17" s="41">
        <v>3</v>
      </c>
      <c r="AJ17" s="42" t="str">
        <f t="shared" si="10"/>
        <v>Basket Giovane</v>
      </c>
    </row>
    <row r="18" spans="4:36">
      <c r="D18" s="31">
        <v>16</v>
      </c>
      <c r="E18" s="15" t="str">
        <f t="shared" si="0"/>
        <v>D4</v>
      </c>
      <c r="F18" s="32" t="s">
        <v>49</v>
      </c>
      <c r="G18" s="32"/>
      <c r="H18" s="33" t="s">
        <v>46</v>
      </c>
      <c r="I18" s="34">
        <v>4</v>
      </c>
      <c r="K18" s="31">
        <v>16</v>
      </c>
      <c r="L18" s="35" t="str">
        <f t="shared" si="11"/>
        <v>CAMPO XVI</v>
      </c>
      <c r="N18" s="36">
        <v>16</v>
      </c>
      <c r="O18" s="33" t="str">
        <f t="shared" si="1"/>
        <v>Girone</v>
      </c>
      <c r="P18" s="20" t="str">
        <f t="shared" si="2"/>
        <v>D</v>
      </c>
      <c r="Q18" s="37" t="str">
        <f t="shared" si="3"/>
        <v>Pitoni</v>
      </c>
      <c r="R18" s="37" t="str">
        <f t="shared" si="4"/>
        <v>Falchi</v>
      </c>
      <c r="S18" s="38">
        <v>83</v>
      </c>
      <c r="T18" s="38">
        <v>57</v>
      </c>
      <c r="U18" s="39">
        <v>44355</v>
      </c>
      <c r="V18" s="40">
        <v>0.45833333333333331</v>
      </c>
      <c r="W18" s="41">
        <v>4</v>
      </c>
      <c r="X18" s="42" t="str">
        <f t="shared" si="5"/>
        <v>Nuova Scuola</v>
      </c>
      <c r="Z18" s="36">
        <v>64</v>
      </c>
      <c r="AA18" s="33" t="str">
        <f t="shared" si="6"/>
        <v>2aFase</v>
      </c>
      <c r="AB18" s="43" t="str">
        <f t="shared" si="7"/>
        <v>17-32</v>
      </c>
      <c r="AC18" s="37" t="str">
        <f t="shared" ca="1" si="8"/>
        <v>Zebre</v>
      </c>
      <c r="AD18" s="37" t="str">
        <f t="shared" ca="1" si="9"/>
        <v>Fenicotteri</v>
      </c>
      <c r="AE18" s="38">
        <v>62</v>
      </c>
      <c r="AF18" s="38">
        <v>31</v>
      </c>
      <c r="AG18" s="39">
        <v>44357</v>
      </c>
      <c r="AH18" s="40">
        <v>0.70833333333333337</v>
      </c>
      <c r="AI18" s="41">
        <v>4</v>
      </c>
      <c r="AJ18" s="42" t="str">
        <f t="shared" si="10"/>
        <v>Nuova Scuola</v>
      </c>
    </row>
    <row r="19" spans="4:36">
      <c r="D19" s="31">
        <v>17</v>
      </c>
      <c r="E19" s="15" t="str">
        <f t="shared" si="0"/>
        <v>E1</v>
      </c>
      <c r="F19" s="32" t="s">
        <v>50</v>
      </c>
      <c r="G19" s="32"/>
      <c r="H19" s="33" t="s">
        <v>51</v>
      </c>
      <c r="I19" s="34">
        <v>1</v>
      </c>
      <c r="K19" s="31">
        <v>17</v>
      </c>
      <c r="L19" s="35" t="str">
        <f t="shared" si="11"/>
        <v>CAMPO XVII</v>
      </c>
      <c r="N19" s="36">
        <v>17</v>
      </c>
      <c r="O19" s="33" t="str">
        <f t="shared" si="1"/>
        <v>Girone</v>
      </c>
      <c r="P19" s="20" t="str">
        <f t="shared" si="2"/>
        <v>E</v>
      </c>
      <c r="Q19" s="37" t="str">
        <f t="shared" si="3"/>
        <v>Bisonti</v>
      </c>
      <c r="R19" s="37" t="str">
        <f t="shared" si="4"/>
        <v>Bufali</v>
      </c>
      <c r="S19" s="38">
        <v>34</v>
      </c>
      <c r="T19" s="38">
        <v>33</v>
      </c>
      <c r="U19" s="39">
        <v>44355</v>
      </c>
      <c r="V19" s="40">
        <v>0.64583333333333337</v>
      </c>
      <c r="W19" s="41">
        <v>1</v>
      </c>
      <c r="X19" s="42" t="str">
        <f t="shared" si="5"/>
        <v>Cristo Re 1</v>
      </c>
      <c r="Z19" s="36">
        <v>65</v>
      </c>
      <c r="AA19" s="33" t="str">
        <f t="shared" si="6"/>
        <v>2aFase</v>
      </c>
      <c r="AB19" s="43" t="str">
        <f t="shared" si="7"/>
        <v>25-32</v>
      </c>
      <c r="AC19" s="37" t="str">
        <f t="shared" ca="1" si="8"/>
        <v>Iguane</v>
      </c>
      <c r="AD19" s="37" t="str">
        <f t="shared" ca="1" si="9"/>
        <v>Falchi</v>
      </c>
      <c r="AE19" s="38">
        <v>63</v>
      </c>
      <c r="AF19" s="38">
        <v>35</v>
      </c>
      <c r="AG19" s="39">
        <v>44357</v>
      </c>
      <c r="AH19" s="40">
        <v>0.77083333333333337</v>
      </c>
      <c r="AI19" s="41">
        <v>1</v>
      </c>
      <c r="AJ19" s="42" t="str">
        <f t="shared" si="10"/>
        <v>Cristo Re 1</v>
      </c>
    </row>
    <row r="20" spans="4:36">
      <c r="D20" s="31">
        <v>18</v>
      </c>
      <c r="E20" s="15" t="str">
        <f t="shared" si="0"/>
        <v>E2</v>
      </c>
      <c r="F20" s="32" t="s">
        <v>52</v>
      </c>
      <c r="G20" s="32"/>
      <c r="H20" s="33" t="s">
        <v>51</v>
      </c>
      <c r="I20" s="34">
        <v>2</v>
      </c>
      <c r="K20" s="31">
        <v>18</v>
      </c>
      <c r="L20" s="35" t="str">
        <f t="shared" si="11"/>
        <v>CAMPO XVIII</v>
      </c>
      <c r="N20" s="36">
        <v>18</v>
      </c>
      <c r="O20" s="33" t="str">
        <f t="shared" si="1"/>
        <v>Girone</v>
      </c>
      <c r="P20" s="20" t="str">
        <f t="shared" si="2"/>
        <v>F</v>
      </c>
      <c r="Q20" s="37" t="str">
        <f t="shared" si="3"/>
        <v>Balene</v>
      </c>
      <c r="R20" s="37" t="str">
        <f t="shared" si="4"/>
        <v>Gabbiani</v>
      </c>
      <c r="S20" s="38">
        <v>34</v>
      </c>
      <c r="T20" s="38">
        <v>33</v>
      </c>
      <c r="U20" s="39">
        <v>44355</v>
      </c>
      <c r="V20" s="40">
        <v>0.64583333333333337</v>
      </c>
      <c r="W20" s="41">
        <v>2</v>
      </c>
      <c r="X20" s="42" t="str">
        <f t="shared" si="5"/>
        <v>Cristo Re 2</v>
      </c>
      <c r="Z20" s="36">
        <v>66</v>
      </c>
      <c r="AA20" s="33" t="str">
        <f t="shared" si="6"/>
        <v>2aFase</v>
      </c>
      <c r="AB20" s="43" t="str">
        <f t="shared" si="7"/>
        <v>25-32</v>
      </c>
      <c r="AC20" s="37" t="str">
        <f t="shared" ca="1" si="8"/>
        <v>Ghepardi</v>
      </c>
      <c r="AD20" s="37" t="str">
        <f t="shared" ca="1" si="9"/>
        <v>Serval</v>
      </c>
      <c r="AE20" s="38">
        <v>60</v>
      </c>
      <c r="AF20" s="38">
        <v>45</v>
      </c>
      <c r="AG20" s="39">
        <v>44357</v>
      </c>
      <c r="AH20" s="40">
        <v>0.77083333333333337</v>
      </c>
      <c r="AI20" s="41">
        <v>2</v>
      </c>
      <c r="AJ20" s="42" t="str">
        <f t="shared" si="10"/>
        <v>Cristo Re 2</v>
      </c>
    </row>
    <row r="21" spans="4:36">
      <c r="D21" s="31">
        <v>19</v>
      </c>
      <c r="E21" s="15" t="str">
        <f t="shared" si="0"/>
        <v>E3</v>
      </c>
      <c r="F21" s="32" t="s">
        <v>53</v>
      </c>
      <c r="G21" s="32"/>
      <c r="H21" s="33" t="s">
        <v>51</v>
      </c>
      <c r="I21" s="34">
        <v>3</v>
      </c>
      <c r="K21" s="31">
        <v>19</v>
      </c>
      <c r="L21" s="35" t="str">
        <f t="shared" si="11"/>
        <v>CAMPO XIX</v>
      </c>
      <c r="N21" s="36">
        <v>19</v>
      </c>
      <c r="O21" s="33" t="str">
        <f t="shared" si="1"/>
        <v>Girone</v>
      </c>
      <c r="P21" s="20" t="str">
        <f t="shared" si="2"/>
        <v>G</v>
      </c>
      <c r="Q21" s="37" t="str">
        <f t="shared" si="3"/>
        <v>Istrici</v>
      </c>
      <c r="R21" s="37" t="str">
        <f t="shared" si="4"/>
        <v>Gorilla</v>
      </c>
      <c r="S21" s="38">
        <v>20</v>
      </c>
      <c r="T21" s="38">
        <v>0</v>
      </c>
      <c r="U21" s="39">
        <v>44355</v>
      </c>
      <c r="V21" s="40">
        <v>0.64583333333333337</v>
      </c>
      <c r="W21" s="41">
        <v>3</v>
      </c>
      <c r="X21" s="42" t="str">
        <f t="shared" si="5"/>
        <v>Basket Giovane</v>
      </c>
      <c r="Z21" s="36">
        <v>67</v>
      </c>
      <c r="AA21" s="33" t="str">
        <f t="shared" si="6"/>
        <v>2aFase</v>
      </c>
      <c r="AB21" s="43" t="str">
        <f t="shared" si="7"/>
        <v>25-32</v>
      </c>
      <c r="AC21" s="37" t="str">
        <f t="shared" ca="1" si="8"/>
        <v>Muli</v>
      </c>
      <c r="AD21" s="37" t="str">
        <f t="shared" ca="1" si="9"/>
        <v>Scorpioni</v>
      </c>
      <c r="AE21" s="38">
        <v>54</v>
      </c>
      <c r="AF21" s="38">
        <v>43</v>
      </c>
      <c r="AG21" s="39">
        <v>44357</v>
      </c>
      <c r="AH21" s="40">
        <v>0.77083333333333337</v>
      </c>
      <c r="AI21" s="41">
        <v>3</v>
      </c>
      <c r="AJ21" s="42" t="str">
        <f t="shared" si="10"/>
        <v>Basket Giovane</v>
      </c>
    </row>
    <row r="22" spans="4:36">
      <c r="D22" s="31">
        <v>20</v>
      </c>
      <c r="E22" s="15" t="str">
        <f t="shared" si="0"/>
        <v>E4</v>
      </c>
      <c r="F22" s="32" t="s">
        <v>54</v>
      </c>
      <c r="G22" s="32"/>
      <c r="H22" s="33" t="s">
        <v>51</v>
      </c>
      <c r="I22" s="34">
        <v>4</v>
      </c>
      <c r="K22" s="31">
        <v>20</v>
      </c>
      <c r="L22" s="35" t="str">
        <f t="shared" si="11"/>
        <v>CAMPO XX</v>
      </c>
      <c r="N22" s="36">
        <v>20</v>
      </c>
      <c r="O22" s="33" t="str">
        <f t="shared" si="1"/>
        <v>Girone</v>
      </c>
      <c r="P22" s="20" t="str">
        <f t="shared" si="2"/>
        <v>H</v>
      </c>
      <c r="Q22" s="37" t="str">
        <f t="shared" si="3"/>
        <v>Piranha</v>
      </c>
      <c r="R22" s="37" t="str">
        <f t="shared" si="4"/>
        <v>Scorpioni</v>
      </c>
      <c r="S22" s="38">
        <v>100</v>
      </c>
      <c r="T22" s="38">
        <v>83</v>
      </c>
      <c r="U22" s="39">
        <v>44355</v>
      </c>
      <c r="V22" s="40">
        <v>0.64583333333333337</v>
      </c>
      <c r="W22" s="41">
        <v>4</v>
      </c>
      <c r="X22" s="42" t="str">
        <f t="shared" si="5"/>
        <v>Nuova Scuola</v>
      </c>
      <c r="Z22" s="36">
        <v>68</v>
      </c>
      <c r="AA22" s="33" t="str">
        <f t="shared" si="6"/>
        <v>2aFase</v>
      </c>
      <c r="AB22" s="43" t="str">
        <f t="shared" si="7"/>
        <v>25-32</v>
      </c>
      <c r="AC22" s="37" t="str">
        <f t="shared" ca="1" si="8"/>
        <v>Cinghiali</v>
      </c>
      <c r="AD22" s="37" t="str">
        <f t="shared" ca="1" si="9"/>
        <v>Fenicotteri</v>
      </c>
      <c r="AE22" s="38">
        <v>52</v>
      </c>
      <c r="AF22" s="38">
        <v>49</v>
      </c>
      <c r="AG22" s="39">
        <v>44357</v>
      </c>
      <c r="AH22" s="40">
        <v>0.77083333333333337</v>
      </c>
      <c r="AI22" s="41">
        <v>4</v>
      </c>
      <c r="AJ22" s="42" t="str">
        <f t="shared" si="10"/>
        <v>Nuova Scuola</v>
      </c>
    </row>
    <row r="23" spans="4:36">
      <c r="D23" s="31">
        <v>21</v>
      </c>
      <c r="E23" s="15" t="str">
        <f t="shared" si="0"/>
        <v>F1</v>
      </c>
      <c r="F23" s="32" t="s">
        <v>55</v>
      </c>
      <c r="G23" s="32"/>
      <c r="H23" s="33" t="s">
        <v>56</v>
      </c>
      <c r="I23" s="34">
        <v>1</v>
      </c>
      <c r="K23" s="31">
        <v>21</v>
      </c>
      <c r="L23" s="35" t="str">
        <f t="shared" si="11"/>
        <v>CAMPO XXI</v>
      </c>
      <c r="N23" s="36">
        <v>21</v>
      </c>
      <c r="O23" s="33" t="str">
        <f t="shared" si="1"/>
        <v>Girone</v>
      </c>
      <c r="P23" s="20" t="str">
        <f t="shared" si="2"/>
        <v>E</v>
      </c>
      <c r="Q23" s="37" t="str">
        <f t="shared" si="3"/>
        <v>Cervi</v>
      </c>
      <c r="R23" s="37" t="str">
        <f t="shared" si="4"/>
        <v>Cinghiali</v>
      </c>
      <c r="S23" s="38">
        <v>34</v>
      </c>
      <c r="T23" s="38">
        <v>33</v>
      </c>
      <c r="U23" s="39">
        <v>44355</v>
      </c>
      <c r="V23" s="40">
        <v>0.70833333333333337</v>
      </c>
      <c r="W23" s="41">
        <v>1</v>
      </c>
      <c r="X23" s="42" t="str">
        <f t="shared" si="5"/>
        <v>Cristo Re 1</v>
      </c>
      <c r="Z23" s="36">
        <v>69</v>
      </c>
      <c r="AA23" s="33" t="str">
        <f t="shared" si="6"/>
        <v>2aFase</v>
      </c>
      <c r="AB23" s="43" t="str">
        <f t="shared" si="7"/>
        <v>1-8</v>
      </c>
      <c r="AC23" s="37" t="str">
        <f t="shared" ca="1" si="8"/>
        <v>Leoni</v>
      </c>
      <c r="AD23" s="37" t="str">
        <f t="shared" ca="1" si="9"/>
        <v>Giaguari</v>
      </c>
      <c r="AE23" s="38">
        <v>58</v>
      </c>
      <c r="AF23" s="38">
        <v>46</v>
      </c>
      <c r="AG23" s="39">
        <v>44358</v>
      </c>
      <c r="AH23" s="40">
        <v>0.375</v>
      </c>
      <c r="AI23" s="41">
        <v>1</v>
      </c>
      <c r="AJ23" s="42" t="str">
        <f t="shared" si="10"/>
        <v>Cristo Re 1</v>
      </c>
    </row>
    <row r="24" spans="4:36">
      <c r="D24" s="31">
        <v>22</v>
      </c>
      <c r="E24" s="15" t="str">
        <f t="shared" si="0"/>
        <v>F2</v>
      </c>
      <c r="F24" s="32" t="s">
        <v>57</v>
      </c>
      <c r="G24" s="32"/>
      <c r="H24" s="33" t="s">
        <v>56</v>
      </c>
      <c r="I24" s="34">
        <v>2</v>
      </c>
      <c r="K24" s="31">
        <v>22</v>
      </c>
      <c r="L24" s="35" t="str">
        <f t="shared" si="11"/>
        <v>CAMPO XXII</v>
      </c>
      <c r="N24" s="36">
        <v>22</v>
      </c>
      <c r="O24" s="33" t="str">
        <f t="shared" si="1"/>
        <v>Girone</v>
      </c>
      <c r="P24" s="20" t="str">
        <f t="shared" si="2"/>
        <v>F</v>
      </c>
      <c r="Q24" s="37" t="str">
        <f t="shared" si="3"/>
        <v>Delfini</v>
      </c>
      <c r="R24" s="37" t="str">
        <f t="shared" si="4"/>
        <v>Fenicotteri</v>
      </c>
      <c r="S24" s="38">
        <v>34</v>
      </c>
      <c r="T24" s="38">
        <v>33</v>
      </c>
      <c r="U24" s="39">
        <v>44355</v>
      </c>
      <c r="V24" s="40">
        <v>0.70833333333333337</v>
      </c>
      <c r="W24" s="41">
        <v>2</v>
      </c>
      <c r="X24" s="42" t="str">
        <f t="shared" si="5"/>
        <v>Cristo Re 2</v>
      </c>
      <c r="Z24" s="36">
        <v>70</v>
      </c>
      <c r="AA24" s="33" t="str">
        <f t="shared" si="6"/>
        <v>2aFase</v>
      </c>
      <c r="AB24" s="43" t="str">
        <f t="shared" si="7"/>
        <v>1-8</v>
      </c>
      <c r="AC24" s="37" t="str">
        <f t="shared" ca="1" si="8"/>
        <v>Bisonti</v>
      </c>
      <c r="AD24" s="37" t="str">
        <f t="shared" ca="1" si="9"/>
        <v>Balene</v>
      </c>
      <c r="AE24" s="38">
        <v>60</v>
      </c>
      <c r="AF24" s="38">
        <v>31</v>
      </c>
      <c r="AG24" s="39">
        <v>44358</v>
      </c>
      <c r="AH24" s="40">
        <v>0.375</v>
      </c>
      <c r="AI24" s="41">
        <v>2</v>
      </c>
      <c r="AJ24" s="42" t="str">
        <f t="shared" si="10"/>
        <v>Cristo Re 2</v>
      </c>
    </row>
    <row r="25" spans="4:36">
      <c r="D25" s="31">
        <v>23</v>
      </c>
      <c r="E25" s="15" t="str">
        <f t="shared" si="0"/>
        <v>F3</v>
      </c>
      <c r="F25" s="32" t="s">
        <v>58</v>
      </c>
      <c r="G25" s="32"/>
      <c r="H25" s="33" t="s">
        <v>56</v>
      </c>
      <c r="I25" s="34">
        <v>3</v>
      </c>
      <c r="K25" s="31">
        <v>23</v>
      </c>
      <c r="L25" s="35" t="str">
        <f t="shared" si="11"/>
        <v>CAMPO XXIII</v>
      </c>
      <c r="N25" s="36">
        <v>23</v>
      </c>
      <c r="O25" s="33" t="str">
        <f t="shared" si="1"/>
        <v>Girone</v>
      </c>
      <c r="P25" s="20" t="str">
        <f t="shared" si="2"/>
        <v>G</v>
      </c>
      <c r="Q25" s="37" t="str">
        <f t="shared" si="3"/>
        <v>Muli</v>
      </c>
      <c r="R25" s="37" t="str">
        <f t="shared" si="4"/>
        <v>Orche</v>
      </c>
      <c r="S25" s="38">
        <v>0</v>
      </c>
      <c r="T25" s="38">
        <v>20</v>
      </c>
      <c r="U25" s="39">
        <v>44355</v>
      </c>
      <c r="V25" s="40">
        <v>0.70833333333333337</v>
      </c>
      <c r="W25" s="41">
        <v>3</v>
      </c>
      <c r="X25" s="42" t="str">
        <f t="shared" si="5"/>
        <v>Basket Giovane</v>
      </c>
      <c r="Z25" s="36">
        <v>71</v>
      </c>
      <c r="AA25" s="33" t="str">
        <f t="shared" si="6"/>
        <v>2aFase</v>
      </c>
      <c r="AB25" s="43" t="str">
        <f t="shared" si="7"/>
        <v>17-24</v>
      </c>
      <c r="AC25" s="37" t="str">
        <f t="shared" ca="1" si="8"/>
        <v>Tigri</v>
      </c>
      <c r="AD25" s="37" t="str">
        <f t="shared" ca="1" si="9"/>
        <v>Linci</v>
      </c>
      <c r="AE25" s="38">
        <v>63</v>
      </c>
      <c r="AF25" s="38">
        <v>42</v>
      </c>
      <c r="AG25" s="39">
        <v>44358</v>
      </c>
      <c r="AH25" s="40">
        <v>0.375</v>
      </c>
      <c r="AI25" s="41">
        <v>3</v>
      </c>
      <c r="AJ25" s="42" t="str">
        <f t="shared" si="10"/>
        <v>Basket Giovane</v>
      </c>
    </row>
    <row r="26" spans="4:36">
      <c r="D26" s="31">
        <v>24</v>
      </c>
      <c r="E26" s="15" t="str">
        <f t="shared" si="0"/>
        <v>F4</v>
      </c>
      <c r="F26" s="32" t="s">
        <v>59</v>
      </c>
      <c r="G26" s="32"/>
      <c r="H26" s="33" t="s">
        <v>56</v>
      </c>
      <c r="I26" s="34">
        <v>4</v>
      </c>
      <c r="K26" s="31">
        <v>24</v>
      </c>
      <c r="L26" s="35" t="str">
        <f t="shared" si="11"/>
        <v>CAMPO XXIV</v>
      </c>
      <c r="N26" s="36">
        <v>24</v>
      </c>
      <c r="O26" s="33" t="str">
        <f t="shared" si="1"/>
        <v>Girone</v>
      </c>
      <c r="P26" s="20" t="str">
        <f t="shared" si="2"/>
        <v>H</v>
      </c>
      <c r="Q26" s="37" t="str">
        <f t="shared" si="3"/>
        <v>Tonni</v>
      </c>
      <c r="R26" s="37" t="str">
        <f t="shared" si="4"/>
        <v>Zebre</v>
      </c>
      <c r="S26" s="38">
        <v>20</v>
      </c>
      <c r="T26" s="38">
        <v>0</v>
      </c>
      <c r="U26" s="39">
        <v>44355</v>
      </c>
      <c r="V26" s="40">
        <v>0.70833333333333337</v>
      </c>
      <c r="W26" s="41">
        <v>4</v>
      </c>
      <c r="X26" s="42" t="str">
        <f t="shared" si="5"/>
        <v>Nuova Scuola</v>
      </c>
      <c r="Z26" s="36">
        <v>72</v>
      </c>
      <c r="AA26" s="33" t="str">
        <f t="shared" si="6"/>
        <v>2aFase</v>
      </c>
      <c r="AB26" s="43" t="str">
        <f t="shared" si="7"/>
        <v>17-24</v>
      </c>
      <c r="AC26" s="37" t="str">
        <f t="shared" ca="1" si="8"/>
        <v>Cervi</v>
      </c>
      <c r="AD26" s="37" t="str">
        <f t="shared" ca="1" si="9"/>
        <v>Delfini</v>
      </c>
      <c r="AE26" s="38">
        <v>68</v>
      </c>
      <c r="AF26" s="38">
        <v>46</v>
      </c>
      <c r="AG26" s="39">
        <v>44358</v>
      </c>
      <c r="AH26" s="40">
        <v>0.375</v>
      </c>
      <c r="AI26" s="41">
        <v>4</v>
      </c>
      <c r="AJ26" s="42" t="str">
        <f t="shared" si="10"/>
        <v>Nuova Scuola</v>
      </c>
    </row>
    <row r="27" spans="4:36">
      <c r="D27" s="31">
        <v>25</v>
      </c>
      <c r="E27" s="15" t="str">
        <f t="shared" si="0"/>
        <v>G1</v>
      </c>
      <c r="F27" s="32" t="s">
        <v>60</v>
      </c>
      <c r="G27" s="32"/>
      <c r="H27" s="33" t="s">
        <v>61</v>
      </c>
      <c r="I27" s="34">
        <v>1</v>
      </c>
      <c r="K27" s="31">
        <v>25</v>
      </c>
      <c r="L27" s="35" t="str">
        <f t="shared" si="11"/>
        <v>CAMPO XXV</v>
      </c>
      <c r="N27" s="36">
        <v>25</v>
      </c>
      <c r="O27" s="33" t="str">
        <f t="shared" si="1"/>
        <v>Girone</v>
      </c>
      <c r="P27" s="20" t="str">
        <f t="shared" si="2"/>
        <v>A</v>
      </c>
      <c r="Q27" s="37" t="str">
        <f t="shared" si="3"/>
        <v>Leoni</v>
      </c>
      <c r="R27" s="37" t="str">
        <f t="shared" si="4"/>
        <v>Ghepardi</v>
      </c>
      <c r="S27" s="38">
        <v>82</v>
      </c>
      <c r="T27" s="38">
        <v>25</v>
      </c>
      <c r="U27" s="39">
        <v>44355</v>
      </c>
      <c r="V27" s="40">
        <v>0.77083333333333337</v>
      </c>
      <c r="W27" s="41">
        <v>1</v>
      </c>
      <c r="X27" s="42" t="str">
        <f t="shared" si="5"/>
        <v>Cristo Re 1</v>
      </c>
      <c r="Z27" s="36">
        <v>73</v>
      </c>
      <c r="AA27" s="33" t="str">
        <f t="shared" si="6"/>
        <v>2aFase</v>
      </c>
      <c r="AB27" s="43" t="str">
        <f t="shared" si="7"/>
        <v>1-8</v>
      </c>
      <c r="AC27" s="37" t="str">
        <f t="shared" ca="1" si="8"/>
        <v>Pantere</v>
      </c>
      <c r="AD27" s="37" t="str">
        <f t="shared" ca="1" si="9"/>
        <v>Coccodrilli</v>
      </c>
      <c r="AE27" s="38">
        <v>56</v>
      </c>
      <c r="AF27" s="38">
        <v>34</v>
      </c>
      <c r="AG27" s="39">
        <v>44358</v>
      </c>
      <c r="AH27" s="40">
        <v>0.45833333333333331</v>
      </c>
      <c r="AI27" s="41">
        <v>1</v>
      </c>
      <c r="AJ27" s="42" t="str">
        <f t="shared" si="10"/>
        <v>Cristo Re 1</v>
      </c>
    </row>
    <row r="28" spans="4:36">
      <c r="D28" s="31">
        <v>26</v>
      </c>
      <c r="E28" s="15" t="str">
        <f t="shared" si="0"/>
        <v>G2</v>
      </c>
      <c r="F28" s="32" t="s">
        <v>62</v>
      </c>
      <c r="G28" s="32"/>
      <c r="H28" s="33" t="s">
        <v>61</v>
      </c>
      <c r="I28" s="34">
        <v>2</v>
      </c>
      <c r="K28" s="31">
        <v>26</v>
      </c>
      <c r="L28" s="35" t="str">
        <f t="shared" si="11"/>
        <v>CAMPO XXVI</v>
      </c>
      <c r="N28" s="36">
        <v>26</v>
      </c>
      <c r="O28" s="33" t="str">
        <f t="shared" si="1"/>
        <v>Girone</v>
      </c>
      <c r="P28" s="20" t="str">
        <f t="shared" si="2"/>
        <v>B</v>
      </c>
      <c r="Q28" s="37" t="str">
        <f t="shared" si="3"/>
        <v>Giaguari</v>
      </c>
      <c r="R28" s="37" t="str">
        <f t="shared" si="4"/>
        <v>Serval</v>
      </c>
      <c r="S28" s="38">
        <v>76</v>
      </c>
      <c r="T28" s="38">
        <v>94</v>
      </c>
      <c r="U28" s="39">
        <v>44355</v>
      </c>
      <c r="V28" s="40">
        <v>0.77083333333333337</v>
      </c>
      <c r="W28" s="41">
        <v>2</v>
      </c>
      <c r="X28" s="42" t="str">
        <f t="shared" si="5"/>
        <v>Cristo Re 2</v>
      </c>
      <c r="Z28" s="36">
        <v>74</v>
      </c>
      <c r="AA28" s="33" t="str">
        <f t="shared" si="6"/>
        <v>2aFase</v>
      </c>
      <c r="AB28" s="43" t="str">
        <f t="shared" si="7"/>
        <v>1-8</v>
      </c>
      <c r="AC28" s="37" t="str">
        <f t="shared" ca="1" si="8"/>
        <v>Istrici</v>
      </c>
      <c r="AD28" s="37" t="str">
        <f t="shared" ca="1" si="9"/>
        <v>Piranha</v>
      </c>
      <c r="AE28" s="38">
        <v>52</v>
      </c>
      <c r="AF28" s="38">
        <v>36</v>
      </c>
      <c r="AG28" s="39">
        <v>44358</v>
      </c>
      <c r="AH28" s="40">
        <v>0.45833333333333331</v>
      </c>
      <c r="AI28" s="41">
        <v>2</v>
      </c>
      <c r="AJ28" s="42" t="str">
        <f t="shared" si="10"/>
        <v>Cristo Re 2</v>
      </c>
    </row>
    <row r="29" spans="4:36">
      <c r="D29" s="31">
        <v>27</v>
      </c>
      <c r="E29" s="15" t="str">
        <f t="shared" si="0"/>
        <v>G3</v>
      </c>
      <c r="F29" s="32" t="s">
        <v>63</v>
      </c>
      <c r="G29" s="32"/>
      <c r="H29" s="33" t="s">
        <v>61</v>
      </c>
      <c r="I29" s="34">
        <v>3</v>
      </c>
      <c r="K29" s="31">
        <v>27</v>
      </c>
      <c r="L29" s="35" t="str">
        <f t="shared" si="11"/>
        <v>CAMPO XXVII</v>
      </c>
      <c r="N29" s="36">
        <v>27</v>
      </c>
      <c r="O29" s="33" t="str">
        <f t="shared" si="1"/>
        <v>Girone</v>
      </c>
      <c r="P29" s="20" t="str">
        <f t="shared" si="2"/>
        <v>C</v>
      </c>
      <c r="Q29" s="37" t="str">
        <f t="shared" si="3"/>
        <v>Elefanti</v>
      </c>
      <c r="R29" s="37" t="str">
        <f t="shared" si="4"/>
        <v>Iguane</v>
      </c>
      <c r="S29" s="38">
        <v>57</v>
      </c>
      <c r="T29" s="38">
        <v>42</v>
      </c>
      <c r="U29" s="39">
        <v>44355</v>
      </c>
      <c r="V29" s="40">
        <v>0.77083333333333337</v>
      </c>
      <c r="W29" s="41">
        <v>3</v>
      </c>
      <c r="X29" s="42" t="str">
        <f t="shared" si="5"/>
        <v>Basket Giovane</v>
      </c>
      <c r="Z29" s="36">
        <v>75</v>
      </c>
      <c r="AA29" s="33" t="str">
        <f t="shared" si="6"/>
        <v>2aFase</v>
      </c>
      <c r="AB29" s="43" t="str">
        <f t="shared" si="7"/>
        <v>17-24</v>
      </c>
      <c r="AC29" s="37" t="str">
        <f t="shared" ca="1" si="8"/>
        <v>Ippopotami</v>
      </c>
      <c r="AD29" s="37" t="str">
        <f t="shared" ca="1" si="9"/>
        <v>Pitoni</v>
      </c>
      <c r="AE29" s="38">
        <v>68</v>
      </c>
      <c r="AF29" s="38">
        <v>45</v>
      </c>
      <c r="AG29" s="39">
        <v>44358</v>
      </c>
      <c r="AH29" s="40">
        <v>0.45833333333333331</v>
      </c>
      <c r="AI29" s="41">
        <v>3</v>
      </c>
      <c r="AJ29" s="42" t="str">
        <f t="shared" si="10"/>
        <v>Basket Giovane</v>
      </c>
    </row>
    <row r="30" spans="4:36">
      <c r="D30" s="31">
        <v>28</v>
      </c>
      <c r="E30" s="15" t="str">
        <f t="shared" si="0"/>
        <v>G4</v>
      </c>
      <c r="F30" s="32" t="s">
        <v>64</v>
      </c>
      <c r="G30" s="32"/>
      <c r="H30" s="33" t="s">
        <v>61</v>
      </c>
      <c r="I30" s="34">
        <v>4</v>
      </c>
      <c r="K30" s="31">
        <v>28</v>
      </c>
      <c r="L30" s="35" t="str">
        <f t="shared" si="11"/>
        <v>CAMPO XXVIII</v>
      </c>
      <c r="N30" s="36">
        <v>28</v>
      </c>
      <c r="O30" s="33" t="str">
        <f t="shared" si="1"/>
        <v>Girone</v>
      </c>
      <c r="P30" s="20" t="str">
        <f t="shared" si="2"/>
        <v>D</v>
      </c>
      <c r="Q30" s="37" t="str">
        <f t="shared" si="3"/>
        <v>Coccodrilli</v>
      </c>
      <c r="R30" s="37" t="str">
        <f t="shared" si="4"/>
        <v>Falchi</v>
      </c>
      <c r="S30" s="38">
        <v>54</v>
      </c>
      <c r="T30" s="38">
        <v>44</v>
      </c>
      <c r="U30" s="39">
        <v>44355</v>
      </c>
      <c r="V30" s="40">
        <v>0.77083333333333337</v>
      </c>
      <c r="W30" s="41">
        <v>4</v>
      </c>
      <c r="X30" s="42" t="str">
        <f t="shared" si="5"/>
        <v>Nuova Scuola</v>
      </c>
      <c r="Z30" s="36">
        <v>76</v>
      </c>
      <c r="AA30" s="33" t="str">
        <f t="shared" si="6"/>
        <v>2aFase</v>
      </c>
      <c r="AB30" s="43" t="str">
        <f t="shared" si="7"/>
        <v>17-24</v>
      </c>
      <c r="AC30" s="37" t="str">
        <f t="shared" ca="1" si="8"/>
        <v>Orche</v>
      </c>
      <c r="AD30" s="37" t="str">
        <f t="shared" ca="1" si="9"/>
        <v>Zebre</v>
      </c>
      <c r="AE30" s="38">
        <v>64</v>
      </c>
      <c r="AF30" s="38">
        <v>32</v>
      </c>
      <c r="AG30" s="39">
        <v>44358</v>
      </c>
      <c r="AH30" s="40">
        <v>0.45833333333333331</v>
      </c>
      <c r="AI30" s="41">
        <v>4</v>
      </c>
      <c r="AJ30" s="42" t="str">
        <f t="shared" si="10"/>
        <v>Nuova Scuola</v>
      </c>
    </row>
    <row r="31" spans="4:36">
      <c r="D31" s="31">
        <v>29</v>
      </c>
      <c r="E31" s="15" t="str">
        <f t="shared" si="0"/>
        <v>H1</v>
      </c>
      <c r="F31" s="32" t="s">
        <v>65</v>
      </c>
      <c r="G31" s="32"/>
      <c r="H31" s="33" t="s">
        <v>66</v>
      </c>
      <c r="I31" s="34">
        <v>1</v>
      </c>
      <c r="K31" s="31">
        <v>29</v>
      </c>
      <c r="L31" s="35" t="str">
        <f t="shared" si="11"/>
        <v>CAMPO XXIX</v>
      </c>
      <c r="N31" s="36">
        <v>29</v>
      </c>
      <c r="O31" s="33" t="str">
        <f t="shared" si="1"/>
        <v>Girone</v>
      </c>
      <c r="P31" s="20" t="str">
        <f t="shared" si="2"/>
        <v>E</v>
      </c>
      <c r="Q31" s="37" t="str">
        <f t="shared" si="3"/>
        <v>Bisonti</v>
      </c>
      <c r="R31" s="37" t="str">
        <f t="shared" si="4"/>
        <v>Cervi</v>
      </c>
      <c r="S31" s="38">
        <v>33</v>
      </c>
      <c r="T31" s="38">
        <v>34</v>
      </c>
      <c r="U31" s="39">
        <v>44356</v>
      </c>
      <c r="V31" s="40">
        <v>0.375</v>
      </c>
      <c r="W31" s="41">
        <v>1</v>
      </c>
      <c r="X31" s="42" t="str">
        <f t="shared" si="5"/>
        <v>Cristo Re 1</v>
      </c>
      <c r="Z31" s="36">
        <v>77</v>
      </c>
      <c r="AA31" s="33" t="str">
        <f t="shared" si="6"/>
        <v>2aFase</v>
      </c>
      <c r="AB31" s="43" t="str">
        <f t="shared" si="7"/>
        <v>9-16</v>
      </c>
      <c r="AC31" s="37" t="str">
        <f t="shared" ca="1" si="8"/>
        <v>Elefanti</v>
      </c>
      <c r="AD31" s="37" t="str">
        <f t="shared" ca="1" si="9"/>
        <v>Aquile</v>
      </c>
      <c r="AE31" s="38">
        <v>56</v>
      </c>
      <c r="AF31" s="38">
        <v>36</v>
      </c>
      <c r="AG31" s="39">
        <v>44358</v>
      </c>
      <c r="AH31" s="40">
        <v>0.64583333333333337</v>
      </c>
      <c r="AI31" s="41">
        <v>1</v>
      </c>
      <c r="AJ31" s="42" t="str">
        <f t="shared" si="10"/>
        <v>Cristo Re 1</v>
      </c>
    </row>
    <row r="32" spans="4:36">
      <c r="D32" s="31">
        <v>30</v>
      </c>
      <c r="E32" s="15" t="str">
        <f t="shared" si="0"/>
        <v>H2</v>
      </c>
      <c r="F32" s="32" t="s">
        <v>67</v>
      </c>
      <c r="G32" s="32"/>
      <c r="H32" s="33" t="s">
        <v>66</v>
      </c>
      <c r="I32" s="34">
        <v>2</v>
      </c>
      <c r="K32" s="31">
        <v>30</v>
      </c>
      <c r="L32" s="35" t="str">
        <f t="shared" si="11"/>
        <v>CAMPO XXX</v>
      </c>
      <c r="N32" s="36">
        <v>30</v>
      </c>
      <c r="O32" s="33" t="str">
        <f t="shared" si="1"/>
        <v>Girone</v>
      </c>
      <c r="P32" s="20" t="str">
        <f t="shared" si="2"/>
        <v>F</v>
      </c>
      <c r="Q32" s="37" t="str">
        <f t="shared" si="3"/>
        <v>Balene</v>
      </c>
      <c r="R32" s="37" t="str">
        <f t="shared" si="4"/>
        <v>Delfini</v>
      </c>
      <c r="S32" s="38">
        <v>33</v>
      </c>
      <c r="T32" s="38">
        <v>34</v>
      </c>
      <c r="U32" s="39">
        <v>44356</v>
      </c>
      <c r="V32" s="40">
        <v>0.375</v>
      </c>
      <c r="W32" s="41">
        <v>2</v>
      </c>
      <c r="X32" s="42" t="str">
        <f t="shared" si="5"/>
        <v>Cristo Re 2</v>
      </c>
      <c r="Z32" s="36">
        <v>78</v>
      </c>
      <c r="AA32" s="33" t="str">
        <f t="shared" si="6"/>
        <v>2aFase</v>
      </c>
      <c r="AB32" s="43" t="str">
        <f t="shared" si="7"/>
        <v>9-16</v>
      </c>
      <c r="AC32" s="37" t="str">
        <f t="shared" ca="1" si="8"/>
        <v>Gorilla</v>
      </c>
      <c r="AD32" s="37" t="str">
        <f t="shared" ca="1" si="9"/>
        <v>Tonni</v>
      </c>
      <c r="AE32" s="38">
        <v>64</v>
      </c>
      <c r="AF32" s="38">
        <v>40</v>
      </c>
      <c r="AG32" s="39">
        <v>44358</v>
      </c>
      <c r="AH32" s="40">
        <v>0.64583333333333337</v>
      </c>
      <c r="AI32" s="41">
        <v>2</v>
      </c>
      <c r="AJ32" s="42" t="str">
        <f t="shared" si="10"/>
        <v>Cristo Re 2</v>
      </c>
    </row>
    <row r="33" spans="1:36">
      <c r="D33" s="31">
        <v>31</v>
      </c>
      <c r="E33" s="15" t="str">
        <f t="shared" si="0"/>
        <v>H3</v>
      </c>
      <c r="F33" s="32" t="s">
        <v>68</v>
      </c>
      <c r="G33" s="32"/>
      <c r="H33" s="33" t="s">
        <v>66</v>
      </c>
      <c r="I33" s="34">
        <v>3</v>
      </c>
      <c r="K33" s="31">
        <v>31</v>
      </c>
      <c r="L33" s="35" t="str">
        <f t="shared" si="11"/>
        <v>CAMPO XXXI</v>
      </c>
      <c r="N33" s="36">
        <v>31</v>
      </c>
      <c r="O33" s="33" t="str">
        <f t="shared" si="1"/>
        <v>Girone</v>
      </c>
      <c r="P33" s="20" t="str">
        <f t="shared" si="2"/>
        <v>G</v>
      </c>
      <c r="Q33" s="37" t="str">
        <f t="shared" si="3"/>
        <v>Istrici</v>
      </c>
      <c r="R33" s="37" t="str">
        <f t="shared" si="4"/>
        <v>Muli</v>
      </c>
      <c r="S33" s="38">
        <v>20</v>
      </c>
      <c r="T33" s="38">
        <v>0</v>
      </c>
      <c r="U33" s="39">
        <v>44356</v>
      </c>
      <c r="V33" s="40">
        <v>0.375</v>
      </c>
      <c r="W33" s="41">
        <v>3</v>
      </c>
      <c r="X33" s="42" t="str">
        <f t="shared" si="5"/>
        <v>Basket Giovane</v>
      </c>
      <c r="Z33" s="36">
        <v>79</v>
      </c>
      <c r="AA33" s="33" t="str">
        <f t="shared" si="6"/>
        <v>2aFase</v>
      </c>
      <c r="AB33" s="43" t="str">
        <f t="shared" si="7"/>
        <v>9-16</v>
      </c>
      <c r="AC33" s="37" t="str">
        <f t="shared" ca="1" si="8"/>
        <v>Giraffe</v>
      </c>
      <c r="AD33" s="37" t="str">
        <f t="shared" ca="1" si="9"/>
        <v>Puma</v>
      </c>
      <c r="AE33" s="38">
        <v>63</v>
      </c>
      <c r="AF33" s="38">
        <v>42</v>
      </c>
      <c r="AG33" s="39">
        <v>44358</v>
      </c>
      <c r="AH33" s="40">
        <v>0.64583333333333337</v>
      </c>
      <c r="AI33" s="41">
        <v>3</v>
      </c>
      <c r="AJ33" s="42" t="str">
        <f t="shared" si="10"/>
        <v>Basket Giovane</v>
      </c>
    </row>
    <row r="34" spans="1:36">
      <c r="D34" s="44">
        <v>32</v>
      </c>
      <c r="E34" s="15" t="str">
        <f t="shared" si="0"/>
        <v>H4</v>
      </c>
      <c r="F34" s="45" t="s">
        <v>69</v>
      </c>
      <c r="G34" s="45"/>
      <c r="H34" s="46" t="s">
        <v>66</v>
      </c>
      <c r="I34" s="47">
        <v>4</v>
      </c>
      <c r="K34" s="44">
        <v>32</v>
      </c>
      <c r="L34" s="48" t="str">
        <f t="shared" si="11"/>
        <v>CAMPO XXXII</v>
      </c>
      <c r="N34" s="36">
        <v>32</v>
      </c>
      <c r="O34" s="33" t="str">
        <f t="shared" si="1"/>
        <v>Girone</v>
      </c>
      <c r="P34" s="20" t="str">
        <f t="shared" si="2"/>
        <v>H</v>
      </c>
      <c r="Q34" s="37" t="str">
        <f t="shared" si="3"/>
        <v>Piranha</v>
      </c>
      <c r="R34" s="37" t="str">
        <f t="shared" si="4"/>
        <v>Tonni</v>
      </c>
      <c r="S34" s="38">
        <v>97</v>
      </c>
      <c r="T34" s="38">
        <v>78</v>
      </c>
      <c r="U34" s="39">
        <v>44356</v>
      </c>
      <c r="V34" s="40">
        <v>0.375</v>
      </c>
      <c r="W34" s="41">
        <v>4</v>
      </c>
      <c r="X34" s="42" t="str">
        <f t="shared" si="5"/>
        <v>Nuova Scuola</v>
      </c>
      <c r="Z34" s="36">
        <v>80</v>
      </c>
      <c r="AA34" s="33" t="str">
        <f t="shared" si="6"/>
        <v>2aFase</v>
      </c>
      <c r="AB34" s="43" t="str">
        <f t="shared" si="7"/>
        <v>9-16</v>
      </c>
      <c r="AC34" s="37" t="str">
        <f t="shared" ca="1" si="8"/>
        <v>Bufali</v>
      </c>
      <c r="AD34" s="37" t="str">
        <f t="shared" ca="1" si="9"/>
        <v>Gabbiani</v>
      </c>
      <c r="AE34" s="38">
        <v>65</v>
      </c>
      <c r="AF34" s="38">
        <v>49</v>
      </c>
      <c r="AG34" s="39">
        <v>44358</v>
      </c>
      <c r="AH34" s="40">
        <v>0.64583333333333337</v>
      </c>
      <c r="AI34" s="41">
        <v>4</v>
      </c>
      <c r="AJ34" s="42" t="str">
        <f t="shared" si="10"/>
        <v>Nuova Scuola</v>
      </c>
    </row>
    <row r="35" spans="1:36">
      <c r="K35" s="49"/>
      <c r="N35" s="36">
        <v>33</v>
      </c>
      <c r="O35" s="33" t="str">
        <f t="shared" si="1"/>
        <v>Girone</v>
      </c>
      <c r="P35" s="20" t="str">
        <f t="shared" si="2"/>
        <v>E</v>
      </c>
      <c r="Q35" s="37" t="str">
        <f t="shared" si="3"/>
        <v>Bufali</v>
      </c>
      <c r="R35" s="37" t="str">
        <f t="shared" si="4"/>
        <v>Cinghiali</v>
      </c>
      <c r="S35" s="38">
        <v>35</v>
      </c>
      <c r="T35" s="38">
        <v>33</v>
      </c>
      <c r="U35" s="39">
        <v>44356</v>
      </c>
      <c r="V35" s="40">
        <v>0.45833333333333331</v>
      </c>
      <c r="W35" s="41">
        <v>1</v>
      </c>
      <c r="X35" s="42" t="str">
        <f t="shared" si="5"/>
        <v>Cristo Re 1</v>
      </c>
      <c r="Z35" s="36">
        <v>81</v>
      </c>
      <c r="AA35" s="33" t="str">
        <f t="shared" si="6"/>
        <v>2aFase</v>
      </c>
      <c r="AB35" s="43" t="str">
        <f t="shared" si="7"/>
        <v>25-28</v>
      </c>
      <c r="AC35" s="37" t="str">
        <f t="shared" ca="1" si="8"/>
        <v>Iguane</v>
      </c>
      <c r="AD35" s="37" t="str">
        <f t="shared" ca="1" si="9"/>
        <v>Muli</v>
      </c>
      <c r="AE35" s="38">
        <v>55</v>
      </c>
      <c r="AF35" s="38">
        <v>41</v>
      </c>
      <c r="AG35" s="39">
        <v>44358</v>
      </c>
      <c r="AH35" s="40">
        <v>0.70833333333333337</v>
      </c>
      <c r="AI35" s="41">
        <v>1</v>
      </c>
      <c r="AJ35" s="42" t="str">
        <f t="shared" si="10"/>
        <v>Cristo Re 1</v>
      </c>
    </row>
    <row r="36" spans="1:36">
      <c r="N36" s="36">
        <v>34</v>
      </c>
      <c r="O36" s="33" t="str">
        <f t="shared" si="1"/>
        <v>Girone</v>
      </c>
      <c r="P36" s="20" t="str">
        <f t="shared" si="2"/>
        <v>F</v>
      </c>
      <c r="Q36" s="37" t="str">
        <f t="shared" si="3"/>
        <v>Gabbiani</v>
      </c>
      <c r="R36" s="37" t="str">
        <f t="shared" si="4"/>
        <v>Fenicotteri</v>
      </c>
      <c r="S36" s="38">
        <v>35</v>
      </c>
      <c r="T36" s="38">
        <v>34</v>
      </c>
      <c r="U36" s="39">
        <v>44356</v>
      </c>
      <c r="V36" s="40">
        <v>0.45833333333333331</v>
      </c>
      <c r="W36" s="41">
        <v>2</v>
      </c>
      <c r="X36" s="42" t="str">
        <f t="shared" si="5"/>
        <v>Cristo Re 2</v>
      </c>
      <c r="Z36" s="36">
        <v>82</v>
      </c>
      <c r="AA36" s="33" t="str">
        <f t="shared" si="6"/>
        <v>2aFase</v>
      </c>
      <c r="AB36" s="43" t="str">
        <f t="shared" si="7"/>
        <v>25-28</v>
      </c>
      <c r="AC36" s="37" t="str">
        <f t="shared" ca="1" si="8"/>
        <v>Delfini</v>
      </c>
      <c r="AD36" s="37" t="str">
        <f t="shared" ca="1" si="9"/>
        <v>Ghepardi</v>
      </c>
      <c r="AE36" s="38">
        <v>63</v>
      </c>
      <c r="AF36" s="38">
        <v>37</v>
      </c>
      <c r="AG36" s="39">
        <v>44358</v>
      </c>
      <c r="AH36" s="40">
        <v>0.70833333333333337</v>
      </c>
      <c r="AI36" s="41">
        <v>2</v>
      </c>
      <c r="AJ36" s="42" t="str">
        <f t="shared" si="10"/>
        <v>Cristo Re 2</v>
      </c>
    </row>
    <row r="37" spans="1:36">
      <c r="N37" s="36">
        <v>35</v>
      </c>
      <c r="O37" s="33" t="str">
        <f t="shared" si="1"/>
        <v>Girone</v>
      </c>
      <c r="P37" s="20" t="str">
        <f t="shared" si="2"/>
        <v>G</v>
      </c>
      <c r="Q37" s="37" t="str">
        <f t="shared" si="3"/>
        <v>Gorilla</v>
      </c>
      <c r="R37" s="37" t="str">
        <f t="shared" si="4"/>
        <v>Orche</v>
      </c>
      <c r="S37" s="38">
        <v>20</v>
      </c>
      <c r="T37" s="38">
        <v>0</v>
      </c>
      <c r="U37" s="39">
        <v>44356</v>
      </c>
      <c r="V37" s="40">
        <v>0.45833333333333331</v>
      </c>
      <c r="W37" s="41">
        <v>3</v>
      </c>
      <c r="X37" s="42" t="str">
        <f t="shared" si="5"/>
        <v>Basket Giovane</v>
      </c>
      <c r="Z37" s="36">
        <v>83</v>
      </c>
      <c r="AA37" s="33" t="str">
        <f t="shared" si="6"/>
        <v>2aFase</v>
      </c>
      <c r="AB37" s="43" t="str">
        <f t="shared" si="7"/>
        <v>29-32</v>
      </c>
      <c r="AC37" s="37" t="str">
        <f t="shared" ca="1" si="8"/>
        <v>Falchi</v>
      </c>
      <c r="AD37" s="37" t="str">
        <f t="shared" ca="1" si="9"/>
        <v>Scorpioni</v>
      </c>
      <c r="AE37" s="38">
        <v>52</v>
      </c>
      <c r="AF37" s="38">
        <v>40</v>
      </c>
      <c r="AG37" s="39">
        <v>44358</v>
      </c>
      <c r="AH37" s="40">
        <v>0.70833333333333337</v>
      </c>
      <c r="AI37" s="41">
        <v>3</v>
      </c>
      <c r="AJ37" s="42" t="str">
        <f t="shared" si="10"/>
        <v>Basket Giovane</v>
      </c>
    </row>
    <row r="38" spans="1:36">
      <c r="N38" s="36">
        <v>36</v>
      </c>
      <c r="O38" s="33" t="str">
        <f t="shared" si="1"/>
        <v>Girone</v>
      </c>
      <c r="P38" s="20" t="str">
        <f t="shared" si="2"/>
        <v>H</v>
      </c>
      <c r="Q38" s="37" t="str">
        <f t="shared" si="3"/>
        <v>Scorpioni</v>
      </c>
      <c r="R38" s="37" t="str">
        <f t="shared" si="4"/>
        <v>Zebre</v>
      </c>
      <c r="S38" s="38">
        <v>74</v>
      </c>
      <c r="T38" s="38">
        <v>79</v>
      </c>
      <c r="U38" s="39">
        <v>44356</v>
      </c>
      <c r="V38" s="40">
        <v>0.45833333333333331</v>
      </c>
      <c r="W38" s="41">
        <v>4</v>
      </c>
      <c r="X38" s="42" t="str">
        <f t="shared" si="5"/>
        <v>Nuova Scuola</v>
      </c>
      <c r="Z38" s="36">
        <v>84</v>
      </c>
      <c r="AA38" s="33" t="str">
        <f t="shared" si="6"/>
        <v>2aFase</v>
      </c>
      <c r="AB38" s="43" t="str">
        <f t="shared" si="7"/>
        <v>29-32</v>
      </c>
      <c r="AC38" s="37" t="str">
        <f t="shared" ca="1" si="8"/>
        <v>Scorpioni</v>
      </c>
      <c r="AD38" s="37" t="str">
        <f t="shared" ca="1" si="9"/>
        <v>Serval</v>
      </c>
      <c r="AE38" s="38">
        <v>52</v>
      </c>
      <c r="AF38" s="38">
        <v>36</v>
      </c>
      <c r="AG38" s="39">
        <v>44358</v>
      </c>
      <c r="AH38" s="40">
        <v>0.70833333333333337</v>
      </c>
      <c r="AI38" s="41">
        <v>4</v>
      </c>
      <c r="AJ38" s="42" t="str">
        <f t="shared" si="10"/>
        <v>Nuova Scuola</v>
      </c>
    </row>
    <row r="39" spans="1:36">
      <c r="N39" s="36">
        <v>37</v>
      </c>
      <c r="O39" s="33" t="str">
        <f t="shared" si="1"/>
        <v>Girone</v>
      </c>
      <c r="P39" s="20" t="str">
        <f t="shared" si="2"/>
        <v>A</v>
      </c>
      <c r="Q39" s="37" t="str">
        <f t="shared" si="3"/>
        <v>Pantere</v>
      </c>
      <c r="R39" s="37" t="str">
        <f t="shared" si="4"/>
        <v>Tigri</v>
      </c>
      <c r="S39" s="38">
        <v>93</v>
      </c>
      <c r="T39" s="38">
        <v>30</v>
      </c>
      <c r="U39" s="39">
        <v>44356</v>
      </c>
      <c r="V39" s="40">
        <v>0.64583333333333337</v>
      </c>
      <c r="W39" s="41">
        <v>1</v>
      </c>
      <c r="X39" s="42" t="str">
        <f t="shared" si="5"/>
        <v>Cristo Re 1</v>
      </c>
      <c r="Z39" s="36">
        <v>85</v>
      </c>
      <c r="AA39" s="33" t="str">
        <f t="shared" si="6"/>
        <v>2aFase</v>
      </c>
      <c r="AB39" s="43" t="str">
        <f t="shared" si="7"/>
        <v>5-8</v>
      </c>
      <c r="AC39" s="37" t="str">
        <f t="shared" ca="1" si="8"/>
        <v>Giaguari</v>
      </c>
      <c r="AD39" s="37" t="str">
        <f t="shared" ca="1" si="9"/>
        <v>Balene</v>
      </c>
      <c r="AE39" s="38">
        <v>70</v>
      </c>
      <c r="AF39" s="38">
        <v>42</v>
      </c>
      <c r="AG39" s="39">
        <v>44358</v>
      </c>
      <c r="AH39" s="40">
        <v>0.77083333333333337</v>
      </c>
      <c r="AI39" s="41">
        <v>1</v>
      </c>
      <c r="AJ39" s="42" t="str">
        <f t="shared" si="10"/>
        <v>Cristo Re 1</v>
      </c>
    </row>
    <row r="40" spans="1:36">
      <c r="A40" s="234" t="s">
        <v>70</v>
      </c>
      <c r="B40" s="234"/>
      <c r="N40" s="36">
        <v>38</v>
      </c>
      <c r="O40" s="33" t="str">
        <f t="shared" si="1"/>
        <v>Girone</v>
      </c>
      <c r="P40" s="20" t="str">
        <f t="shared" si="2"/>
        <v>B</v>
      </c>
      <c r="Q40" s="37" t="str">
        <f t="shared" si="3"/>
        <v>Puma</v>
      </c>
      <c r="R40" s="37" t="str">
        <f t="shared" si="4"/>
        <v>Linci</v>
      </c>
      <c r="S40" s="38">
        <v>97</v>
      </c>
      <c r="T40" s="38">
        <v>72</v>
      </c>
      <c r="U40" s="39">
        <v>44356</v>
      </c>
      <c r="V40" s="40">
        <v>0.64583333333333337</v>
      </c>
      <c r="W40" s="41">
        <v>2</v>
      </c>
      <c r="X40" s="42" t="str">
        <f t="shared" si="5"/>
        <v>Cristo Re 2</v>
      </c>
      <c r="Z40" s="36">
        <v>86</v>
      </c>
      <c r="AA40" s="33" t="str">
        <f t="shared" si="6"/>
        <v>2aFase</v>
      </c>
      <c r="AB40" s="43" t="str">
        <f t="shared" si="7"/>
        <v>5-8</v>
      </c>
      <c r="AC40" s="37" t="str">
        <f t="shared" ca="1" si="8"/>
        <v>Coccodrilli</v>
      </c>
      <c r="AD40" s="37" t="str">
        <f t="shared" ca="1" si="9"/>
        <v>Piranha</v>
      </c>
      <c r="AE40" s="38">
        <v>55</v>
      </c>
      <c r="AF40" s="38">
        <v>35</v>
      </c>
      <c r="AG40" s="39">
        <v>44358</v>
      </c>
      <c r="AH40" s="40">
        <v>0.77083333333333337</v>
      </c>
      <c r="AI40" s="41">
        <v>2</v>
      </c>
      <c r="AJ40" s="42" t="str">
        <f t="shared" si="10"/>
        <v>Cristo Re 2</v>
      </c>
    </row>
    <row r="41" spans="1:36">
      <c r="A41" s="50" t="s">
        <v>71</v>
      </c>
      <c r="B41" s="51" t="s">
        <v>72</v>
      </c>
      <c r="N41" s="36">
        <v>39</v>
      </c>
      <c r="O41" s="33" t="str">
        <f t="shared" si="1"/>
        <v>Girone</v>
      </c>
      <c r="P41" s="20" t="str">
        <f t="shared" si="2"/>
        <v>C</v>
      </c>
      <c r="Q41" s="37" t="str">
        <f t="shared" si="3"/>
        <v>Giraffe</v>
      </c>
      <c r="R41" s="37" t="str">
        <f t="shared" si="4"/>
        <v>Ippopotami</v>
      </c>
      <c r="S41" s="38">
        <v>98</v>
      </c>
      <c r="T41" s="38">
        <v>49</v>
      </c>
      <c r="U41" s="39">
        <v>44356</v>
      </c>
      <c r="V41" s="40">
        <v>0.64583333333333337</v>
      </c>
      <c r="W41" s="41">
        <v>3</v>
      </c>
      <c r="X41" s="42" t="str">
        <f t="shared" si="5"/>
        <v>Basket Giovane</v>
      </c>
      <c r="Z41" s="36">
        <v>87</v>
      </c>
      <c r="AA41" s="33" t="str">
        <f t="shared" si="6"/>
        <v>2aFase</v>
      </c>
      <c r="AB41" s="43" t="str">
        <f t="shared" si="7"/>
        <v>1-4</v>
      </c>
      <c r="AC41" s="37" t="str">
        <f t="shared" ca="1" si="8"/>
        <v>Leoni</v>
      </c>
      <c r="AD41" s="37" t="str">
        <f t="shared" ca="1" si="9"/>
        <v>Bisonti</v>
      </c>
      <c r="AE41" s="38">
        <v>66</v>
      </c>
      <c r="AF41" s="38">
        <v>31</v>
      </c>
      <c r="AG41" s="39">
        <v>44358</v>
      </c>
      <c r="AH41" s="40">
        <v>0.85416666666666674</v>
      </c>
      <c r="AI41" s="41">
        <v>3</v>
      </c>
      <c r="AJ41" s="42" t="str">
        <f t="shared" si="10"/>
        <v>Basket Giovane</v>
      </c>
    </row>
    <row r="42" spans="1:36">
      <c r="A42" s="52" t="s">
        <v>73</v>
      </c>
      <c r="B42" s="51" t="s">
        <v>74</v>
      </c>
      <c r="N42" s="36">
        <v>40</v>
      </c>
      <c r="O42" s="33" t="str">
        <f t="shared" si="1"/>
        <v>Girone</v>
      </c>
      <c r="P42" s="20" t="str">
        <f t="shared" si="2"/>
        <v>D</v>
      </c>
      <c r="Q42" s="37" t="str">
        <f t="shared" si="3"/>
        <v>Pitoni</v>
      </c>
      <c r="R42" s="37" t="str">
        <f t="shared" si="4"/>
        <v>Aquile</v>
      </c>
      <c r="S42" s="38">
        <v>25</v>
      </c>
      <c r="T42" s="38">
        <v>15</v>
      </c>
      <c r="U42" s="39">
        <v>44356</v>
      </c>
      <c r="V42" s="40">
        <v>0.64583333333333337</v>
      </c>
      <c r="W42" s="41">
        <v>4</v>
      </c>
      <c r="X42" s="42" t="str">
        <f t="shared" si="5"/>
        <v>Nuova Scuola</v>
      </c>
      <c r="Z42" s="36">
        <v>88</v>
      </c>
      <c r="AA42" s="33" t="str">
        <f t="shared" si="6"/>
        <v>2aFase</v>
      </c>
      <c r="AB42" s="43" t="str">
        <f t="shared" si="7"/>
        <v>1-4</v>
      </c>
      <c r="AC42" s="37" t="str">
        <f t="shared" ca="1" si="8"/>
        <v>Pantere</v>
      </c>
      <c r="AD42" s="37" t="str">
        <f t="shared" ca="1" si="9"/>
        <v>Istrici</v>
      </c>
      <c r="AE42" s="38">
        <v>68</v>
      </c>
      <c r="AF42" s="38">
        <v>47</v>
      </c>
      <c r="AG42" s="39">
        <v>44358</v>
      </c>
      <c r="AH42" s="40">
        <v>0.91666666666666663</v>
      </c>
      <c r="AI42" s="41">
        <v>3</v>
      </c>
      <c r="AJ42" s="42" t="str">
        <f t="shared" si="10"/>
        <v>Basket Giovane</v>
      </c>
    </row>
    <row r="43" spans="1:36">
      <c r="A43" s="53" t="s">
        <v>75</v>
      </c>
      <c r="B43" s="51" t="s">
        <v>76</v>
      </c>
      <c r="N43" s="36">
        <v>41</v>
      </c>
      <c r="O43" s="33" t="str">
        <f t="shared" si="1"/>
        <v>Girone</v>
      </c>
      <c r="P43" s="20" t="str">
        <f t="shared" si="2"/>
        <v>E</v>
      </c>
      <c r="Q43" s="37" t="str">
        <f t="shared" si="3"/>
        <v>Bisonti</v>
      </c>
      <c r="R43" s="37" t="str">
        <f t="shared" si="4"/>
        <v>Cinghiali</v>
      </c>
      <c r="S43" s="38">
        <v>36</v>
      </c>
      <c r="T43" s="38">
        <v>33</v>
      </c>
      <c r="U43" s="39">
        <v>44356</v>
      </c>
      <c r="V43" s="40">
        <v>0.70833333333333337</v>
      </c>
      <c r="W43" s="41">
        <v>1</v>
      </c>
      <c r="X43" s="42" t="str">
        <f t="shared" si="5"/>
        <v>Cristo Re 1</v>
      </c>
      <c r="Z43" s="36">
        <v>89</v>
      </c>
      <c r="AA43" s="33" t="str">
        <f t="shared" si="6"/>
        <v>2aFase</v>
      </c>
      <c r="AB43" s="43" t="str">
        <f t="shared" si="7"/>
        <v>9-12</v>
      </c>
      <c r="AC43" s="37" t="str">
        <f t="shared" ca="1" si="8"/>
        <v>Elefanti</v>
      </c>
      <c r="AD43" s="37" t="str">
        <f t="shared" ca="1" si="9"/>
        <v>Gorilla</v>
      </c>
      <c r="AE43" s="38">
        <v>66</v>
      </c>
      <c r="AF43" s="38">
        <v>32</v>
      </c>
      <c r="AG43" s="39">
        <v>44359</v>
      </c>
      <c r="AH43" s="40">
        <v>0.375</v>
      </c>
      <c r="AI43" s="41">
        <v>1</v>
      </c>
      <c r="AJ43" s="42" t="str">
        <f t="shared" si="10"/>
        <v>Cristo Re 1</v>
      </c>
    </row>
    <row r="44" spans="1:36">
      <c r="A44" s="54" t="s">
        <v>77</v>
      </c>
      <c r="B44" s="51" t="s">
        <v>78</v>
      </c>
      <c r="N44" s="36">
        <v>42</v>
      </c>
      <c r="O44" s="33" t="str">
        <f t="shared" si="1"/>
        <v>Girone</v>
      </c>
      <c r="P44" s="20" t="str">
        <f t="shared" si="2"/>
        <v>F</v>
      </c>
      <c r="Q44" s="37" t="str">
        <f t="shared" si="3"/>
        <v>Balene</v>
      </c>
      <c r="R44" s="37" t="str">
        <f t="shared" si="4"/>
        <v>Fenicotteri</v>
      </c>
      <c r="S44" s="38">
        <v>36</v>
      </c>
      <c r="T44" s="38">
        <v>35</v>
      </c>
      <c r="U44" s="39">
        <v>44356</v>
      </c>
      <c r="V44" s="40">
        <v>0.70833333333333337</v>
      </c>
      <c r="W44" s="41">
        <v>2</v>
      </c>
      <c r="X44" s="42" t="str">
        <f t="shared" si="5"/>
        <v>Cristo Re 2</v>
      </c>
      <c r="Z44" s="36">
        <v>90</v>
      </c>
      <c r="AA44" s="33" t="str">
        <f t="shared" si="6"/>
        <v>2aFase</v>
      </c>
      <c r="AB44" s="43" t="str">
        <f t="shared" si="7"/>
        <v>9-12</v>
      </c>
      <c r="AC44" s="37" t="str">
        <f t="shared" ca="1" si="8"/>
        <v>Giraffe</v>
      </c>
      <c r="AD44" s="37" t="str">
        <f t="shared" ca="1" si="9"/>
        <v>Bufali</v>
      </c>
      <c r="AE44" s="38">
        <v>52</v>
      </c>
      <c r="AF44" s="38">
        <v>30</v>
      </c>
      <c r="AG44" s="39">
        <v>44359</v>
      </c>
      <c r="AH44" s="40">
        <v>0.375</v>
      </c>
      <c r="AI44" s="41">
        <v>2</v>
      </c>
      <c r="AJ44" s="42" t="str">
        <f t="shared" si="10"/>
        <v>Cristo Re 2</v>
      </c>
    </row>
    <row r="45" spans="1:36">
      <c r="A45" s="55" t="s">
        <v>79</v>
      </c>
      <c r="B45" s="51" t="s">
        <v>80</v>
      </c>
      <c r="N45" s="36">
        <v>43</v>
      </c>
      <c r="O45" s="33" t="str">
        <f t="shared" si="1"/>
        <v>Girone</v>
      </c>
      <c r="P45" s="20" t="str">
        <f t="shared" si="2"/>
        <v>G</v>
      </c>
      <c r="Q45" s="37" t="str">
        <f t="shared" si="3"/>
        <v>Istrici</v>
      </c>
      <c r="R45" s="37" t="str">
        <f t="shared" si="4"/>
        <v>Orche</v>
      </c>
      <c r="S45" s="38">
        <v>20</v>
      </c>
      <c r="T45" s="38">
        <v>0</v>
      </c>
      <c r="U45" s="39">
        <v>44356</v>
      </c>
      <c r="V45" s="40">
        <v>0.70833333333333337</v>
      </c>
      <c r="W45" s="41">
        <v>3</v>
      </c>
      <c r="X45" s="42" t="str">
        <f t="shared" si="5"/>
        <v>Basket Giovane</v>
      </c>
      <c r="Z45" s="36">
        <v>91</v>
      </c>
      <c r="AA45" s="33" t="str">
        <f t="shared" si="6"/>
        <v>2aFase</v>
      </c>
      <c r="AB45" s="43" t="str">
        <f t="shared" si="7"/>
        <v>13-16</v>
      </c>
      <c r="AC45" s="37" t="str">
        <f t="shared" ca="1" si="8"/>
        <v>Aquile</v>
      </c>
      <c r="AD45" s="37" t="str">
        <f t="shared" ca="1" si="9"/>
        <v>Tonni</v>
      </c>
      <c r="AE45" s="38">
        <v>54</v>
      </c>
      <c r="AF45" s="38">
        <v>36</v>
      </c>
      <c r="AG45" s="39">
        <v>44359</v>
      </c>
      <c r="AH45" s="40">
        <v>0.375</v>
      </c>
      <c r="AI45" s="41">
        <v>3</v>
      </c>
      <c r="AJ45" s="42" t="str">
        <f t="shared" si="10"/>
        <v>Basket Giovane</v>
      </c>
    </row>
    <row r="46" spans="1:36">
      <c r="A46" s="56" t="s">
        <v>81</v>
      </c>
      <c r="B46" s="51" t="s">
        <v>82</v>
      </c>
      <c r="N46" s="36">
        <v>44</v>
      </c>
      <c r="O46" s="33" t="str">
        <f t="shared" si="1"/>
        <v>Girone</v>
      </c>
      <c r="P46" s="20" t="str">
        <f t="shared" si="2"/>
        <v>H</v>
      </c>
      <c r="Q46" s="37" t="str">
        <f t="shared" si="3"/>
        <v>Tonni</v>
      </c>
      <c r="R46" s="37" t="str">
        <f t="shared" si="4"/>
        <v>Scorpioni</v>
      </c>
      <c r="S46" s="38">
        <v>65</v>
      </c>
      <c r="T46" s="38">
        <v>13</v>
      </c>
      <c r="U46" s="39">
        <v>44356</v>
      </c>
      <c r="V46" s="40">
        <v>0.70833333333333337</v>
      </c>
      <c r="W46" s="41">
        <v>4</v>
      </c>
      <c r="X46" s="42" t="str">
        <f t="shared" si="5"/>
        <v>Nuova Scuola</v>
      </c>
      <c r="Z46" s="36">
        <v>92</v>
      </c>
      <c r="AA46" s="33" t="str">
        <f t="shared" si="6"/>
        <v>2aFase</v>
      </c>
      <c r="AB46" s="43" t="str">
        <f t="shared" si="7"/>
        <v>13-16</v>
      </c>
      <c r="AC46" s="37" t="str">
        <f t="shared" ca="1" si="8"/>
        <v>Puma</v>
      </c>
      <c r="AD46" s="37" t="str">
        <f t="shared" ca="1" si="9"/>
        <v>Gabbiani</v>
      </c>
      <c r="AE46" s="38">
        <v>64</v>
      </c>
      <c r="AF46" s="38">
        <v>33</v>
      </c>
      <c r="AG46" s="39">
        <v>44359</v>
      </c>
      <c r="AH46" s="40">
        <v>0.375</v>
      </c>
      <c r="AI46" s="41">
        <v>4</v>
      </c>
      <c r="AJ46" s="42" t="str">
        <f t="shared" si="10"/>
        <v>Nuova Scuola</v>
      </c>
    </row>
    <row r="47" spans="1:36">
      <c r="A47" s="57" t="s">
        <v>83</v>
      </c>
      <c r="B47" s="51" t="s">
        <v>84</v>
      </c>
      <c r="N47" s="36">
        <v>45</v>
      </c>
      <c r="O47" s="33" t="str">
        <f t="shared" si="1"/>
        <v>Girone</v>
      </c>
      <c r="P47" s="20" t="str">
        <f t="shared" si="2"/>
        <v>E</v>
      </c>
      <c r="Q47" s="37" t="str">
        <f t="shared" si="3"/>
        <v>Bufali</v>
      </c>
      <c r="R47" s="37" t="str">
        <f t="shared" si="4"/>
        <v>Cervi</v>
      </c>
      <c r="S47" s="38">
        <v>34</v>
      </c>
      <c r="T47" s="38">
        <v>33</v>
      </c>
      <c r="U47" s="39">
        <v>44356</v>
      </c>
      <c r="V47" s="40">
        <v>0.77083333333333337</v>
      </c>
      <c r="W47" s="41">
        <v>1</v>
      </c>
      <c r="X47" s="42" t="str">
        <f t="shared" si="5"/>
        <v>Cristo Re 1</v>
      </c>
      <c r="Z47" s="36">
        <v>93</v>
      </c>
      <c r="AA47" s="33" t="str">
        <f t="shared" si="6"/>
        <v>2aFase</v>
      </c>
      <c r="AB47" s="43" t="str">
        <f t="shared" si="7"/>
        <v>17-20</v>
      </c>
      <c r="AC47" s="37" t="str">
        <f t="shared" ca="1" si="8"/>
        <v>Tigri</v>
      </c>
      <c r="AD47" s="37" t="str">
        <f t="shared" ca="1" si="9"/>
        <v>Cervi</v>
      </c>
      <c r="AE47" s="38">
        <v>57</v>
      </c>
      <c r="AF47" s="38">
        <v>49</v>
      </c>
      <c r="AG47" s="39">
        <v>44359</v>
      </c>
      <c r="AH47" s="40">
        <v>0.45833333333333331</v>
      </c>
      <c r="AI47" s="41">
        <v>1</v>
      </c>
      <c r="AJ47" s="42" t="str">
        <f t="shared" si="10"/>
        <v>Cristo Re 1</v>
      </c>
    </row>
    <row r="48" spans="1:36">
      <c r="A48" s="58" t="s">
        <v>85</v>
      </c>
      <c r="B48" s="51" t="s">
        <v>86</v>
      </c>
      <c r="N48" s="36">
        <v>46</v>
      </c>
      <c r="O48" s="33" t="str">
        <f t="shared" si="1"/>
        <v>Girone</v>
      </c>
      <c r="P48" s="20" t="str">
        <f t="shared" si="2"/>
        <v>F</v>
      </c>
      <c r="Q48" s="37" t="str">
        <f t="shared" si="3"/>
        <v>Gabbiani</v>
      </c>
      <c r="R48" s="37" t="str">
        <f t="shared" si="4"/>
        <v>Delfini</v>
      </c>
      <c r="S48" s="38">
        <v>34</v>
      </c>
      <c r="T48" s="38">
        <v>33</v>
      </c>
      <c r="U48" s="39">
        <v>44356</v>
      </c>
      <c r="V48" s="40">
        <v>0.77083333333333337</v>
      </c>
      <c r="W48" s="41">
        <v>2</v>
      </c>
      <c r="X48" s="42" t="str">
        <f t="shared" si="5"/>
        <v>Cristo Re 2</v>
      </c>
      <c r="Z48" s="36">
        <v>94</v>
      </c>
      <c r="AA48" s="33" t="str">
        <f t="shared" si="6"/>
        <v>2aFase</v>
      </c>
      <c r="AB48" s="43" t="str">
        <f t="shared" si="7"/>
        <v>17-20</v>
      </c>
      <c r="AC48" s="37" t="str">
        <f t="shared" ca="1" si="8"/>
        <v>Ippopotami</v>
      </c>
      <c r="AD48" s="37" t="str">
        <f t="shared" ca="1" si="9"/>
        <v>Orche</v>
      </c>
      <c r="AE48" s="38">
        <v>56</v>
      </c>
      <c r="AF48" s="38">
        <v>42</v>
      </c>
      <c r="AG48" s="39">
        <v>44359</v>
      </c>
      <c r="AH48" s="40">
        <v>0.45833333333333331</v>
      </c>
      <c r="AI48" s="41">
        <v>2</v>
      </c>
      <c r="AJ48" s="42" t="str">
        <f t="shared" si="10"/>
        <v>Cristo Re 2</v>
      </c>
    </row>
    <row r="49" spans="1:36">
      <c r="A49" s="59" t="s">
        <v>87</v>
      </c>
      <c r="B49" s="51" t="s">
        <v>88</v>
      </c>
      <c r="N49" s="36">
        <v>47</v>
      </c>
      <c r="O49" s="33" t="str">
        <f t="shared" si="1"/>
        <v>Girone</v>
      </c>
      <c r="P49" s="20" t="str">
        <f t="shared" si="2"/>
        <v>G</v>
      </c>
      <c r="Q49" s="37" t="str">
        <f t="shared" si="3"/>
        <v>Gorilla</v>
      </c>
      <c r="R49" s="37" t="str">
        <f t="shared" si="4"/>
        <v>Muli</v>
      </c>
      <c r="S49" s="38">
        <v>20</v>
      </c>
      <c r="T49" s="38">
        <v>0</v>
      </c>
      <c r="U49" s="39">
        <v>44356</v>
      </c>
      <c r="V49" s="40">
        <v>0.77083333333333337</v>
      </c>
      <c r="W49" s="41">
        <v>3</v>
      </c>
      <c r="X49" s="42" t="str">
        <f t="shared" si="5"/>
        <v>Basket Giovane</v>
      </c>
      <c r="Z49" s="36">
        <v>95</v>
      </c>
      <c r="AA49" s="33" t="str">
        <f t="shared" si="6"/>
        <v>2aFase</v>
      </c>
      <c r="AB49" s="43" t="str">
        <f t="shared" si="7"/>
        <v>21-24</v>
      </c>
      <c r="AC49" s="37" t="str">
        <f t="shared" ca="1" si="8"/>
        <v>Linci</v>
      </c>
      <c r="AD49" s="37" t="str">
        <f t="shared" ca="1" si="9"/>
        <v>Delfini</v>
      </c>
      <c r="AE49" s="38">
        <v>53</v>
      </c>
      <c r="AF49" s="38">
        <v>49</v>
      </c>
      <c r="AG49" s="39">
        <v>44359</v>
      </c>
      <c r="AH49" s="40">
        <v>0.45833333333333331</v>
      </c>
      <c r="AI49" s="41">
        <v>3</v>
      </c>
      <c r="AJ49" s="42" t="str">
        <f t="shared" si="10"/>
        <v>Basket Giovane</v>
      </c>
    </row>
    <row r="50" spans="1:36">
      <c r="A50" s="60" t="s">
        <v>89</v>
      </c>
      <c r="B50" s="51" t="s">
        <v>90</v>
      </c>
      <c r="N50" s="29">
        <v>48</v>
      </c>
      <c r="O50" s="46" t="str">
        <f t="shared" si="1"/>
        <v>Girone</v>
      </c>
      <c r="P50" s="20" t="str">
        <f t="shared" si="2"/>
        <v>H</v>
      </c>
      <c r="Q50" s="61" t="str">
        <f t="shared" si="3"/>
        <v>Zebre</v>
      </c>
      <c r="R50" s="61" t="str">
        <f t="shared" si="4"/>
        <v>Piranha</v>
      </c>
      <c r="S50" s="62">
        <v>54</v>
      </c>
      <c r="T50" s="62">
        <v>48</v>
      </c>
      <c r="U50" s="63">
        <v>44356</v>
      </c>
      <c r="V50" s="64">
        <v>0.77083333333333337</v>
      </c>
      <c r="W50" s="65">
        <v>4</v>
      </c>
      <c r="X50" s="66" t="str">
        <f t="shared" si="5"/>
        <v>Nuova Scuola</v>
      </c>
      <c r="Z50" s="36">
        <v>96</v>
      </c>
      <c r="AA50" s="33" t="str">
        <f t="shared" si="6"/>
        <v>2aFase</v>
      </c>
      <c r="AB50" s="43" t="str">
        <f t="shared" si="7"/>
        <v>21-24</v>
      </c>
      <c r="AC50" s="37" t="str">
        <f t="shared" ca="1" si="8"/>
        <v>Pitoni</v>
      </c>
      <c r="AD50" s="37" t="str">
        <f t="shared" ca="1" si="9"/>
        <v>Zebre</v>
      </c>
      <c r="AE50" s="38">
        <v>63</v>
      </c>
      <c r="AF50" s="38">
        <v>34</v>
      </c>
      <c r="AG50" s="39">
        <v>44359</v>
      </c>
      <c r="AH50" s="40">
        <v>0.45833333333333331</v>
      </c>
      <c r="AI50" s="41">
        <v>4</v>
      </c>
      <c r="AJ50" s="42" t="str">
        <f t="shared" si="10"/>
        <v>Nuova Scuola</v>
      </c>
    </row>
    <row r="51" spans="1:36">
      <c r="A51" s="67" t="s">
        <v>91</v>
      </c>
      <c r="B51" s="51" t="s">
        <v>92</v>
      </c>
      <c r="Z51" s="36">
        <v>97</v>
      </c>
      <c r="AA51" s="33" t="str">
        <f t="shared" si="6"/>
        <v>2aFase</v>
      </c>
      <c r="AB51" s="43" t="str">
        <f t="shared" si="7"/>
        <v>31-32</v>
      </c>
      <c r="AC51" s="37" t="str">
        <f t="shared" ca="1" si="8"/>
        <v>Scorpioni</v>
      </c>
      <c r="AD51" s="37" t="str">
        <f t="shared" ca="1" si="9"/>
        <v>Serval</v>
      </c>
      <c r="AE51" s="38">
        <v>53</v>
      </c>
      <c r="AF51" s="38">
        <v>32</v>
      </c>
      <c r="AG51" s="39">
        <v>44359</v>
      </c>
      <c r="AH51" s="40">
        <v>0.64583333333333337</v>
      </c>
      <c r="AI51" s="41">
        <v>1</v>
      </c>
      <c r="AJ51" s="42" t="str">
        <f t="shared" si="10"/>
        <v>Cristo Re 1</v>
      </c>
    </row>
    <row r="52" spans="1:36">
      <c r="Z52" s="36">
        <v>98</v>
      </c>
      <c r="AA52" s="33" t="str">
        <f t="shared" si="6"/>
        <v>2aFase</v>
      </c>
      <c r="AB52" s="43" t="str">
        <f t="shared" si="7"/>
        <v>29-30</v>
      </c>
      <c r="AC52" s="37" t="str">
        <f t="shared" ca="1" si="8"/>
        <v>Falchi</v>
      </c>
      <c r="AD52" s="37" t="str">
        <f t="shared" ca="1" si="9"/>
        <v>Scorpioni</v>
      </c>
      <c r="AE52" s="38">
        <v>50</v>
      </c>
      <c r="AF52" s="38">
        <v>38</v>
      </c>
      <c r="AG52" s="39">
        <v>44359</v>
      </c>
      <c r="AH52" s="40">
        <v>0.64583333333333337</v>
      </c>
      <c r="AI52" s="41">
        <v>2</v>
      </c>
      <c r="AJ52" s="42" t="str">
        <f t="shared" si="10"/>
        <v>Cristo Re 2</v>
      </c>
    </row>
    <row r="53" spans="1:36">
      <c r="Z53" s="36">
        <v>99</v>
      </c>
      <c r="AA53" s="33" t="str">
        <f t="shared" si="6"/>
        <v>2aFase</v>
      </c>
      <c r="AB53" s="43" t="str">
        <f t="shared" si="7"/>
        <v>27-28</v>
      </c>
      <c r="AC53" s="37" t="str">
        <f t="shared" ca="1" si="8"/>
        <v>Muli</v>
      </c>
      <c r="AD53" s="37" t="str">
        <f t="shared" ca="1" si="9"/>
        <v>Ghepardi</v>
      </c>
      <c r="AE53" s="38">
        <v>62</v>
      </c>
      <c r="AF53" s="38">
        <v>47</v>
      </c>
      <c r="AG53" s="39">
        <v>44359</v>
      </c>
      <c r="AH53" s="40">
        <v>0.64583333333333337</v>
      </c>
      <c r="AI53" s="41">
        <v>3</v>
      </c>
      <c r="AJ53" s="42" t="str">
        <f t="shared" si="10"/>
        <v>Basket Giovane</v>
      </c>
    </row>
    <row r="54" spans="1:36">
      <c r="Z54" s="36">
        <v>100</v>
      </c>
      <c r="AA54" s="33" t="str">
        <f t="shared" si="6"/>
        <v>2aFase</v>
      </c>
      <c r="AB54" s="43" t="str">
        <f t="shared" si="7"/>
        <v>25-26</v>
      </c>
      <c r="AC54" s="37" t="str">
        <f t="shared" ca="1" si="8"/>
        <v>Iguane</v>
      </c>
      <c r="AD54" s="37" t="str">
        <f t="shared" ca="1" si="9"/>
        <v>Delfini</v>
      </c>
      <c r="AE54" s="38">
        <v>69</v>
      </c>
      <c r="AF54" s="38">
        <v>31</v>
      </c>
      <c r="AG54" s="39">
        <v>44359</v>
      </c>
      <c r="AH54" s="40">
        <v>0.64583333333333337</v>
      </c>
      <c r="AI54" s="41">
        <v>4</v>
      </c>
      <c r="AJ54" s="42" t="str">
        <f t="shared" si="10"/>
        <v>Nuova Scuola</v>
      </c>
    </row>
    <row r="55" spans="1:36">
      <c r="Z55" s="36">
        <v>101</v>
      </c>
      <c r="AA55" s="33" t="str">
        <f t="shared" si="6"/>
        <v>2aFase</v>
      </c>
      <c r="AB55" s="43" t="str">
        <f t="shared" si="7"/>
        <v>23-24</v>
      </c>
      <c r="AC55" s="37" t="str">
        <f t="shared" ca="1" si="8"/>
        <v>Delfini</v>
      </c>
      <c r="AD55" s="37" t="str">
        <f t="shared" ca="1" si="9"/>
        <v>Zebre</v>
      </c>
      <c r="AE55" s="38">
        <v>62</v>
      </c>
      <c r="AF55" s="38">
        <v>38</v>
      </c>
      <c r="AG55" s="39">
        <v>44359</v>
      </c>
      <c r="AH55" s="40">
        <v>0.70833333333333337</v>
      </c>
      <c r="AI55" s="41">
        <v>1</v>
      </c>
      <c r="AJ55" s="42" t="str">
        <f t="shared" si="10"/>
        <v>Cristo Re 1</v>
      </c>
    </row>
    <row r="56" spans="1:36">
      <c r="Z56" s="36">
        <v>102</v>
      </c>
      <c r="AA56" s="33" t="str">
        <f t="shared" si="6"/>
        <v>2aFase</v>
      </c>
      <c r="AB56" s="43" t="str">
        <f t="shared" si="7"/>
        <v>21-22</v>
      </c>
      <c r="AC56" s="37" t="str">
        <f t="shared" ca="1" si="8"/>
        <v>Linci</v>
      </c>
      <c r="AD56" s="37" t="str">
        <f t="shared" ca="1" si="9"/>
        <v>Pitoni</v>
      </c>
      <c r="AE56" s="38">
        <v>52</v>
      </c>
      <c r="AF56" s="38">
        <v>39</v>
      </c>
      <c r="AG56" s="39">
        <v>44359</v>
      </c>
      <c r="AH56" s="40">
        <v>0.70833333333333337</v>
      </c>
      <c r="AI56" s="41">
        <v>2</v>
      </c>
      <c r="AJ56" s="42" t="str">
        <f t="shared" si="10"/>
        <v>Cristo Re 2</v>
      </c>
    </row>
    <row r="57" spans="1:36">
      <c r="Z57" s="36">
        <v>103</v>
      </c>
      <c r="AA57" s="33" t="str">
        <f t="shared" si="6"/>
        <v>2aFase</v>
      </c>
      <c r="AB57" s="43" t="str">
        <f t="shared" si="7"/>
        <v>19-20</v>
      </c>
      <c r="AC57" s="37" t="str">
        <f t="shared" ca="1" si="8"/>
        <v>Cervi</v>
      </c>
      <c r="AD57" s="37" t="str">
        <f t="shared" ca="1" si="9"/>
        <v>Orche</v>
      </c>
      <c r="AE57" s="38">
        <v>68</v>
      </c>
      <c r="AF57" s="38">
        <v>37</v>
      </c>
      <c r="AG57" s="39">
        <v>44359</v>
      </c>
      <c r="AH57" s="40">
        <v>0.70833333333333337</v>
      </c>
      <c r="AI57" s="41">
        <v>3</v>
      </c>
      <c r="AJ57" s="42" t="str">
        <f t="shared" si="10"/>
        <v>Basket Giovane</v>
      </c>
    </row>
    <row r="58" spans="1:36">
      <c r="Z58" s="36">
        <v>104</v>
      </c>
      <c r="AA58" s="33" t="str">
        <f t="shared" si="6"/>
        <v>2aFase</v>
      </c>
      <c r="AB58" s="43" t="str">
        <f t="shared" si="7"/>
        <v>17-18</v>
      </c>
      <c r="AC58" s="37" t="str">
        <f t="shared" ca="1" si="8"/>
        <v>Tigri</v>
      </c>
      <c r="AD58" s="37" t="str">
        <f t="shared" ca="1" si="9"/>
        <v>Ippopotami</v>
      </c>
      <c r="AE58" s="38">
        <v>52</v>
      </c>
      <c r="AF58" s="38">
        <v>46</v>
      </c>
      <c r="AG58" s="39">
        <v>44359</v>
      </c>
      <c r="AH58" s="40">
        <v>0.70833333333333337</v>
      </c>
      <c r="AI58" s="41">
        <v>4</v>
      </c>
      <c r="AJ58" s="42" t="str">
        <f t="shared" si="10"/>
        <v>Nuova Scuola</v>
      </c>
    </row>
    <row r="59" spans="1:36">
      <c r="Z59" s="36">
        <v>105</v>
      </c>
      <c r="AA59" s="33" t="str">
        <f t="shared" si="6"/>
        <v>2aFase</v>
      </c>
      <c r="AB59" s="43" t="str">
        <f t="shared" si="7"/>
        <v>15-16</v>
      </c>
      <c r="AC59" s="37" t="str">
        <f t="shared" ca="1" si="8"/>
        <v>Tonni</v>
      </c>
      <c r="AD59" s="37" t="str">
        <f t="shared" ca="1" si="9"/>
        <v>Gabbiani</v>
      </c>
      <c r="AE59" s="38">
        <v>60</v>
      </c>
      <c r="AF59" s="38">
        <v>42</v>
      </c>
      <c r="AG59" s="39">
        <v>44359</v>
      </c>
      <c r="AH59" s="40">
        <v>0.77083333333333337</v>
      </c>
      <c r="AI59" s="41">
        <v>1</v>
      </c>
      <c r="AJ59" s="42" t="str">
        <f t="shared" si="10"/>
        <v>Cristo Re 1</v>
      </c>
    </row>
    <row r="60" spans="1:36">
      <c r="Z60" s="36">
        <v>106</v>
      </c>
      <c r="AA60" s="33" t="str">
        <f t="shared" si="6"/>
        <v>2aFase</v>
      </c>
      <c r="AB60" s="43" t="str">
        <f t="shared" si="7"/>
        <v>13-14</v>
      </c>
      <c r="AC60" s="37" t="str">
        <f t="shared" ca="1" si="8"/>
        <v>Aquile</v>
      </c>
      <c r="AD60" s="37" t="str">
        <f t="shared" ca="1" si="9"/>
        <v>Puma</v>
      </c>
      <c r="AE60" s="38">
        <v>65</v>
      </c>
      <c r="AF60" s="38">
        <v>45</v>
      </c>
      <c r="AG60" s="39">
        <v>44359</v>
      </c>
      <c r="AH60" s="40">
        <v>0.77083333333333337</v>
      </c>
      <c r="AI60" s="41">
        <v>2</v>
      </c>
      <c r="AJ60" s="42" t="str">
        <f t="shared" si="10"/>
        <v>Cristo Re 2</v>
      </c>
    </row>
    <row r="61" spans="1:36">
      <c r="Z61" s="36">
        <v>107</v>
      </c>
      <c r="AA61" s="33" t="str">
        <f t="shared" si="6"/>
        <v>2aFase</v>
      </c>
      <c r="AB61" s="43" t="str">
        <f t="shared" si="7"/>
        <v>11-12</v>
      </c>
      <c r="AC61" s="37" t="str">
        <f t="shared" ca="1" si="8"/>
        <v>Gorilla</v>
      </c>
      <c r="AD61" s="37" t="str">
        <f t="shared" ca="1" si="9"/>
        <v>Bufali</v>
      </c>
      <c r="AE61" s="38">
        <v>50</v>
      </c>
      <c r="AF61" s="38">
        <v>47</v>
      </c>
      <c r="AG61" s="39">
        <v>44359</v>
      </c>
      <c r="AH61" s="40">
        <v>0.77083333333333337</v>
      </c>
      <c r="AI61" s="41">
        <v>3</v>
      </c>
      <c r="AJ61" s="42" t="str">
        <f t="shared" si="10"/>
        <v>Basket Giovane</v>
      </c>
    </row>
    <row r="62" spans="1:36">
      <c r="Z62" s="36">
        <v>108</v>
      </c>
      <c r="AA62" s="33" t="str">
        <f t="shared" si="6"/>
        <v>2aFase</v>
      </c>
      <c r="AB62" s="43" t="str">
        <f t="shared" si="7"/>
        <v>09-10</v>
      </c>
      <c r="AC62" s="37" t="str">
        <f t="shared" ca="1" si="8"/>
        <v>Elefanti</v>
      </c>
      <c r="AD62" s="37" t="str">
        <f t="shared" ca="1" si="9"/>
        <v>Giraffe</v>
      </c>
      <c r="AE62" s="38">
        <v>69</v>
      </c>
      <c r="AF62" s="38">
        <v>40</v>
      </c>
      <c r="AG62" s="39">
        <v>44359</v>
      </c>
      <c r="AH62" s="40">
        <v>0.77083333333333337</v>
      </c>
      <c r="AI62" s="41">
        <v>4</v>
      </c>
      <c r="AJ62" s="42" t="str">
        <f t="shared" si="10"/>
        <v>Nuova Scuola</v>
      </c>
    </row>
    <row r="63" spans="1:36">
      <c r="Z63" s="36">
        <v>109</v>
      </c>
      <c r="AA63" s="33" t="str">
        <f t="shared" si="6"/>
        <v>2aFase</v>
      </c>
      <c r="AB63" s="43" t="str">
        <f t="shared" si="7"/>
        <v>5-6</v>
      </c>
      <c r="AC63" s="37" t="str">
        <f t="shared" ca="1" si="8"/>
        <v>Giaguari</v>
      </c>
      <c r="AD63" s="37" t="str">
        <f t="shared" ca="1" si="9"/>
        <v>Coccodrilli</v>
      </c>
      <c r="AE63" s="38">
        <v>55</v>
      </c>
      <c r="AF63" s="38">
        <v>48</v>
      </c>
      <c r="AG63" s="39">
        <v>44359</v>
      </c>
      <c r="AH63" s="40">
        <v>0.875</v>
      </c>
      <c r="AI63" s="41">
        <v>3</v>
      </c>
      <c r="AJ63" s="42" t="str">
        <f t="shared" si="10"/>
        <v>Basket Giovane</v>
      </c>
    </row>
    <row r="64" spans="1:36">
      <c r="Z64" s="36">
        <v>110</v>
      </c>
      <c r="AA64" s="33" t="str">
        <f t="shared" si="6"/>
        <v>2aFase</v>
      </c>
      <c r="AB64" s="43" t="str">
        <f t="shared" si="7"/>
        <v>7-8</v>
      </c>
      <c r="AC64" s="37" t="str">
        <f t="shared" ca="1" si="8"/>
        <v>Balene</v>
      </c>
      <c r="AD64" s="37" t="str">
        <f t="shared" ca="1" si="9"/>
        <v>Piranha</v>
      </c>
      <c r="AE64" s="38">
        <v>52</v>
      </c>
      <c r="AF64" s="38">
        <v>49</v>
      </c>
      <c r="AG64" s="39">
        <v>44359</v>
      </c>
      <c r="AH64" s="40">
        <v>0.875</v>
      </c>
      <c r="AI64" s="41">
        <v>4</v>
      </c>
      <c r="AJ64" s="42" t="str">
        <f t="shared" si="10"/>
        <v>Nuova Scuola</v>
      </c>
    </row>
    <row r="65" spans="26:36">
      <c r="Z65" s="36">
        <v>111</v>
      </c>
      <c r="AA65" s="33" t="str">
        <f t="shared" si="6"/>
        <v>2aFase</v>
      </c>
      <c r="AB65" s="43" t="str">
        <f t="shared" si="7"/>
        <v>3-4</v>
      </c>
      <c r="AC65" s="37" t="str">
        <f t="shared" ca="1" si="8"/>
        <v>Bisonti</v>
      </c>
      <c r="AD65" s="37" t="str">
        <f t="shared" ca="1" si="9"/>
        <v>Istrici</v>
      </c>
      <c r="AE65" s="38">
        <v>65</v>
      </c>
      <c r="AF65" s="38">
        <v>45</v>
      </c>
      <c r="AG65" s="39">
        <v>44360</v>
      </c>
      <c r="AH65" s="40">
        <v>0.375</v>
      </c>
      <c r="AI65" s="41">
        <v>3</v>
      </c>
      <c r="AJ65" s="42" t="str">
        <f t="shared" si="10"/>
        <v>Basket Giovane</v>
      </c>
    </row>
    <row r="66" spans="26:36">
      <c r="Z66" s="29">
        <v>112</v>
      </c>
      <c r="AA66" s="46" t="str">
        <f t="shared" si="6"/>
        <v>2aFase</v>
      </c>
      <c r="AB66" s="68" t="str">
        <f t="shared" si="7"/>
        <v>1-2</v>
      </c>
      <c r="AC66" s="61" t="str">
        <f t="shared" ca="1" si="8"/>
        <v>Leoni</v>
      </c>
      <c r="AD66" s="61" t="str">
        <f t="shared" ca="1" si="9"/>
        <v>Pantere</v>
      </c>
      <c r="AE66" s="62">
        <v>69</v>
      </c>
      <c r="AF66" s="62">
        <v>42</v>
      </c>
      <c r="AG66" s="63">
        <v>44360</v>
      </c>
      <c r="AH66" s="64">
        <v>0.4375</v>
      </c>
      <c r="AI66" s="65">
        <v>3</v>
      </c>
      <c r="AJ66" s="66" t="str">
        <f t="shared" si="10"/>
        <v>Basket Giovane</v>
      </c>
    </row>
  </sheetData>
  <sheetProtection selectLockedCells="1" selectUnlockedCells="1"/>
  <mergeCells count="6">
    <mergeCell ref="A1:B1"/>
    <mergeCell ref="D1:I1"/>
    <mergeCell ref="K1:L1"/>
    <mergeCell ref="N1:X1"/>
    <mergeCell ref="Z1:AJ1"/>
    <mergeCell ref="A40:B40"/>
  </mergeCells>
  <conditionalFormatting sqref="H3:H34 O3:P50 AA3:AA66">
    <cfRule type="cellIs" dxfId="15" priority="1" stopIfTrue="1" operator="equal">
      <formula>"A"</formula>
    </cfRule>
  </conditionalFormatting>
  <conditionalFormatting sqref="H3:H34 O3:P50 AA3:AA66">
    <cfRule type="cellIs" dxfId="14" priority="2" stopIfTrue="1" operator="equal">
      <formula>"B"</formula>
    </cfRule>
  </conditionalFormatting>
  <conditionalFormatting sqref="H3:H34 O3:P50 AA3:AA66">
    <cfRule type="cellIs" dxfId="13" priority="3" stopIfTrue="1" operator="equal">
      <formula>"C"</formula>
    </cfRule>
  </conditionalFormatting>
  <conditionalFormatting sqref="H3:H34 O3:P50 AA3:AA66">
    <cfRule type="cellIs" dxfId="12" priority="4" stopIfTrue="1" operator="equal">
      <formula>"D"</formula>
    </cfRule>
  </conditionalFormatting>
  <conditionalFormatting sqref="H3:H34 O3:P50 AA3:AA66">
    <cfRule type="cellIs" dxfId="11" priority="5" stopIfTrue="1" operator="equal">
      <formula>"E"</formula>
    </cfRule>
  </conditionalFormatting>
  <conditionalFormatting sqref="H3:H34 O3:P50 AA3:AA66">
    <cfRule type="cellIs" dxfId="10" priority="6" stopIfTrue="1" operator="equal">
      <formula>"F"</formula>
    </cfRule>
  </conditionalFormatting>
  <conditionalFormatting sqref="H3:H34 O3:P50 AA3:AA66">
    <cfRule type="cellIs" dxfId="9" priority="7" stopIfTrue="1" operator="equal">
      <formula>"G"</formula>
    </cfRule>
  </conditionalFormatting>
  <conditionalFormatting sqref="H3:H34 O3:P50 AA3:AA66">
    <cfRule type="cellIs" dxfId="8" priority="8" stopIfTrue="1" operator="equal">
      <formula>"H"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colBreaks count="3" manualBreakCount="3">
    <brk id="3" max="1048575" man="1"/>
    <brk id="10" max="1048575" man="1"/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R66"/>
  <sheetViews>
    <sheetView showGridLines="0" tabSelected="1" topLeftCell="AP1" zoomScale="140" zoomScaleNormal="140" workbookViewId="0">
      <selection activeCell="BA19" sqref="BA19"/>
    </sheetView>
  </sheetViews>
  <sheetFormatPr defaultColWidth="11.5703125" defaultRowHeight="12.75"/>
  <cols>
    <col min="1" max="1" width="5.7109375" customWidth="1"/>
    <col min="2" max="2" width="7.140625" style="69" customWidth="1"/>
    <col min="3" max="3" width="7.5703125" style="69" customWidth="1"/>
    <col min="4" max="5" width="7.85546875" customWidth="1"/>
    <col min="6" max="7" width="11" customWidth="1"/>
    <col min="8" max="9" width="9.5703125" customWidth="1"/>
    <col min="10" max="11" width="11" customWidth="1"/>
    <col min="12" max="12" width="6.140625" customWidth="1"/>
    <col min="13" max="13" width="6.7109375" customWidth="1"/>
    <col min="14" max="14" width="7.28515625" customWidth="1"/>
    <col min="15" max="15" width="7.7109375" customWidth="1"/>
    <col min="16" max="16" width="9" customWidth="1"/>
    <col min="17" max="17" width="10.7109375" customWidth="1"/>
    <col min="18" max="18" width="6.140625" customWidth="1"/>
    <col min="19" max="19" width="6.7109375" customWidth="1"/>
    <col min="20" max="20" width="7.28515625" customWidth="1"/>
    <col min="21" max="21" width="7.7109375" customWidth="1"/>
    <col min="22" max="22" width="9" customWidth="1"/>
    <col min="23" max="23" width="10.7109375" customWidth="1"/>
    <col min="25" max="25" width="7" customWidth="1"/>
    <col min="26" max="26" width="7.5703125" customWidth="1"/>
    <col min="27" max="27" width="9.140625" customWidth="1"/>
    <col min="28" max="28" width="11" customWidth="1"/>
    <col min="29" max="29" width="8.42578125" customWidth="1"/>
    <col min="30" max="30" width="6" customWidth="1"/>
    <col min="31" max="31" width="6.7109375" customWidth="1"/>
    <col min="32" max="32" width="7.28515625" customWidth="1"/>
    <col min="33" max="33" width="7.140625" customWidth="1"/>
    <col min="34" max="34" width="6.140625" customWidth="1"/>
    <col min="35" max="35" width="6.7109375" customWidth="1"/>
    <col min="36" max="36" width="6.140625" customWidth="1"/>
    <col min="37" max="39" width="8.7109375" customWidth="1"/>
    <col min="40" max="40" width="7.85546875" customWidth="1"/>
    <col min="41" max="43" width="8.7109375" customWidth="1"/>
    <col min="44" max="44" width="8.28515625" customWidth="1"/>
    <col min="45" max="45" width="16.140625" customWidth="1"/>
    <col min="47" max="47" width="8" customWidth="1"/>
    <col min="48" max="48" width="5.7109375" customWidth="1"/>
    <col min="49" max="49" width="8" style="69" customWidth="1"/>
    <col min="50" max="50" width="7.5703125" style="69" customWidth="1"/>
    <col min="51" max="52" width="7.85546875" customWidth="1"/>
    <col min="53" max="54" width="11" customWidth="1"/>
    <col min="55" max="56" width="9.5703125" customWidth="1"/>
    <col min="57" max="58" width="11" customWidth="1"/>
    <col min="59" max="59" width="6.140625" customWidth="1"/>
    <col min="60" max="60" width="6.7109375" customWidth="1"/>
    <col min="61" max="61" width="7.28515625" customWidth="1"/>
    <col min="62" max="62" width="7.7109375" customWidth="1"/>
    <col min="63" max="63" width="9" customWidth="1"/>
    <col min="64" max="64" width="10.7109375" customWidth="1"/>
    <col min="65" max="65" width="6.140625" customWidth="1"/>
    <col min="66" max="66" width="6.7109375" customWidth="1"/>
    <col min="67" max="67" width="7.28515625" customWidth="1"/>
    <col min="68" max="68" width="7.7109375" customWidth="1"/>
    <col min="69" max="69" width="9" customWidth="1"/>
    <col min="70" max="70" width="10.7109375" customWidth="1"/>
  </cols>
  <sheetData>
    <row r="1" spans="1:70">
      <c r="A1" s="235" t="s">
        <v>93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Y1" s="234" t="s">
        <v>94</v>
      </c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U1" s="235" t="s">
        <v>95</v>
      </c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</row>
    <row r="2" spans="1:70" ht="63.75">
      <c r="A2" s="8" t="s">
        <v>12</v>
      </c>
      <c r="B2" s="6" t="s">
        <v>13</v>
      </c>
      <c r="C2" s="6" t="s">
        <v>10</v>
      </c>
      <c r="D2" s="9" t="s">
        <v>96</v>
      </c>
      <c r="E2" s="9" t="s">
        <v>97</v>
      </c>
      <c r="F2" s="5" t="s">
        <v>98</v>
      </c>
      <c r="G2" s="5" t="s">
        <v>99</v>
      </c>
      <c r="H2" s="9" t="s">
        <v>16</v>
      </c>
      <c r="I2" s="9" t="s">
        <v>17</v>
      </c>
      <c r="J2" s="70" t="s">
        <v>100</v>
      </c>
      <c r="K2" s="70" t="s">
        <v>101</v>
      </c>
      <c r="L2" s="9" t="s">
        <v>102</v>
      </c>
      <c r="M2" s="9" t="s">
        <v>103</v>
      </c>
      <c r="N2" s="9" t="s">
        <v>104</v>
      </c>
      <c r="O2" s="9" t="s">
        <v>105</v>
      </c>
      <c r="P2" s="9" t="s">
        <v>106</v>
      </c>
      <c r="Q2" s="9" t="s">
        <v>107</v>
      </c>
      <c r="R2" s="9" t="s">
        <v>108</v>
      </c>
      <c r="S2" s="9" t="s">
        <v>109</v>
      </c>
      <c r="T2" s="9" t="s">
        <v>110</v>
      </c>
      <c r="U2" s="9" t="s">
        <v>111</v>
      </c>
      <c r="V2" s="9" t="s">
        <v>112</v>
      </c>
      <c r="W2" s="71" t="s">
        <v>113</v>
      </c>
      <c r="Y2" s="4" t="s">
        <v>114</v>
      </c>
      <c r="Z2" s="6" t="s">
        <v>10</v>
      </c>
      <c r="AA2" s="9" t="s">
        <v>115</v>
      </c>
      <c r="AB2" s="72" t="s">
        <v>116</v>
      </c>
      <c r="AC2" s="5" t="s">
        <v>117</v>
      </c>
      <c r="AD2" s="6" t="s">
        <v>118</v>
      </c>
      <c r="AE2" s="6" t="s">
        <v>119</v>
      </c>
      <c r="AF2" s="6" t="s">
        <v>120</v>
      </c>
      <c r="AG2" s="73" t="s">
        <v>121</v>
      </c>
      <c r="AH2" s="74" t="s">
        <v>122</v>
      </c>
      <c r="AI2" s="9" t="s">
        <v>123</v>
      </c>
      <c r="AJ2" s="74" t="s">
        <v>124</v>
      </c>
      <c r="AK2" s="9" t="s">
        <v>125</v>
      </c>
      <c r="AL2" s="9" t="s">
        <v>126</v>
      </c>
      <c r="AM2" s="9" t="s">
        <v>127</v>
      </c>
      <c r="AN2" s="9" t="s">
        <v>128</v>
      </c>
      <c r="AO2" s="9" t="s">
        <v>129</v>
      </c>
      <c r="AP2" s="9" t="s">
        <v>130</v>
      </c>
      <c r="AQ2" s="9" t="s">
        <v>131</v>
      </c>
      <c r="AR2" s="75" t="s">
        <v>132</v>
      </c>
      <c r="AS2" s="76" t="s">
        <v>133</v>
      </c>
      <c r="AU2" s="77" t="s">
        <v>134</v>
      </c>
      <c r="AV2" s="8" t="s">
        <v>12</v>
      </c>
      <c r="AW2" s="6" t="s">
        <v>13</v>
      </c>
      <c r="AX2" s="6" t="s">
        <v>22</v>
      </c>
      <c r="AY2" s="9" t="s">
        <v>96</v>
      </c>
      <c r="AZ2" s="9" t="s">
        <v>97</v>
      </c>
      <c r="BA2" s="5" t="s">
        <v>98</v>
      </c>
      <c r="BB2" s="5" t="s">
        <v>99</v>
      </c>
      <c r="BC2" s="9" t="s">
        <v>16</v>
      </c>
      <c r="BD2" s="9" t="s">
        <v>17</v>
      </c>
      <c r="BE2" s="70" t="s">
        <v>100</v>
      </c>
      <c r="BF2" s="70" t="s">
        <v>101</v>
      </c>
      <c r="BG2" s="9" t="s">
        <v>102</v>
      </c>
      <c r="BH2" s="9" t="s">
        <v>103</v>
      </c>
      <c r="BI2" s="9" t="s">
        <v>104</v>
      </c>
      <c r="BJ2" s="9" t="s">
        <v>105</v>
      </c>
      <c r="BK2" s="9" t="s">
        <v>106</v>
      </c>
      <c r="BL2" s="9" t="s">
        <v>107</v>
      </c>
      <c r="BM2" s="9" t="s">
        <v>108</v>
      </c>
      <c r="BN2" s="9" t="s">
        <v>109</v>
      </c>
      <c r="BO2" s="9" t="s">
        <v>110</v>
      </c>
      <c r="BP2" s="9" t="s">
        <v>111</v>
      </c>
      <c r="BQ2" s="9" t="s">
        <v>112</v>
      </c>
      <c r="BR2" s="71" t="s">
        <v>113</v>
      </c>
    </row>
    <row r="3" spans="1:70">
      <c r="A3" s="78">
        <v>1</v>
      </c>
      <c r="B3" s="79" t="s">
        <v>10</v>
      </c>
      <c r="C3" s="79" t="s">
        <v>26</v>
      </c>
      <c r="D3" s="79" t="s">
        <v>135</v>
      </c>
      <c r="E3" s="79" t="s">
        <v>136</v>
      </c>
      <c r="F3" s="80" t="str">
        <f t="shared" ref="F3:F50" si="0">IF(B3="Girone",VLOOKUP(D3,A_SQUADRE_PER_CODICE,2),"ERRORE!")</f>
        <v>Leoni</v>
      </c>
      <c r="G3" s="80" t="str">
        <f t="shared" ref="G3:G50" si="1">IF(B3="Girone",VLOOKUP(E3,A_SQUADRE_PER_CODICE,2),"ERRORE!")</f>
        <v>Pantere</v>
      </c>
      <c r="H3" s="79">
        <f t="shared" ref="H3:H50" si="2">VLOOKUP(A3,A_4_INPUT_DATE_E_RISULTATI_GIRONI,6,0)</f>
        <v>72</v>
      </c>
      <c r="I3" s="79">
        <f t="shared" ref="I3:I50" si="3">VLOOKUP(A3,A_4_INPUT_DATE_E_RISULTATI_GIRONI,7,0)</f>
        <v>49</v>
      </c>
      <c r="J3" s="81" t="str">
        <f t="shared" ref="J3:J50" si="4">IF(H3&gt;I3,F3,G3)</f>
        <v>Leoni</v>
      </c>
      <c r="K3" s="80" t="str">
        <f t="shared" ref="K3:K50" si="5">IF(H3&lt;I3,F3,G3)</f>
        <v>Pantere</v>
      </c>
      <c r="L3" s="79">
        <f t="shared" ref="L3:L50" si="6">1*(H3&gt;I3)</f>
        <v>1</v>
      </c>
      <c r="M3" s="28">
        <f t="shared" ref="M3:M50" si="7">1*(H3&lt;I3)*NOT(AND(H3=0,I3=20))</f>
        <v>0</v>
      </c>
      <c r="N3" s="28">
        <f t="shared" ref="N3:N50" si="8">1*AND(H3=0,I3=20)</f>
        <v>0</v>
      </c>
      <c r="O3" s="79">
        <f t="shared" ref="O3:O50" si="9">H3</f>
        <v>72</v>
      </c>
      <c r="P3" s="79">
        <f t="shared" ref="P3:P50" si="10">I3</f>
        <v>49</v>
      </c>
      <c r="Q3" s="82">
        <f t="shared" ref="Q3:Q50" si="11">O3-P3</f>
        <v>23</v>
      </c>
      <c r="R3" s="79">
        <f t="shared" ref="R3:R50" si="12">1*(I3&gt;H3)</f>
        <v>0</v>
      </c>
      <c r="S3" s="28">
        <f t="shared" ref="S3:S50" si="13">1*(I3&lt;H3)*NOT(AND(H3=20,I3=0))</f>
        <v>1</v>
      </c>
      <c r="T3" s="28">
        <f t="shared" ref="T3:T50" si="14">1*AND(H3=20,I3=0)</f>
        <v>0</v>
      </c>
      <c r="U3" s="79">
        <f t="shared" ref="U3:U50" si="15">I3</f>
        <v>49</v>
      </c>
      <c r="V3" s="79">
        <f t="shared" ref="V3:V50" si="16">H3</f>
        <v>72</v>
      </c>
      <c r="W3" s="83">
        <f t="shared" ref="W3:W50" si="17">U3-V3</f>
        <v>-23</v>
      </c>
      <c r="Y3" s="84" t="str">
        <f t="shared" ref="Y3:Y6" ca="1" si="18">COUNTIF(B_COEFF_GIRONE_A,"&gt;="&amp;AS3)&amp;Z3</f>
        <v>1A</v>
      </c>
      <c r="Z3" s="20" t="s">
        <v>26</v>
      </c>
      <c r="AA3" s="79" t="s">
        <v>135</v>
      </c>
      <c r="AB3" s="85" t="str">
        <f t="shared" ref="AB3:AB34" si="19">VLOOKUP(AA3,A_SQUADRE_PER_CODICE,2)</f>
        <v>Leoni</v>
      </c>
      <c r="AC3" s="79">
        <f t="shared" ref="AC3:AC34" si="20">AD3+AE3+AF3</f>
        <v>3</v>
      </c>
      <c r="AD3" s="79">
        <f t="shared" ref="AD3:AD34" si="21">SUMIF(B_SQUADRA_A_GIRONI,AB3,B_VINTE_SQUADRA_A_GIRONI)+SUMIF(B_SQUADRA_B_GIRONI,AB3,B_VINTE_SQUADRA_B_GIRONI)</f>
        <v>3</v>
      </c>
      <c r="AE3" s="79">
        <f t="shared" ref="AE3:AE34" si="22">SUMIF(B_SQUADRA_A_GIRONI,AB3,B_PERSE_SQUADRA_A_GIRONI)+SUMIF(B_SQUADRA_B_GIRONI,AB3,B_PERSE_SQUADRA_B_GIRONI)</f>
        <v>0</v>
      </c>
      <c r="AF3" s="79">
        <f t="shared" ref="AF3:AF34" si="23">SUMIF(B_SQUADRA_A_GIRONI,AB3,B_FORFAIT_SQUADRA_A_GIRONI)+SUMIF(B_SQUADRA_B_GIRONI,AB3,B_FORFAIT_SQUADRA_B_GIRONI)</f>
        <v>0</v>
      </c>
      <c r="AG3" s="86">
        <f t="shared" ref="AG3:AG34" si="24">2*AD3+1*AE3+0*AF3</f>
        <v>6</v>
      </c>
      <c r="AH3" s="87">
        <f t="shared" ref="AH3:AH34" si="25">SUMIF(B_SQUADRA_A_GIRONI,AB3,B_PUNTI_FATTI_SQUADRA_A_GIRONI)+SUMIF(B_SQUADRA_B_GIRONI,AB3,B_PUNTI_FATTI_SQUADRA_B_GIRONI)</f>
        <v>244</v>
      </c>
      <c r="AI3" s="79">
        <f t="shared" ref="AI3:AI34" si="26">SUMIF(B_SQUADRA_A_GIRONI,AB3,B_PUNTI_SUBITI_SQUADRA_A_GIRONI)+SUMIF(B_SQUADRA_B_GIRONI,AB3,B_PUNTI_SUBITI_SQUADRA_B_GIRONI)</f>
        <v>96</v>
      </c>
      <c r="AJ3" s="88">
        <f t="shared" ref="AJ3:AJ34" si="27">SUMIF(B_SQUADRA_A_GIRONI,AB3,B_DIFF_CANESTRI_SQUADRA_A_GIRONI)+SUMIF(B_SQUADRA_B_GIRONI,AB3,B_DIFF_CANESTRI_SQUADRA_B_GIRONI)</f>
        <v>148</v>
      </c>
      <c r="AK3" s="28">
        <f ca="1">IF(AG3=AG4,INDIRECT("O"&amp;3+6*(FIND(Z3,"ABCDEFGH")-1)),0)</f>
        <v>0</v>
      </c>
      <c r="AL3" s="28">
        <f ca="1">IF(AG3=AG5,INDIRECT("O"&amp;4+6*(FIND(Z3,"ABCDEFGH")-1)),0)</f>
        <v>0</v>
      </c>
      <c r="AM3" s="79">
        <f ca="1">IF(AG3=AG6,INDIRECT("O"&amp;5+6*(FIND(Z3,"ABCDEFGH")-1)),0)</f>
        <v>0</v>
      </c>
      <c r="AN3" s="87">
        <f t="shared" ref="AN3:AN34" ca="1" si="28">AK3+AL3+AM3</f>
        <v>0</v>
      </c>
      <c r="AO3" s="82">
        <f ca="1">IF(AG3=AG4,INDIRECT("Q"&amp;3+6*(FIND(Z3,"ABCDEFGH")-1)),0)</f>
        <v>0</v>
      </c>
      <c r="AP3" s="82">
        <f ca="1">IF(AG3=AG5,INDIRECT("Q"&amp;4+6*(FIND(Z3,"ABCDEFGH")-1)),0)</f>
        <v>0</v>
      </c>
      <c r="AQ3" s="82">
        <f ca="1">IF(AG3=AG6,INDIRECT("Q"&amp;5+6*(FIND(Z3,"ABCDEFGH")-1)),0)</f>
        <v>0</v>
      </c>
      <c r="AR3" s="88">
        <f t="shared" ref="AR3:AR34" ca="1" si="29">AO3+AP3+AQ3</f>
        <v>0</v>
      </c>
      <c r="AS3" s="89">
        <f t="shared" ref="AS3:AS34" ca="1" si="30">AG3+(500+AR3)*10^-3+AN3*10^-6+(500+AJ3)*10^-9+AH3*10^-12</f>
        <v>6.5000006482440007</v>
      </c>
      <c r="AU3" s="90" t="s">
        <v>137</v>
      </c>
      <c r="AV3" s="91">
        <v>49</v>
      </c>
      <c r="AW3" s="92" t="s">
        <v>138</v>
      </c>
      <c r="AX3" s="93" t="s">
        <v>139</v>
      </c>
      <c r="AY3" s="92" t="s">
        <v>140</v>
      </c>
      <c r="AZ3" s="92" t="s">
        <v>141</v>
      </c>
      <c r="BA3" s="81" t="str">
        <f ca="1">IF(LEFT(AY3,1)="V",VLOOKUP(VALUE(SUBSTITUTE(AY3,"V","")),B_PARTITE_2A_FASE_PER_NUMERO,10,FALSE),IF(LEFT(AY3,1)="P",VLOOKUP(VALUE(SUBSTITUTE(AY3,"P","")),B_PARTITE_2A_FASE_PER_NUMERO,11,FALSE),VLOOKUP(AY3,B_CLASSIFICHE_GIRONI,4,FALSE)))</f>
        <v>Leoni</v>
      </c>
      <c r="BB3" s="80" t="str">
        <f ca="1">IF(LEFT(AZ3,1)="V",VLOOKUP(VALUE(SUBSTITUTE(AZ3,"V","")),B_PARTITE_2A_FASE_PER_NUMERO,10,FALSE),IF(LEFT(AZ3,1)="P",VLOOKUP(VALUE(SUBSTITUTE(AZ3,"P","")),B_PARTITE_2A_FASE_PER_NUMERO,11,FALSE),VLOOKUP(AZ3,B_CLASSIFICHE_GIRONI,4,FALSE)))</f>
        <v>Elefanti</v>
      </c>
      <c r="BC3" s="79">
        <f t="shared" ref="BC3:BC66" si="31">VLOOKUP(AV3,A_5_INPUT_DATE_E_RISULTATI_2A_FASE,6,0)</f>
        <v>67</v>
      </c>
      <c r="BD3" s="79">
        <f t="shared" ref="BD3:BD66" si="32">VLOOKUP(AV3,A_5_INPUT_DATE_E_RISULTATI_2A_FASE,7,0)</f>
        <v>46</v>
      </c>
      <c r="BE3" s="81" t="str">
        <f t="shared" ref="BE3:BE66" ca="1" si="33">IF(BC3&gt;BD3,BA3,BB3)</f>
        <v>Leoni</v>
      </c>
      <c r="BF3" s="80" t="str">
        <f t="shared" ref="BF3:BF66" ca="1" si="34">IF(BC3&lt;BD3,BA3,BB3)</f>
        <v>Elefanti</v>
      </c>
      <c r="BG3" s="79">
        <f t="shared" ref="BG3:BG66" si="35">1*(BC3&gt;BD3)</f>
        <v>1</v>
      </c>
      <c r="BH3" s="28">
        <f t="shared" ref="BH3:BH66" si="36">1*(BC3&lt;BD3)*NOT(AND(BC3=0,BD3=20))</f>
        <v>0</v>
      </c>
      <c r="BI3" s="28">
        <f t="shared" ref="BI3:BI66" si="37">1*AND(BC3=0,BD3=20)</f>
        <v>0</v>
      </c>
      <c r="BJ3" s="79">
        <f t="shared" ref="BJ3:BJ66" si="38">BC3</f>
        <v>67</v>
      </c>
      <c r="BK3" s="79">
        <f t="shared" ref="BK3:BK66" si="39">BD3</f>
        <v>46</v>
      </c>
      <c r="BL3" s="82">
        <f t="shared" ref="BL3:BL66" si="40">BJ3-BK3</f>
        <v>21</v>
      </c>
      <c r="BM3" s="79">
        <f t="shared" ref="BM3:BM66" si="41">1*(BD3&gt;BC3)</f>
        <v>0</v>
      </c>
      <c r="BN3" s="28">
        <f t="shared" ref="BN3:BN66" si="42">1*(BD3&lt;BC3)*NOT(AND(BC3=20,BD3=0))</f>
        <v>1</v>
      </c>
      <c r="BO3" s="28">
        <f t="shared" ref="BO3:BO66" si="43">1*AND(BC3=20,BD3=0)</f>
        <v>0</v>
      </c>
      <c r="BP3" s="79">
        <f t="shared" ref="BP3:BP66" si="44">BD3</f>
        <v>46</v>
      </c>
      <c r="BQ3" s="79">
        <f t="shared" ref="BQ3:BQ66" si="45">BC3</f>
        <v>67</v>
      </c>
      <c r="BR3" s="83">
        <f t="shared" ref="BR3:BR66" si="46">BP3-BQ3</f>
        <v>-21</v>
      </c>
    </row>
    <row r="4" spans="1:70">
      <c r="A4" s="31">
        <v>9</v>
      </c>
      <c r="B4" s="33" t="s">
        <v>10</v>
      </c>
      <c r="C4" s="33" t="s">
        <v>26</v>
      </c>
      <c r="D4" s="43" t="s">
        <v>135</v>
      </c>
      <c r="E4" s="43" t="s">
        <v>142</v>
      </c>
      <c r="F4" s="94" t="str">
        <f t="shared" si="0"/>
        <v>Leoni</v>
      </c>
      <c r="G4" s="94" t="str">
        <f t="shared" si="1"/>
        <v>Tigri</v>
      </c>
      <c r="H4" s="43">
        <f t="shared" si="2"/>
        <v>90</v>
      </c>
      <c r="I4" s="43">
        <f t="shared" si="3"/>
        <v>22</v>
      </c>
      <c r="J4" s="94" t="str">
        <f t="shared" si="4"/>
        <v>Leoni</v>
      </c>
      <c r="K4" s="94" t="str">
        <f t="shared" si="5"/>
        <v>Tigri</v>
      </c>
      <c r="L4" s="43">
        <f t="shared" si="6"/>
        <v>1</v>
      </c>
      <c r="M4" s="95">
        <f t="shared" si="7"/>
        <v>0</v>
      </c>
      <c r="N4" s="95">
        <f t="shared" si="8"/>
        <v>0</v>
      </c>
      <c r="O4" s="43">
        <f t="shared" si="9"/>
        <v>90</v>
      </c>
      <c r="P4" s="43">
        <f t="shared" si="10"/>
        <v>22</v>
      </c>
      <c r="Q4" s="96">
        <f t="shared" si="11"/>
        <v>68</v>
      </c>
      <c r="R4" s="43">
        <f t="shared" si="12"/>
        <v>0</v>
      </c>
      <c r="S4" s="43">
        <f t="shared" si="13"/>
        <v>1</v>
      </c>
      <c r="T4" s="43">
        <f t="shared" si="14"/>
        <v>0</v>
      </c>
      <c r="U4" s="43">
        <f t="shared" si="15"/>
        <v>22</v>
      </c>
      <c r="V4" s="43">
        <f t="shared" si="16"/>
        <v>90</v>
      </c>
      <c r="W4" s="97">
        <f t="shared" si="17"/>
        <v>-68</v>
      </c>
      <c r="Y4" s="98" t="str">
        <f t="shared" ca="1" si="18"/>
        <v>2A</v>
      </c>
      <c r="Z4" s="33" t="s">
        <v>26</v>
      </c>
      <c r="AA4" s="43" t="s">
        <v>136</v>
      </c>
      <c r="AB4" s="99" t="str">
        <f t="shared" si="19"/>
        <v>Pantere</v>
      </c>
      <c r="AC4" s="43">
        <f t="shared" si="20"/>
        <v>3</v>
      </c>
      <c r="AD4" s="43">
        <f t="shared" si="21"/>
        <v>2</v>
      </c>
      <c r="AE4" s="43">
        <f t="shared" si="22"/>
        <v>1</v>
      </c>
      <c r="AF4" s="43">
        <f t="shared" si="23"/>
        <v>0</v>
      </c>
      <c r="AG4" s="100">
        <f t="shared" si="24"/>
        <v>5</v>
      </c>
      <c r="AH4" s="101">
        <f t="shared" si="25"/>
        <v>199</v>
      </c>
      <c r="AI4" s="43">
        <f t="shared" si="26"/>
        <v>123</v>
      </c>
      <c r="AJ4" s="102">
        <f t="shared" si="27"/>
        <v>76</v>
      </c>
      <c r="AK4" s="43">
        <f ca="1">IF(AG4=AG5,INDIRECT("O"&amp;6+6*(FIND(Z4,"ABCDEFGH")-1)),0)</f>
        <v>0</v>
      </c>
      <c r="AL4" s="43">
        <f ca="1">IF(AG4=AG6,INDIRECT("O"&amp;7+6*(FIND(Z4,"ABCDEFGH")-1)),0)</f>
        <v>0</v>
      </c>
      <c r="AM4" s="43">
        <f ca="1">IF(AG4=AG3,INDIRECT("U"&amp;3+6*(FIND(Z4,"ABCDEFGH")-1)),0)</f>
        <v>0</v>
      </c>
      <c r="AN4" s="101">
        <f t="shared" ca="1" si="28"/>
        <v>0</v>
      </c>
      <c r="AO4" s="96">
        <f ca="1">IF(AG4=AG5,INDIRECT("Q"&amp;6+6*(FIND(Z4,"ABCDEFGH")-1)),0)</f>
        <v>0</v>
      </c>
      <c r="AP4" s="96">
        <f ca="1">IF(AG4=AG6,INDIRECT("Q"&amp;7+6*(FIND(Z4,"ABCDEFGH")-1)),0)</f>
        <v>0</v>
      </c>
      <c r="AQ4" s="96">
        <f ca="1">IF(AG4=AG3,INDIRECT("W"&amp;3+6*(FIND(Z4,"ABCDEFGH")-1)),0)</f>
        <v>0</v>
      </c>
      <c r="AR4" s="102">
        <f t="shared" ca="1" si="29"/>
        <v>0</v>
      </c>
      <c r="AS4" s="103">
        <f t="shared" ca="1" si="30"/>
        <v>5.5000005761989996</v>
      </c>
      <c r="AU4" s="104" t="s">
        <v>143</v>
      </c>
      <c r="AV4" s="105">
        <v>50</v>
      </c>
      <c r="AW4" s="106" t="s">
        <v>138</v>
      </c>
      <c r="AX4" s="107" t="s">
        <v>139</v>
      </c>
      <c r="AY4" s="106" t="s">
        <v>144</v>
      </c>
      <c r="AZ4" s="106" t="s">
        <v>145</v>
      </c>
      <c r="BA4" s="94" t="str">
        <f ca="1">IF(LEFT(AY4,1)="V",VLOOKUP(VALUE(SUBSTITUTE(AY4,"V","")),B_PARTITE_2A_FASE_PER_NUMERO,10,FALSE),IF(LEFT(AY4,1)="P",VLOOKUP(VALUE(SUBSTITUTE(AY4,"P","")),B_PARTITE_2A_FASE_PER_NUMERO,11,FALSE),VLOOKUP(AY4,B_CLASSIFICHE_GIRONI,4,FALSE)))</f>
        <v>Pantere</v>
      </c>
      <c r="BB4" s="94" t="str">
        <f ca="1">IF(LEFT(AZ4,1)="V",VLOOKUP(VALUE(SUBSTITUTE(AZ4,"V","")),B_PARTITE_2A_FASE_PER_NUMERO,10,FALSE),IF(LEFT(AZ4,1)="P",VLOOKUP(VALUE(SUBSTITUTE(AZ4,"P","")),B_PARTITE_2A_FASE_PER_NUMERO,11,FALSE),VLOOKUP(AZ4,B_CLASSIFICHE_GIRONI,4,FALSE)))</f>
        <v>Giraffe</v>
      </c>
      <c r="BC4" s="43">
        <f t="shared" si="31"/>
        <v>55</v>
      </c>
      <c r="BD4" s="43">
        <f t="shared" si="32"/>
        <v>36</v>
      </c>
      <c r="BE4" s="94" t="str">
        <f t="shared" ca="1" si="33"/>
        <v>Pantere</v>
      </c>
      <c r="BF4" s="94" t="str">
        <f t="shared" ca="1" si="34"/>
        <v>Giraffe</v>
      </c>
      <c r="BG4" s="43">
        <f t="shared" si="35"/>
        <v>1</v>
      </c>
      <c r="BH4" s="95">
        <f t="shared" si="36"/>
        <v>0</v>
      </c>
      <c r="BI4" s="95">
        <f t="shared" si="37"/>
        <v>0</v>
      </c>
      <c r="BJ4" s="43">
        <f t="shared" si="38"/>
        <v>55</v>
      </c>
      <c r="BK4" s="43">
        <f t="shared" si="39"/>
        <v>36</v>
      </c>
      <c r="BL4" s="96">
        <f t="shared" si="40"/>
        <v>19</v>
      </c>
      <c r="BM4" s="43">
        <f t="shared" si="41"/>
        <v>0</v>
      </c>
      <c r="BN4" s="43">
        <f t="shared" si="42"/>
        <v>1</v>
      </c>
      <c r="BO4" s="43">
        <f t="shared" si="43"/>
        <v>0</v>
      </c>
      <c r="BP4" s="43">
        <f t="shared" si="44"/>
        <v>36</v>
      </c>
      <c r="BQ4" s="43">
        <f t="shared" si="45"/>
        <v>55</v>
      </c>
      <c r="BR4" s="97">
        <f t="shared" si="46"/>
        <v>-19</v>
      </c>
    </row>
    <row r="5" spans="1:70">
      <c r="A5" s="31">
        <v>25</v>
      </c>
      <c r="B5" s="33" t="s">
        <v>10</v>
      </c>
      <c r="C5" s="33" t="s">
        <v>26</v>
      </c>
      <c r="D5" s="43" t="s">
        <v>135</v>
      </c>
      <c r="E5" s="43" t="s">
        <v>146</v>
      </c>
      <c r="F5" s="94" t="str">
        <f t="shared" si="0"/>
        <v>Leoni</v>
      </c>
      <c r="G5" s="94" t="str">
        <f t="shared" si="1"/>
        <v>Ghepardi</v>
      </c>
      <c r="H5" s="43">
        <f t="shared" si="2"/>
        <v>82</v>
      </c>
      <c r="I5" s="43">
        <f t="shared" si="3"/>
        <v>25</v>
      </c>
      <c r="J5" s="94" t="str">
        <f t="shared" si="4"/>
        <v>Leoni</v>
      </c>
      <c r="K5" s="94" t="str">
        <f t="shared" si="5"/>
        <v>Ghepardi</v>
      </c>
      <c r="L5" s="43">
        <f t="shared" si="6"/>
        <v>1</v>
      </c>
      <c r="M5" s="95">
        <f t="shared" si="7"/>
        <v>0</v>
      </c>
      <c r="N5" s="95">
        <f t="shared" si="8"/>
        <v>0</v>
      </c>
      <c r="O5" s="43">
        <f t="shared" si="9"/>
        <v>82</v>
      </c>
      <c r="P5" s="43">
        <f t="shared" si="10"/>
        <v>25</v>
      </c>
      <c r="Q5" s="96">
        <f t="shared" si="11"/>
        <v>57</v>
      </c>
      <c r="R5" s="43">
        <f t="shared" si="12"/>
        <v>0</v>
      </c>
      <c r="S5" s="43">
        <f t="shared" si="13"/>
        <v>1</v>
      </c>
      <c r="T5" s="43">
        <f t="shared" si="14"/>
        <v>0</v>
      </c>
      <c r="U5" s="43">
        <f t="shared" si="15"/>
        <v>25</v>
      </c>
      <c r="V5" s="43">
        <f t="shared" si="16"/>
        <v>82</v>
      </c>
      <c r="W5" s="97">
        <f t="shared" si="17"/>
        <v>-57</v>
      </c>
      <c r="Y5" s="98" t="str">
        <f t="shared" ca="1" si="18"/>
        <v>3A</v>
      </c>
      <c r="Z5" s="33" t="s">
        <v>26</v>
      </c>
      <c r="AA5" s="43" t="s">
        <v>142</v>
      </c>
      <c r="AB5" s="99" t="str">
        <f t="shared" si="19"/>
        <v>Tigri</v>
      </c>
      <c r="AC5" s="43">
        <f t="shared" si="20"/>
        <v>3</v>
      </c>
      <c r="AD5" s="43">
        <f t="shared" si="21"/>
        <v>1</v>
      </c>
      <c r="AE5" s="43">
        <f t="shared" si="22"/>
        <v>2</v>
      </c>
      <c r="AF5" s="43">
        <f t="shared" si="23"/>
        <v>0</v>
      </c>
      <c r="AG5" s="100">
        <f t="shared" si="24"/>
        <v>4</v>
      </c>
      <c r="AH5" s="101">
        <f t="shared" si="25"/>
        <v>119</v>
      </c>
      <c r="AI5" s="43">
        <f t="shared" si="26"/>
        <v>234</v>
      </c>
      <c r="AJ5" s="102">
        <f t="shared" si="27"/>
        <v>-115</v>
      </c>
      <c r="AK5" s="43">
        <f ca="1">IF(AG5=AG6,INDIRECT("O"&amp;8+6*(FIND(Z5,"ABCDEFGH")-1)),0)</f>
        <v>0</v>
      </c>
      <c r="AL5" s="43">
        <f ca="1">IF(AG5=AG3,INDIRECT("U"&amp;4+6*(FIND(Z5,"ABCDEFGH")-1)),0)</f>
        <v>0</v>
      </c>
      <c r="AM5" s="43">
        <f ca="1">IF(AG5=AG4,INDIRECT("U"&amp;6+6*(FIND(Z5,"ABCDEFGH")-1)),0)</f>
        <v>0</v>
      </c>
      <c r="AN5" s="101">
        <f t="shared" ca="1" si="28"/>
        <v>0</v>
      </c>
      <c r="AO5" s="96">
        <f ca="1">IF(AG5=AG6,INDIRECT("Q"&amp;8+6*(FIND(Z5,"ABCDEFGH")-1)),0)</f>
        <v>0</v>
      </c>
      <c r="AP5" s="96">
        <f ca="1">IF(AG5=AG3,INDIRECT("W"&amp;4+6*(FIND(Z5,"ABCDEFGH")-1)),0)</f>
        <v>0</v>
      </c>
      <c r="AQ5" s="96">
        <f ca="1">IF(AG5=AG4,INDIRECT("W"&amp;6+6*(FIND(Z5,"ABCDEFGH")-1)),0)</f>
        <v>0</v>
      </c>
      <c r="AR5" s="102">
        <f t="shared" ca="1" si="29"/>
        <v>0</v>
      </c>
      <c r="AS5" s="103">
        <f t="shared" ca="1" si="30"/>
        <v>4.5000003851189998</v>
      </c>
      <c r="AU5" s="104" t="s">
        <v>147</v>
      </c>
      <c r="AV5" s="105">
        <v>51</v>
      </c>
      <c r="AW5" s="106" t="s">
        <v>138</v>
      </c>
      <c r="AX5" s="107" t="s">
        <v>148</v>
      </c>
      <c r="AY5" s="106" t="s">
        <v>149</v>
      </c>
      <c r="AZ5" s="106" t="s">
        <v>150</v>
      </c>
      <c r="BA5" s="94" t="str">
        <f ca="1">IF(LEFT(AY5,1)="V",VLOOKUP(VALUE(SUBSTITUTE(AY5,"V","")),B_PARTITE_2A_FASE_PER_NUMERO,10,FALSE),IF(LEFT(AY5,1)="P",VLOOKUP(VALUE(SUBSTITUTE(AY5,"P","")),B_PARTITE_2A_FASE_PER_NUMERO,11,FALSE),VLOOKUP(AY5,B_CLASSIFICHE_GIRONI,4,FALSE)))</f>
        <v>Tigri</v>
      </c>
      <c r="BB5" s="94" t="str">
        <f ca="1">IF(LEFT(AZ5,1)="V",VLOOKUP(VALUE(SUBSTITUTE(AZ5,"V","")),B_PARTITE_2A_FASE_PER_NUMERO,10,FALSE),IF(LEFT(AZ5,1)="P",VLOOKUP(VALUE(SUBSTITUTE(AZ5,"P","")),B_PARTITE_2A_FASE_PER_NUMERO,11,FALSE),VLOOKUP(AZ5,B_CLASSIFICHE_GIRONI,4,FALSE)))</f>
        <v>Iguane</v>
      </c>
      <c r="BC5" s="43">
        <f t="shared" si="31"/>
        <v>56</v>
      </c>
      <c r="BD5" s="43">
        <f t="shared" si="32"/>
        <v>38</v>
      </c>
      <c r="BE5" s="94" t="str">
        <f t="shared" ca="1" si="33"/>
        <v>Tigri</v>
      </c>
      <c r="BF5" s="94" t="str">
        <f t="shared" ca="1" si="34"/>
        <v>Iguane</v>
      </c>
      <c r="BG5" s="43">
        <f t="shared" si="35"/>
        <v>1</v>
      </c>
      <c r="BH5" s="95">
        <f t="shared" si="36"/>
        <v>0</v>
      </c>
      <c r="BI5" s="95">
        <f t="shared" si="37"/>
        <v>0</v>
      </c>
      <c r="BJ5" s="43">
        <f t="shared" si="38"/>
        <v>56</v>
      </c>
      <c r="BK5" s="43">
        <f t="shared" si="39"/>
        <v>38</v>
      </c>
      <c r="BL5" s="96">
        <f t="shared" si="40"/>
        <v>18</v>
      </c>
      <c r="BM5" s="43">
        <f t="shared" si="41"/>
        <v>0</v>
      </c>
      <c r="BN5" s="43">
        <f t="shared" si="42"/>
        <v>1</v>
      </c>
      <c r="BO5" s="43">
        <f t="shared" si="43"/>
        <v>0</v>
      </c>
      <c r="BP5" s="43">
        <f t="shared" si="44"/>
        <v>38</v>
      </c>
      <c r="BQ5" s="43">
        <f t="shared" si="45"/>
        <v>56</v>
      </c>
      <c r="BR5" s="97">
        <f t="shared" si="46"/>
        <v>-18</v>
      </c>
    </row>
    <row r="6" spans="1:70">
      <c r="A6" s="31">
        <v>37</v>
      </c>
      <c r="B6" s="33" t="s">
        <v>10</v>
      </c>
      <c r="C6" s="33" t="s">
        <v>26</v>
      </c>
      <c r="D6" s="43" t="s">
        <v>136</v>
      </c>
      <c r="E6" s="43" t="s">
        <v>142</v>
      </c>
      <c r="F6" s="94" t="str">
        <f t="shared" si="0"/>
        <v>Pantere</v>
      </c>
      <c r="G6" s="94" t="str">
        <f t="shared" si="1"/>
        <v>Tigri</v>
      </c>
      <c r="H6" s="43">
        <f t="shared" si="2"/>
        <v>93</v>
      </c>
      <c r="I6" s="43">
        <f t="shared" si="3"/>
        <v>30</v>
      </c>
      <c r="J6" s="94" t="str">
        <f t="shared" si="4"/>
        <v>Pantere</v>
      </c>
      <c r="K6" s="94" t="str">
        <f t="shared" si="5"/>
        <v>Tigri</v>
      </c>
      <c r="L6" s="43">
        <f t="shared" si="6"/>
        <v>1</v>
      </c>
      <c r="M6" s="95">
        <f t="shared" si="7"/>
        <v>0</v>
      </c>
      <c r="N6" s="95">
        <f t="shared" si="8"/>
        <v>0</v>
      </c>
      <c r="O6" s="43">
        <f t="shared" si="9"/>
        <v>93</v>
      </c>
      <c r="P6" s="43">
        <f t="shared" si="10"/>
        <v>30</v>
      </c>
      <c r="Q6" s="96">
        <f t="shared" si="11"/>
        <v>63</v>
      </c>
      <c r="R6" s="43">
        <f t="shared" si="12"/>
        <v>0</v>
      </c>
      <c r="S6" s="43">
        <f t="shared" si="13"/>
        <v>1</v>
      </c>
      <c r="T6" s="43">
        <f t="shared" si="14"/>
        <v>0</v>
      </c>
      <c r="U6" s="43">
        <f t="shared" si="15"/>
        <v>30</v>
      </c>
      <c r="V6" s="43">
        <f t="shared" si="16"/>
        <v>93</v>
      </c>
      <c r="W6" s="97">
        <f t="shared" si="17"/>
        <v>-63</v>
      </c>
      <c r="Y6" s="98" t="str">
        <f t="shared" ca="1" si="18"/>
        <v>4A</v>
      </c>
      <c r="Z6" s="33" t="s">
        <v>26</v>
      </c>
      <c r="AA6" s="43" t="s">
        <v>146</v>
      </c>
      <c r="AB6" s="99" t="str">
        <f t="shared" si="19"/>
        <v>Ghepardi</v>
      </c>
      <c r="AC6" s="43">
        <f t="shared" si="20"/>
        <v>3</v>
      </c>
      <c r="AD6" s="43">
        <f t="shared" si="21"/>
        <v>0</v>
      </c>
      <c r="AE6" s="43">
        <f t="shared" si="22"/>
        <v>3</v>
      </c>
      <c r="AF6" s="43">
        <f t="shared" si="23"/>
        <v>0</v>
      </c>
      <c r="AG6" s="100">
        <f t="shared" si="24"/>
        <v>3</v>
      </c>
      <c r="AH6" s="101">
        <f t="shared" si="25"/>
        <v>97</v>
      </c>
      <c r="AI6" s="43">
        <f t="shared" si="26"/>
        <v>206</v>
      </c>
      <c r="AJ6" s="102">
        <f t="shared" si="27"/>
        <v>-109</v>
      </c>
      <c r="AK6" s="43">
        <f ca="1">IF(AG6=AG3,INDIRECT("U"&amp;5+6*(FIND(Z6,"ABCDEFGH")-1)),0)</f>
        <v>0</v>
      </c>
      <c r="AL6" s="43">
        <f ca="1">IF(AG6=AG4,INDIRECT("U"&amp;7+6*(FIND(Z6,"ABCDEFGH")-1)),0)</f>
        <v>0</v>
      </c>
      <c r="AM6" s="43">
        <f ca="1">IF(AG6=AG5,INDIRECT("U"&amp;8+6*(FIND(Z6,"ABCDEFGH")-1)),0)</f>
        <v>0</v>
      </c>
      <c r="AN6" s="101">
        <f t="shared" ca="1" si="28"/>
        <v>0</v>
      </c>
      <c r="AO6" s="96">
        <f ca="1">IF(AG6=AG3,INDIRECT("W"&amp;5+6*(FIND(Z6,"ABCDEFGH")-1)),0)</f>
        <v>0</v>
      </c>
      <c r="AP6" s="96">
        <f ca="1">IF(AG6=AG4,INDIRECT("W"&amp;7+6*(FIND(Z6,"ABCDEFGH")-1)),0)</f>
        <v>0</v>
      </c>
      <c r="AQ6" s="96">
        <f ca="1">IF(AG6=AG5,INDIRECT("W"&amp;8+6*(FIND(Z6,"ABCDEFGH")-1)),0)</f>
        <v>0</v>
      </c>
      <c r="AR6" s="102">
        <f t="shared" ca="1" si="29"/>
        <v>0</v>
      </c>
      <c r="AS6" s="103">
        <f t="shared" ca="1" si="30"/>
        <v>3.5000003910970001</v>
      </c>
      <c r="AU6" s="104" t="s">
        <v>151</v>
      </c>
      <c r="AV6" s="105">
        <v>52</v>
      </c>
      <c r="AW6" s="106" t="s">
        <v>138</v>
      </c>
      <c r="AX6" s="107" t="s">
        <v>148</v>
      </c>
      <c r="AY6" s="106" t="s">
        <v>152</v>
      </c>
      <c r="AZ6" s="106" t="s">
        <v>153</v>
      </c>
      <c r="BA6" s="94" t="str">
        <f ca="1">IF(LEFT(AY6,1)="V",VLOOKUP(VALUE(SUBSTITUTE(AY6,"V","")),B_PARTITE_2A_FASE_PER_NUMERO,10,FALSE),IF(LEFT(AY6,1)="P",VLOOKUP(VALUE(SUBSTITUTE(AY6,"P","")),B_PARTITE_2A_FASE_PER_NUMERO,11,FALSE),VLOOKUP(AY6,B_CLASSIFICHE_GIRONI,4,FALSE)))</f>
        <v>Ippopotami</v>
      </c>
      <c r="BB6" s="94" t="str">
        <f ca="1">IF(LEFT(AZ6,1)="V",VLOOKUP(VALUE(SUBSTITUTE(AZ6,"V","")),B_PARTITE_2A_FASE_PER_NUMERO,10,FALSE),IF(LEFT(AZ6,1)="P",VLOOKUP(VALUE(SUBSTITUTE(AZ6,"P","")),B_PARTITE_2A_FASE_PER_NUMERO,11,FALSE),VLOOKUP(AZ6,B_CLASSIFICHE_GIRONI,4,FALSE)))</f>
        <v>Ghepardi</v>
      </c>
      <c r="BC6" s="43">
        <f t="shared" si="31"/>
        <v>56</v>
      </c>
      <c r="BD6" s="43">
        <f t="shared" si="32"/>
        <v>43</v>
      </c>
      <c r="BE6" s="94" t="str">
        <f t="shared" ca="1" si="33"/>
        <v>Ippopotami</v>
      </c>
      <c r="BF6" s="94" t="str">
        <f t="shared" ca="1" si="34"/>
        <v>Ghepardi</v>
      </c>
      <c r="BG6" s="43">
        <f t="shared" si="35"/>
        <v>1</v>
      </c>
      <c r="BH6" s="95">
        <f t="shared" si="36"/>
        <v>0</v>
      </c>
      <c r="BI6" s="95">
        <f t="shared" si="37"/>
        <v>0</v>
      </c>
      <c r="BJ6" s="43">
        <f t="shared" si="38"/>
        <v>56</v>
      </c>
      <c r="BK6" s="43">
        <f t="shared" si="39"/>
        <v>43</v>
      </c>
      <c r="BL6" s="96">
        <f t="shared" si="40"/>
        <v>13</v>
      </c>
      <c r="BM6" s="43">
        <f t="shared" si="41"/>
        <v>0</v>
      </c>
      <c r="BN6" s="43">
        <f t="shared" si="42"/>
        <v>1</v>
      </c>
      <c r="BO6" s="43">
        <f t="shared" si="43"/>
        <v>0</v>
      </c>
      <c r="BP6" s="43">
        <f t="shared" si="44"/>
        <v>43</v>
      </c>
      <c r="BQ6" s="43">
        <f t="shared" si="45"/>
        <v>56</v>
      </c>
      <c r="BR6" s="97">
        <f t="shared" si="46"/>
        <v>-13</v>
      </c>
    </row>
    <row r="7" spans="1:70">
      <c r="A7" s="31">
        <v>13</v>
      </c>
      <c r="B7" s="33" t="s">
        <v>10</v>
      </c>
      <c r="C7" s="33" t="s">
        <v>26</v>
      </c>
      <c r="D7" s="43" t="s">
        <v>136</v>
      </c>
      <c r="E7" s="43" t="s">
        <v>146</v>
      </c>
      <c r="F7" s="94" t="str">
        <f t="shared" si="0"/>
        <v>Pantere</v>
      </c>
      <c r="G7" s="94" t="str">
        <f t="shared" si="1"/>
        <v>Ghepardi</v>
      </c>
      <c r="H7" s="43">
        <f t="shared" si="2"/>
        <v>57</v>
      </c>
      <c r="I7" s="43">
        <f t="shared" si="3"/>
        <v>21</v>
      </c>
      <c r="J7" s="94" t="str">
        <f t="shared" si="4"/>
        <v>Pantere</v>
      </c>
      <c r="K7" s="94" t="str">
        <f t="shared" si="5"/>
        <v>Ghepardi</v>
      </c>
      <c r="L7" s="43">
        <f t="shared" si="6"/>
        <v>1</v>
      </c>
      <c r="M7" s="95">
        <f t="shared" si="7"/>
        <v>0</v>
      </c>
      <c r="N7" s="95">
        <f t="shared" si="8"/>
        <v>0</v>
      </c>
      <c r="O7" s="43">
        <f t="shared" si="9"/>
        <v>57</v>
      </c>
      <c r="P7" s="43">
        <f t="shared" si="10"/>
        <v>21</v>
      </c>
      <c r="Q7" s="96">
        <f t="shared" si="11"/>
        <v>36</v>
      </c>
      <c r="R7" s="43">
        <f t="shared" si="12"/>
        <v>0</v>
      </c>
      <c r="S7" s="43">
        <f t="shared" si="13"/>
        <v>1</v>
      </c>
      <c r="T7" s="43">
        <f t="shared" si="14"/>
        <v>0</v>
      </c>
      <c r="U7" s="43">
        <f t="shared" si="15"/>
        <v>21</v>
      </c>
      <c r="V7" s="43">
        <f t="shared" si="16"/>
        <v>57</v>
      </c>
      <c r="W7" s="97">
        <f t="shared" si="17"/>
        <v>-36</v>
      </c>
      <c r="Y7" s="108" t="str">
        <f t="shared" ref="Y7:Y10" ca="1" si="47">COUNTIF(B_COEFF_GIRONE_B,"&gt;="&amp;AS7)&amp;Z7</f>
        <v>1B</v>
      </c>
      <c r="Z7" s="109" t="s">
        <v>36</v>
      </c>
      <c r="AA7" s="109" t="s">
        <v>154</v>
      </c>
      <c r="AB7" s="110" t="str">
        <f t="shared" si="19"/>
        <v>Giaguari</v>
      </c>
      <c r="AC7" s="109">
        <f t="shared" si="20"/>
        <v>3</v>
      </c>
      <c r="AD7" s="109">
        <f t="shared" si="21"/>
        <v>2</v>
      </c>
      <c r="AE7" s="109">
        <f t="shared" si="22"/>
        <v>1</v>
      </c>
      <c r="AF7" s="109">
        <f t="shared" si="23"/>
        <v>0</v>
      </c>
      <c r="AG7" s="111">
        <f t="shared" si="24"/>
        <v>5</v>
      </c>
      <c r="AH7" s="112">
        <f t="shared" si="25"/>
        <v>232</v>
      </c>
      <c r="AI7" s="109">
        <f t="shared" si="26"/>
        <v>192</v>
      </c>
      <c r="AJ7" s="113">
        <f t="shared" si="27"/>
        <v>40</v>
      </c>
      <c r="AK7" s="109">
        <f ca="1">IF(AG7=AG8,INDIRECT("O"&amp;3+6*(FIND(Z7,"ABCDEFGH")-1)),0)</f>
        <v>100</v>
      </c>
      <c r="AL7" s="114">
        <f ca="1">IF(AG7=AG9,INDIRECT("O"&amp;4+6*(FIND(Z7,"ABCDEFGH")-1)),0)</f>
        <v>0</v>
      </c>
      <c r="AM7" s="109">
        <f ca="1">IF(AG7=AG10,INDIRECT("O"&amp;5+6*(FIND(Z7,"ABCDEFGH")-1)),0)</f>
        <v>0</v>
      </c>
      <c r="AN7" s="112">
        <f t="shared" ca="1" si="28"/>
        <v>100</v>
      </c>
      <c r="AO7" s="115">
        <f ca="1">IF(AG7=AG8,INDIRECT("Q"&amp;3+6*(FIND(Z7,"ABCDEFGH")-1)),0)</f>
        <v>49</v>
      </c>
      <c r="AP7" s="115">
        <f ca="1">IF(AG7=AG9,INDIRECT("Q"&amp;4+6*(FIND(Z7,"ABCDEFGH")-1)),0)</f>
        <v>0</v>
      </c>
      <c r="AQ7" s="115">
        <f ca="1">IF(AG7=AG10,INDIRECT("Q"&amp;5+6*(FIND(Z7,"ABCDEFGH")-1)),0)</f>
        <v>0</v>
      </c>
      <c r="AR7" s="113">
        <f t="shared" ca="1" si="29"/>
        <v>49</v>
      </c>
      <c r="AS7" s="116">
        <f t="shared" ca="1" si="30"/>
        <v>5.5491005402320006</v>
      </c>
      <c r="AU7" s="104" t="s">
        <v>155</v>
      </c>
      <c r="AV7" s="105">
        <v>53</v>
      </c>
      <c r="AW7" s="106" t="s">
        <v>138</v>
      </c>
      <c r="AX7" s="107" t="s">
        <v>139</v>
      </c>
      <c r="AY7" s="106" t="s">
        <v>156</v>
      </c>
      <c r="AZ7" s="106" t="s">
        <v>157</v>
      </c>
      <c r="BA7" s="94" t="str">
        <f ca="1">IF(LEFT(AY7,1)="V",VLOOKUP(VALUE(SUBSTITUTE(AY7,"V","")),B_PARTITE_2A_FASE_PER_NUMERO,10,FALSE),IF(LEFT(AY7,1)="P",VLOOKUP(VALUE(SUBSTITUTE(AY7,"P","")),B_PARTITE_2A_FASE_PER_NUMERO,11,FALSE),VLOOKUP(AY7,B_CLASSIFICHE_GIRONI,4,FALSE)))</f>
        <v>Giaguari</v>
      </c>
      <c r="BB7" s="94" t="str">
        <f ca="1">IF(LEFT(AZ7,1)="V",VLOOKUP(VALUE(SUBSTITUTE(AZ7,"V","")),B_PARTITE_2A_FASE_PER_NUMERO,10,FALSE),IF(LEFT(AZ7,1)="P",VLOOKUP(VALUE(SUBSTITUTE(AZ7,"P","")),B_PARTITE_2A_FASE_PER_NUMERO,11,FALSE),VLOOKUP(AZ7,B_CLASSIFICHE_GIRONI,4,FALSE)))</f>
        <v>Aquile</v>
      </c>
      <c r="BC7" s="43">
        <f t="shared" si="31"/>
        <v>52</v>
      </c>
      <c r="BD7" s="43">
        <f t="shared" si="32"/>
        <v>43</v>
      </c>
      <c r="BE7" s="94" t="str">
        <f t="shared" ca="1" si="33"/>
        <v>Giaguari</v>
      </c>
      <c r="BF7" s="94" t="str">
        <f t="shared" ca="1" si="34"/>
        <v>Aquile</v>
      </c>
      <c r="BG7" s="43">
        <f t="shared" si="35"/>
        <v>1</v>
      </c>
      <c r="BH7" s="95">
        <f t="shared" si="36"/>
        <v>0</v>
      </c>
      <c r="BI7" s="95">
        <f t="shared" si="37"/>
        <v>0</v>
      </c>
      <c r="BJ7" s="43">
        <f t="shared" si="38"/>
        <v>52</v>
      </c>
      <c r="BK7" s="43">
        <f t="shared" si="39"/>
        <v>43</v>
      </c>
      <c r="BL7" s="96">
        <f t="shared" si="40"/>
        <v>9</v>
      </c>
      <c r="BM7" s="43">
        <f t="shared" si="41"/>
        <v>0</v>
      </c>
      <c r="BN7" s="43">
        <f t="shared" si="42"/>
        <v>1</v>
      </c>
      <c r="BO7" s="43">
        <f t="shared" si="43"/>
        <v>0</v>
      </c>
      <c r="BP7" s="43">
        <f t="shared" si="44"/>
        <v>43</v>
      </c>
      <c r="BQ7" s="43">
        <f t="shared" si="45"/>
        <v>52</v>
      </c>
      <c r="BR7" s="97">
        <f t="shared" si="46"/>
        <v>-9</v>
      </c>
    </row>
    <row r="8" spans="1:70">
      <c r="A8" s="31">
        <v>2</v>
      </c>
      <c r="B8" s="33" t="s">
        <v>10</v>
      </c>
      <c r="C8" s="33" t="s">
        <v>26</v>
      </c>
      <c r="D8" s="43" t="s">
        <v>142</v>
      </c>
      <c r="E8" s="43" t="s">
        <v>146</v>
      </c>
      <c r="F8" s="94" t="str">
        <f t="shared" si="0"/>
        <v>Tigri</v>
      </c>
      <c r="G8" s="94" t="str">
        <f t="shared" si="1"/>
        <v>Ghepardi</v>
      </c>
      <c r="H8" s="43">
        <f t="shared" si="2"/>
        <v>67</v>
      </c>
      <c r="I8" s="43">
        <f t="shared" si="3"/>
        <v>51</v>
      </c>
      <c r="J8" s="94" t="str">
        <f t="shared" si="4"/>
        <v>Tigri</v>
      </c>
      <c r="K8" s="94" t="str">
        <f t="shared" si="5"/>
        <v>Ghepardi</v>
      </c>
      <c r="L8" s="43">
        <f t="shared" si="6"/>
        <v>1</v>
      </c>
      <c r="M8" s="95">
        <f t="shared" si="7"/>
        <v>0</v>
      </c>
      <c r="N8" s="95">
        <f t="shared" si="8"/>
        <v>0</v>
      </c>
      <c r="O8" s="43">
        <f t="shared" si="9"/>
        <v>67</v>
      </c>
      <c r="P8" s="43">
        <f t="shared" si="10"/>
        <v>51</v>
      </c>
      <c r="Q8" s="96">
        <f t="shared" si="11"/>
        <v>16</v>
      </c>
      <c r="R8" s="43">
        <f t="shared" si="12"/>
        <v>0</v>
      </c>
      <c r="S8" s="43">
        <f t="shared" si="13"/>
        <v>1</v>
      </c>
      <c r="T8" s="43">
        <f t="shared" si="14"/>
        <v>0</v>
      </c>
      <c r="U8" s="43">
        <f t="shared" si="15"/>
        <v>51</v>
      </c>
      <c r="V8" s="43">
        <f t="shared" si="16"/>
        <v>67</v>
      </c>
      <c r="W8" s="97">
        <f t="shared" si="17"/>
        <v>-16</v>
      </c>
      <c r="Y8" s="98" t="str">
        <f t="shared" ca="1" si="47"/>
        <v>2B</v>
      </c>
      <c r="Z8" s="33" t="s">
        <v>36</v>
      </c>
      <c r="AA8" s="43" t="s">
        <v>158</v>
      </c>
      <c r="AB8" s="99" t="str">
        <f t="shared" si="19"/>
        <v>Puma</v>
      </c>
      <c r="AC8" s="43">
        <f t="shared" si="20"/>
        <v>3</v>
      </c>
      <c r="AD8" s="43">
        <f t="shared" si="21"/>
        <v>2</v>
      </c>
      <c r="AE8" s="43">
        <f t="shared" si="22"/>
        <v>1</v>
      </c>
      <c r="AF8" s="43">
        <f t="shared" si="23"/>
        <v>0</v>
      </c>
      <c r="AG8" s="100">
        <f t="shared" si="24"/>
        <v>5</v>
      </c>
      <c r="AH8" s="101">
        <f t="shared" si="25"/>
        <v>216</v>
      </c>
      <c r="AI8" s="43">
        <f t="shared" si="26"/>
        <v>217</v>
      </c>
      <c r="AJ8" s="102">
        <f t="shared" si="27"/>
        <v>-1</v>
      </c>
      <c r="AK8" s="43">
        <f ca="1">IF(AG8=AG9,INDIRECT("O"&amp;6+6*(FIND(Z8,"ABCDEFGH")-1)),0)</f>
        <v>0</v>
      </c>
      <c r="AL8" s="43">
        <f ca="1">IF(AG8=AG10,INDIRECT("O"&amp;7+6*(FIND(Z8,"ABCDEFGH")-1)),0)</f>
        <v>0</v>
      </c>
      <c r="AM8" s="43">
        <f ca="1">IF(AG8=AG7,INDIRECT("U"&amp;3+6*(FIND(Z8,"ABCDEFGH")-1)),0)</f>
        <v>51</v>
      </c>
      <c r="AN8" s="101">
        <f t="shared" ca="1" si="28"/>
        <v>51</v>
      </c>
      <c r="AO8" s="96">
        <f ca="1">IF(AG8=AG9,INDIRECT("Q"&amp;6+6*(FIND(Z8,"ABCDEFGH")-1)),0)</f>
        <v>0</v>
      </c>
      <c r="AP8" s="96">
        <f ca="1">IF(AG8=AG10,INDIRECT("Q"&amp;7+6*(FIND(Z8,"ABCDEFGH")-1)),0)</f>
        <v>0</v>
      </c>
      <c r="AQ8" s="96">
        <f ca="1">IF(AG8=AG7,INDIRECT("W"&amp;3+6*(FIND(Z8,"ABCDEFGH")-1)),0)</f>
        <v>-49</v>
      </c>
      <c r="AR8" s="102">
        <f t="shared" ca="1" si="29"/>
        <v>-49</v>
      </c>
      <c r="AS8" s="103">
        <f t="shared" ca="1" si="30"/>
        <v>5.4510514992159997</v>
      </c>
      <c r="AU8" s="104" t="s">
        <v>159</v>
      </c>
      <c r="AV8" s="105">
        <v>54</v>
      </c>
      <c r="AW8" s="106" t="s">
        <v>138</v>
      </c>
      <c r="AX8" s="107" t="s">
        <v>139</v>
      </c>
      <c r="AY8" s="106" t="s">
        <v>160</v>
      </c>
      <c r="AZ8" s="106" t="s">
        <v>161</v>
      </c>
      <c r="BA8" s="94" t="str">
        <f ca="1">IF(LEFT(AY8,1)="V",VLOOKUP(VALUE(SUBSTITUTE(AY8,"V","")),B_PARTITE_2A_FASE_PER_NUMERO,10,FALSE),IF(LEFT(AY8,1)="P",VLOOKUP(VALUE(SUBSTITUTE(AY8,"P","")),B_PARTITE_2A_FASE_PER_NUMERO,11,FALSE),VLOOKUP(AY8,B_CLASSIFICHE_GIRONI,4,FALSE)))</f>
        <v>Coccodrilli</v>
      </c>
      <c r="BB8" s="94" t="str">
        <f ca="1">IF(LEFT(AZ8,1)="V",VLOOKUP(VALUE(SUBSTITUTE(AZ8,"V","")),B_PARTITE_2A_FASE_PER_NUMERO,10,FALSE),IF(LEFT(AZ8,1)="P",VLOOKUP(VALUE(SUBSTITUTE(AZ8,"P","")),B_PARTITE_2A_FASE_PER_NUMERO,11,FALSE),VLOOKUP(AZ8,B_CLASSIFICHE_GIRONI,4,FALSE)))</f>
        <v>Puma</v>
      </c>
      <c r="BC8" s="43">
        <f t="shared" si="31"/>
        <v>67</v>
      </c>
      <c r="BD8" s="43">
        <f t="shared" si="32"/>
        <v>34</v>
      </c>
      <c r="BE8" s="94" t="str">
        <f t="shared" ca="1" si="33"/>
        <v>Coccodrilli</v>
      </c>
      <c r="BF8" s="94" t="str">
        <f t="shared" ca="1" si="34"/>
        <v>Puma</v>
      </c>
      <c r="BG8" s="43">
        <f t="shared" si="35"/>
        <v>1</v>
      </c>
      <c r="BH8" s="95">
        <f t="shared" si="36"/>
        <v>0</v>
      </c>
      <c r="BI8" s="95">
        <f t="shared" si="37"/>
        <v>0</v>
      </c>
      <c r="BJ8" s="43">
        <f t="shared" si="38"/>
        <v>67</v>
      </c>
      <c r="BK8" s="43">
        <f t="shared" si="39"/>
        <v>34</v>
      </c>
      <c r="BL8" s="96">
        <f t="shared" si="40"/>
        <v>33</v>
      </c>
      <c r="BM8" s="43">
        <f t="shared" si="41"/>
        <v>0</v>
      </c>
      <c r="BN8" s="43">
        <f t="shared" si="42"/>
        <v>1</v>
      </c>
      <c r="BO8" s="43">
        <f t="shared" si="43"/>
        <v>0</v>
      </c>
      <c r="BP8" s="43">
        <f t="shared" si="44"/>
        <v>34</v>
      </c>
      <c r="BQ8" s="43">
        <f t="shared" si="45"/>
        <v>67</v>
      </c>
      <c r="BR8" s="97">
        <f t="shared" si="46"/>
        <v>-33</v>
      </c>
    </row>
    <row r="9" spans="1:70">
      <c r="A9" s="31">
        <v>3</v>
      </c>
      <c r="B9" s="33" t="s">
        <v>10</v>
      </c>
      <c r="C9" s="33" t="s">
        <v>36</v>
      </c>
      <c r="D9" s="43" t="s">
        <v>154</v>
      </c>
      <c r="E9" s="43" t="s">
        <v>158</v>
      </c>
      <c r="F9" s="94" t="str">
        <f t="shared" si="0"/>
        <v>Giaguari</v>
      </c>
      <c r="G9" s="94" t="str">
        <f t="shared" si="1"/>
        <v>Puma</v>
      </c>
      <c r="H9" s="43">
        <f t="shared" si="2"/>
        <v>100</v>
      </c>
      <c r="I9" s="43">
        <f t="shared" si="3"/>
        <v>51</v>
      </c>
      <c r="J9" s="94" t="str">
        <f t="shared" si="4"/>
        <v>Giaguari</v>
      </c>
      <c r="K9" s="94" t="str">
        <f t="shared" si="5"/>
        <v>Puma</v>
      </c>
      <c r="L9" s="43">
        <f t="shared" si="6"/>
        <v>1</v>
      </c>
      <c r="M9" s="95">
        <f t="shared" si="7"/>
        <v>0</v>
      </c>
      <c r="N9" s="95">
        <f t="shared" si="8"/>
        <v>0</v>
      </c>
      <c r="O9" s="43">
        <f t="shared" si="9"/>
        <v>100</v>
      </c>
      <c r="P9" s="43">
        <f t="shared" si="10"/>
        <v>51</v>
      </c>
      <c r="Q9" s="96">
        <f t="shared" si="11"/>
        <v>49</v>
      </c>
      <c r="R9" s="43">
        <f t="shared" si="12"/>
        <v>0</v>
      </c>
      <c r="S9" s="43">
        <f t="shared" si="13"/>
        <v>1</v>
      </c>
      <c r="T9" s="43">
        <f t="shared" si="14"/>
        <v>0</v>
      </c>
      <c r="U9" s="43">
        <f t="shared" si="15"/>
        <v>51</v>
      </c>
      <c r="V9" s="43">
        <f t="shared" si="16"/>
        <v>100</v>
      </c>
      <c r="W9" s="97">
        <f t="shared" si="17"/>
        <v>-49</v>
      </c>
      <c r="Y9" s="98" t="str">
        <f t="shared" ca="1" si="47"/>
        <v>3B</v>
      </c>
      <c r="Z9" s="33" t="s">
        <v>36</v>
      </c>
      <c r="AA9" s="43" t="s">
        <v>162</v>
      </c>
      <c r="AB9" s="99" t="str">
        <f t="shared" si="19"/>
        <v>Linci</v>
      </c>
      <c r="AC9" s="43">
        <f t="shared" si="20"/>
        <v>3</v>
      </c>
      <c r="AD9" s="43">
        <f t="shared" si="21"/>
        <v>1</v>
      </c>
      <c r="AE9" s="43">
        <f t="shared" si="22"/>
        <v>2</v>
      </c>
      <c r="AF9" s="43">
        <f t="shared" si="23"/>
        <v>0</v>
      </c>
      <c r="AG9" s="100">
        <f t="shared" si="24"/>
        <v>4</v>
      </c>
      <c r="AH9" s="101">
        <f t="shared" si="25"/>
        <v>215</v>
      </c>
      <c r="AI9" s="43">
        <f t="shared" si="26"/>
        <v>239</v>
      </c>
      <c r="AJ9" s="102">
        <f t="shared" si="27"/>
        <v>-24</v>
      </c>
      <c r="AK9" s="43">
        <f ca="1">IF(AG9=AG10,INDIRECT("O"&amp;8+6*(FIND(Z9,"ABCDEFGH")-1)),0)</f>
        <v>96</v>
      </c>
      <c r="AL9" s="43">
        <f ca="1">IF(AG9=AG7,INDIRECT("U"&amp;4+6*(FIND(Z9,"ABCDEFGH")-1)),0)</f>
        <v>0</v>
      </c>
      <c r="AM9" s="43">
        <f ca="1">IF(AG9=AG8,INDIRECT("U"&amp;6+6*(FIND(Z9,"ABCDEFGH")-1)),0)</f>
        <v>0</v>
      </c>
      <c r="AN9" s="101">
        <f t="shared" ca="1" si="28"/>
        <v>96</v>
      </c>
      <c r="AO9" s="96">
        <f ca="1">IF(AG9=AG10,INDIRECT("Q"&amp;8+6*(FIND(Z9,"ABCDEFGH")-1)),0)</f>
        <v>10</v>
      </c>
      <c r="AP9" s="96">
        <f ca="1">IF(AG9=AG7,INDIRECT("W"&amp;4+6*(FIND(Z9,"ABCDEFGH")-1)),0)</f>
        <v>0</v>
      </c>
      <c r="AQ9" s="96">
        <f ca="1">IF(AG9=AG8,INDIRECT("W"&amp;6+6*(FIND(Z9,"ABCDEFGH")-1)),0)</f>
        <v>0</v>
      </c>
      <c r="AR9" s="102">
        <f t="shared" ca="1" si="29"/>
        <v>10</v>
      </c>
      <c r="AS9" s="103">
        <f t="shared" ca="1" si="30"/>
        <v>4.5100964762149998</v>
      </c>
      <c r="AU9" s="104" t="s">
        <v>163</v>
      </c>
      <c r="AV9" s="105">
        <v>55</v>
      </c>
      <c r="AW9" s="106" t="s">
        <v>138</v>
      </c>
      <c r="AX9" s="107" t="s">
        <v>148</v>
      </c>
      <c r="AY9" s="106" t="s">
        <v>164</v>
      </c>
      <c r="AZ9" s="106" t="s">
        <v>165</v>
      </c>
      <c r="BA9" s="94" t="str">
        <f ca="1">IF(LEFT(AY9,1)="V",VLOOKUP(VALUE(SUBSTITUTE(AY9,"V","")),B_PARTITE_2A_FASE_PER_NUMERO,10,FALSE),IF(LEFT(AY9,1)="P",VLOOKUP(VALUE(SUBSTITUTE(AY9,"P","")),B_PARTITE_2A_FASE_PER_NUMERO,11,FALSE),VLOOKUP(AY9,B_CLASSIFICHE_GIRONI,4,FALSE)))</f>
        <v>Linci</v>
      </c>
      <c r="BB9" s="94" t="str">
        <f ca="1">IF(LEFT(AZ9,1)="V",VLOOKUP(VALUE(SUBSTITUTE(AZ9,"V","")),B_PARTITE_2A_FASE_PER_NUMERO,10,FALSE),IF(LEFT(AZ9,1)="P",VLOOKUP(VALUE(SUBSTITUTE(AZ9,"P","")),B_PARTITE_2A_FASE_PER_NUMERO,11,FALSE),VLOOKUP(AZ9,B_CLASSIFICHE_GIRONI,4,FALSE)))</f>
        <v>Falchi</v>
      </c>
      <c r="BC9" s="43">
        <f t="shared" si="31"/>
        <v>59</v>
      </c>
      <c r="BD9" s="43">
        <f t="shared" si="32"/>
        <v>41</v>
      </c>
      <c r="BE9" s="94" t="str">
        <f t="shared" ca="1" si="33"/>
        <v>Linci</v>
      </c>
      <c r="BF9" s="94" t="str">
        <f t="shared" ca="1" si="34"/>
        <v>Falchi</v>
      </c>
      <c r="BG9" s="43">
        <f t="shared" si="35"/>
        <v>1</v>
      </c>
      <c r="BH9" s="95">
        <f t="shared" si="36"/>
        <v>0</v>
      </c>
      <c r="BI9" s="95">
        <f t="shared" si="37"/>
        <v>0</v>
      </c>
      <c r="BJ9" s="43">
        <f t="shared" si="38"/>
        <v>59</v>
      </c>
      <c r="BK9" s="43">
        <f t="shared" si="39"/>
        <v>41</v>
      </c>
      <c r="BL9" s="96">
        <f t="shared" si="40"/>
        <v>18</v>
      </c>
      <c r="BM9" s="43">
        <f t="shared" si="41"/>
        <v>0</v>
      </c>
      <c r="BN9" s="43">
        <f t="shared" si="42"/>
        <v>1</v>
      </c>
      <c r="BO9" s="43">
        <f t="shared" si="43"/>
        <v>0</v>
      </c>
      <c r="BP9" s="43">
        <f t="shared" si="44"/>
        <v>41</v>
      </c>
      <c r="BQ9" s="43">
        <f t="shared" si="45"/>
        <v>59</v>
      </c>
      <c r="BR9" s="97">
        <f t="shared" si="46"/>
        <v>-18</v>
      </c>
    </row>
    <row r="10" spans="1:70">
      <c r="A10" s="31">
        <v>10</v>
      </c>
      <c r="B10" s="33" t="s">
        <v>10</v>
      </c>
      <c r="C10" s="33" t="s">
        <v>36</v>
      </c>
      <c r="D10" s="43" t="s">
        <v>154</v>
      </c>
      <c r="E10" s="43" t="s">
        <v>162</v>
      </c>
      <c r="F10" s="94" t="str">
        <f t="shared" si="0"/>
        <v>Giaguari</v>
      </c>
      <c r="G10" s="94" t="str">
        <f t="shared" si="1"/>
        <v>Linci</v>
      </c>
      <c r="H10" s="43">
        <f t="shared" si="2"/>
        <v>56</v>
      </c>
      <c r="I10" s="43">
        <f t="shared" si="3"/>
        <v>47</v>
      </c>
      <c r="J10" s="94" t="str">
        <f t="shared" si="4"/>
        <v>Giaguari</v>
      </c>
      <c r="K10" s="94" t="str">
        <f t="shared" si="5"/>
        <v>Linci</v>
      </c>
      <c r="L10" s="43">
        <f t="shared" si="6"/>
        <v>1</v>
      </c>
      <c r="M10" s="95">
        <f t="shared" si="7"/>
        <v>0</v>
      </c>
      <c r="N10" s="95">
        <f t="shared" si="8"/>
        <v>0</v>
      </c>
      <c r="O10" s="43">
        <f t="shared" si="9"/>
        <v>56</v>
      </c>
      <c r="P10" s="43">
        <f t="shared" si="10"/>
        <v>47</v>
      </c>
      <c r="Q10" s="96">
        <f t="shared" si="11"/>
        <v>9</v>
      </c>
      <c r="R10" s="43">
        <f t="shared" si="12"/>
        <v>0</v>
      </c>
      <c r="S10" s="43">
        <f t="shared" si="13"/>
        <v>1</v>
      </c>
      <c r="T10" s="43">
        <f t="shared" si="14"/>
        <v>0</v>
      </c>
      <c r="U10" s="43">
        <f t="shared" si="15"/>
        <v>47</v>
      </c>
      <c r="V10" s="43">
        <f t="shared" si="16"/>
        <v>56</v>
      </c>
      <c r="W10" s="97">
        <f t="shared" si="17"/>
        <v>-9</v>
      </c>
      <c r="Y10" s="117" t="str">
        <f t="shared" ca="1" si="47"/>
        <v>4B</v>
      </c>
      <c r="Z10" s="118" t="s">
        <v>36</v>
      </c>
      <c r="AA10" s="118" t="s">
        <v>166</v>
      </c>
      <c r="AB10" s="119" t="str">
        <f t="shared" si="19"/>
        <v>Serval</v>
      </c>
      <c r="AC10" s="118">
        <f t="shared" si="20"/>
        <v>3</v>
      </c>
      <c r="AD10" s="118">
        <f t="shared" si="21"/>
        <v>1</v>
      </c>
      <c r="AE10" s="118">
        <f t="shared" si="22"/>
        <v>2</v>
      </c>
      <c r="AF10" s="118">
        <f t="shared" si="23"/>
        <v>0</v>
      </c>
      <c r="AG10" s="120">
        <f t="shared" si="24"/>
        <v>4</v>
      </c>
      <c r="AH10" s="121">
        <f t="shared" si="25"/>
        <v>225</v>
      </c>
      <c r="AI10" s="118">
        <f t="shared" si="26"/>
        <v>240</v>
      </c>
      <c r="AJ10" s="122">
        <f t="shared" si="27"/>
        <v>-15</v>
      </c>
      <c r="AK10" s="118">
        <f ca="1">IF(AG10=AG7,INDIRECT("U"&amp;5+6*(FIND(Z10,"ABCDEFGH")-1)),0)</f>
        <v>0</v>
      </c>
      <c r="AL10" s="118">
        <f ca="1">IF(AG10=AG8,INDIRECT("U"&amp;7+6*(FIND(Z10,"ABCDEFGH")-1)),0)</f>
        <v>0</v>
      </c>
      <c r="AM10" s="118">
        <f ca="1">IF(AG10=AG9,INDIRECT("U"&amp;8+6*(FIND(Z10,"ABCDEFGH")-1)),0)</f>
        <v>86</v>
      </c>
      <c r="AN10" s="121">
        <f t="shared" ca="1" si="28"/>
        <v>86</v>
      </c>
      <c r="AO10" s="123">
        <f ca="1">IF(AG10=AG7,INDIRECT("W"&amp;5+6*(FIND(Z10,"ABCDEFGH")-1)),0)</f>
        <v>0</v>
      </c>
      <c r="AP10" s="123">
        <f ca="1">IF(AG10=AG8,INDIRECT("W"&amp;7+6*(FIND(Z10,"ABCDEFGH")-1)),0)</f>
        <v>0</v>
      </c>
      <c r="AQ10" s="123">
        <f ca="1">IF(AG10=AG9,INDIRECT("W"&amp;8+6*(FIND(Z10,"ABCDEFGH")-1)),0)</f>
        <v>-10</v>
      </c>
      <c r="AR10" s="122">
        <f t="shared" ca="1" si="29"/>
        <v>-10</v>
      </c>
      <c r="AS10" s="124">
        <f t="shared" ca="1" si="30"/>
        <v>4.4900864852249995</v>
      </c>
      <c r="AU10" s="104" t="s">
        <v>167</v>
      </c>
      <c r="AV10" s="105">
        <v>56</v>
      </c>
      <c r="AW10" s="106" t="s">
        <v>138</v>
      </c>
      <c r="AX10" s="107" t="s">
        <v>148</v>
      </c>
      <c r="AY10" s="106" t="s">
        <v>168</v>
      </c>
      <c r="AZ10" s="106" t="s">
        <v>169</v>
      </c>
      <c r="BA10" s="94" t="str">
        <f ca="1">IF(LEFT(AY10,1)="V",VLOOKUP(VALUE(SUBSTITUTE(AY10,"V","")),B_PARTITE_2A_FASE_PER_NUMERO,10,FALSE),IF(LEFT(AY10,1)="P",VLOOKUP(VALUE(SUBSTITUTE(AY10,"P","")),B_PARTITE_2A_FASE_PER_NUMERO,11,FALSE),VLOOKUP(AY10,B_CLASSIFICHE_GIRONI,4,FALSE)))</f>
        <v>Pitoni</v>
      </c>
      <c r="BB10" s="94" t="str">
        <f ca="1">IF(LEFT(AZ10,1)="V",VLOOKUP(VALUE(SUBSTITUTE(AZ10,"V","")),B_PARTITE_2A_FASE_PER_NUMERO,10,FALSE),IF(LEFT(AZ10,1)="P",VLOOKUP(VALUE(SUBSTITUTE(AZ10,"P","")),B_PARTITE_2A_FASE_PER_NUMERO,11,FALSE),VLOOKUP(AZ10,B_CLASSIFICHE_GIRONI,4,FALSE)))</f>
        <v>Serval</v>
      </c>
      <c r="BC10" s="43">
        <f t="shared" si="31"/>
        <v>52</v>
      </c>
      <c r="BD10" s="43">
        <f t="shared" si="32"/>
        <v>30</v>
      </c>
      <c r="BE10" s="94" t="str">
        <f t="shared" ca="1" si="33"/>
        <v>Pitoni</v>
      </c>
      <c r="BF10" s="94" t="str">
        <f t="shared" ca="1" si="34"/>
        <v>Serval</v>
      </c>
      <c r="BG10" s="43">
        <f t="shared" si="35"/>
        <v>1</v>
      </c>
      <c r="BH10" s="95">
        <f t="shared" si="36"/>
        <v>0</v>
      </c>
      <c r="BI10" s="95">
        <f t="shared" si="37"/>
        <v>0</v>
      </c>
      <c r="BJ10" s="43">
        <f t="shared" si="38"/>
        <v>52</v>
      </c>
      <c r="BK10" s="43">
        <f t="shared" si="39"/>
        <v>30</v>
      </c>
      <c r="BL10" s="96">
        <f t="shared" si="40"/>
        <v>22</v>
      </c>
      <c r="BM10" s="43">
        <f t="shared" si="41"/>
        <v>0</v>
      </c>
      <c r="BN10" s="43">
        <f t="shared" si="42"/>
        <v>1</v>
      </c>
      <c r="BO10" s="43">
        <f t="shared" si="43"/>
        <v>0</v>
      </c>
      <c r="BP10" s="43">
        <f t="shared" si="44"/>
        <v>30</v>
      </c>
      <c r="BQ10" s="43">
        <f t="shared" si="45"/>
        <v>52</v>
      </c>
      <c r="BR10" s="97">
        <f t="shared" si="46"/>
        <v>-22</v>
      </c>
    </row>
    <row r="11" spans="1:70">
      <c r="A11" s="31">
        <v>26</v>
      </c>
      <c r="B11" s="33" t="s">
        <v>10</v>
      </c>
      <c r="C11" s="33" t="s">
        <v>36</v>
      </c>
      <c r="D11" s="43" t="s">
        <v>154</v>
      </c>
      <c r="E11" s="43" t="s">
        <v>166</v>
      </c>
      <c r="F11" s="94" t="str">
        <f t="shared" si="0"/>
        <v>Giaguari</v>
      </c>
      <c r="G11" s="94" t="str">
        <f t="shared" si="1"/>
        <v>Serval</v>
      </c>
      <c r="H11" s="43">
        <f t="shared" si="2"/>
        <v>76</v>
      </c>
      <c r="I11" s="43">
        <f t="shared" si="3"/>
        <v>94</v>
      </c>
      <c r="J11" s="94" t="str">
        <f t="shared" si="4"/>
        <v>Serval</v>
      </c>
      <c r="K11" s="94" t="str">
        <f t="shared" si="5"/>
        <v>Giaguari</v>
      </c>
      <c r="L11" s="43">
        <f t="shared" si="6"/>
        <v>0</v>
      </c>
      <c r="M11" s="95">
        <f t="shared" si="7"/>
        <v>1</v>
      </c>
      <c r="N11" s="95">
        <f t="shared" si="8"/>
        <v>0</v>
      </c>
      <c r="O11" s="43">
        <f t="shared" si="9"/>
        <v>76</v>
      </c>
      <c r="P11" s="43">
        <f t="shared" si="10"/>
        <v>94</v>
      </c>
      <c r="Q11" s="96">
        <f t="shared" si="11"/>
        <v>-18</v>
      </c>
      <c r="R11" s="43">
        <f t="shared" si="12"/>
        <v>1</v>
      </c>
      <c r="S11" s="43">
        <f t="shared" si="13"/>
        <v>0</v>
      </c>
      <c r="T11" s="43">
        <f t="shared" si="14"/>
        <v>0</v>
      </c>
      <c r="U11" s="43">
        <f t="shared" si="15"/>
        <v>94</v>
      </c>
      <c r="V11" s="43">
        <f t="shared" si="16"/>
        <v>76</v>
      </c>
      <c r="W11" s="97">
        <f t="shared" si="17"/>
        <v>18</v>
      </c>
      <c r="Y11" s="98" t="str">
        <f t="shared" ref="Y11:Y14" ca="1" si="48">COUNTIF(B_COEFF_GIRONE_C,"&gt;="&amp;AS11)&amp;Z11</f>
        <v>2C</v>
      </c>
      <c r="Z11" s="33" t="s">
        <v>41</v>
      </c>
      <c r="AA11" s="43" t="s">
        <v>170</v>
      </c>
      <c r="AB11" s="99" t="str">
        <f t="shared" si="19"/>
        <v>Elefanti</v>
      </c>
      <c r="AC11" s="43">
        <f t="shared" si="20"/>
        <v>3</v>
      </c>
      <c r="AD11" s="43">
        <f t="shared" si="21"/>
        <v>2</v>
      </c>
      <c r="AE11" s="43">
        <f t="shared" si="22"/>
        <v>1</v>
      </c>
      <c r="AF11" s="43">
        <f t="shared" si="23"/>
        <v>0</v>
      </c>
      <c r="AG11" s="100">
        <f t="shared" si="24"/>
        <v>5</v>
      </c>
      <c r="AH11" s="101">
        <f t="shared" si="25"/>
        <v>202</v>
      </c>
      <c r="AI11" s="43">
        <f t="shared" si="26"/>
        <v>185</v>
      </c>
      <c r="AJ11" s="102">
        <f t="shared" si="27"/>
        <v>17</v>
      </c>
      <c r="AK11" s="43">
        <f ca="1">IF(AG11=AG12,INDIRECT("O"&amp;3+6*(FIND(Z11,"ABCDEFGH")-1)),0)</f>
        <v>79</v>
      </c>
      <c r="AL11" s="95">
        <f ca="1">IF(AG11=AG13,INDIRECT("O"&amp;4+6*(FIND(Z11,"ABCDEFGH")-1)),0)</f>
        <v>66</v>
      </c>
      <c r="AM11" s="43">
        <f ca="1">IF(AG11=AG14,INDIRECT("O"&amp;5+6*(FIND(Z11,"ABCDEFGH")-1)),0)</f>
        <v>0</v>
      </c>
      <c r="AN11" s="101">
        <f t="shared" ca="1" si="28"/>
        <v>145</v>
      </c>
      <c r="AO11" s="96">
        <f ca="1">IF(AG11=AG12,INDIRECT("Q"&amp;3+6*(FIND(Z11,"ABCDEFGH")-1)),0)</f>
        <v>31</v>
      </c>
      <c r="AP11" s="96">
        <f ca="1">IF(AG11=AG13,INDIRECT("Q"&amp;4+6*(FIND(Z11,"ABCDEFGH")-1)),0)</f>
        <v>-29</v>
      </c>
      <c r="AQ11" s="96">
        <f ca="1">IF(AG11=AG14,INDIRECT("Q"&amp;5+6*(FIND(Z11,"ABCDEFGH")-1)),0)</f>
        <v>0</v>
      </c>
      <c r="AR11" s="102">
        <f t="shared" ca="1" si="29"/>
        <v>2</v>
      </c>
      <c r="AS11" s="103">
        <f t="shared" ca="1" si="30"/>
        <v>5.502145517202</v>
      </c>
      <c r="AU11" s="104" t="s">
        <v>171</v>
      </c>
      <c r="AV11" s="105">
        <v>57</v>
      </c>
      <c r="AW11" s="106" t="s">
        <v>138</v>
      </c>
      <c r="AX11" s="107" t="s">
        <v>139</v>
      </c>
      <c r="AY11" s="106" t="s">
        <v>172</v>
      </c>
      <c r="AZ11" s="125" t="s">
        <v>173</v>
      </c>
      <c r="BA11" s="94" t="str">
        <f ca="1">IF(LEFT(AY11,1)="V",VLOOKUP(VALUE(SUBSTITUTE(AY11,"V","")),B_PARTITE_2A_FASE_PER_NUMERO,10,FALSE),IF(LEFT(AY11,1)="P",VLOOKUP(VALUE(SUBSTITUTE(AY11,"P","")),B_PARTITE_2A_FASE_PER_NUMERO,11,FALSE),VLOOKUP(AY11,B_CLASSIFICHE_GIRONI,4,FALSE)))</f>
        <v>Bisonti</v>
      </c>
      <c r="BB11" s="94" t="str">
        <f ca="1">IF(LEFT(AZ11,1)="V",VLOOKUP(VALUE(SUBSTITUTE(AZ11,"V","")),B_PARTITE_2A_FASE_PER_NUMERO,10,FALSE),IF(LEFT(AZ11,1)="P",VLOOKUP(VALUE(SUBSTITUTE(AZ11,"P","")),B_PARTITE_2A_FASE_PER_NUMERO,11,FALSE),VLOOKUP(AZ11,B_CLASSIFICHE_GIRONI,4,FALSE)))</f>
        <v>Gorilla</v>
      </c>
      <c r="BC11" s="43">
        <f t="shared" si="31"/>
        <v>58</v>
      </c>
      <c r="BD11" s="43">
        <f t="shared" si="32"/>
        <v>39</v>
      </c>
      <c r="BE11" s="94" t="str">
        <f t="shared" ca="1" si="33"/>
        <v>Bisonti</v>
      </c>
      <c r="BF11" s="94" t="str">
        <f t="shared" ca="1" si="34"/>
        <v>Gorilla</v>
      </c>
      <c r="BG11" s="43">
        <f t="shared" si="35"/>
        <v>1</v>
      </c>
      <c r="BH11" s="95">
        <f t="shared" si="36"/>
        <v>0</v>
      </c>
      <c r="BI11" s="95">
        <f t="shared" si="37"/>
        <v>0</v>
      </c>
      <c r="BJ11" s="43">
        <f t="shared" si="38"/>
        <v>58</v>
      </c>
      <c r="BK11" s="43">
        <f t="shared" si="39"/>
        <v>39</v>
      </c>
      <c r="BL11" s="96">
        <f t="shared" si="40"/>
        <v>19</v>
      </c>
      <c r="BM11" s="43">
        <f t="shared" si="41"/>
        <v>0</v>
      </c>
      <c r="BN11" s="43">
        <f t="shared" si="42"/>
        <v>1</v>
      </c>
      <c r="BO11" s="43">
        <f t="shared" si="43"/>
        <v>0</v>
      </c>
      <c r="BP11" s="43">
        <f t="shared" si="44"/>
        <v>39</v>
      </c>
      <c r="BQ11" s="43">
        <f t="shared" si="45"/>
        <v>58</v>
      </c>
      <c r="BR11" s="97">
        <f t="shared" si="46"/>
        <v>-19</v>
      </c>
    </row>
    <row r="12" spans="1:70">
      <c r="A12" s="31">
        <v>38</v>
      </c>
      <c r="B12" s="33" t="s">
        <v>10</v>
      </c>
      <c r="C12" s="33" t="s">
        <v>36</v>
      </c>
      <c r="D12" s="43" t="s">
        <v>158</v>
      </c>
      <c r="E12" s="43" t="s">
        <v>162</v>
      </c>
      <c r="F12" s="94" t="str">
        <f t="shared" si="0"/>
        <v>Puma</v>
      </c>
      <c r="G12" s="94" t="str">
        <f t="shared" si="1"/>
        <v>Linci</v>
      </c>
      <c r="H12" s="43">
        <f t="shared" si="2"/>
        <v>97</v>
      </c>
      <c r="I12" s="43">
        <f t="shared" si="3"/>
        <v>72</v>
      </c>
      <c r="J12" s="94" t="str">
        <f t="shared" si="4"/>
        <v>Puma</v>
      </c>
      <c r="K12" s="94" t="str">
        <f t="shared" si="5"/>
        <v>Linci</v>
      </c>
      <c r="L12" s="43">
        <f t="shared" si="6"/>
        <v>1</v>
      </c>
      <c r="M12" s="95">
        <f t="shared" si="7"/>
        <v>0</v>
      </c>
      <c r="N12" s="95">
        <f t="shared" si="8"/>
        <v>0</v>
      </c>
      <c r="O12" s="43">
        <f t="shared" si="9"/>
        <v>97</v>
      </c>
      <c r="P12" s="43">
        <f t="shared" si="10"/>
        <v>72</v>
      </c>
      <c r="Q12" s="96">
        <f t="shared" si="11"/>
        <v>25</v>
      </c>
      <c r="R12" s="43">
        <f t="shared" si="12"/>
        <v>0</v>
      </c>
      <c r="S12" s="43">
        <f t="shared" si="13"/>
        <v>1</v>
      </c>
      <c r="T12" s="43">
        <f t="shared" si="14"/>
        <v>0</v>
      </c>
      <c r="U12" s="43">
        <f t="shared" si="15"/>
        <v>72</v>
      </c>
      <c r="V12" s="43">
        <f t="shared" si="16"/>
        <v>97</v>
      </c>
      <c r="W12" s="97">
        <f t="shared" si="17"/>
        <v>-25</v>
      </c>
      <c r="Y12" s="98" t="str">
        <f t="shared" ca="1" si="48"/>
        <v>1C</v>
      </c>
      <c r="Z12" s="33" t="s">
        <v>41</v>
      </c>
      <c r="AA12" s="43" t="s">
        <v>174</v>
      </c>
      <c r="AB12" s="99" t="str">
        <f t="shared" si="19"/>
        <v>Giraffe</v>
      </c>
      <c r="AC12" s="43">
        <f t="shared" si="20"/>
        <v>3</v>
      </c>
      <c r="AD12" s="43">
        <f t="shared" si="21"/>
        <v>2</v>
      </c>
      <c r="AE12" s="43">
        <f t="shared" si="22"/>
        <v>1</v>
      </c>
      <c r="AF12" s="43">
        <f t="shared" si="23"/>
        <v>0</v>
      </c>
      <c r="AG12" s="100">
        <f t="shared" si="24"/>
        <v>5</v>
      </c>
      <c r="AH12" s="101">
        <f t="shared" si="25"/>
        <v>206</v>
      </c>
      <c r="AI12" s="43">
        <f t="shared" si="26"/>
        <v>162</v>
      </c>
      <c r="AJ12" s="102">
        <f t="shared" si="27"/>
        <v>44</v>
      </c>
      <c r="AK12" s="43">
        <f ca="1">IF(AG12=AG13,INDIRECT("O"&amp;6+6*(FIND(Z12,"ABCDEFGH")-1)),0)</f>
        <v>98</v>
      </c>
      <c r="AL12" s="43">
        <f ca="1">IF(AG12=AG14,INDIRECT("O"&amp;7+6*(FIND(Z12,"ABCDEFGH")-1)),0)</f>
        <v>0</v>
      </c>
      <c r="AM12" s="43">
        <f ca="1">IF(AG12=AG11,INDIRECT("U"&amp;3+6*(FIND(Z12,"ABCDEFGH")-1)),0)</f>
        <v>48</v>
      </c>
      <c r="AN12" s="101">
        <f t="shared" ca="1" si="28"/>
        <v>146</v>
      </c>
      <c r="AO12" s="96">
        <f ca="1">IF(AG12=AG13,INDIRECT("Q"&amp;6+6*(FIND(Z12,"ABCDEFGH")-1)),0)</f>
        <v>49</v>
      </c>
      <c r="AP12" s="96">
        <f ca="1">IF(AG12=AG14,INDIRECT("Q"&amp;7+6*(FIND(Z12,"ABCDEFGH")-1)),0)</f>
        <v>0</v>
      </c>
      <c r="AQ12" s="96">
        <f ca="1">IF(AG12=AG11,INDIRECT("W"&amp;3+6*(FIND(Z12,"ABCDEFGH")-1)),0)</f>
        <v>-31</v>
      </c>
      <c r="AR12" s="102">
        <f t="shared" ca="1" si="29"/>
        <v>18</v>
      </c>
      <c r="AS12" s="103">
        <f t="shared" ca="1" si="30"/>
        <v>5.5181465442059991</v>
      </c>
      <c r="AU12" s="104" t="s">
        <v>175</v>
      </c>
      <c r="AV12" s="105">
        <v>58</v>
      </c>
      <c r="AW12" s="106" t="s">
        <v>138</v>
      </c>
      <c r="AX12" s="107" t="s">
        <v>139</v>
      </c>
      <c r="AY12" s="106" t="s">
        <v>176</v>
      </c>
      <c r="AZ12" s="106" t="s">
        <v>177</v>
      </c>
      <c r="BA12" s="94" t="str">
        <f ca="1">IF(LEFT(AY12,1)="V",VLOOKUP(VALUE(SUBSTITUTE(AY12,"V","")),B_PARTITE_2A_FASE_PER_NUMERO,10,FALSE),IF(LEFT(AY12,1)="P",VLOOKUP(VALUE(SUBSTITUTE(AY12,"P","")),B_PARTITE_2A_FASE_PER_NUMERO,11,FALSE),VLOOKUP(AY12,B_CLASSIFICHE_GIRONI,4,FALSE)))</f>
        <v>Istrici</v>
      </c>
      <c r="BB12" s="94" t="str">
        <f ca="1">IF(LEFT(AZ12,1)="V",VLOOKUP(VALUE(SUBSTITUTE(AZ12,"V","")),B_PARTITE_2A_FASE_PER_NUMERO,10,FALSE),IF(LEFT(AZ12,1)="P",VLOOKUP(VALUE(SUBSTITUTE(AZ12,"P","")),B_PARTITE_2A_FASE_PER_NUMERO,11,FALSE),VLOOKUP(AZ12,B_CLASSIFICHE_GIRONI,4,FALSE)))</f>
        <v>Bufali</v>
      </c>
      <c r="BC12" s="43">
        <f t="shared" si="31"/>
        <v>64</v>
      </c>
      <c r="BD12" s="43">
        <f t="shared" si="32"/>
        <v>43</v>
      </c>
      <c r="BE12" s="94" t="str">
        <f t="shared" ca="1" si="33"/>
        <v>Istrici</v>
      </c>
      <c r="BF12" s="94" t="str">
        <f t="shared" ca="1" si="34"/>
        <v>Bufali</v>
      </c>
      <c r="BG12" s="43">
        <f t="shared" si="35"/>
        <v>1</v>
      </c>
      <c r="BH12" s="95">
        <f t="shared" si="36"/>
        <v>0</v>
      </c>
      <c r="BI12" s="95">
        <f t="shared" si="37"/>
        <v>0</v>
      </c>
      <c r="BJ12" s="43">
        <f t="shared" si="38"/>
        <v>64</v>
      </c>
      <c r="BK12" s="43">
        <f t="shared" si="39"/>
        <v>43</v>
      </c>
      <c r="BL12" s="96">
        <f t="shared" si="40"/>
        <v>21</v>
      </c>
      <c r="BM12" s="43">
        <f t="shared" si="41"/>
        <v>0</v>
      </c>
      <c r="BN12" s="43">
        <f t="shared" si="42"/>
        <v>1</v>
      </c>
      <c r="BO12" s="43">
        <f t="shared" si="43"/>
        <v>0</v>
      </c>
      <c r="BP12" s="43">
        <f t="shared" si="44"/>
        <v>43</v>
      </c>
      <c r="BQ12" s="43">
        <f t="shared" si="45"/>
        <v>64</v>
      </c>
      <c r="BR12" s="97">
        <f t="shared" si="46"/>
        <v>-21</v>
      </c>
    </row>
    <row r="13" spans="1:70">
      <c r="A13" s="31">
        <v>14</v>
      </c>
      <c r="B13" s="33" t="s">
        <v>10</v>
      </c>
      <c r="C13" s="33" t="s">
        <v>36</v>
      </c>
      <c r="D13" s="43" t="s">
        <v>158</v>
      </c>
      <c r="E13" s="43" t="s">
        <v>166</v>
      </c>
      <c r="F13" s="94" t="str">
        <f t="shared" si="0"/>
        <v>Puma</v>
      </c>
      <c r="G13" s="94" t="str">
        <f t="shared" si="1"/>
        <v>Serval</v>
      </c>
      <c r="H13" s="43">
        <f t="shared" si="2"/>
        <v>68</v>
      </c>
      <c r="I13" s="43">
        <f t="shared" si="3"/>
        <v>45</v>
      </c>
      <c r="J13" s="94" t="str">
        <f t="shared" si="4"/>
        <v>Puma</v>
      </c>
      <c r="K13" s="94" t="str">
        <f t="shared" si="5"/>
        <v>Serval</v>
      </c>
      <c r="L13" s="43">
        <f t="shared" si="6"/>
        <v>1</v>
      </c>
      <c r="M13" s="95">
        <f t="shared" si="7"/>
        <v>0</v>
      </c>
      <c r="N13" s="95">
        <f t="shared" si="8"/>
        <v>0</v>
      </c>
      <c r="O13" s="43">
        <f t="shared" si="9"/>
        <v>68</v>
      </c>
      <c r="P13" s="43">
        <f t="shared" si="10"/>
        <v>45</v>
      </c>
      <c r="Q13" s="96">
        <f t="shared" si="11"/>
        <v>23</v>
      </c>
      <c r="R13" s="43">
        <f t="shared" si="12"/>
        <v>0</v>
      </c>
      <c r="S13" s="43">
        <f t="shared" si="13"/>
        <v>1</v>
      </c>
      <c r="T13" s="43">
        <f t="shared" si="14"/>
        <v>0</v>
      </c>
      <c r="U13" s="43">
        <f t="shared" si="15"/>
        <v>45</v>
      </c>
      <c r="V13" s="43">
        <f t="shared" si="16"/>
        <v>68</v>
      </c>
      <c r="W13" s="97">
        <f t="shared" si="17"/>
        <v>-23</v>
      </c>
      <c r="Y13" s="98" t="str">
        <f t="shared" ca="1" si="48"/>
        <v>3C</v>
      </c>
      <c r="Z13" s="33" t="s">
        <v>41</v>
      </c>
      <c r="AA13" s="43" t="s">
        <v>178</v>
      </c>
      <c r="AB13" s="99" t="str">
        <f t="shared" si="19"/>
        <v>Ippopotami</v>
      </c>
      <c r="AC13" s="43">
        <f t="shared" si="20"/>
        <v>3</v>
      </c>
      <c r="AD13" s="43">
        <f t="shared" si="21"/>
        <v>2</v>
      </c>
      <c r="AE13" s="43">
        <f t="shared" si="22"/>
        <v>1</v>
      </c>
      <c r="AF13" s="43">
        <f t="shared" si="23"/>
        <v>0</v>
      </c>
      <c r="AG13" s="100">
        <f t="shared" si="24"/>
        <v>5</v>
      </c>
      <c r="AH13" s="101">
        <f t="shared" si="25"/>
        <v>206</v>
      </c>
      <c r="AI13" s="43">
        <f t="shared" si="26"/>
        <v>208</v>
      </c>
      <c r="AJ13" s="102">
        <f t="shared" si="27"/>
        <v>-2</v>
      </c>
      <c r="AK13" s="43">
        <f ca="1">IF(AG13=AG14,INDIRECT("O"&amp;8+6*(FIND(Z13,"ABCDEFGH")-1)),0)</f>
        <v>0</v>
      </c>
      <c r="AL13" s="43">
        <f ca="1">IF(AG13=AG11,INDIRECT("U"&amp;4+6*(FIND(Z13,"ABCDEFGH")-1)),0)</f>
        <v>95</v>
      </c>
      <c r="AM13" s="43">
        <f ca="1">IF(AG13=AG12,INDIRECT("U"&amp;6+6*(FIND(Z13,"ABCDEFGH")-1)),0)</f>
        <v>49</v>
      </c>
      <c r="AN13" s="101">
        <f t="shared" ca="1" si="28"/>
        <v>144</v>
      </c>
      <c r="AO13" s="96">
        <f ca="1">IF(AG13=AG14,INDIRECT("Q"&amp;8+6*(FIND(Z13,"ABCDEFGH")-1)),0)</f>
        <v>0</v>
      </c>
      <c r="AP13" s="96">
        <f ca="1">IF(AG13=AG11,INDIRECT("W"&amp;4+6*(FIND(Z13,"ABCDEFGH")-1)),0)</f>
        <v>29</v>
      </c>
      <c r="AQ13" s="96">
        <f ca="1">IF(AG13=AG12,INDIRECT("W"&amp;6+6*(FIND(Z13,"ABCDEFGH")-1)),0)</f>
        <v>-49</v>
      </c>
      <c r="AR13" s="102">
        <f t="shared" ca="1" si="29"/>
        <v>-20</v>
      </c>
      <c r="AS13" s="103">
        <f t="shared" ca="1" si="30"/>
        <v>5.4801444982060001</v>
      </c>
      <c r="AU13" s="104" t="s">
        <v>179</v>
      </c>
      <c r="AV13" s="105">
        <v>59</v>
      </c>
      <c r="AW13" s="106" t="s">
        <v>138</v>
      </c>
      <c r="AX13" s="107" t="s">
        <v>148</v>
      </c>
      <c r="AY13" s="106" t="s">
        <v>180</v>
      </c>
      <c r="AZ13" s="106" t="s">
        <v>181</v>
      </c>
      <c r="BA13" s="94" t="str">
        <f ca="1">IF(LEFT(AY13,1)="V",VLOOKUP(VALUE(SUBSTITUTE(AY13,"V","")),B_PARTITE_2A_FASE_PER_NUMERO,10,FALSE),IF(LEFT(AY13,1)="P",VLOOKUP(VALUE(SUBSTITUTE(AY13,"P","")),B_PARTITE_2A_FASE_PER_NUMERO,11,FALSE),VLOOKUP(AY13,B_CLASSIFICHE_GIRONI,4,FALSE)))</f>
        <v>Cervi</v>
      </c>
      <c r="BB13" s="94" t="str">
        <f ca="1">IF(LEFT(AZ13,1)="V",VLOOKUP(VALUE(SUBSTITUTE(AZ13,"V","")),B_PARTITE_2A_FASE_PER_NUMERO,10,FALSE),IF(LEFT(AZ13,1)="P",VLOOKUP(VALUE(SUBSTITUTE(AZ13,"P","")),B_PARTITE_2A_FASE_PER_NUMERO,11,FALSE),VLOOKUP(AZ13,B_CLASSIFICHE_GIRONI,4,FALSE)))</f>
        <v>Muli</v>
      </c>
      <c r="BC13" s="43">
        <f t="shared" si="31"/>
        <v>50</v>
      </c>
      <c r="BD13" s="43">
        <f t="shared" si="32"/>
        <v>43</v>
      </c>
      <c r="BE13" s="94" t="str">
        <f t="shared" ca="1" si="33"/>
        <v>Cervi</v>
      </c>
      <c r="BF13" s="94" t="str">
        <f t="shared" ca="1" si="34"/>
        <v>Muli</v>
      </c>
      <c r="BG13" s="43">
        <f t="shared" si="35"/>
        <v>1</v>
      </c>
      <c r="BH13" s="95">
        <f t="shared" si="36"/>
        <v>0</v>
      </c>
      <c r="BI13" s="95">
        <f t="shared" si="37"/>
        <v>0</v>
      </c>
      <c r="BJ13" s="43">
        <f t="shared" si="38"/>
        <v>50</v>
      </c>
      <c r="BK13" s="43">
        <f t="shared" si="39"/>
        <v>43</v>
      </c>
      <c r="BL13" s="96">
        <f t="shared" si="40"/>
        <v>7</v>
      </c>
      <c r="BM13" s="43">
        <f t="shared" si="41"/>
        <v>0</v>
      </c>
      <c r="BN13" s="43">
        <f t="shared" si="42"/>
        <v>1</v>
      </c>
      <c r="BO13" s="43">
        <f t="shared" si="43"/>
        <v>0</v>
      </c>
      <c r="BP13" s="43">
        <f t="shared" si="44"/>
        <v>43</v>
      </c>
      <c r="BQ13" s="43">
        <f t="shared" si="45"/>
        <v>50</v>
      </c>
      <c r="BR13" s="97">
        <f t="shared" si="46"/>
        <v>-7</v>
      </c>
    </row>
    <row r="14" spans="1:70">
      <c r="A14" s="31">
        <v>4</v>
      </c>
      <c r="B14" s="33" t="s">
        <v>10</v>
      </c>
      <c r="C14" s="33" t="s">
        <v>36</v>
      </c>
      <c r="D14" s="43" t="s">
        <v>162</v>
      </c>
      <c r="E14" s="43" t="s">
        <v>166</v>
      </c>
      <c r="F14" s="94" t="str">
        <f t="shared" si="0"/>
        <v>Linci</v>
      </c>
      <c r="G14" s="94" t="str">
        <f t="shared" si="1"/>
        <v>Serval</v>
      </c>
      <c r="H14" s="43">
        <f t="shared" si="2"/>
        <v>96</v>
      </c>
      <c r="I14" s="43">
        <f t="shared" si="3"/>
        <v>86</v>
      </c>
      <c r="J14" s="94" t="str">
        <f t="shared" si="4"/>
        <v>Linci</v>
      </c>
      <c r="K14" s="94" t="str">
        <f t="shared" si="5"/>
        <v>Serval</v>
      </c>
      <c r="L14" s="43">
        <f t="shared" si="6"/>
        <v>1</v>
      </c>
      <c r="M14" s="95">
        <f t="shared" si="7"/>
        <v>0</v>
      </c>
      <c r="N14" s="95">
        <f t="shared" si="8"/>
        <v>0</v>
      </c>
      <c r="O14" s="43">
        <f t="shared" si="9"/>
        <v>96</v>
      </c>
      <c r="P14" s="43">
        <f t="shared" si="10"/>
        <v>86</v>
      </c>
      <c r="Q14" s="96">
        <f t="shared" si="11"/>
        <v>10</v>
      </c>
      <c r="R14" s="43">
        <f t="shared" si="12"/>
        <v>0</v>
      </c>
      <c r="S14" s="43">
        <f t="shared" si="13"/>
        <v>1</v>
      </c>
      <c r="T14" s="43">
        <f t="shared" si="14"/>
        <v>0</v>
      </c>
      <c r="U14" s="43">
        <f t="shared" si="15"/>
        <v>86</v>
      </c>
      <c r="V14" s="43">
        <f t="shared" si="16"/>
        <v>96</v>
      </c>
      <c r="W14" s="97">
        <f t="shared" si="17"/>
        <v>-10</v>
      </c>
      <c r="Y14" s="98" t="str">
        <f t="shared" ca="1" si="48"/>
        <v>4C</v>
      </c>
      <c r="Z14" s="33" t="s">
        <v>41</v>
      </c>
      <c r="AA14" s="43" t="s">
        <v>182</v>
      </c>
      <c r="AB14" s="99" t="str">
        <f t="shared" si="19"/>
        <v>Iguane</v>
      </c>
      <c r="AC14" s="43">
        <f t="shared" si="20"/>
        <v>3</v>
      </c>
      <c r="AD14" s="43">
        <f t="shared" si="21"/>
        <v>0</v>
      </c>
      <c r="AE14" s="43">
        <f t="shared" si="22"/>
        <v>3</v>
      </c>
      <c r="AF14" s="43">
        <f t="shared" si="23"/>
        <v>0</v>
      </c>
      <c r="AG14" s="100">
        <f t="shared" si="24"/>
        <v>3</v>
      </c>
      <c r="AH14" s="101">
        <f t="shared" si="25"/>
        <v>120</v>
      </c>
      <c r="AI14" s="43">
        <f t="shared" si="26"/>
        <v>179</v>
      </c>
      <c r="AJ14" s="102">
        <f t="shared" si="27"/>
        <v>-59</v>
      </c>
      <c r="AK14" s="43">
        <f ca="1">IF(AG14=AG11,INDIRECT("U"&amp;5+6*(FIND(Z14,"ABCDEFGH")-1)),0)</f>
        <v>0</v>
      </c>
      <c r="AL14" s="43">
        <f ca="1">IF(AG14=AG12,INDIRECT("U"&amp;7+6*(FIND(Z14,"ABCDEFGH")-1)),0)</f>
        <v>0</v>
      </c>
      <c r="AM14" s="43">
        <f ca="1">IF(AG14=AG13,INDIRECT("U"&amp;8+6*(FIND(Z14,"ABCDEFGH")-1)),0)</f>
        <v>0</v>
      </c>
      <c r="AN14" s="101">
        <f t="shared" ca="1" si="28"/>
        <v>0</v>
      </c>
      <c r="AO14" s="96">
        <f ca="1">IF(AG14=AG11,INDIRECT("W"&amp;5+6*(FIND(Z14,"ABCDEFGH")-1)),0)</f>
        <v>0</v>
      </c>
      <c r="AP14" s="96">
        <f ca="1">IF(AG14=AG12,INDIRECT("W"&amp;7+6*(FIND(Z14,"ABCDEFGH")-1)),0)</f>
        <v>0</v>
      </c>
      <c r="AQ14" s="96">
        <f ca="1">IF(AG14=AG13,INDIRECT("W"&amp;8+6*(FIND(Z14,"ABCDEFGH")-1)),0)</f>
        <v>0</v>
      </c>
      <c r="AR14" s="102">
        <f t="shared" ca="1" si="29"/>
        <v>0</v>
      </c>
      <c r="AS14" s="103">
        <f t="shared" ca="1" si="30"/>
        <v>3.5000004411200001</v>
      </c>
      <c r="AU14" s="104" t="s">
        <v>183</v>
      </c>
      <c r="AV14" s="105">
        <v>60</v>
      </c>
      <c r="AW14" s="106" t="s">
        <v>138</v>
      </c>
      <c r="AX14" s="107" t="s">
        <v>148</v>
      </c>
      <c r="AY14" s="106" t="s">
        <v>184</v>
      </c>
      <c r="AZ14" s="106" t="s">
        <v>185</v>
      </c>
      <c r="BA14" s="94" t="str">
        <f ca="1">IF(LEFT(AY14,1)="V",VLOOKUP(VALUE(SUBSTITUTE(AY14,"V","")),B_PARTITE_2A_FASE_PER_NUMERO,10,FALSE),IF(LEFT(AY14,1)="P",VLOOKUP(VALUE(SUBSTITUTE(AY14,"P","")),B_PARTITE_2A_FASE_PER_NUMERO,11,FALSE),VLOOKUP(AY14,B_CLASSIFICHE_GIRONI,4,FALSE)))</f>
        <v>Orche</v>
      </c>
      <c r="BB14" s="94" t="str">
        <f ca="1">IF(LEFT(AZ14,1)="V",VLOOKUP(VALUE(SUBSTITUTE(AZ14,"V","")),B_PARTITE_2A_FASE_PER_NUMERO,10,FALSE),IF(LEFT(AZ14,1)="P",VLOOKUP(VALUE(SUBSTITUTE(AZ14,"P","")),B_PARTITE_2A_FASE_PER_NUMERO,11,FALSE),VLOOKUP(AZ14,B_CLASSIFICHE_GIRONI,4,FALSE)))</f>
        <v>Cinghiali</v>
      </c>
      <c r="BC14" s="43">
        <f t="shared" si="31"/>
        <v>52</v>
      </c>
      <c r="BD14" s="43">
        <f t="shared" si="32"/>
        <v>42</v>
      </c>
      <c r="BE14" s="94" t="str">
        <f t="shared" ca="1" si="33"/>
        <v>Orche</v>
      </c>
      <c r="BF14" s="94" t="str">
        <f t="shared" ca="1" si="34"/>
        <v>Cinghiali</v>
      </c>
      <c r="BG14" s="43">
        <f t="shared" si="35"/>
        <v>1</v>
      </c>
      <c r="BH14" s="95">
        <f t="shared" si="36"/>
        <v>0</v>
      </c>
      <c r="BI14" s="95">
        <f t="shared" si="37"/>
        <v>0</v>
      </c>
      <c r="BJ14" s="43">
        <f t="shared" si="38"/>
        <v>52</v>
      </c>
      <c r="BK14" s="43">
        <f t="shared" si="39"/>
        <v>42</v>
      </c>
      <c r="BL14" s="96">
        <f t="shared" si="40"/>
        <v>10</v>
      </c>
      <c r="BM14" s="43">
        <f t="shared" si="41"/>
        <v>0</v>
      </c>
      <c r="BN14" s="43">
        <f t="shared" si="42"/>
        <v>1</v>
      </c>
      <c r="BO14" s="43">
        <f t="shared" si="43"/>
        <v>0</v>
      </c>
      <c r="BP14" s="43">
        <f t="shared" si="44"/>
        <v>42</v>
      </c>
      <c r="BQ14" s="43">
        <f t="shared" si="45"/>
        <v>52</v>
      </c>
      <c r="BR14" s="97">
        <f t="shared" si="46"/>
        <v>-10</v>
      </c>
    </row>
    <row r="15" spans="1:70">
      <c r="A15" s="31">
        <v>5</v>
      </c>
      <c r="B15" s="33" t="s">
        <v>10</v>
      </c>
      <c r="C15" s="33" t="s">
        <v>41</v>
      </c>
      <c r="D15" s="43" t="s">
        <v>170</v>
      </c>
      <c r="E15" s="43" t="s">
        <v>174</v>
      </c>
      <c r="F15" s="94" t="str">
        <f t="shared" si="0"/>
        <v>Elefanti</v>
      </c>
      <c r="G15" s="94" t="str">
        <f t="shared" si="1"/>
        <v>Giraffe</v>
      </c>
      <c r="H15" s="43">
        <f t="shared" si="2"/>
        <v>79</v>
      </c>
      <c r="I15" s="43">
        <f t="shared" si="3"/>
        <v>48</v>
      </c>
      <c r="J15" s="94" t="str">
        <f t="shared" si="4"/>
        <v>Elefanti</v>
      </c>
      <c r="K15" s="94" t="str">
        <f t="shared" si="5"/>
        <v>Giraffe</v>
      </c>
      <c r="L15" s="43">
        <f t="shared" si="6"/>
        <v>1</v>
      </c>
      <c r="M15" s="95">
        <f t="shared" si="7"/>
        <v>0</v>
      </c>
      <c r="N15" s="95">
        <f t="shared" si="8"/>
        <v>0</v>
      </c>
      <c r="O15" s="43">
        <f t="shared" si="9"/>
        <v>79</v>
      </c>
      <c r="P15" s="43">
        <f t="shared" si="10"/>
        <v>48</v>
      </c>
      <c r="Q15" s="96">
        <f t="shared" si="11"/>
        <v>31</v>
      </c>
      <c r="R15" s="43">
        <f t="shared" si="12"/>
        <v>0</v>
      </c>
      <c r="S15" s="43">
        <f t="shared" si="13"/>
        <v>1</v>
      </c>
      <c r="T15" s="43">
        <f t="shared" si="14"/>
        <v>0</v>
      </c>
      <c r="U15" s="43">
        <f t="shared" si="15"/>
        <v>48</v>
      </c>
      <c r="V15" s="43">
        <f t="shared" si="16"/>
        <v>79</v>
      </c>
      <c r="W15" s="97">
        <f t="shared" si="17"/>
        <v>-31</v>
      </c>
      <c r="Y15" s="108" t="str">
        <f t="shared" ref="Y15:Y18" ca="1" si="49">COUNTIF(B_COEFF_GIRONE_D,"&gt;="&amp;AS15)&amp;Z15</f>
        <v>1D</v>
      </c>
      <c r="Z15" s="109" t="s">
        <v>46</v>
      </c>
      <c r="AA15" s="109" t="s">
        <v>186</v>
      </c>
      <c r="AB15" s="110" t="str">
        <f t="shared" si="19"/>
        <v>Coccodrilli</v>
      </c>
      <c r="AC15" s="109">
        <f t="shared" si="20"/>
        <v>3</v>
      </c>
      <c r="AD15" s="109">
        <f t="shared" si="21"/>
        <v>2</v>
      </c>
      <c r="AE15" s="109">
        <f t="shared" si="22"/>
        <v>1</v>
      </c>
      <c r="AF15" s="109">
        <f t="shared" si="23"/>
        <v>0</v>
      </c>
      <c r="AG15" s="111">
        <f t="shared" si="24"/>
        <v>5</v>
      </c>
      <c r="AH15" s="112">
        <f t="shared" si="25"/>
        <v>179</v>
      </c>
      <c r="AI15" s="109">
        <f t="shared" si="26"/>
        <v>108</v>
      </c>
      <c r="AJ15" s="113">
        <f t="shared" si="27"/>
        <v>71</v>
      </c>
      <c r="AK15" s="109">
        <f ca="1">IF(AG15=AG16,INDIRECT("O"&amp;3+6*(FIND(Z15,"ABCDEFGH")-1)),0)</f>
        <v>96</v>
      </c>
      <c r="AL15" s="114">
        <f ca="1">IF(AG15=AG17,INDIRECT("O"&amp;4+6*(FIND(Z15,"ABCDEFGH")-1)),0)</f>
        <v>29</v>
      </c>
      <c r="AM15" s="109">
        <f ca="1">IF(AG15=AG18,INDIRECT("O"&amp;5+6*(FIND(Z15,"ABCDEFGH")-1)),0)</f>
        <v>0</v>
      </c>
      <c r="AN15" s="112">
        <f t="shared" ca="1" si="28"/>
        <v>125</v>
      </c>
      <c r="AO15" s="115">
        <f ca="1">IF(AG15=AG16,INDIRECT("Q"&amp;3+6*(FIND(Z15,"ABCDEFGH")-1)),0)</f>
        <v>71</v>
      </c>
      <c r="AP15" s="115">
        <f ca="1">IF(AG15=AG17,INDIRECT("Q"&amp;4+6*(FIND(Z15,"ABCDEFGH")-1)),0)</f>
        <v>-10</v>
      </c>
      <c r="AQ15" s="115">
        <f ca="1">IF(AG15=AG18,INDIRECT("Q"&amp;5+6*(FIND(Z15,"ABCDEFGH")-1)),0)</f>
        <v>0</v>
      </c>
      <c r="AR15" s="113">
        <f t="shared" ca="1" si="29"/>
        <v>61</v>
      </c>
      <c r="AS15" s="116">
        <f t="shared" ca="1" si="30"/>
        <v>5.5611255711789997</v>
      </c>
      <c r="AU15" s="104" t="s">
        <v>187</v>
      </c>
      <c r="AV15" s="105">
        <v>61</v>
      </c>
      <c r="AW15" s="106" t="s">
        <v>138</v>
      </c>
      <c r="AX15" s="107" t="s">
        <v>139</v>
      </c>
      <c r="AY15" s="106" t="s">
        <v>188</v>
      </c>
      <c r="AZ15" s="106" t="s">
        <v>189</v>
      </c>
      <c r="BA15" s="94" t="str">
        <f ca="1">IF(LEFT(AY15,1)="V",VLOOKUP(VALUE(SUBSTITUTE(AY15,"V","")),B_PARTITE_2A_FASE_PER_NUMERO,10,FALSE),IF(LEFT(AY15,1)="P",VLOOKUP(VALUE(SUBSTITUTE(AY15,"P","")),B_PARTITE_2A_FASE_PER_NUMERO,11,FALSE),VLOOKUP(AY15,B_CLASSIFICHE_GIRONI,4,FALSE)))</f>
        <v>Balene</v>
      </c>
      <c r="BB15" s="94" t="str">
        <f ca="1">IF(LEFT(AZ15,1)="V",VLOOKUP(VALUE(SUBSTITUTE(AZ15,"V","")),B_PARTITE_2A_FASE_PER_NUMERO,10,FALSE),IF(LEFT(AZ15,1)="P",VLOOKUP(VALUE(SUBSTITUTE(AZ15,"P","")),B_PARTITE_2A_FASE_PER_NUMERO,11,FALSE),VLOOKUP(AZ15,B_CLASSIFICHE_GIRONI,4,FALSE)))</f>
        <v>Tonni</v>
      </c>
      <c r="BC15" s="43">
        <f t="shared" si="31"/>
        <v>51</v>
      </c>
      <c r="BD15" s="43">
        <f t="shared" si="32"/>
        <v>47</v>
      </c>
      <c r="BE15" s="94" t="str">
        <f t="shared" ca="1" si="33"/>
        <v>Balene</v>
      </c>
      <c r="BF15" s="94" t="str">
        <f t="shared" ca="1" si="34"/>
        <v>Tonni</v>
      </c>
      <c r="BG15" s="43">
        <f t="shared" si="35"/>
        <v>1</v>
      </c>
      <c r="BH15" s="95">
        <f t="shared" si="36"/>
        <v>0</v>
      </c>
      <c r="BI15" s="95">
        <f t="shared" si="37"/>
        <v>0</v>
      </c>
      <c r="BJ15" s="43">
        <f t="shared" si="38"/>
        <v>51</v>
      </c>
      <c r="BK15" s="43">
        <f t="shared" si="39"/>
        <v>47</v>
      </c>
      <c r="BL15" s="96">
        <f t="shared" si="40"/>
        <v>4</v>
      </c>
      <c r="BM15" s="43">
        <f t="shared" si="41"/>
        <v>0</v>
      </c>
      <c r="BN15" s="43">
        <f t="shared" si="42"/>
        <v>1</v>
      </c>
      <c r="BO15" s="43">
        <f t="shared" si="43"/>
        <v>0</v>
      </c>
      <c r="BP15" s="43">
        <f t="shared" si="44"/>
        <v>47</v>
      </c>
      <c r="BQ15" s="43">
        <f t="shared" si="45"/>
        <v>51</v>
      </c>
      <c r="BR15" s="97">
        <f t="shared" si="46"/>
        <v>-4</v>
      </c>
    </row>
    <row r="16" spans="1:70">
      <c r="A16" s="31">
        <v>11</v>
      </c>
      <c r="B16" s="33" t="s">
        <v>10</v>
      </c>
      <c r="C16" s="33" t="s">
        <v>41</v>
      </c>
      <c r="D16" s="43" t="s">
        <v>170</v>
      </c>
      <c r="E16" s="43" t="s">
        <v>178</v>
      </c>
      <c r="F16" s="94" t="str">
        <f t="shared" si="0"/>
        <v>Elefanti</v>
      </c>
      <c r="G16" s="94" t="str">
        <f t="shared" si="1"/>
        <v>Ippopotami</v>
      </c>
      <c r="H16" s="43">
        <f t="shared" si="2"/>
        <v>66</v>
      </c>
      <c r="I16" s="43">
        <f t="shared" si="3"/>
        <v>95</v>
      </c>
      <c r="J16" s="94" t="str">
        <f t="shared" si="4"/>
        <v>Ippopotami</v>
      </c>
      <c r="K16" s="94" t="str">
        <f t="shared" si="5"/>
        <v>Elefanti</v>
      </c>
      <c r="L16" s="43">
        <f t="shared" si="6"/>
        <v>0</v>
      </c>
      <c r="M16" s="95">
        <f t="shared" si="7"/>
        <v>1</v>
      </c>
      <c r="N16" s="95">
        <f t="shared" si="8"/>
        <v>0</v>
      </c>
      <c r="O16" s="43">
        <f t="shared" si="9"/>
        <v>66</v>
      </c>
      <c r="P16" s="43">
        <f t="shared" si="10"/>
        <v>95</v>
      </c>
      <c r="Q16" s="96">
        <f t="shared" si="11"/>
        <v>-29</v>
      </c>
      <c r="R16" s="43">
        <f t="shared" si="12"/>
        <v>1</v>
      </c>
      <c r="S16" s="43">
        <f t="shared" si="13"/>
        <v>0</v>
      </c>
      <c r="T16" s="43">
        <f t="shared" si="14"/>
        <v>0</v>
      </c>
      <c r="U16" s="43">
        <f t="shared" si="15"/>
        <v>95</v>
      </c>
      <c r="V16" s="43">
        <f t="shared" si="16"/>
        <v>66</v>
      </c>
      <c r="W16" s="97">
        <f t="shared" si="17"/>
        <v>29</v>
      </c>
      <c r="Y16" s="98" t="str">
        <f t="shared" ca="1" si="49"/>
        <v>3D</v>
      </c>
      <c r="Z16" s="33" t="s">
        <v>46</v>
      </c>
      <c r="AA16" s="43" t="s">
        <v>190</v>
      </c>
      <c r="AB16" s="99" t="str">
        <f t="shared" si="19"/>
        <v>Pitoni</v>
      </c>
      <c r="AC16" s="43">
        <f t="shared" si="20"/>
        <v>3</v>
      </c>
      <c r="AD16" s="43">
        <f t="shared" si="21"/>
        <v>2</v>
      </c>
      <c r="AE16" s="43">
        <f t="shared" si="22"/>
        <v>1</v>
      </c>
      <c r="AF16" s="43">
        <f t="shared" si="23"/>
        <v>0</v>
      </c>
      <c r="AG16" s="100">
        <f t="shared" si="24"/>
        <v>5</v>
      </c>
      <c r="AH16" s="101">
        <f t="shared" si="25"/>
        <v>133</v>
      </c>
      <c r="AI16" s="43">
        <f t="shared" si="26"/>
        <v>168</v>
      </c>
      <c r="AJ16" s="102">
        <f t="shared" si="27"/>
        <v>-35</v>
      </c>
      <c r="AK16" s="43">
        <f ca="1">IF(AG16=AG17,INDIRECT("O"&amp;6+6*(FIND(Z16,"ABCDEFGH")-1)),0)</f>
        <v>25</v>
      </c>
      <c r="AL16" s="43">
        <f ca="1">IF(AG16=AG18,INDIRECT("O"&amp;7+6*(FIND(Z16,"ABCDEFGH")-1)),0)</f>
        <v>0</v>
      </c>
      <c r="AM16" s="43">
        <f ca="1">IF(AG16=AG15,INDIRECT("U"&amp;3+6*(FIND(Z16,"ABCDEFGH")-1)),0)</f>
        <v>25</v>
      </c>
      <c r="AN16" s="101">
        <f t="shared" ca="1" si="28"/>
        <v>50</v>
      </c>
      <c r="AO16" s="96">
        <f ca="1">IF(AG16=AG17,INDIRECT("Q"&amp;6+6*(FIND(Z16,"ABCDEFGH")-1)),0)</f>
        <v>10</v>
      </c>
      <c r="AP16" s="96">
        <f ca="1">IF(AG16=AG18,INDIRECT("Q"&amp;7+6*(FIND(Z16,"ABCDEFGH")-1)),0)</f>
        <v>0</v>
      </c>
      <c r="AQ16" s="96">
        <f ca="1">IF(AG16=AG15,INDIRECT("W"&amp;3+6*(FIND(Z16,"ABCDEFGH")-1)),0)</f>
        <v>-71</v>
      </c>
      <c r="AR16" s="102">
        <f t="shared" ca="1" si="29"/>
        <v>-61</v>
      </c>
      <c r="AS16" s="103">
        <f t="shared" ca="1" si="30"/>
        <v>5.4390504651330005</v>
      </c>
      <c r="AU16" s="104" t="s">
        <v>191</v>
      </c>
      <c r="AV16" s="105">
        <v>62</v>
      </c>
      <c r="AW16" s="106" t="s">
        <v>138</v>
      </c>
      <c r="AX16" s="107" t="s">
        <v>139</v>
      </c>
      <c r="AY16" s="106" t="s">
        <v>192</v>
      </c>
      <c r="AZ16" s="106" t="s">
        <v>193</v>
      </c>
      <c r="BA16" s="94" t="str">
        <f ca="1">IF(LEFT(AY16,1)="V",VLOOKUP(VALUE(SUBSTITUTE(AY16,"V","")),B_PARTITE_2A_FASE_PER_NUMERO,10,FALSE),IF(LEFT(AY16,1)="P",VLOOKUP(VALUE(SUBSTITUTE(AY16,"P","")),B_PARTITE_2A_FASE_PER_NUMERO,11,FALSE),VLOOKUP(AY16,B_CLASSIFICHE_GIRONI,4,FALSE)))</f>
        <v>Piranha</v>
      </c>
      <c r="BB16" s="94" t="str">
        <f ca="1">IF(LEFT(AZ16,1)="V",VLOOKUP(VALUE(SUBSTITUTE(AZ16,"V","")),B_PARTITE_2A_FASE_PER_NUMERO,10,FALSE),IF(LEFT(AZ16,1)="P",VLOOKUP(VALUE(SUBSTITUTE(AZ16,"P","")),B_PARTITE_2A_FASE_PER_NUMERO,11,FALSE),VLOOKUP(AZ16,B_CLASSIFICHE_GIRONI,4,FALSE)))</f>
        <v>Gabbiani</v>
      </c>
      <c r="BC16" s="43">
        <f t="shared" si="31"/>
        <v>60</v>
      </c>
      <c r="BD16" s="43">
        <f t="shared" si="32"/>
        <v>30</v>
      </c>
      <c r="BE16" s="94" t="str">
        <f t="shared" ca="1" si="33"/>
        <v>Piranha</v>
      </c>
      <c r="BF16" s="94" t="str">
        <f t="shared" ca="1" si="34"/>
        <v>Gabbiani</v>
      </c>
      <c r="BG16" s="43">
        <f t="shared" si="35"/>
        <v>1</v>
      </c>
      <c r="BH16" s="95">
        <f t="shared" si="36"/>
        <v>0</v>
      </c>
      <c r="BI16" s="95">
        <f t="shared" si="37"/>
        <v>0</v>
      </c>
      <c r="BJ16" s="43">
        <f t="shared" si="38"/>
        <v>60</v>
      </c>
      <c r="BK16" s="43">
        <f t="shared" si="39"/>
        <v>30</v>
      </c>
      <c r="BL16" s="96">
        <f t="shared" si="40"/>
        <v>30</v>
      </c>
      <c r="BM16" s="43">
        <f t="shared" si="41"/>
        <v>0</v>
      </c>
      <c r="BN16" s="43">
        <f t="shared" si="42"/>
        <v>1</v>
      </c>
      <c r="BO16" s="43">
        <f t="shared" si="43"/>
        <v>0</v>
      </c>
      <c r="BP16" s="43">
        <f t="shared" si="44"/>
        <v>30</v>
      </c>
      <c r="BQ16" s="43">
        <f t="shared" si="45"/>
        <v>60</v>
      </c>
      <c r="BR16" s="97">
        <f t="shared" si="46"/>
        <v>-30</v>
      </c>
    </row>
    <row r="17" spans="1:70">
      <c r="A17" s="31">
        <v>27</v>
      </c>
      <c r="B17" s="33" t="s">
        <v>10</v>
      </c>
      <c r="C17" s="33" t="s">
        <v>41</v>
      </c>
      <c r="D17" s="43" t="s">
        <v>170</v>
      </c>
      <c r="E17" s="43" t="s">
        <v>182</v>
      </c>
      <c r="F17" s="94" t="str">
        <f t="shared" si="0"/>
        <v>Elefanti</v>
      </c>
      <c r="G17" s="94" t="str">
        <f t="shared" si="1"/>
        <v>Iguane</v>
      </c>
      <c r="H17" s="43">
        <f t="shared" si="2"/>
        <v>57</v>
      </c>
      <c r="I17" s="43">
        <f t="shared" si="3"/>
        <v>42</v>
      </c>
      <c r="J17" s="94" t="str">
        <f t="shared" si="4"/>
        <v>Elefanti</v>
      </c>
      <c r="K17" s="94" t="str">
        <f t="shared" si="5"/>
        <v>Iguane</v>
      </c>
      <c r="L17" s="43">
        <f t="shared" si="6"/>
        <v>1</v>
      </c>
      <c r="M17" s="95">
        <f t="shared" si="7"/>
        <v>0</v>
      </c>
      <c r="N17" s="95">
        <f t="shared" si="8"/>
        <v>0</v>
      </c>
      <c r="O17" s="43">
        <f t="shared" si="9"/>
        <v>57</v>
      </c>
      <c r="P17" s="43">
        <f t="shared" si="10"/>
        <v>42</v>
      </c>
      <c r="Q17" s="96">
        <f t="shared" si="11"/>
        <v>15</v>
      </c>
      <c r="R17" s="43">
        <f t="shared" si="12"/>
        <v>0</v>
      </c>
      <c r="S17" s="43">
        <f t="shared" si="13"/>
        <v>1</v>
      </c>
      <c r="T17" s="43">
        <f t="shared" si="14"/>
        <v>0</v>
      </c>
      <c r="U17" s="43">
        <f t="shared" si="15"/>
        <v>42</v>
      </c>
      <c r="V17" s="43">
        <f t="shared" si="16"/>
        <v>57</v>
      </c>
      <c r="W17" s="97">
        <f t="shared" si="17"/>
        <v>-15</v>
      </c>
      <c r="Y17" s="98" t="str">
        <f t="shared" ca="1" si="49"/>
        <v>2D</v>
      </c>
      <c r="Z17" s="33" t="s">
        <v>46</v>
      </c>
      <c r="AA17" s="43" t="s">
        <v>194</v>
      </c>
      <c r="AB17" s="99" t="str">
        <f t="shared" si="19"/>
        <v>Aquile</v>
      </c>
      <c r="AC17" s="43">
        <f t="shared" si="20"/>
        <v>3</v>
      </c>
      <c r="AD17" s="43">
        <f t="shared" si="21"/>
        <v>2</v>
      </c>
      <c r="AE17" s="43">
        <f t="shared" si="22"/>
        <v>1</v>
      </c>
      <c r="AF17" s="43">
        <f t="shared" si="23"/>
        <v>0</v>
      </c>
      <c r="AG17" s="100">
        <f t="shared" si="24"/>
        <v>5</v>
      </c>
      <c r="AH17" s="101">
        <f t="shared" si="25"/>
        <v>126</v>
      </c>
      <c r="AI17" s="43">
        <f t="shared" si="26"/>
        <v>106</v>
      </c>
      <c r="AJ17" s="102">
        <f t="shared" si="27"/>
        <v>20</v>
      </c>
      <c r="AK17" s="43">
        <f ca="1">IF(AG17=AG18,INDIRECT("O"&amp;8+6*(FIND(Z17,"ABCDEFGH")-1)),0)</f>
        <v>0</v>
      </c>
      <c r="AL17" s="43">
        <f ca="1">IF(AG17=AG15,INDIRECT("U"&amp;4+6*(FIND(Z17,"ABCDEFGH")-1)),0)</f>
        <v>39</v>
      </c>
      <c r="AM17" s="43">
        <f ca="1">IF(AG17=AG16,INDIRECT("U"&amp;6+6*(FIND(Z17,"ABCDEFGH")-1)),0)</f>
        <v>15</v>
      </c>
      <c r="AN17" s="101">
        <f t="shared" ca="1" si="28"/>
        <v>54</v>
      </c>
      <c r="AO17" s="96">
        <f ca="1">IF(AG17=AG18,INDIRECT("Q"&amp;8+6*(FIND(Z17,"ABCDEFGH")-1)),0)</f>
        <v>0</v>
      </c>
      <c r="AP17" s="96">
        <f ca="1">IF(AG17=AG15,INDIRECT("W"&amp;4+6*(FIND(Z17,"ABCDEFGH")-1)),0)</f>
        <v>10</v>
      </c>
      <c r="AQ17" s="96">
        <f ca="1">IF(AG17=AG16,INDIRECT("W"&amp;6+6*(FIND(Z17,"ABCDEFGH")-1)),0)</f>
        <v>-10</v>
      </c>
      <c r="AR17" s="102">
        <f t="shared" ca="1" si="29"/>
        <v>0</v>
      </c>
      <c r="AS17" s="103">
        <f t="shared" ca="1" si="30"/>
        <v>5.5000545201260005</v>
      </c>
      <c r="AU17" s="104" t="s">
        <v>195</v>
      </c>
      <c r="AV17" s="105">
        <v>63</v>
      </c>
      <c r="AW17" s="106" t="s">
        <v>138</v>
      </c>
      <c r="AX17" s="107" t="s">
        <v>148</v>
      </c>
      <c r="AY17" s="106" t="s">
        <v>196</v>
      </c>
      <c r="AZ17" s="106" t="s">
        <v>197</v>
      </c>
      <c r="BA17" s="94" t="str">
        <f ca="1">IF(LEFT(AY17,1)="V",VLOOKUP(VALUE(SUBSTITUTE(AY17,"V","")),B_PARTITE_2A_FASE_PER_NUMERO,10,FALSE),IF(LEFT(AY17,1)="P",VLOOKUP(VALUE(SUBSTITUTE(AY17,"P","")),B_PARTITE_2A_FASE_PER_NUMERO,11,FALSE),VLOOKUP(AY17,B_CLASSIFICHE_GIRONI,4,FALSE)))</f>
        <v>Delfini</v>
      </c>
      <c r="BB17" s="94" t="str">
        <f ca="1">IF(LEFT(AZ17,1)="V",VLOOKUP(VALUE(SUBSTITUTE(AZ17,"V","")),B_PARTITE_2A_FASE_PER_NUMERO,10,FALSE),IF(LEFT(AZ17,1)="P",VLOOKUP(VALUE(SUBSTITUTE(AZ17,"P","")),B_PARTITE_2A_FASE_PER_NUMERO,11,FALSE),VLOOKUP(AZ17,B_CLASSIFICHE_GIRONI,4,FALSE)))</f>
        <v>Scorpioni</v>
      </c>
      <c r="BC17" s="43">
        <f t="shared" si="31"/>
        <v>66</v>
      </c>
      <c r="BD17" s="43">
        <f t="shared" si="32"/>
        <v>39</v>
      </c>
      <c r="BE17" s="94" t="str">
        <f t="shared" ca="1" si="33"/>
        <v>Delfini</v>
      </c>
      <c r="BF17" s="94" t="str">
        <f t="shared" ca="1" si="34"/>
        <v>Scorpioni</v>
      </c>
      <c r="BG17" s="43">
        <f t="shared" si="35"/>
        <v>1</v>
      </c>
      <c r="BH17" s="95">
        <f t="shared" si="36"/>
        <v>0</v>
      </c>
      <c r="BI17" s="95">
        <f t="shared" si="37"/>
        <v>0</v>
      </c>
      <c r="BJ17" s="43">
        <f t="shared" si="38"/>
        <v>66</v>
      </c>
      <c r="BK17" s="43">
        <f t="shared" si="39"/>
        <v>39</v>
      </c>
      <c r="BL17" s="96">
        <f t="shared" si="40"/>
        <v>27</v>
      </c>
      <c r="BM17" s="43">
        <f t="shared" si="41"/>
        <v>0</v>
      </c>
      <c r="BN17" s="43">
        <f t="shared" si="42"/>
        <v>1</v>
      </c>
      <c r="BO17" s="43">
        <f t="shared" si="43"/>
        <v>0</v>
      </c>
      <c r="BP17" s="43">
        <f t="shared" si="44"/>
        <v>39</v>
      </c>
      <c r="BQ17" s="43">
        <f t="shared" si="45"/>
        <v>66</v>
      </c>
      <c r="BR17" s="97">
        <f t="shared" si="46"/>
        <v>-27</v>
      </c>
    </row>
    <row r="18" spans="1:70">
      <c r="A18" s="31">
        <v>39</v>
      </c>
      <c r="B18" s="33" t="s">
        <v>10</v>
      </c>
      <c r="C18" s="33" t="s">
        <v>41</v>
      </c>
      <c r="D18" s="43" t="s">
        <v>174</v>
      </c>
      <c r="E18" s="43" t="s">
        <v>178</v>
      </c>
      <c r="F18" s="94" t="str">
        <f t="shared" si="0"/>
        <v>Giraffe</v>
      </c>
      <c r="G18" s="94" t="str">
        <f t="shared" si="1"/>
        <v>Ippopotami</v>
      </c>
      <c r="H18" s="43">
        <f t="shared" si="2"/>
        <v>98</v>
      </c>
      <c r="I18" s="43">
        <f t="shared" si="3"/>
        <v>49</v>
      </c>
      <c r="J18" s="94" t="str">
        <f t="shared" si="4"/>
        <v>Giraffe</v>
      </c>
      <c r="K18" s="94" t="str">
        <f t="shared" si="5"/>
        <v>Ippopotami</v>
      </c>
      <c r="L18" s="43">
        <f t="shared" si="6"/>
        <v>1</v>
      </c>
      <c r="M18" s="95">
        <f t="shared" si="7"/>
        <v>0</v>
      </c>
      <c r="N18" s="95">
        <f t="shared" si="8"/>
        <v>0</v>
      </c>
      <c r="O18" s="43">
        <f t="shared" si="9"/>
        <v>98</v>
      </c>
      <c r="P18" s="43">
        <f t="shared" si="10"/>
        <v>49</v>
      </c>
      <c r="Q18" s="96">
        <f t="shared" si="11"/>
        <v>49</v>
      </c>
      <c r="R18" s="43">
        <f t="shared" si="12"/>
        <v>0</v>
      </c>
      <c r="S18" s="43">
        <f t="shared" si="13"/>
        <v>1</v>
      </c>
      <c r="T18" s="43">
        <f t="shared" si="14"/>
        <v>0</v>
      </c>
      <c r="U18" s="43">
        <f t="shared" si="15"/>
        <v>49</v>
      </c>
      <c r="V18" s="43">
        <f t="shared" si="16"/>
        <v>98</v>
      </c>
      <c r="W18" s="97">
        <f t="shared" si="17"/>
        <v>-49</v>
      </c>
      <c r="Y18" s="117" t="str">
        <f t="shared" ca="1" si="49"/>
        <v>4D</v>
      </c>
      <c r="Z18" s="118" t="s">
        <v>46</v>
      </c>
      <c r="AA18" s="118" t="s">
        <v>198</v>
      </c>
      <c r="AB18" s="119" t="str">
        <f t="shared" si="19"/>
        <v>Falchi</v>
      </c>
      <c r="AC18" s="118">
        <f t="shared" si="20"/>
        <v>3</v>
      </c>
      <c r="AD18" s="118">
        <f t="shared" si="21"/>
        <v>0</v>
      </c>
      <c r="AE18" s="118">
        <f t="shared" si="22"/>
        <v>3</v>
      </c>
      <c r="AF18" s="118">
        <f t="shared" si="23"/>
        <v>0</v>
      </c>
      <c r="AG18" s="120">
        <f t="shared" si="24"/>
        <v>3</v>
      </c>
      <c r="AH18" s="121">
        <f t="shared" si="25"/>
        <v>153</v>
      </c>
      <c r="AI18" s="118">
        <f t="shared" si="26"/>
        <v>209</v>
      </c>
      <c r="AJ18" s="122">
        <f t="shared" si="27"/>
        <v>-56</v>
      </c>
      <c r="AK18" s="118">
        <f ca="1">IF(AG18=AG15,INDIRECT("U"&amp;5+6*(FIND(Z18,"ABCDEFGH")-1)),0)</f>
        <v>0</v>
      </c>
      <c r="AL18" s="118">
        <f ca="1">IF(AG18=AG16,INDIRECT("U"&amp;7+6*(FIND(Z18,"ABCDEFGH")-1)),0)</f>
        <v>0</v>
      </c>
      <c r="AM18" s="118">
        <f ca="1">IF(AG18=AG17,INDIRECT("U"&amp;8+6*(FIND(Z18,"ABCDEFGH")-1)),0)</f>
        <v>0</v>
      </c>
      <c r="AN18" s="121">
        <f t="shared" ca="1" si="28"/>
        <v>0</v>
      </c>
      <c r="AO18" s="123">
        <f ca="1">IF(AG18=AG15,INDIRECT("W"&amp;5+6*(FIND(Z18,"ABCDEFGH")-1)),0)</f>
        <v>0</v>
      </c>
      <c r="AP18" s="123">
        <f ca="1">IF(AG18=AG16,INDIRECT("W"&amp;7+6*(FIND(Z18,"ABCDEFGH")-1)),0)</f>
        <v>0</v>
      </c>
      <c r="AQ18" s="123">
        <f ca="1">IF(AG18=AG17,INDIRECT("W"&amp;8+6*(FIND(Z18,"ABCDEFGH")-1)),0)</f>
        <v>0</v>
      </c>
      <c r="AR18" s="122">
        <f t="shared" ca="1" si="29"/>
        <v>0</v>
      </c>
      <c r="AS18" s="124">
        <f t="shared" ca="1" si="30"/>
        <v>3.5000004441529997</v>
      </c>
      <c r="AU18" s="104" t="s">
        <v>199</v>
      </c>
      <c r="AV18" s="105">
        <v>64</v>
      </c>
      <c r="AW18" s="106" t="s">
        <v>138</v>
      </c>
      <c r="AX18" s="107" t="s">
        <v>148</v>
      </c>
      <c r="AY18" s="106" t="s">
        <v>200</v>
      </c>
      <c r="AZ18" s="106" t="s">
        <v>201</v>
      </c>
      <c r="BA18" s="94" t="str">
        <f ca="1">IF(LEFT(AY18,1)="V",VLOOKUP(VALUE(SUBSTITUTE(AY18,"V","")),B_PARTITE_2A_FASE_PER_NUMERO,10,FALSE),IF(LEFT(AY18,1)="P",VLOOKUP(VALUE(SUBSTITUTE(AY18,"P","")),B_PARTITE_2A_FASE_PER_NUMERO,11,FALSE),VLOOKUP(AY18,B_CLASSIFICHE_GIRONI,4,FALSE)))</f>
        <v>Zebre</v>
      </c>
      <c r="BB18" s="94" t="str">
        <f ca="1">IF(LEFT(AZ18,1)="V",VLOOKUP(VALUE(SUBSTITUTE(AZ18,"V","")),B_PARTITE_2A_FASE_PER_NUMERO,10,FALSE),IF(LEFT(AZ18,1)="P",VLOOKUP(VALUE(SUBSTITUTE(AZ18,"P","")),B_PARTITE_2A_FASE_PER_NUMERO,11,FALSE),VLOOKUP(AZ18,B_CLASSIFICHE_GIRONI,4,FALSE)))</f>
        <v>Fenicotteri</v>
      </c>
      <c r="BC18" s="43">
        <f t="shared" si="31"/>
        <v>62</v>
      </c>
      <c r="BD18" s="43">
        <f t="shared" si="32"/>
        <v>31</v>
      </c>
      <c r="BE18" s="94" t="str">
        <f t="shared" ca="1" si="33"/>
        <v>Zebre</v>
      </c>
      <c r="BF18" s="94" t="str">
        <f t="shared" ca="1" si="34"/>
        <v>Fenicotteri</v>
      </c>
      <c r="BG18" s="43">
        <f t="shared" si="35"/>
        <v>1</v>
      </c>
      <c r="BH18" s="95">
        <f t="shared" si="36"/>
        <v>0</v>
      </c>
      <c r="BI18" s="95">
        <f t="shared" si="37"/>
        <v>0</v>
      </c>
      <c r="BJ18" s="43">
        <f t="shared" si="38"/>
        <v>62</v>
      </c>
      <c r="BK18" s="43">
        <f t="shared" si="39"/>
        <v>31</v>
      </c>
      <c r="BL18" s="96">
        <f t="shared" si="40"/>
        <v>31</v>
      </c>
      <c r="BM18" s="43">
        <f t="shared" si="41"/>
        <v>0</v>
      </c>
      <c r="BN18" s="43">
        <f t="shared" si="42"/>
        <v>1</v>
      </c>
      <c r="BO18" s="43">
        <f t="shared" si="43"/>
        <v>0</v>
      </c>
      <c r="BP18" s="43">
        <f t="shared" si="44"/>
        <v>31</v>
      </c>
      <c r="BQ18" s="43">
        <f t="shared" si="45"/>
        <v>62</v>
      </c>
      <c r="BR18" s="97">
        <f t="shared" si="46"/>
        <v>-31</v>
      </c>
    </row>
    <row r="19" spans="1:70">
      <c r="A19" s="31">
        <v>15</v>
      </c>
      <c r="B19" s="33" t="s">
        <v>10</v>
      </c>
      <c r="C19" s="33" t="s">
        <v>41</v>
      </c>
      <c r="D19" s="43" t="s">
        <v>174</v>
      </c>
      <c r="E19" s="43" t="s">
        <v>182</v>
      </c>
      <c r="F19" s="94" t="str">
        <f t="shared" si="0"/>
        <v>Giraffe</v>
      </c>
      <c r="G19" s="94" t="str">
        <f t="shared" si="1"/>
        <v>Iguane</v>
      </c>
      <c r="H19" s="43">
        <f t="shared" si="2"/>
        <v>60</v>
      </c>
      <c r="I19" s="43">
        <f t="shared" si="3"/>
        <v>34</v>
      </c>
      <c r="J19" s="94" t="str">
        <f t="shared" si="4"/>
        <v>Giraffe</v>
      </c>
      <c r="K19" s="94" t="str">
        <f t="shared" si="5"/>
        <v>Iguane</v>
      </c>
      <c r="L19" s="43">
        <f t="shared" si="6"/>
        <v>1</v>
      </c>
      <c r="M19" s="95">
        <f t="shared" si="7"/>
        <v>0</v>
      </c>
      <c r="N19" s="95">
        <f t="shared" si="8"/>
        <v>0</v>
      </c>
      <c r="O19" s="43">
        <f t="shared" si="9"/>
        <v>60</v>
      </c>
      <c r="P19" s="43">
        <f t="shared" si="10"/>
        <v>34</v>
      </c>
      <c r="Q19" s="96">
        <f t="shared" si="11"/>
        <v>26</v>
      </c>
      <c r="R19" s="43">
        <f t="shared" si="12"/>
        <v>0</v>
      </c>
      <c r="S19" s="43">
        <f t="shared" si="13"/>
        <v>1</v>
      </c>
      <c r="T19" s="43">
        <f t="shared" si="14"/>
        <v>0</v>
      </c>
      <c r="U19" s="43">
        <f t="shared" si="15"/>
        <v>34</v>
      </c>
      <c r="V19" s="43">
        <f t="shared" si="16"/>
        <v>60</v>
      </c>
      <c r="W19" s="97">
        <f t="shared" si="17"/>
        <v>-26</v>
      </c>
      <c r="Y19" s="98" t="str">
        <f t="shared" ref="Y19:Y22" ca="1" si="50">COUNTIF(B_COEFF_GIRONE_E,"&gt;="&amp;AS19)&amp;Z19</f>
        <v>1E</v>
      </c>
      <c r="Z19" s="33" t="s">
        <v>51</v>
      </c>
      <c r="AA19" s="43" t="s">
        <v>202</v>
      </c>
      <c r="AB19" s="99" t="str">
        <f t="shared" si="19"/>
        <v>Bisonti</v>
      </c>
      <c r="AC19" s="43">
        <f t="shared" si="20"/>
        <v>3</v>
      </c>
      <c r="AD19" s="43">
        <f t="shared" si="21"/>
        <v>2</v>
      </c>
      <c r="AE19" s="43">
        <f t="shared" si="22"/>
        <v>1</v>
      </c>
      <c r="AF19" s="43">
        <f t="shared" si="23"/>
        <v>0</v>
      </c>
      <c r="AG19" s="100">
        <f t="shared" si="24"/>
        <v>5</v>
      </c>
      <c r="AH19" s="101">
        <f t="shared" si="25"/>
        <v>103</v>
      </c>
      <c r="AI19" s="43">
        <f t="shared" si="26"/>
        <v>100</v>
      </c>
      <c r="AJ19" s="102">
        <f t="shared" si="27"/>
        <v>3</v>
      </c>
      <c r="AK19" s="43">
        <f ca="1">IF(AG19=AG20,INDIRECT("O"&amp;3+6*(FIND(Z19,"ABCDEFGH")-1)),0)</f>
        <v>34</v>
      </c>
      <c r="AL19" s="95">
        <f ca="1">IF(AG19=AG21,INDIRECT("O"&amp;4+6*(FIND(Z19,"ABCDEFGH")-1)),0)</f>
        <v>33</v>
      </c>
      <c r="AM19" s="43">
        <f ca="1">IF(AG19=AG22,INDIRECT("O"&amp;5+6*(FIND(Z19,"ABCDEFGH")-1)),0)</f>
        <v>0</v>
      </c>
      <c r="AN19" s="101">
        <f t="shared" ca="1" si="28"/>
        <v>67</v>
      </c>
      <c r="AO19" s="96">
        <f ca="1">IF(AG19=AG20,INDIRECT("Q"&amp;3+6*(FIND(Z19,"ABCDEFGH")-1)),0)</f>
        <v>1</v>
      </c>
      <c r="AP19" s="96">
        <f ca="1">IF(AG19=AG21,INDIRECT("Q"&amp;4+6*(FIND(Z19,"ABCDEFGH")-1)),0)</f>
        <v>-1</v>
      </c>
      <c r="AQ19" s="96">
        <f ca="1">IF(AG19=AG22,INDIRECT("Q"&amp;5+6*(FIND(Z19,"ABCDEFGH")-1)),0)</f>
        <v>0</v>
      </c>
      <c r="AR19" s="102">
        <f t="shared" ca="1" si="29"/>
        <v>0</v>
      </c>
      <c r="AS19" s="103">
        <f t="shared" ca="1" si="30"/>
        <v>5.5000675031029997</v>
      </c>
      <c r="AU19" s="104" t="s">
        <v>203</v>
      </c>
      <c r="AV19" s="105">
        <v>65</v>
      </c>
      <c r="AW19" s="106" t="s">
        <v>138</v>
      </c>
      <c r="AX19" s="107" t="s">
        <v>204</v>
      </c>
      <c r="AY19" s="106" t="s">
        <v>205</v>
      </c>
      <c r="AZ19" s="106" t="s">
        <v>206</v>
      </c>
      <c r="BA19" s="126" t="str">
        <f ca="1">IF(LEFT(AY19,1)="V",VLOOKUP(VALUE(SUBSTITUTE(AY19,"V","")),B_PARTITE_2A_FASE_PER_NUMERO,10,FALSE),IF(LEFT(AY19,1)="P",VLOOKUP(VALUE(SUBSTITUTE(AY19,"P","")),B_PARTITE_2A_FASE_PER_NUMERO,11,FALSE),VLOOKUP(AY19,B_CLASSIFICHE_GIRONI,4,FALSE)))</f>
        <v>Iguane</v>
      </c>
      <c r="BB19" s="94" t="str">
        <f ca="1">IF(LEFT(AZ19,1)="V",VLOOKUP(VALUE(SUBSTITUTE(AZ19,"V","")),B_PARTITE_2A_FASE_PER_NUMERO,10,FALSE),IF(LEFT(AZ19,1)="P",VLOOKUP(VALUE(SUBSTITUTE(AZ19,"P","")),B_PARTITE_2A_FASE_PER_NUMERO,11,FALSE),VLOOKUP(AZ19,B_CLASSIFICHE_GIRONI,4,FALSE)))</f>
        <v>Falchi</v>
      </c>
      <c r="BC19" s="43">
        <f t="shared" si="31"/>
        <v>63</v>
      </c>
      <c r="BD19" s="43">
        <f t="shared" si="32"/>
        <v>35</v>
      </c>
      <c r="BE19" s="94" t="str">
        <f t="shared" ca="1" si="33"/>
        <v>Iguane</v>
      </c>
      <c r="BF19" s="94" t="str">
        <f t="shared" ca="1" si="34"/>
        <v>Falchi</v>
      </c>
      <c r="BG19" s="43">
        <f t="shared" si="35"/>
        <v>1</v>
      </c>
      <c r="BH19" s="95">
        <f t="shared" si="36"/>
        <v>0</v>
      </c>
      <c r="BI19" s="95">
        <f t="shared" si="37"/>
        <v>0</v>
      </c>
      <c r="BJ19" s="43">
        <f t="shared" si="38"/>
        <v>63</v>
      </c>
      <c r="BK19" s="43">
        <f t="shared" si="39"/>
        <v>35</v>
      </c>
      <c r="BL19" s="96">
        <f t="shared" si="40"/>
        <v>28</v>
      </c>
      <c r="BM19" s="43">
        <f t="shared" si="41"/>
        <v>0</v>
      </c>
      <c r="BN19" s="43">
        <f t="shared" si="42"/>
        <v>1</v>
      </c>
      <c r="BO19" s="43">
        <f t="shared" si="43"/>
        <v>0</v>
      </c>
      <c r="BP19" s="43">
        <f t="shared" si="44"/>
        <v>35</v>
      </c>
      <c r="BQ19" s="43">
        <f t="shared" si="45"/>
        <v>63</v>
      </c>
      <c r="BR19" s="97">
        <f t="shared" si="46"/>
        <v>-28</v>
      </c>
    </row>
    <row r="20" spans="1:70">
      <c r="A20" s="31">
        <v>6</v>
      </c>
      <c r="B20" s="33" t="s">
        <v>10</v>
      </c>
      <c r="C20" s="33" t="s">
        <v>41</v>
      </c>
      <c r="D20" s="43" t="s">
        <v>178</v>
      </c>
      <c r="E20" s="43" t="s">
        <v>182</v>
      </c>
      <c r="F20" s="94" t="str">
        <f t="shared" si="0"/>
        <v>Ippopotami</v>
      </c>
      <c r="G20" s="94" t="str">
        <f t="shared" si="1"/>
        <v>Iguane</v>
      </c>
      <c r="H20" s="43">
        <f t="shared" si="2"/>
        <v>62</v>
      </c>
      <c r="I20" s="43">
        <f t="shared" si="3"/>
        <v>44</v>
      </c>
      <c r="J20" s="94" t="str">
        <f t="shared" si="4"/>
        <v>Ippopotami</v>
      </c>
      <c r="K20" s="94" t="str">
        <f t="shared" si="5"/>
        <v>Iguane</v>
      </c>
      <c r="L20" s="43">
        <f t="shared" si="6"/>
        <v>1</v>
      </c>
      <c r="M20" s="95">
        <f t="shared" si="7"/>
        <v>0</v>
      </c>
      <c r="N20" s="95">
        <f t="shared" si="8"/>
        <v>0</v>
      </c>
      <c r="O20" s="43">
        <f t="shared" si="9"/>
        <v>62</v>
      </c>
      <c r="P20" s="43">
        <f t="shared" si="10"/>
        <v>44</v>
      </c>
      <c r="Q20" s="96">
        <f t="shared" si="11"/>
        <v>18</v>
      </c>
      <c r="R20" s="43">
        <f t="shared" si="12"/>
        <v>0</v>
      </c>
      <c r="S20" s="43">
        <f t="shared" si="13"/>
        <v>1</v>
      </c>
      <c r="T20" s="43">
        <f t="shared" si="14"/>
        <v>0</v>
      </c>
      <c r="U20" s="43">
        <f t="shared" si="15"/>
        <v>44</v>
      </c>
      <c r="V20" s="43">
        <f t="shared" si="16"/>
        <v>62</v>
      </c>
      <c r="W20" s="97">
        <f t="shared" si="17"/>
        <v>-18</v>
      </c>
      <c r="Y20" s="98" t="str">
        <f t="shared" ca="1" si="50"/>
        <v>2E</v>
      </c>
      <c r="Z20" s="33" t="s">
        <v>51</v>
      </c>
      <c r="AA20" s="43" t="s">
        <v>207</v>
      </c>
      <c r="AB20" s="99" t="str">
        <f t="shared" si="19"/>
        <v>Bufali</v>
      </c>
      <c r="AC20" s="43">
        <f t="shared" si="20"/>
        <v>3</v>
      </c>
      <c r="AD20" s="43">
        <f t="shared" si="21"/>
        <v>2</v>
      </c>
      <c r="AE20" s="43">
        <f t="shared" si="22"/>
        <v>1</v>
      </c>
      <c r="AF20" s="43">
        <f t="shared" si="23"/>
        <v>0</v>
      </c>
      <c r="AG20" s="100">
        <f t="shared" si="24"/>
        <v>5</v>
      </c>
      <c r="AH20" s="101">
        <f t="shared" si="25"/>
        <v>102</v>
      </c>
      <c r="AI20" s="43">
        <f t="shared" si="26"/>
        <v>100</v>
      </c>
      <c r="AJ20" s="102">
        <f t="shared" si="27"/>
        <v>2</v>
      </c>
      <c r="AK20" s="43">
        <f ca="1">IF(AG20=AG21,INDIRECT("O"&amp;6+6*(FIND(Z20,"ABCDEFGH")-1)),0)</f>
        <v>34</v>
      </c>
      <c r="AL20" s="43">
        <f ca="1">IF(AG20=AG22,INDIRECT("O"&amp;7+6*(FIND(Z20,"ABCDEFGH")-1)),0)</f>
        <v>0</v>
      </c>
      <c r="AM20" s="43">
        <f ca="1">IF(AG20=AG19,INDIRECT("U"&amp;3+6*(FIND(Z20,"ABCDEFGH")-1)),0)</f>
        <v>33</v>
      </c>
      <c r="AN20" s="101">
        <f t="shared" ca="1" si="28"/>
        <v>67</v>
      </c>
      <c r="AO20" s="96">
        <f ca="1">IF(AG20=AG21,INDIRECT("Q"&amp;6+6*(FIND(Z20,"ABCDEFGH")-1)),0)</f>
        <v>1</v>
      </c>
      <c r="AP20" s="96">
        <f ca="1">IF(AG20=AG22,INDIRECT("Q"&amp;7+6*(FIND(Z20,"ABCDEFGH")-1)),0)</f>
        <v>0</v>
      </c>
      <c r="AQ20" s="96">
        <f ca="1">IF(AG20=AG19,INDIRECT("W"&amp;3+6*(FIND(Z20,"ABCDEFGH")-1)),0)</f>
        <v>-1</v>
      </c>
      <c r="AR20" s="102">
        <f t="shared" ca="1" si="29"/>
        <v>0</v>
      </c>
      <c r="AS20" s="103">
        <f t="shared" ca="1" si="30"/>
        <v>5.5000675021019996</v>
      </c>
      <c r="AU20" s="104" t="s">
        <v>208</v>
      </c>
      <c r="AV20" s="105">
        <v>66</v>
      </c>
      <c r="AW20" s="106" t="s">
        <v>138</v>
      </c>
      <c r="AX20" s="107" t="s">
        <v>204</v>
      </c>
      <c r="AY20" s="106" t="s">
        <v>209</v>
      </c>
      <c r="AZ20" s="106" t="s">
        <v>210</v>
      </c>
      <c r="BA20" s="94" t="str">
        <f ca="1">IF(LEFT(AY20,1)="V",VLOOKUP(VALUE(SUBSTITUTE(AY20,"V","")),B_PARTITE_2A_FASE_PER_NUMERO,10,FALSE),IF(LEFT(AY20,1)="P",VLOOKUP(VALUE(SUBSTITUTE(AY20,"P","")),B_PARTITE_2A_FASE_PER_NUMERO,11,FALSE),VLOOKUP(AY20,B_CLASSIFICHE_GIRONI,4,FALSE)))</f>
        <v>Ghepardi</v>
      </c>
      <c r="BB20" s="94" t="str">
        <f ca="1">IF(LEFT(AZ20,1)="V",VLOOKUP(VALUE(SUBSTITUTE(AZ20,"V","")),B_PARTITE_2A_FASE_PER_NUMERO,10,FALSE),IF(LEFT(AZ20,1)="P",VLOOKUP(VALUE(SUBSTITUTE(AZ20,"P","")),B_PARTITE_2A_FASE_PER_NUMERO,11,FALSE),VLOOKUP(AZ20,B_CLASSIFICHE_GIRONI,4,FALSE)))</f>
        <v>Serval</v>
      </c>
      <c r="BC20" s="43">
        <f t="shared" si="31"/>
        <v>60</v>
      </c>
      <c r="BD20" s="43">
        <f t="shared" si="32"/>
        <v>45</v>
      </c>
      <c r="BE20" s="94" t="str">
        <f t="shared" ca="1" si="33"/>
        <v>Ghepardi</v>
      </c>
      <c r="BF20" s="94" t="str">
        <f t="shared" ca="1" si="34"/>
        <v>Serval</v>
      </c>
      <c r="BG20" s="43">
        <f t="shared" si="35"/>
        <v>1</v>
      </c>
      <c r="BH20" s="95">
        <f t="shared" si="36"/>
        <v>0</v>
      </c>
      <c r="BI20" s="95">
        <f t="shared" si="37"/>
        <v>0</v>
      </c>
      <c r="BJ20" s="43">
        <f t="shared" si="38"/>
        <v>60</v>
      </c>
      <c r="BK20" s="43">
        <f t="shared" si="39"/>
        <v>45</v>
      </c>
      <c r="BL20" s="96">
        <f t="shared" si="40"/>
        <v>15</v>
      </c>
      <c r="BM20" s="43">
        <f t="shared" si="41"/>
        <v>0</v>
      </c>
      <c r="BN20" s="43">
        <f t="shared" si="42"/>
        <v>1</v>
      </c>
      <c r="BO20" s="43">
        <f t="shared" si="43"/>
        <v>0</v>
      </c>
      <c r="BP20" s="43">
        <f t="shared" si="44"/>
        <v>45</v>
      </c>
      <c r="BQ20" s="43">
        <f t="shared" si="45"/>
        <v>60</v>
      </c>
      <c r="BR20" s="97">
        <f t="shared" si="46"/>
        <v>-15</v>
      </c>
    </row>
    <row r="21" spans="1:70">
      <c r="A21" s="31">
        <v>7</v>
      </c>
      <c r="B21" s="33" t="s">
        <v>10</v>
      </c>
      <c r="C21" s="33" t="s">
        <v>46</v>
      </c>
      <c r="D21" s="43" t="s">
        <v>186</v>
      </c>
      <c r="E21" s="43" t="s">
        <v>190</v>
      </c>
      <c r="F21" s="94" t="str">
        <f t="shared" si="0"/>
        <v>Coccodrilli</v>
      </c>
      <c r="G21" s="94" t="str">
        <f t="shared" si="1"/>
        <v>Pitoni</v>
      </c>
      <c r="H21" s="43">
        <f t="shared" si="2"/>
        <v>96</v>
      </c>
      <c r="I21" s="43">
        <f t="shared" si="3"/>
        <v>25</v>
      </c>
      <c r="J21" s="94" t="str">
        <f t="shared" si="4"/>
        <v>Coccodrilli</v>
      </c>
      <c r="K21" s="94" t="str">
        <f t="shared" si="5"/>
        <v>Pitoni</v>
      </c>
      <c r="L21" s="43">
        <f t="shared" si="6"/>
        <v>1</v>
      </c>
      <c r="M21" s="95">
        <f t="shared" si="7"/>
        <v>0</v>
      </c>
      <c r="N21" s="95">
        <f t="shared" si="8"/>
        <v>0</v>
      </c>
      <c r="O21" s="43">
        <f t="shared" si="9"/>
        <v>96</v>
      </c>
      <c r="P21" s="43">
        <f t="shared" si="10"/>
        <v>25</v>
      </c>
      <c r="Q21" s="96">
        <f t="shared" si="11"/>
        <v>71</v>
      </c>
      <c r="R21" s="43">
        <f t="shared" si="12"/>
        <v>0</v>
      </c>
      <c r="S21" s="43">
        <f t="shared" si="13"/>
        <v>1</v>
      </c>
      <c r="T21" s="43">
        <f t="shared" si="14"/>
        <v>0</v>
      </c>
      <c r="U21" s="43">
        <f t="shared" si="15"/>
        <v>25</v>
      </c>
      <c r="V21" s="43">
        <f t="shared" si="16"/>
        <v>96</v>
      </c>
      <c r="W21" s="97">
        <f t="shared" si="17"/>
        <v>-71</v>
      </c>
      <c r="Y21" s="98" t="str">
        <f t="shared" ca="1" si="50"/>
        <v>3E</v>
      </c>
      <c r="Z21" s="33" t="s">
        <v>51</v>
      </c>
      <c r="AA21" s="43" t="s">
        <v>211</v>
      </c>
      <c r="AB21" s="99" t="str">
        <f t="shared" si="19"/>
        <v>Cervi</v>
      </c>
      <c r="AC21" s="43">
        <f t="shared" si="20"/>
        <v>3</v>
      </c>
      <c r="AD21" s="43">
        <f t="shared" si="21"/>
        <v>2</v>
      </c>
      <c r="AE21" s="43">
        <f t="shared" si="22"/>
        <v>1</v>
      </c>
      <c r="AF21" s="43">
        <f t="shared" si="23"/>
        <v>0</v>
      </c>
      <c r="AG21" s="100">
        <f t="shared" si="24"/>
        <v>5</v>
      </c>
      <c r="AH21" s="101">
        <f t="shared" si="25"/>
        <v>101</v>
      </c>
      <c r="AI21" s="43">
        <f t="shared" si="26"/>
        <v>100</v>
      </c>
      <c r="AJ21" s="102">
        <f t="shared" si="27"/>
        <v>1</v>
      </c>
      <c r="AK21" s="43">
        <f ca="1">IF(AG21=AG22,INDIRECT("O"&amp;8+6*(FIND(Z21,"ABCDEFGH")-1)),0)</f>
        <v>0</v>
      </c>
      <c r="AL21" s="43">
        <f ca="1">IF(AG21=AG19,INDIRECT("U"&amp;4+6*(FIND(Z21,"ABCDEFGH")-1)),0)</f>
        <v>34</v>
      </c>
      <c r="AM21" s="43">
        <f ca="1">IF(AG21=AG20,INDIRECT("U"&amp;6+6*(FIND(Z21,"ABCDEFGH")-1)),0)</f>
        <v>33</v>
      </c>
      <c r="AN21" s="101">
        <f t="shared" ca="1" si="28"/>
        <v>67</v>
      </c>
      <c r="AO21" s="96">
        <f ca="1">IF(AG21=AG22,INDIRECT("Q"&amp;8+6*(FIND(Z21,"ABCDEFGH")-1)),0)</f>
        <v>0</v>
      </c>
      <c r="AP21" s="96">
        <f ca="1">IF(AG21=AG19,INDIRECT("W"&amp;4+6*(FIND(Z21,"ABCDEFGH")-1)),0)</f>
        <v>1</v>
      </c>
      <c r="AQ21" s="96">
        <f ca="1">IF(AG21=AG20,INDIRECT("W"&amp;6+6*(FIND(Z21,"ABCDEFGH")-1)),0)</f>
        <v>-1</v>
      </c>
      <c r="AR21" s="102">
        <f t="shared" ca="1" si="29"/>
        <v>0</v>
      </c>
      <c r="AS21" s="103">
        <f t="shared" ca="1" si="30"/>
        <v>5.5000675011009994</v>
      </c>
      <c r="AU21" s="104" t="s">
        <v>212</v>
      </c>
      <c r="AV21" s="105">
        <v>67</v>
      </c>
      <c r="AW21" s="106" t="s">
        <v>138</v>
      </c>
      <c r="AX21" s="107" t="s">
        <v>204</v>
      </c>
      <c r="AY21" s="106" t="s">
        <v>213</v>
      </c>
      <c r="AZ21" s="106" t="s">
        <v>214</v>
      </c>
      <c r="BA21" s="94" t="str">
        <f ca="1">IF(LEFT(AY21,1)="V",VLOOKUP(VALUE(SUBSTITUTE(AY21,"V","")),B_PARTITE_2A_FASE_PER_NUMERO,10,FALSE),IF(LEFT(AY21,1)="P",VLOOKUP(VALUE(SUBSTITUTE(AY21,"P","")),B_PARTITE_2A_FASE_PER_NUMERO,11,FALSE),VLOOKUP(AY21,B_CLASSIFICHE_GIRONI,4,FALSE)))</f>
        <v>Muli</v>
      </c>
      <c r="BB21" s="94" t="str">
        <f ca="1">IF(LEFT(AZ21,1)="V",VLOOKUP(VALUE(SUBSTITUTE(AZ21,"V","")),B_PARTITE_2A_FASE_PER_NUMERO,10,FALSE),IF(LEFT(AZ21,1)="P",VLOOKUP(VALUE(SUBSTITUTE(AZ21,"P","")),B_PARTITE_2A_FASE_PER_NUMERO,11,FALSE),VLOOKUP(AZ21,B_CLASSIFICHE_GIRONI,4,FALSE)))</f>
        <v>Scorpioni</v>
      </c>
      <c r="BC21" s="43">
        <f t="shared" si="31"/>
        <v>54</v>
      </c>
      <c r="BD21" s="43">
        <f t="shared" si="32"/>
        <v>43</v>
      </c>
      <c r="BE21" s="94" t="str">
        <f t="shared" ca="1" si="33"/>
        <v>Muli</v>
      </c>
      <c r="BF21" s="94" t="str">
        <f t="shared" ca="1" si="34"/>
        <v>Scorpioni</v>
      </c>
      <c r="BG21" s="43">
        <f t="shared" si="35"/>
        <v>1</v>
      </c>
      <c r="BH21" s="95">
        <f t="shared" si="36"/>
        <v>0</v>
      </c>
      <c r="BI21" s="95">
        <f t="shared" si="37"/>
        <v>0</v>
      </c>
      <c r="BJ21" s="43">
        <f t="shared" si="38"/>
        <v>54</v>
      </c>
      <c r="BK21" s="43">
        <f t="shared" si="39"/>
        <v>43</v>
      </c>
      <c r="BL21" s="96">
        <f t="shared" si="40"/>
        <v>11</v>
      </c>
      <c r="BM21" s="43">
        <f t="shared" si="41"/>
        <v>0</v>
      </c>
      <c r="BN21" s="43">
        <f t="shared" si="42"/>
        <v>1</v>
      </c>
      <c r="BO21" s="43">
        <f t="shared" si="43"/>
        <v>0</v>
      </c>
      <c r="BP21" s="43">
        <f t="shared" si="44"/>
        <v>43</v>
      </c>
      <c r="BQ21" s="43">
        <f t="shared" si="45"/>
        <v>54</v>
      </c>
      <c r="BR21" s="97">
        <f t="shared" si="46"/>
        <v>-11</v>
      </c>
    </row>
    <row r="22" spans="1:70">
      <c r="A22" s="31">
        <v>12</v>
      </c>
      <c r="B22" s="33" t="s">
        <v>10</v>
      </c>
      <c r="C22" s="33" t="s">
        <v>46</v>
      </c>
      <c r="D22" s="43" t="s">
        <v>186</v>
      </c>
      <c r="E22" s="43" t="s">
        <v>194</v>
      </c>
      <c r="F22" s="94" t="str">
        <f t="shared" si="0"/>
        <v>Coccodrilli</v>
      </c>
      <c r="G22" s="94" t="str">
        <f t="shared" si="1"/>
        <v>Aquile</v>
      </c>
      <c r="H22" s="43">
        <f t="shared" si="2"/>
        <v>29</v>
      </c>
      <c r="I22" s="43">
        <f t="shared" si="3"/>
        <v>39</v>
      </c>
      <c r="J22" s="94" t="str">
        <f t="shared" si="4"/>
        <v>Aquile</v>
      </c>
      <c r="K22" s="94" t="str">
        <f t="shared" si="5"/>
        <v>Coccodrilli</v>
      </c>
      <c r="L22" s="43">
        <f t="shared" si="6"/>
        <v>0</v>
      </c>
      <c r="M22" s="95">
        <f t="shared" si="7"/>
        <v>1</v>
      </c>
      <c r="N22" s="95">
        <f t="shared" si="8"/>
        <v>0</v>
      </c>
      <c r="O22" s="43">
        <f t="shared" si="9"/>
        <v>29</v>
      </c>
      <c r="P22" s="43">
        <f t="shared" si="10"/>
        <v>39</v>
      </c>
      <c r="Q22" s="96">
        <f t="shared" si="11"/>
        <v>-10</v>
      </c>
      <c r="R22" s="43">
        <f t="shared" si="12"/>
        <v>1</v>
      </c>
      <c r="S22" s="43">
        <f t="shared" si="13"/>
        <v>0</v>
      </c>
      <c r="T22" s="43">
        <f t="shared" si="14"/>
        <v>0</v>
      </c>
      <c r="U22" s="43">
        <f t="shared" si="15"/>
        <v>39</v>
      </c>
      <c r="V22" s="43">
        <f t="shared" si="16"/>
        <v>29</v>
      </c>
      <c r="W22" s="97">
        <f t="shared" si="17"/>
        <v>10</v>
      </c>
      <c r="Y22" s="98" t="str">
        <f t="shared" ca="1" si="50"/>
        <v>4E</v>
      </c>
      <c r="Z22" s="33" t="s">
        <v>51</v>
      </c>
      <c r="AA22" s="43" t="s">
        <v>215</v>
      </c>
      <c r="AB22" s="99" t="str">
        <f t="shared" si="19"/>
        <v>Cinghiali</v>
      </c>
      <c r="AC22" s="43">
        <f t="shared" si="20"/>
        <v>3</v>
      </c>
      <c r="AD22" s="43">
        <f t="shared" si="21"/>
        <v>0</v>
      </c>
      <c r="AE22" s="43">
        <f t="shared" si="22"/>
        <v>3</v>
      </c>
      <c r="AF22" s="43">
        <f t="shared" si="23"/>
        <v>0</v>
      </c>
      <c r="AG22" s="100">
        <f t="shared" si="24"/>
        <v>3</v>
      </c>
      <c r="AH22" s="101">
        <f t="shared" si="25"/>
        <v>99</v>
      </c>
      <c r="AI22" s="43">
        <f t="shared" si="26"/>
        <v>105</v>
      </c>
      <c r="AJ22" s="102">
        <f t="shared" si="27"/>
        <v>-6</v>
      </c>
      <c r="AK22" s="43">
        <f ca="1">IF(AG22=AG19,INDIRECT("U"&amp;5+6*(FIND(Z22,"ABCDEFGH")-1)),0)</f>
        <v>0</v>
      </c>
      <c r="AL22" s="43">
        <f ca="1">IF(AG22=AG20,INDIRECT("U"&amp;7+6*(FIND(Z22,"ABCDEFGH")-1)),0)</f>
        <v>0</v>
      </c>
      <c r="AM22" s="43">
        <f ca="1">IF(AG22=AG21,INDIRECT("U"&amp;8+6*(FIND(Z22,"ABCDEFGH")-1)),0)</f>
        <v>0</v>
      </c>
      <c r="AN22" s="101">
        <f t="shared" ca="1" si="28"/>
        <v>0</v>
      </c>
      <c r="AO22" s="96">
        <f ca="1">IF(AG22=AG19,INDIRECT("W"&amp;5+6*(FIND(Z22,"ABCDEFGH")-1)),0)</f>
        <v>0</v>
      </c>
      <c r="AP22" s="96">
        <f ca="1">IF(AG22=AG20,INDIRECT("W"&amp;7+6*(FIND(Z22,"ABCDEFGH")-1)),0)</f>
        <v>0</v>
      </c>
      <c r="AQ22" s="96">
        <f ca="1">IF(AG22=AG21,INDIRECT("W"&amp;8+6*(FIND(Z22,"ABCDEFGH")-1)),0)</f>
        <v>0</v>
      </c>
      <c r="AR22" s="102">
        <f t="shared" ca="1" si="29"/>
        <v>0</v>
      </c>
      <c r="AS22" s="103">
        <f t="shared" ca="1" si="30"/>
        <v>3.5000004940989999</v>
      </c>
      <c r="AU22" s="104" t="s">
        <v>216</v>
      </c>
      <c r="AV22" s="105">
        <v>68</v>
      </c>
      <c r="AW22" s="106" t="s">
        <v>138</v>
      </c>
      <c r="AX22" s="107" t="s">
        <v>204</v>
      </c>
      <c r="AY22" s="106" t="s">
        <v>217</v>
      </c>
      <c r="AZ22" s="106" t="s">
        <v>218</v>
      </c>
      <c r="BA22" s="94" t="str">
        <f ca="1">IF(LEFT(AY22,1)="V",VLOOKUP(VALUE(SUBSTITUTE(AY22,"V","")),B_PARTITE_2A_FASE_PER_NUMERO,10,FALSE),IF(LEFT(AY22,1)="P",VLOOKUP(VALUE(SUBSTITUTE(AY22,"P","")),B_PARTITE_2A_FASE_PER_NUMERO,11,FALSE),VLOOKUP(AY22,B_CLASSIFICHE_GIRONI,4,FALSE)))</f>
        <v>Cinghiali</v>
      </c>
      <c r="BB22" s="94" t="str">
        <f ca="1">IF(LEFT(AZ22,1)="V",VLOOKUP(VALUE(SUBSTITUTE(AZ22,"V","")),B_PARTITE_2A_FASE_PER_NUMERO,10,FALSE),IF(LEFT(AZ22,1)="P",VLOOKUP(VALUE(SUBSTITUTE(AZ22,"P","")),B_PARTITE_2A_FASE_PER_NUMERO,11,FALSE),VLOOKUP(AZ22,B_CLASSIFICHE_GIRONI,4,FALSE)))</f>
        <v>Fenicotteri</v>
      </c>
      <c r="BC22" s="43">
        <f t="shared" si="31"/>
        <v>52</v>
      </c>
      <c r="BD22" s="43">
        <f t="shared" si="32"/>
        <v>49</v>
      </c>
      <c r="BE22" s="94" t="str">
        <f t="shared" ca="1" si="33"/>
        <v>Cinghiali</v>
      </c>
      <c r="BF22" s="94" t="str">
        <f t="shared" ca="1" si="34"/>
        <v>Fenicotteri</v>
      </c>
      <c r="BG22" s="43">
        <f t="shared" si="35"/>
        <v>1</v>
      </c>
      <c r="BH22" s="95">
        <f t="shared" si="36"/>
        <v>0</v>
      </c>
      <c r="BI22" s="95">
        <f t="shared" si="37"/>
        <v>0</v>
      </c>
      <c r="BJ22" s="43">
        <f t="shared" si="38"/>
        <v>52</v>
      </c>
      <c r="BK22" s="43">
        <f t="shared" si="39"/>
        <v>49</v>
      </c>
      <c r="BL22" s="96">
        <f t="shared" si="40"/>
        <v>3</v>
      </c>
      <c r="BM22" s="43">
        <f t="shared" si="41"/>
        <v>0</v>
      </c>
      <c r="BN22" s="43">
        <f t="shared" si="42"/>
        <v>1</v>
      </c>
      <c r="BO22" s="43">
        <f t="shared" si="43"/>
        <v>0</v>
      </c>
      <c r="BP22" s="43">
        <f t="shared" si="44"/>
        <v>49</v>
      </c>
      <c r="BQ22" s="43">
        <f t="shared" si="45"/>
        <v>52</v>
      </c>
      <c r="BR22" s="97">
        <f t="shared" si="46"/>
        <v>-3</v>
      </c>
    </row>
    <row r="23" spans="1:70">
      <c r="A23" s="31">
        <v>28</v>
      </c>
      <c r="B23" s="33" t="s">
        <v>10</v>
      </c>
      <c r="C23" s="33" t="s">
        <v>46</v>
      </c>
      <c r="D23" s="43" t="s">
        <v>186</v>
      </c>
      <c r="E23" s="43" t="s">
        <v>198</v>
      </c>
      <c r="F23" s="94" t="str">
        <f t="shared" si="0"/>
        <v>Coccodrilli</v>
      </c>
      <c r="G23" s="94" t="str">
        <f t="shared" si="1"/>
        <v>Falchi</v>
      </c>
      <c r="H23" s="43">
        <f t="shared" si="2"/>
        <v>54</v>
      </c>
      <c r="I23" s="43">
        <f t="shared" si="3"/>
        <v>44</v>
      </c>
      <c r="J23" s="94" t="str">
        <f t="shared" si="4"/>
        <v>Coccodrilli</v>
      </c>
      <c r="K23" s="94" t="str">
        <f t="shared" si="5"/>
        <v>Falchi</v>
      </c>
      <c r="L23" s="43">
        <f t="shared" si="6"/>
        <v>1</v>
      </c>
      <c r="M23" s="95">
        <f t="shared" si="7"/>
        <v>0</v>
      </c>
      <c r="N23" s="95">
        <f t="shared" si="8"/>
        <v>0</v>
      </c>
      <c r="O23" s="43">
        <f t="shared" si="9"/>
        <v>54</v>
      </c>
      <c r="P23" s="43">
        <f t="shared" si="10"/>
        <v>44</v>
      </c>
      <c r="Q23" s="96">
        <f t="shared" si="11"/>
        <v>10</v>
      </c>
      <c r="R23" s="43">
        <f t="shared" si="12"/>
        <v>0</v>
      </c>
      <c r="S23" s="43">
        <f t="shared" si="13"/>
        <v>1</v>
      </c>
      <c r="T23" s="43">
        <f t="shared" si="14"/>
        <v>0</v>
      </c>
      <c r="U23" s="43">
        <f t="shared" si="15"/>
        <v>44</v>
      </c>
      <c r="V23" s="43">
        <f t="shared" si="16"/>
        <v>54</v>
      </c>
      <c r="W23" s="97">
        <f t="shared" si="17"/>
        <v>-10</v>
      </c>
      <c r="Y23" s="108" t="str">
        <f t="shared" ref="Y23:Y26" ca="1" si="51">COUNTIF(B_COEFF_GIRONE_F,"&gt;="&amp;AS23)&amp;Z23</f>
        <v>1F</v>
      </c>
      <c r="Z23" s="109" t="s">
        <v>56</v>
      </c>
      <c r="AA23" s="109" t="s">
        <v>219</v>
      </c>
      <c r="AB23" s="110" t="str">
        <f t="shared" si="19"/>
        <v>Balene</v>
      </c>
      <c r="AC23" s="109">
        <f t="shared" si="20"/>
        <v>3</v>
      </c>
      <c r="AD23" s="109">
        <f t="shared" si="21"/>
        <v>2</v>
      </c>
      <c r="AE23" s="109">
        <f t="shared" si="22"/>
        <v>1</v>
      </c>
      <c r="AF23" s="109">
        <f t="shared" si="23"/>
        <v>0</v>
      </c>
      <c r="AG23" s="111">
        <f t="shared" si="24"/>
        <v>5</v>
      </c>
      <c r="AH23" s="112">
        <f t="shared" si="25"/>
        <v>103</v>
      </c>
      <c r="AI23" s="109">
        <f t="shared" si="26"/>
        <v>102</v>
      </c>
      <c r="AJ23" s="113">
        <f t="shared" si="27"/>
        <v>1</v>
      </c>
      <c r="AK23" s="109">
        <f ca="1">IF(AG23=AG24,INDIRECT("O"&amp;3+6*(FIND(Z23,"ABCDEFGH")-1)),0)</f>
        <v>34</v>
      </c>
      <c r="AL23" s="114">
        <f ca="1">IF(AG23=AG25,INDIRECT("O"&amp;4+6*(FIND(Z23,"ABCDEFGH")-1)),0)</f>
        <v>33</v>
      </c>
      <c r="AM23" s="109">
        <f ca="1">IF(AG23=AG26,INDIRECT("O"&amp;5+6*(FIND(Z23,"ABCDEFGH")-1)),0)</f>
        <v>0</v>
      </c>
      <c r="AN23" s="112">
        <f t="shared" ca="1" si="28"/>
        <v>67</v>
      </c>
      <c r="AO23" s="115">
        <f ca="1">IF(AG23=AG24,INDIRECT("Q"&amp;3+6*(FIND(Z23,"ABCDEFGH")-1)),0)</f>
        <v>1</v>
      </c>
      <c r="AP23" s="115">
        <f ca="1">IF(AG23=AG25,INDIRECT("Q"&amp;4+6*(FIND(Z23,"ABCDEFGH")-1)),0)</f>
        <v>-1</v>
      </c>
      <c r="AQ23" s="115">
        <f ca="1">IF(AG23=AG26,INDIRECT("Q"&amp;5+6*(FIND(Z23,"ABCDEFGH")-1)),0)</f>
        <v>0</v>
      </c>
      <c r="AR23" s="113">
        <f t="shared" ca="1" si="29"/>
        <v>0</v>
      </c>
      <c r="AS23" s="116">
        <f t="shared" ca="1" si="30"/>
        <v>5.5000675011029996</v>
      </c>
      <c r="AU23" s="104" t="s">
        <v>220</v>
      </c>
      <c r="AV23" s="105">
        <v>69</v>
      </c>
      <c r="AW23" s="106" t="s">
        <v>138</v>
      </c>
      <c r="AX23" s="107" t="s">
        <v>221</v>
      </c>
      <c r="AY23" s="106" t="s">
        <v>222</v>
      </c>
      <c r="AZ23" s="106" t="s">
        <v>223</v>
      </c>
      <c r="BA23" s="94" t="str">
        <f ca="1">IF(LEFT(AY23,1)="V",VLOOKUP(VALUE(SUBSTITUTE(AY23,"V","")),B_PARTITE_2A_FASE_PER_NUMERO,10,FALSE),IF(LEFT(AY23,1)="P",VLOOKUP(VALUE(SUBSTITUTE(AY23,"P","")),B_PARTITE_2A_FASE_PER_NUMERO,11,FALSE),VLOOKUP(AY23,B_CLASSIFICHE_GIRONI,4,FALSE)))</f>
        <v>Leoni</v>
      </c>
      <c r="BB23" s="94" t="str">
        <f ca="1">IF(LEFT(AZ23,1)="V",VLOOKUP(VALUE(SUBSTITUTE(AZ23,"V","")),B_PARTITE_2A_FASE_PER_NUMERO,10,FALSE),IF(LEFT(AZ23,1)="P",VLOOKUP(VALUE(SUBSTITUTE(AZ23,"P","")),B_PARTITE_2A_FASE_PER_NUMERO,11,FALSE),VLOOKUP(AZ23,B_CLASSIFICHE_GIRONI,4,FALSE)))</f>
        <v>Giaguari</v>
      </c>
      <c r="BC23" s="43">
        <f t="shared" si="31"/>
        <v>58</v>
      </c>
      <c r="BD23" s="43">
        <f t="shared" si="32"/>
        <v>46</v>
      </c>
      <c r="BE23" s="94" t="str">
        <f t="shared" ca="1" si="33"/>
        <v>Leoni</v>
      </c>
      <c r="BF23" s="94" t="str">
        <f t="shared" ca="1" si="34"/>
        <v>Giaguari</v>
      </c>
      <c r="BG23" s="43">
        <f t="shared" si="35"/>
        <v>1</v>
      </c>
      <c r="BH23" s="95">
        <f t="shared" si="36"/>
        <v>0</v>
      </c>
      <c r="BI23" s="95">
        <f t="shared" si="37"/>
        <v>0</v>
      </c>
      <c r="BJ23" s="43">
        <f t="shared" si="38"/>
        <v>58</v>
      </c>
      <c r="BK23" s="43">
        <f t="shared" si="39"/>
        <v>46</v>
      </c>
      <c r="BL23" s="96">
        <f t="shared" si="40"/>
        <v>12</v>
      </c>
      <c r="BM23" s="43">
        <f t="shared" si="41"/>
        <v>0</v>
      </c>
      <c r="BN23" s="43">
        <f t="shared" si="42"/>
        <v>1</v>
      </c>
      <c r="BO23" s="43">
        <f t="shared" si="43"/>
        <v>0</v>
      </c>
      <c r="BP23" s="43">
        <f t="shared" si="44"/>
        <v>46</v>
      </c>
      <c r="BQ23" s="43">
        <f t="shared" si="45"/>
        <v>58</v>
      </c>
      <c r="BR23" s="97">
        <f t="shared" si="46"/>
        <v>-12</v>
      </c>
    </row>
    <row r="24" spans="1:70">
      <c r="A24" s="31">
        <v>40</v>
      </c>
      <c r="B24" s="33" t="s">
        <v>10</v>
      </c>
      <c r="C24" s="33" t="s">
        <v>46</v>
      </c>
      <c r="D24" s="43" t="s">
        <v>190</v>
      </c>
      <c r="E24" s="43" t="s">
        <v>194</v>
      </c>
      <c r="F24" s="94" t="str">
        <f t="shared" si="0"/>
        <v>Pitoni</v>
      </c>
      <c r="G24" s="94" t="str">
        <f t="shared" si="1"/>
        <v>Aquile</v>
      </c>
      <c r="H24" s="43">
        <f t="shared" si="2"/>
        <v>25</v>
      </c>
      <c r="I24" s="43">
        <f t="shared" si="3"/>
        <v>15</v>
      </c>
      <c r="J24" s="94" t="str">
        <f t="shared" si="4"/>
        <v>Pitoni</v>
      </c>
      <c r="K24" s="94" t="str">
        <f t="shared" si="5"/>
        <v>Aquile</v>
      </c>
      <c r="L24" s="43">
        <f t="shared" si="6"/>
        <v>1</v>
      </c>
      <c r="M24" s="95">
        <f t="shared" si="7"/>
        <v>0</v>
      </c>
      <c r="N24" s="95">
        <f t="shared" si="8"/>
        <v>0</v>
      </c>
      <c r="O24" s="43">
        <f t="shared" si="9"/>
        <v>25</v>
      </c>
      <c r="P24" s="43">
        <f t="shared" si="10"/>
        <v>15</v>
      </c>
      <c r="Q24" s="96">
        <f t="shared" si="11"/>
        <v>10</v>
      </c>
      <c r="R24" s="43">
        <f t="shared" si="12"/>
        <v>0</v>
      </c>
      <c r="S24" s="43">
        <f t="shared" si="13"/>
        <v>1</v>
      </c>
      <c r="T24" s="43">
        <f t="shared" si="14"/>
        <v>0</v>
      </c>
      <c r="U24" s="43">
        <f t="shared" si="15"/>
        <v>15</v>
      </c>
      <c r="V24" s="43">
        <f t="shared" si="16"/>
        <v>25</v>
      </c>
      <c r="W24" s="97">
        <f t="shared" si="17"/>
        <v>-10</v>
      </c>
      <c r="Y24" s="98" t="str">
        <f t="shared" ca="1" si="51"/>
        <v>2F</v>
      </c>
      <c r="Z24" s="33" t="s">
        <v>56</v>
      </c>
      <c r="AA24" s="43" t="s">
        <v>224</v>
      </c>
      <c r="AB24" s="99" t="str">
        <f t="shared" si="19"/>
        <v>Gabbiani</v>
      </c>
      <c r="AC24" s="43">
        <f t="shared" si="20"/>
        <v>3</v>
      </c>
      <c r="AD24" s="43">
        <f t="shared" si="21"/>
        <v>2</v>
      </c>
      <c r="AE24" s="43">
        <f t="shared" si="22"/>
        <v>1</v>
      </c>
      <c r="AF24" s="43">
        <f t="shared" si="23"/>
        <v>0</v>
      </c>
      <c r="AG24" s="100">
        <f t="shared" si="24"/>
        <v>5</v>
      </c>
      <c r="AH24" s="101">
        <f t="shared" si="25"/>
        <v>102</v>
      </c>
      <c r="AI24" s="43">
        <f t="shared" si="26"/>
        <v>101</v>
      </c>
      <c r="AJ24" s="102">
        <f t="shared" si="27"/>
        <v>1</v>
      </c>
      <c r="AK24" s="43">
        <f ca="1">IF(AG24=AG25,INDIRECT("O"&amp;6+6*(FIND(Z24,"ABCDEFGH")-1)),0)</f>
        <v>34</v>
      </c>
      <c r="AL24" s="43">
        <f ca="1">IF(AG24=AG26,INDIRECT("O"&amp;7+6*(FIND(Z24,"ABCDEFGH")-1)),0)</f>
        <v>0</v>
      </c>
      <c r="AM24" s="43">
        <f ca="1">IF(AG24=AG23,INDIRECT("U"&amp;3+6*(FIND(Z24,"ABCDEFGH")-1)),0)</f>
        <v>33</v>
      </c>
      <c r="AN24" s="101">
        <f t="shared" ca="1" si="28"/>
        <v>67</v>
      </c>
      <c r="AO24" s="96">
        <f ca="1">IF(AG24=AG25,INDIRECT("Q"&amp;6+6*(FIND(Z24,"ABCDEFGH")-1)),0)</f>
        <v>1</v>
      </c>
      <c r="AP24" s="96">
        <f ca="1">IF(AG24=AG26,INDIRECT("Q"&amp;7+6*(FIND(Z24,"ABCDEFGH")-1)),0)</f>
        <v>0</v>
      </c>
      <c r="AQ24" s="96">
        <f ca="1">IF(AG24=AG23,INDIRECT("W"&amp;3+6*(FIND(Z24,"ABCDEFGH")-1)),0)</f>
        <v>-1</v>
      </c>
      <c r="AR24" s="102">
        <f t="shared" ca="1" si="29"/>
        <v>0</v>
      </c>
      <c r="AS24" s="103">
        <f t="shared" ca="1" si="30"/>
        <v>5.5000675011019995</v>
      </c>
      <c r="AU24" s="104" t="s">
        <v>225</v>
      </c>
      <c r="AV24" s="105">
        <v>70</v>
      </c>
      <c r="AW24" s="106" t="s">
        <v>138</v>
      </c>
      <c r="AX24" s="107" t="s">
        <v>221</v>
      </c>
      <c r="AY24" s="106" t="s">
        <v>226</v>
      </c>
      <c r="AZ24" s="106" t="s">
        <v>227</v>
      </c>
      <c r="BA24" s="94" t="str">
        <f ca="1">IF(LEFT(AY24,1)="V",VLOOKUP(VALUE(SUBSTITUTE(AY24,"V","")),B_PARTITE_2A_FASE_PER_NUMERO,10,FALSE),IF(LEFT(AY24,1)="P",VLOOKUP(VALUE(SUBSTITUTE(AY24,"P","")),B_PARTITE_2A_FASE_PER_NUMERO,11,FALSE),VLOOKUP(AY24,B_CLASSIFICHE_GIRONI,4,FALSE)))</f>
        <v>Bisonti</v>
      </c>
      <c r="BB24" s="94" t="str">
        <f ca="1">IF(LEFT(AZ24,1)="V",VLOOKUP(VALUE(SUBSTITUTE(AZ24,"V","")),B_PARTITE_2A_FASE_PER_NUMERO,10,FALSE),IF(LEFT(AZ24,1)="P",VLOOKUP(VALUE(SUBSTITUTE(AZ24,"P","")),B_PARTITE_2A_FASE_PER_NUMERO,11,FALSE),VLOOKUP(AZ24,B_CLASSIFICHE_GIRONI,4,FALSE)))</f>
        <v>Balene</v>
      </c>
      <c r="BC24" s="43">
        <f t="shared" si="31"/>
        <v>60</v>
      </c>
      <c r="BD24" s="43">
        <f t="shared" si="32"/>
        <v>31</v>
      </c>
      <c r="BE24" s="94" t="str">
        <f t="shared" ca="1" si="33"/>
        <v>Bisonti</v>
      </c>
      <c r="BF24" s="94" t="str">
        <f t="shared" ca="1" si="34"/>
        <v>Balene</v>
      </c>
      <c r="BG24" s="43">
        <f t="shared" si="35"/>
        <v>1</v>
      </c>
      <c r="BH24" s="95">
        <f t="shared" si="36"/>
        <v>0</v>
      </c>
      <c r="BI24" s="95">
        <f t="shared" si="37"/>
        <v>0</v>
      </c>
      <c r="BJ24" s="43">
        <f t="shared" si="38"/>
        <v>60</v>
      </c>
      <c r="BK24" s="43">
        <f t="shared" si="39"/>
        <v>31</v>
      </c>
      <c r="BL24" s="96">
        <f t="shared" si="40"/>
        <v>29</v>
      </c>
      <c r="BM24" s="43">
        <f t="shared" si="41"/>
        <v>0</v>
      </c>
      <c r="BN24" s="43">
        <f t="shared" si="42"/>
        <v>1</v>
      </c>
      <c r="BO24" s="43">
        <f t="shared" si="43"/>
        <v>0</v>
      </c>
      <c r="BP24" s="43">
        <f t="shared" si="44"/>
        <v>31</v>
      </c>
      <c r="BQ24" s="43">
        <f t="shared" si="45"/>
        <v>60</v>
      </c>
      <c r="BR24" s="97">
        <f t="shared" si="46"/>
        <v>-29</v>
      </c>
    </row>
    <row r="25" spans="1:70">
      <c r="A25" s="31">
        <v>16</v>
      </c>
      <c r="B25" s="33" t="s">
        <v>10</v>
      </c>
      <c r="C25" s="33" t="s">
        <v>46</v>
      </c>
      <c r="D25" s="43" t="s">
        <v>190</v>
      </c>
      <c r="E25" s="43" t="s">
        <v>198</v>
      </c>
      <c r="F25" s="94" t="str">
        <f t="shared" si="0"/>
        <v>Pitoni</v>
      </c>
      <c r="G25" s="94" t="str">
        <f t="shared" si="1"/>
        <v>Falchi</v>
      </c>
      <c r="H25" s="43">
        <f t="shared" si="2"/>
        <v>83</v>
      </c>
      <c r="I25" s="43">
        <f t="shared" si="3"/>
        <v>57</v>
      </c>
      <c r="J25" s="94" t="str">
        <f t="shared" si="4"/>
        <v>Pitoni</v>
      </c>
      <c r="K25" s="94" t="str">
        <f t="shared" si="5"/>
        <v>Falchi</v>
      </c>
      <c r="L25" s="43">
        <f t="shared" si="6"/>
        <v>1</v>
      </c>
      <c r="M25" s="95">
        <f t="shared" si="7"/>
        <v>0</v>
      </c>
      <c r="N25" s="95">
        <f t="shared" si="8"/>
        <v>0</v>
      </c>
      <c r="O25" s="43">
        <f t="shared" si="9"/>
        <v>83</v>
      </c>
      <c r="P25" s="43">
        <f t="shared" si="10"/>
        <v>57</v>
      </c>
      <c r="Q25" s="96">
        <f t="shared" si="11"/>
        <v>26</v>
      </c>
      <c r="R25" s="43">
        <f t="shared" si="12"/>
        <v>0</v>
      </c>
      <c r="S25" s="43">
        <f t="shared" si="13"/>
        <v>1</v>
      </c>
      <c r="T25" s="43">
        <f t="shared" si="14"/>
        <v>0</v>
      </c>
      <c r="U25" s="43">
        <f t="shared" si="15"/>
        <v>57</v>
      </c>
      <c r="V25" s="43">
        <f t="shared" si="16"/>
        <v>83</v>
      </c>
      <c r="W25" s="97">
        <f t="shared" si="17"/>
        <v>-26</v>
      </c>
      <c r="Y25" s="98" t="str">
        <f t="shared" ca="1" si="51"/>
        <v>3F</v>
      </c>
      <c r="Z25" s="33" t="s">
        <v>56</v>
      </c>
      <c r="AA25" s="43" t="s">
        <v>228</v>
      </c>
      <c r="AB25" s="99" t="str">
        <f t="shared" si="19"/>
        <v>Delfini</v>
      </c>
      <c r="AC25" s="43">
        <f t="shared" si="20"/>
        <v>3</v>
      </c>
      <c r="AD25" s="43">
        <f t="shared" si="21"/>
        <v>2</v>
      </c>
      <c r="AE25" s="43">
        <f t="shared" si="22"/>
        <v>1</v>
      </c>
      <c r="AF25" s="43">
        <f t="shared" si="23"/>
        <v>0</v>
      </c>
      <c r="AG25" s="100">
        <f t="shared" si="24"/>
        <v>5</v>
      </c>
      <c r="AH25" s="101">
        <f t="shared" si="25"/>
        <v>101</v>
      </c>
      <c r="AI25" s="43">
        <f t="shared" si="26"/>
        <v>100</v>
      </c>
      <c r="AJ25" s="102">
        <f t="shared" si="27"/>
        <v>1</v>
      </c>
      <c r="AK25" s="43">
        <f ca="1">IF(AG25=AG26,INDIRECT("O"&amp;8+6*(FIND(Z25,"ABCDEFGH")-1)),0)</f>
        <v>0</v>
      </c>
      <c r="AL25" s="43">
        <f ca="1">IF(AG25=AG23,INDIRECT("U"&amp;4+6*(FIND(Z25,"ABCDEFGH")-1)),0)</f>
        <v>34</v>
      </c>
      <c r="AM25" s="43">
        <f ca="1">IF(AG25=AG24,INDIRECT("U"&amp;6+6*(FIND(Z25,"ABCDEFGH")-1)),0)</f>
        <v>33</v>
      </c>
      <c r="AN25" s="101">
        <f t="shared" ca="1" si="28"/>
        <v>67</v>
      </c>
      <c r="AO25" s="96">
        <f ca="1">IF(AG25=AG26,INDIRECT("Q"&amp;8+6*(FIND(Z25,"ABCDEFGH")-1)),0)</f>
        <v>0</v>
      </c>
      <c r="AP25" s="96">
        <f ca="1">IF(AG25=AG23,INDIRECT("W"&amp;4+6*(FIND(Z25,"ABCDEFGH")-1)),0)</f>
        <v>1</v>
      </c>
      <c r="AQ25" s="96">
        <f ca="1">IF(AG25=AG24,INDIRECT("W"&amp;6+6*(FIND(Z25,"ABCDEFGH")-1)),0)</f>
        <v>-1</v>
      </c>
      <c r="AR25" s="102">
        <f t="shared" ca="1" si="29"/>
        <v>0</v>
      </c>
      <c r="AS25" s="103">
        <f t="shared" ca="1" si="30"/>
        <v>5.5000675011009994</v>
      </c>
      <c r="AU25" s="104" t="s">
        <v>229</v>
      </c>
      <c r="AV25" s="105">
        <v>71</v>
      </c>
      <c r="AW25" s="106" t="s">
        <v>138</v>
      </c>
      <c r="AX25" s="107" t="s">
        <v>230</v>
      </c>
      <c r="AY25" s="106" t="s">
        <v>231</v>
      </c>
      <c r="AZ25" s="106" t="s">
        <v>232</v>
      </c>
      <c r="BA25" s="94" t="str">
        <f ca="1">IF(LEFT(AY25,1)="V",VLOOKUP(VALUE(SUBSTITUTE(AY25,"V","")),B_PARTITE_2A_FASE_PER_NUMERO,10,FALSE),IF(LEFT(AY25,1)="P",VLOOKUP(VALUE(SUBSTITUTE(AY25,"P","")),B_PARTITE_2A_FASE_PER_NUMERO,11,FALSE),VLOOKUP(AY25,B_CLASSIFICHE_GIRONI,4,FALSE)))</f>
        <v>Tigri</v>
      </c>
      <c r="BB25" s="94" t="str">
        <f ca="1">IF(LEFT(AZ25,1)="V",VLOOKUP(VALUE(SUBSTITUTE(AZ25,"V","")),B_PARTITE_2A_FASE_PER_NUMERO,10,FALSE),IF(LEFT(AZ25,1)="P",VLOOKUP(VALUE(SUBSTITUTE(AZ25,"P","")),B_PARTITE_2A_FASE_PER_NUMERO,11,FALSE),VLOOKUP(AZ25,B_CLASSIFICHE_GIRONI,4,FALSE)))</f>
        <v>Linci</v>
      </c>
      <c r="BC25" s="43">
        <f t="shared" si="31"/>
        <v>63</v>
      </c>
      <c r="BD25" s="43">
        <f t="shared" si="32"/>
        <v>42</v>
      </c>
      <c r="BE25" s="94" t="str">
        <f t="shared" ca="1" si="33"/>
        <v>Tigri</v>
      </c>
      <c r="BF25" s="94" t="str">
        <f t="shared" ca="1" si="34"/>
        <v>Linci</v>
      </c>
      <c r="BG25" s="43">
        <f t="shared" si="35"/>
        <v>1</v>
      </c>
      <c r="BH25" s="95">
        <f t="shared" si="36"/>
        <v>0</v>
      </c>
      <c r="BI25" s="95">
        <f t="shared" si="37"/>
        <v>0</v>
      </c>
      <c r="BJ25" s="43">
        <f t="shared" si="38"/>
        <v>63</v>
      </c>
      <c r="BK25" s="43">
        <f t="shared" si="39"/>
        <v>42</v>
      </c>
      <c r="BL25" s="96">
        <f t="shared" si="40"/>
        <v>21</v>
      </c>
      <c r="BM25" s="43">
        <f t="shared" si="41"/>
        <v>0</v>
      </c>
      <c r="BN25" s="43">
        <f t="shared" si="42"/>
        <v>1</v>
      </c>
      <c r="BO25" s="43">
        <f t="shared" si="43"/>
        <v>0</v>
      </c>
      <c r="BP25" s="43">
        <f t="shared" si="44"/>
        <v>42</v>
      </c>
      <c r="BQ25" s="43">
        <f t="shared" si="45"/>
        <v>63</v>
      </c>
      <c r="BR25" s="97">
        <f t="shared" si="46"/>
        <v>-21</v>
      </c>
    </row>
    <row r="26" spans="1:70">
      <c r="A26" s="31">
        <v>8</v>
      </c>
      <c r="B26" s="33" t="s">
        <v>10</v>
      </c>
      <c r="C26" s="33" t="s">
        <v>46</v>
      </c>
      <c r="D26" s="43" t="s">
        <v>194</v>
      </c>
      <c r="E26" s="43" t="s">
        <v>198</v>
      </c>
      <c r="F26" s="94" t="str">
        <f t="shared" si="0"/>
        <v>Aquile</v>
      </c>
      <c r="G26" s="94" t="str">
        <f t="shared" si="1"/>
        <v>Falchi</v>
      </c>
      <c r="H26" s="43">
        <f t="shared" si="2"/>
        <v>72</v>
      </c>
      <c r="I26" s="43">
        <f t="shared" si="3"/>
        <v>52</v>
      </c>
      <c r="J26" s="94" t="str">
        <f t="shared" si="4"/>
        <v>Aquile</v>
      </c>
      <c r="K26" s="94" t="str">
        <f t="shared" si="5"/>
        <v>Falchi</v>
      </c>
      <c r="L26" s="43">
        <f t="shared" si="6"/>
        <v>1</v>
      </c>
      <c r="M26" s="95">
        <f t="shared" si="7"/>
        <v>0</v>
      </c>
      <c r="N26" s="95">
        <f t="shared" si="8"/>
        <v>0</v>
      </c>
      <c r="O26" s="43">
        <f t="shared" si="9"/>
        <v>72</v>
      </c>
      <c r="P26" s="43">
        <f t="shared" si="10"/>
        <v>52</v>
      </c>
      <c r="Q26" s="96">
        <f t="shared" si="11"/>
        <v>20</v>
      </c>
      <c r="R26" s="43">
        <f t="shared" si="12"/>
        <v>0</v>
      </c>
      <c r="S26" s="43">
        <f t="shared" si="13"/>
        <v>1</v>
      </c>
      <c r="T26" s="43">
        <f t="shared" si="14"/>
        <v>0</v>
      </c>
      <c r="U26" s="43">
        <f t="shared" si="15"/>
        <v>52</v>
      </c>
      <c r="V26" s="43">
        <f t="shared" si="16"/>
        <v>72</v>
      </c>
      <c r="W26" s="97">
        <f t="shared" si="17"/>
        <v>-20</v>
      </c>
      <c r="Y26" s="117" t="str">
        <f t="shared" ca="1" si="51"/>
        <v>4F</v>
      </c>
      <c r="Z26" s="118" t="s">
        <v>56</v>
      </c>
      <c r="AA26" s="118" t="s">
        <v>233</v>
      </c>
      <c r="AB26" s="119" t="str">
        <f t="shared" si="19"/>
        <v>Fenicotteri</v>
      </c>
      <c r="AC26" s="118">
        <f t="shared" si="20"/>
        <v>3</v>
      </c>
      <c r="AD26" s="118">
        <f t="shared" si="21"/>
        <v>0</v>
      </c>
      <c r="AE26" s="118">
        <f t="shared" si="22"/>
        <v>3</v>
      </c>
      <c r="AF26" s="118">
        <f t="shared" si="23"/>
        <v>0</v>
      </c>
      <c r="AG26" s="120">
        <f t="shared" si="24"/>
        <v>3</v>
      </c>
      <c r="AH26" s="121">
        <f t="shared" si="25"/>
        <v>102</v>
      </c>
      <c r="AI26" s="118">
        <f t="shared" si="26"/>
        <v>105</v>
      </c>
      <c r="AJ26" s="122">
        <f t="shared" si="27"/>
        <v>-3</v>
      </c>
      <c r="AK26" s="118">
        <f ca="1">IF(AG26=AG23,INDIRECT("U"&amp;5+6*(FIND(Z26,"ABCDEFGH")-1)),0)</f>
        <v>0</v>
      </c>
      <c r="AL26" s="118">
        <f ca="1">IF(AG26=AG24,INDIRECT("U"&amp;7+6*(FIND(Z26,"ABCDEFGH")-1)),0)</f>
        <v>0</v>
      </c>
      <c r="AM26" s="118">
        <f ca="1">IF(AG26=AG25,INDIRECT("U"&amp;8+6*(FIND(Z26,"ABCDEFGH")-1)),0)</f>
        <v>0</v>
      </c>
      <c r="AN26" s="121">
        <f t="shared" ca="1" si="28"/>
        <v>0</v>
      </c>
      <c r="AO26" s="123">
        <f ca="1">IF(AG26=AG23,INDIRECT("W"&amp;5+6*(FIND(Z26,"ABCDEFGH")-1)),0)</f>
        <v>0</v>
      </c>
      <c r="AP26" s="123">
        <f ca="1">IF(AG26=AG24,INDIRECT("W"&amp;7+6*(FIND(Z26,"ABCDEFGH")-1)),0)</f>
        <v>0</v>
      </c>
      <c r="AQ26" s="123">
        <f ca="1">IF(AG26=AG25,INDIRECT("W"&amp;8+6*(FIND(Z26,"ABCDEFGH")-1)),0)</f>
        <v>0</v>
      </c>
      <c r="AR26" s="122">
        <f t="shared" ca="1" si="29"/>
        <v>0</v>
      </c>
      <c r="AS26" s="124">
        <f t="shared" ca="1" si="30"/>
        <v>3.500000497102</v>
      </c>
      <c r="AU26" s="104" t="s">
        <v>234</v>
      </c>
      <c r="AV26" s="105">
        <v>72</v>
      </c>
      <c r="AW26" s="106" t="s">
        <v>138</v>
      </c>
      <c r="AX26" s="107" t="s">
        <v>230</v>
      </c>
      <c r="AY26" s="106" t="s">
        <v>235</v>
      </c>
      <c r="AZ26" s="106" t="s">
        <v>236</v>
      </c>
      <c r="BA26" s="94" t="str">
        <f ca="1">IF(LEFT(AY26,1)="V",VLOOKUP(VALUE(SUBSTITUTE(AY26,"V","")),B_PARTITE_2A_FASE_PER_NUMERO,10,FALSE),IF(LEFT(AY26,1)="P",VLOOKUP(VALUE(SUBSTITUTE(AY26,"P","")),B_PARTITE_2A_FASE_PER_NUMERO,11,FALSE),VLOOKUP(AY26,B_CLASSIFICHE_GIRONI,4,FALSE)))</f>
        <v>Cervi</v>
      </c>
      <c r="BB26" s="94" t="str">
        <f ca="1">IF(LEFT(AZ26,1)="V",VLOOKUP(VALUE(SUBSTITUTE(AZ26,"V","")),B_PARTITE_2A_FASE_PER_NUMERO,10,FALSE),IF(LEFT(AZ26,1)="P",VLOOKUP(VALUE(SUBSTITUTE(AZ26,"P","")),B_PARTITE_2A_FASE_PER_NUMERO,11,FALSE),VLOOKUP(AZ26,B_CLASSIFICHE_GIRONI,4,FALSE)))</f>
        <v>Delfini</v>
      </c>
      <c r="BC26" s="43">
        <f t="shared" si="31"/>
        <v>68</v>
      </c>
      <c r="BD26" s="43">
        <f t="shared" si="32"/>
        <v>46</v>
      </c>
      <c r="BE26" s="94" t="str">
        <f t="shared" ca="1" si="33"/>
        <v>Cervi</v>
      </c>
      <c r="BF26" s="94" t="str">
        <f t="shared" ca="1" si="34"/>
        <v>Delfini</v>
      </c>
      <c r="BG26" s="43">
        <f t="shared" si="35"/>
        <v>1</v>
      </c>
      <c r="BH26" s="95">
        <f t="shared" si="36"/>
        <v>0</v>
      </c>
      <c r="BI26" s="95">
        <f t="shared" si="37"/>
        <v>0</v>
      </c>
      <c r="BJ26" s="43">
        <f t="shared" si="38"/>
        <v>68</v>
      </c>
      <c r="BK26" s="43">
        <f t="shared" si="39"/>
        <v>46</v>
      </c>
      <c r="BL26" s="96">
        <f t="shared" si="40"/>
        <v>22</v>
      </c>
      <c r="BM26" s="43">
        <f t="shared" si="41"/>
        <v>0</v>
      </c>
      <c r="BN26" s="43">
        <f t="shared" si="42"/>
        <v>1</v>
      </c>
      <c r="BO26" s="43">
        <f t="shared" si="43"/>
        <v>0</v>
      </c>
      <c r="BP26" s="43">
        <f t="shared" si="44"/>
        <v>46</v>
      </c>
      <c r="BQ26" s="43">
        <f t="shared" si="45"/>
        <v>68</v>
      </c>
      <c r="BR26" s="97">
        <f t="shared" si="46"/>
        <v>-22</v>
      </c>
    </row>
    <row r="27" spans="1:70">
      <c r="A27" s="31">
        <v>17</v>
      </c>
      <c r="B27" s="33" t="s">
        <v>10</v>
      </c>
      <c r="C27" s="33" t="s">
        <v>51</v>
      </c>
      <c r="D27" s="43" t="s">
        <v>202</v>
      </c>
      <c r="E27" s="43" t="s">
        <v>207</v>
      </c>
      <c r="F27" s="94" t="str">
        <f t="shared" si="0"/>
        <v>Bisonti</v>
      </c>
      <c r="G27" s="94" t="str">
        <f t="shared" si="1"/>
        <v>Bufali</v>
      </c>
      <c r="H27" s="43">
        <f t="shared" si="2"/>
        <v>34</v>
      </c>
      <c r="I27" s="43">
        <f t="shared" si="3"/>
        <v>33</v>
      </c>
      <c r="J27" s="94" t="str">
        <f t="shared" si="4"/>
        <v>Bisonti</v>
      </c>
      <c r="K27" s="94" t="str">
        <f t="shared" si="5"/>
        <v>Bufali</v>
      </c>
      <c r="L27" s="43">
        <f t="shared" si="6"/>
        <v>1</v>
      </c>
      <c r="M27" s="95">
        <f t="shared" si="7"/>
        <v>0</v>
      </c>
      <c r="N27" s="95">
        <f t="shared" si="8"/>
        <v>0</v>
      </c>
      <c r="O27" s="43">
        <f t="shared" si="9"/>
        <v>34</v>
      </c>
      <c r="P27" s="43">
        <f t="shared" si="10"/>
        <v>33</v>
      </c>
      <c r="Q27" s="96">
        <f t="shared" si="11"/>
        <v>1</v>
      </c>
      <c r="R27" s="43">
        <f t="shared" si="12"/>
        <v>0</v>
      </c>
      <c r="S27" s="43">
        <f t="shared" si="13"/>
        <v>1</v>
      </c>
      <c r="T27" s="43">
        <f t="shared" si="14"/>
        <v>0</v>
      </c>
      <c r="U27" s="43">
        <f t="shared" si="15"/>
        <v>33</v>
      </c>
      <c r="V27" s="43">
        <f t="shared" si="16"/>
        <v>34</v>
      </c>
      <c r="W27" s="97">
        <f t="shared" si="17"/>
        <v>-1</v>
      </c>
      <c r="Y27" s="98" t="str">
        <f t="shared" ref="Y27:Y30" ca="1" si="52">COUNTIF(B_COEFF_GIRONE_G,"&gt;="&amp;AS27)&amp;Z27</f>
        <v>1G</v>
      </c>
      <c r="Z27" s="33" t="s">
        <v>61</v>
      </c>
      <c r="AA27" s="43" t="s">
        <v>237</v>
      </c>
      <c r="AB27" s="99" t="str">
        <f t="shared" si="19"/>
        <v>Istrici</v>
      </c>
      <c r="AC27" s="43">
        <f t="shared" si="20"/>
        <v>3</v>
      </c>
      <c r="AD27" s="43">
        <f t="shared" si="21"/>
        <v>3</v>
      </c>
      <c r="AE27" s="43">
        <f t="shared" si="22"/>
        <v>0</v>
      </c>
      <c r="AF27" s="43">
        <f t="shared" si="23"/>
        <v>0</v>
      </c>
      <c r="AG27" s="100">
        <f t="shared" si="24"/>
        <v>6</v>
      </c>
      <c r="AH27" s="101">
        <f t="shared" si="25"/>
        <v>60</v>
      </c>
      <c r="AI27" s="43">
        <f t="shared" si="26"/>
        <v>0</v>
      </c>
      <c r="AJ27" s="102">
        <f t="shared" si="27"/>
        <v>60</v>
      </c>
      <c r="AK27" s="43">
        <f ca="1">IF(AG27=AG28,INDIRECT("O"&amp;3+6*(FIND(Z27,"ABCDEFGH")-1)),0)</f>
        <v>0</v>
      </c>
      <c r="AL27" s="95">
        <f ca="1">IF(AG27=AG29,INDIRECT("O"&amp;4+6*(FIND(Z27,"ABCDEFGH")-1)),0)</f>
        <v>0</v>
      </c>
      <c r="AM27" s="43">
        <f ca="1">IF(AG27=AG30,INDIRECT("O"&amp;5+6*(FIND(Z27,"ABCDEFGH")-1)),0)</f>
        <v>0</v>
      </c>
      <c r="AN27" s="101">
        <f t="shared" ca="1" si="28"/>
        <v>0</v>
      </c>
      <c r="AO27" s="96">
        <f ca="1">IF(AG27=AG28,INDIRECT("Q"&amp;3+6*(FIND(Z27,"ABCDEFGH")-1)),0)</f>
        <v>0</v>
      </c>
      <c r="AP27" s="96">
        <f ca="1">IF(AG27=AG29,INDIRECT("Q"&amp;4+6*(FIND(Z27,"ABCDEFGH")-1)),0)</f>
        <v>0</v>
      </c>
      <c r="AQ27" s="96">
        <f ca="1">IF(AG27=AG30,INDIRECT("Q"&amp;5+6*(FIND(Z27,"ABCDEFGH")-1)),0)</f>
        <v>0</v>
      </c>
      <c r="AR27" s="102">
        <f t="shared" ca="1" si="29"/>
        <v>0</v>
      </c>
      <c r="AS27" s="103">
        <f t="shared" ca="1" si="30"/>
        <v>6.5000005600600002</v>
      </c>
      <c r="AU27" s="104" t="s">
        <v>238</v>
      </c>
      <c r="AV27" s="105">
        <v>73</v>
      </c>
      <c r="AW27" s="106" t="s">
        <v>138</v>
      </c>
      <c r="AX27" s="107" t="s">
        <v>221</v>
      </c>
      <c r="AY27" s="106" t="s">
        <v>239</v>
      </c>
      <c r="AZ27" s="106" t="s">
        <v>240</v>
      </c>
      <c r="BA27" s="94" t="str">
        <f ca="1">IF(LEFT(AY27,1)="V",VLOOKUP(VALUE(SUBSTITUTE(AY27,"V","")),B_PARTITE_2A_FASE_PER_NUMERO,10,FALSE),IF(LEFT(AY27,1)="P",VLOOKUP(VALUE(SUBSTITUTE(AY27,"P","")),B_PARTITE_2A_FASE_PER_NUMERO,11,FALSE),VLOOKUP(AY27,B_CLASSIFICHE_GIRONI,4,FALSE)))</f>
        <v>Pantere</v>
      </c>
      <c r="BB27" s="94" t="str">
        <f ca="1">IF(LEFT(AZ27,1)="V",VLOOKUP(VALUE(SUBSTITUTE(AZ27,"V","")),B_PARTITE_2A_FASE_PER_NUMERO,10,FALSE),IF(LEFT(AZ27,1)="P",VLOOKUP(VALUE(SUBSTITUTE(AZ27,"P","")),B_PARTITE_2A_FASE_PER_NUMERO,11,FALSE),VLOOKUP(AZ27,B_CLASSIFICHE_GIRONI,4,FALSE)))</f>
        <v>Coccodrilli</v>
      </c>
      <c r="BC27" s="43">
        <f t="shared" si="31"/>
        <v>56</v>
      </c>
      <c r="BD27" s="43">
        <f t="shared" si="32"/>
        <v>34</v>
      </c>
      <c r="BE27" s="94" t="str">
        <f t="shared" ca="1" si="33"/>
        <v>Pantere</v>
      </c>
      <c r="BF27" s="94" t="str">
        <f t="shared" ca="1" si="34"/>
        <v>Coccodrilli</v>
      </c>
      <c r="BG27" s="43">
        <f t="shared" si="35"/>
        <v>1</v>
      </c>
      <c r="BH27" s="95">
        <f t="shared" si="36"/>
        <v>0</v>
      </c>
      <c r="BI27" s="95">
        <f t="shared" si="37"/>
        <v>0</v>
      </c>
      <c r="BJ27" s="43">
        <f t="shared" si="38"/>
        <v>56</v>
      </c>
      <c r="BK27" s="43">
        <f t="shared" si="39"/>
        <v>34</v>
      </c>
      <c r="BL27" s="96">
        <f t="shared" si="40"/>
        <v>22</v>
      </c>
      <c r="BM27" s="43">
        <f t="shared" si="41"/>
        <v>0</v>
      </c>
      <c r="BN27" s="43">
        <f t="shared" si="42"/>
        <v>1</v>
      </c>
      <c r="BO27" s="43">
        <f t="shared" si="43"/>
        <v>0</v>
      </c>
      <c r="BP27" s="43">
        <f t="shared" si="44"/>
        <v>34</v>
      </c>
      <c r="BQ27" s="43">
        <f t="shared" si="45"/>
        <v>56</v>
      </c>
      <c r="BR27" s="97">
        <f t="shared" si="46"/>
        <v>-22</v>
      </c>
    </row>
    <row r="28" spans="1:70">
      <c r="A28" s="31">
        <v>29</v>
      </c>
      <c r="B28" s="33" t="s">
        <v>10</v>
      </c>
      <c r="C28" s="33" t="s">
        <v>51</v>
      </c>
      <c r="D28" s="43" t="s">
        <v>202</v>
      </c>
      <c r="E28" s="43" t="s">
        <v>211</v>
      </c>
      <c r="F28" s="94" t="str">
        <f t="shared" si="0"/>
        <v>Bisonti</v>
      </c>
      <c r="G28" s="94" t="str">
        <f t="shared" si="1"/>
        <v>Cervi</v>
      </c>
      <c r="H28" s="43">
        <f t="shared" si="2"/>
        <v>33</v>
      </c>
      <c r="I28" s="43">
        <f t="shared" si="3"/>
        <v>34</v>
      </c>
      <c r="J28" s="94" t="str">
        <f t="shared" si="4"/>
        <v>Cervi</v>
      </c>
      <c r="K28" s="94" t="str">
        <f t="shared" si="5"/>
        <v>Bisonti</v>
      </c>
      <c r="L28" s="43">
        <f t="shared" si="6"/>
        <v>0</v>
      </c>
      <c r="M28" s="95">
        <f t="shared" si="7"/>
        <v>1</v>
      </c>
      <c r="N28" s="95">
        <f t="shared" si="8"/>
        <v>0</v>
      </c>
      <c r="O28" s="43">
        <f t="shared" si="9"/>
        <v>33</v>
      </c>
      <c r="P28" s="43">
        <f t="shared" si="10"/>
        <v>34</v>
      </c>
      <c r="Q28" s="96">
        <f t="shared" si="11"/>
        <v>-1</v>
      </c>
      <c r="R28" s="43">
        <f t="shared" si="12"/>
        <v>1</v>
      </c>
      <c r="S28" s="43">
        <f t="shared" si="13"/>
        <v>0</v>
      </c>
      <c r="T28" s="43">
        <f t="shared" si="14"/>
        <v>0</v>
      </c>
      <c r="U28" s="43">
        <f t="shared" si="15"/>
        <v>34</v>
      </c>
      <c r="V28" s="43">
        <f t="shared" si="16"/>
        <v>33</v>
      </c>
      <c r="W28" s="97">
        <f t="shared" si="17"/>
        <v>1</v>
      </c>
      <c r="Y28" s="98" t="str">
        <f t="shared" ca="1" si="52"/>
        <v>2G</v>
      </c>
      <c r="Z28" s="33" t="s">
        <v>61</v>
      </c>
      <c r="AA28" s="43" t="s">
        <v>241</v>
      </c>
      <c r="AB28" s="99" t="str">
        <f t="shared" si="19"/>
        <v>Gorilla</v>
      </c>
      <c r="AC28" s="43">
        <f t="shared" si="20"/>
        <v>3</v>
      </c>
      <c r="AD28" s="43">
        <f t="shared" si="21"/>
        <v>2</v>
      </c>
      <c r="AE28" s="43">
        <f t="shared" si="22"/>
        <v>0</v>
      </c>
      <c r="AF28" s="43">
        <f t="shared" si="23"/>
        <v>1</v>
      </c>
      <c r="AG28" s="100">
        <f t="shared" si="24"/>
        <v>4</v>
      </c>
      <c r="AH28" s="101">
        <f t="shared" si="25"/>
        <v>40</v>
      </c>
      <c r="AI28" s="43">
        <f t="shared" si="26"/>
        <v>20</v>
      </c>
      <c r="AJ28" s="102">
        <f t="shared" si="27"/>
        <v>20</v>
      </c>
      <c r="AK28" s="43">
        <f ca="1">IF(AG28=AG29,INDIRECT("O"&amp;6+6*(FIND(Z28,"ABCDEFGH")-1)),0)</f>
        <v>0</v>
      </c>
      <c r="AL28" s="43">
        <f ca="1">IF(AG28=AG30,INDIRECT("O"&amp;7+6*(FIND(Z28,"ABCDEFGH")-1)),0)</f>
        <v>0</v>
      </c>
      <c r="AM28" s="43">
        <f ca="1">IF(AG28=AG27,INDIRECT("U"&amp;3+6*(FIND(Z28,"ABCDEFGH")-1)),0)</f>
        <v>0</v>
      </c>
      <c r="AN28" s="101">
        <f t="shared" ca="1" si="28"/>
        <v>0</v>
      </c>
      <c r="AO28" s="96">
        <f ca="1">IF(AG28=AG29,INDIRECT("Q"&amp;6+6*(FIND(Z28,"ABCDEFGH")-1)),0)</f>
        <v>0</v>
      </c>
      <c r="AP28" s="96">
        <f ca="1">IF(AG28=AG30,INDIRECT("Q"&amp;7+6*(FIND(Z28,"ABCDEFGH")-1)),0)</f>
        <v>0</v>
      </c>
      <c r="AQ28" s="96">
        <f ca="1">IF(AG28=AG27,INDIRECT("W"&amp;3+6*(FIND(Z28,"ABCDEFGH")-1)),0)</f>
        <v>0</v>
      </c>
      <c r="AR28" s="102">
        <f t="shared" ca="1" si="29"/>
        <v>0</v>
      </c>
      <c r="AS28" s="103">
        <f t="shared" ca="1" si="30"/>
        <v>4.5000005200400004</v>
      </c>
      <c r="AU28" s="104" t="s">
        <v>242</v>
      </c>
      <c r="AV28" s="105">
        <v>74</v>
      </c>
      <c r="AW28" s="106" t="s">
        <v>138</v>
      </c>
      <c r="AX28" s="107" t="s">
        <v>221</v>
      </c>
      <c r="AY28" s="106" t="s">
        <v>243</v>
      </c>
      <c r="AZ28" s="106" t="s">
        <v>244</v>
      </c>
      <c r="BA28" s="94" t="str">
        <f ca="1">IF(LEFT(AY28,1)="V",VLOOKUP(VALUE(SUBSTITUTE(AY28,"V","")),B_PARTITE_2A_FASE_PER_NUMERO,10,FALSE),IF(LEFT(AY28,1)="P",VLOOKUP(VALUE(SUBSTITUTE(AY28,"P","")),B_PARTITE_2A_FASE_PER_NUMERO,11,FALSE),VLOOKUP(AY28,B_CLASSIFICHE_GIRONI,4,FALSE)))</f>
        <v>Istrici</v>
      </c>
      <c r="BB28" s="94" t="str">
        <f ca="1">IF(LEFT(AZ28,1)="V",VLOOKUP(VALUE(SUBSTITUTE(AZ28,"V","")),B_PARTITE_2A_FASE_PER_NUMERO,10,FALSE),IF(LEFT(AZ28,1)="P",VLOOKUP(VALUE(SUBSTITUTE(AZ28,"P","")),B_PARTITE_2A_FASE_PER_NUMERO,11,FALSE),VLOOKUP(AZ28,B_CLASSIFICHE_GIRONI,4,FALSE)))</f>
        <v>Piranha</v>
      </c>
      <c r="BC28" s="43">
        <f t="shared" si="31"/>
        <v>52</v>
      </c>
      <c r="BD28" s="43">
        <f t="shared" si="32"/>
        <v>36</v>
      </c>
      <c r="BE28" s="94" t="str">
        <f t="shared" ca="1" si="33"/>
        <v>Istrici</v>
      </c>
      <c r="BF28" s="94" t="str">
        <f t="shared" ca="1" si="34"/>
        <v>Piranha</v>
      </c>
      <c r="BG28" s="43">
        <f t="shared" si="35"/>
        <v>1</v>
      </c>
      <c r="BH28" s="95">
        <f t="shared" si="36"/>
        <v>0</v>
      </c>
      <c r="BI28" s="95">
        <f t="shared" si="37"/>
        <v>0</v>
      </c>
      <c r="BJ28" s="43">
        <f t="shared" si="38"/>
        <v>52</v>
      </c>
      <c r="BK28" s="43">
        <f t="shared" si="39"/>
        <v>36</v>
      </c>
      <c r="BL28" s="96">
        <f t="shared" si="40"/>
        <v>16</v>
      </c>
      <c r="BM28" s="43">
        <f t="shared" si="41"/>
        <v>0</v>
      </c>
      <c r="BN28" s="43">
        <f t="shared" si="42"/>
        <v>1</v>
      </c>
      <c r="BO28" s="43">
        <f t="shared" si="43"/>
        <v>0</v>
      </c>
      <c r="BP28" s="43">
        <f t="shared" si="44"/>
        <v>36</v>
      </c>
      <c r="BQ28" s="43">
        <f t="shared" si="45"/>
        <v>52</v>
      </c>
      <c r="BR28" s="97">
        <f t="shared" si="46"/>
        <v>-16</v>
      </c>
    </row>
    <row r="29" spans="1:70">
      <c r="A29" s="31">
        <v>41</v>
      </c>
      <c r="B29" s="33" t="s">
        <v>10</v>
      </c>
      <c r="C29" s="33" t="s">
        <v>51</v>
      </c>
      <c r="D29" s="43" t="s">
        <v>202</v>
      </c>
      <c r="E29" s="43" t="s">
        <v>215</v>
      </c>
      <c r="F29" s="94" t="str">
        <f t="shared" si="0"/>
        <v>Bisonti</v>
      </c>
      <c r="G29" s="94" t="str">
        <f t="shared" si="1"/>
        <v>Cinghiali</v>
      </c>
      <c r="H29" s="43">
        <f t="shared" si="2"/>
        <v>36</v>
      </c>
      <c r="I29" s="43">
        <f t="shared" si="3"/>
        <v>33</v>
      </c>
      <c r="J29" s="94" t="str">
        <f t="shared" si="4"/>
        <v>Bisonti</v>
      </c>
      <c r="K29" s="94" t="str">
        <f t="shared" si="5"/>
        <v>Cinghiali</v>
      </c>
      <c r="L29" s="43">
        <f t="shared" si="6"/>
        <v>1</v>
      </c>
      <c r="M29" s="95">
        <f t="shared" si="7"/>
        <v>0</v>
      </c>
      <c r="N29" s="95">
        <f t="shared" si="8"/>
        <v>0</v>
      </c>
      <c r="O29" s="43">
        <f t="shared" si="9"/>
        <v>36</v>
      </c>
      <c r="P29" s="43">
        <f t="shared" si="10"/>
        <v>33</v>
      </c>
      <c r="Q29" s="96">
        <f t="shared" si="11"/>
        <v>3</v>
      </c>
      <c r="R29" s="43">
        <f t="shared" si="12"/>
        <v>0</v>
      </c>
      <c r="S29" s="43">
        <f t="shared" si="13"/>
        <v>1</v>
      </c>
      <c r="T29" s="43">
        <f t="shared" si="14"/>
        <v>0</v>
      </c>
      <c r="U29" s="43">
        <f t="shared" si="15"/>
        <v>33</v>
      </c>
      <c r="V29" s="43">
        <f t="shared" si="16"/>
        <v>36</v>
      </c>
      <c r="W29" s="97">
        <f t="shared" si="17"/>
        <v>-3</v>
      </c>
      <c r="Y29" s="98" t="str">
        <f t="shared" ca="1" si="52"/>
        <v>4G</v>
      </c>
      <c r="Z29" s="33" t="s">
        <v>61</v>
      </c>
      <c r="AA29" s="43" t="s">
        <v>245</v>
      </c>
      <c r="AB29" s="99" t="str">
        <f t="shared" si="19"/>
        <v>Muli</v>
      </c>
      <c r="AC29" s="43">
        <f t="shared" si="20"/>
        <v>3</v>
      </c>
      <c r="AD29" s="43">
        <f t="shared" si="21"/>
        <v>0</v>
      </c>
      <c r="AE29" s="43">
        <f t="shared" si="22"/>
        <v>0</v>
      </c>
      <c r="AF29" s="43">
        <f t="shared" si="23"/>
        <v>3</v>
      </c>
      <c r="AG29" s="100">
        <f t="shared" si="24"/>
        <v>0</v>
      </c>
      <c r="AH29" s="101">
        <f t="shared" si="25"/>
        <v>0</v>
      </c>
      <c r="AI29" s="43">
        <f t="shared" si="26"/>
        <v>60</v>
      </c>
      <c r="AJ29" s="102">
        <f t="shared" si="27"/>
        <v>-60</v>
      </c>
      <c r="AK29" s="43">
        <f ca="1">IF(AG29=AG30,INDIRECT("O"&amp;8+6*(FIND(Z29,"ABCDEFGH")-1)),0)</f>
        <v>0</v>
      </c>
      <c r="AL29" s="43">
        <f ca="1">IF(AG29=AG27,INDIRECT("U"&amp;4+6*(FIND(Z29,"ABCDEFGH")-1)),0)</f>
        <v>0</v>
      </c>
      <c r="AM29" s="43">
        <f ca="1">IF(AG29=AG28,INDIRECT("U"&amp;6+6*(FIND(Z29,"ABCDEFGH")-1)),0)</f>
        <v>0</v>
      </c>
      <c r="AN29" s="101">
        <f t="shared" ca="1" si="28"/>
        <v>0</v>
      </c>
      <c r="AO29" s="96">
        <f ca="1">IF(AG29=AG30,INDIRECT("Q"&amp;8+6*(FIND(Z29,"ABCDEFGH")-1)),0)</f>
        <v>0</v>
      </c>
      <c r="AP29" s="96">
        <f ca="1">IF(AG29=AG27,INDIRECT("W"&amp;4+6*(FIND(Z29,"ABCDEFGH")-1)),0)</f>
        <v>0</v>
      </c>
      <c r="AQ29" s="96">
        <f ca="1">IF(AG29=AG28,INDIRECT("W"&amp;6+6*(FIND(Z29,"ABCDEFGH")-1)),0)</f>
        <v>0</v>
      </c>
      <c r="AR29" s="102">
        <f t="shared" ca="1" si="29"/>
        <v>0</v>
      </c>
      <c r="AS29" s="103">
        <f t="shared" ca="1" si="30"/>
        <v>0.50000043999999999</v>
      </c>
      <c r="AU29" s="104" t="s">
        <v>246</v>
      </c>
      <c r="AV29" s="105">
        <v>75</v>
      </c>
      <c r="AW29" s="106" t="s">
        <v>138</v>
      </c>
      <c r="AX29" s="107" t="s">
        <v>230</v>
      </c>
      <c r="AY29" s="106" t="s">
        <v>247</v>
      </c>
      <c r="AZ29" s="106" t="s">
        <v>248</v>
      </c>
      <c r="BA29" s="94" t="str">
        <f ca="1">IF(LEFT(AY29,1)="V",VLOOKUP(VALUE(SUBSTITUTE(AY29,"V","")),B_PARTITE_2A_FASE_PER_NUMERO,10,FALSE),IF(LEFT(AY29,1)="P",VLOOKUP(VALUE(SUBSTITUTE(AY29,"P","")),B_PARTITE_2A_FASE_PER_NUMERO,11,FALSE),VLOOKUP(AY29,B_CLASSIFICHE_GIRONI,4,FALSE)))</f>
        <v>Ippopotami</v>
      </c>
      <c r="BB29" s="94" t="str">
        <f ca="1">IF(LEFT(AZ29,1)="V",VLOOKUP(VALUE(SUBSTITUTE(AZ29,"V","")),B_PARTITE_2A_FASE_PER_NUMERO,10,FALSE),IF(LEFT(AZ29,1)="P",VLOOKUP(VALUE(SUBSTITUTE(AZ29,"P","")),B_PARTITE_2A_FASE_PER_NUMERO,11,FALSE),VLOOKUP(AZ29,B_CLASSIFICHE_GIRONI,4,FALSE)))</f>
        <v>Pitoni</v>
      </c>
      <c r="BC29" s="43">
        <f t="shared" si="31"/>
        <v>68</v>
      </c>
      <c r="BD29" s="43">
        <f t="shared" si="32"/>
        <v>45</v>
      </c>
      <c r="BE29" s="94" t="str">
        <f t="shared" ca="1" si="33"/>
        <v>Ippopotami</v>
      </c>
      <c r="BF29" s="94" t="str">
        <f t="shared" ca="1" si="34"/>
        <v>Pitoni</v>
      </c>
      <c r="BG29" s="43">
        <f t="shared" si="35"/>
        <v>1</v>
      </c>
      <c r="BH29" s="95">
        <f t="shared" si="36"/>
        <v>0</v>
      </c>
      <c r="BI29" s="95">
        <f t="shared" si="37"/>
        <v>0</v>
      </c>
      <c r="BJ29" s="43">
        <f t="shared" si="38"/>
        <v>68</v>
      </c>
      <c r="BK29" s="43">
        <f t="shared" si="39"/>
        <v>45</v>
      </c>
      <c r="BL29" s="96">
        <f t="shared" si="40"/>
        <v>23</v>
      </c>
      <c r="BM29" s="43">
        <f t="shared" si="41"/>
        <v>0</v>
      </c>
      <c r="BN29" s="43">
        <f t="shared" si="42"/>
        <v>1</v>
      </c>
      <c r="BO29" s="43">
        <f t="shared" si="43"/>
        <v>0</v>
      </c>
      <c r="BP29" s="43">
        <f t="shared" si="44"/>
        <v>45</v>
      </c>
      <c r="BQ29" s="43">
        <f t="shared" si="45"/>
        <v>68</v>
      </c>
      <c r="BR29" s="97">
        <f t="shared" si="46"/>
        <v>-23</v>
      </c>
    </row>
    <row r="30" spans="1:70">
      <c r="A30" s="31">
        <v>45</v>
      </c>
      <c r="B30" s="33" t="s">
        <v>10</v>
      </c>
      <c r="C30" s="33" t="s">
        <v>51</v>
      </c>
      <c r="D30" s="43" t="s">
        <v>207</v>
      </c>
      <c r="E30" s="43" t="s">
        <v>211</v>
      </c>
      <c r="F30" s="94" t="str">
        <f t="shared" si="0"/>
        <v>Bufali</v>
      </c>
      <c r="G30" s="94" t="str">
        <f t="shared" si="1"/>
        <v>Cervi</v>
      </c>
      <c r="H30" s="43">
        <f t="shared" si="2"/>
        <v>34</v>
      </c>
      <c r="I30" s="43">
        <f t="shared" si="3"/>
        <v>33</v>
      </c>
      <c r="J30" s="94" t="str">
        <f t="shared" si="4"/>
        <v>Bufali</v>
      </c>
      <c r="K30" s="94" t="str">
        <f t="shared" si="5"/>
        <v>Cervi</v>
      </c>
      <c r="L30" s="43">
        <f t="shared" si="6"/>
        <v>1</v>
      </c>
      <c r="M30" s="95">
        <f t="shared" si="7"/>
        <v>0</v>
      </c>
      <c r="N30" s="95">
        <f t="shared" si="8"/>
        <v>0</v>
      </c>
      <c r="O30" s="43">
        <f t="shared" si="9"/>
        <v>34</v>
      </c>
      <c r="P30" s="43">
        <f t="shared" si="10"/>
        <v>33</v>
      </c>
      <c r="Q30" s="96">
        <f t="shared" si="11"/>
        <v>1</v>
      </c>
      <c r="R30" s="43">
        <f t="shared" si="12"/>
        <v>0</v>
      </c>
      <c r="S30" s="43">
        <f t="shared" si="13"/>
        <v>1</v>
      </c>
      <c r="T30" s="43">
        <f t="shared" si="14"/>
        <v>0</v>
      </c>
      <c r="U30" s="43">
        <f t="shared" si="15"/>
        <v>33</v>
      </c>
      <c r="V30" s="43">
        <f t="shared" si="16"/>
        <v>34</v>
      </c>
      <c r="W30" s="97">
        <f t="shared" si="17"/>
        <v>-1</v>
      </c>
      <c r="Y30" s="98" t="str">
        <f t="shared" ca="1" si="52"/>
        <v>3G</v>
      </c>
      <c r="Z30" s="33" t="s">
        <v>61</v>
      </c>
      <c r="AA30" s="43" t="s">
        <v>249</v>
      </c>
      <c r="AB30" s="99" t="str">
        <f t="shared" si="19"/>
        <v>Orche</v>
      </c>
      <c r="AC30" s="43">
        <f t="shared" si="20"/>
        <v>3</v>
      </c>
      <c r="AD30" s="43">
        <f t="shared" si="21"/>
        <v>1</v>
      </c>
      <c r="AE30" s="43">
        <f t="shared" si="22"/>
        <v>0</v>
      </c>
      <c r="AF30" s="43">
        <f t="shared" si="23"/>
        <v>2</v>
      </c>
      <c r="AG30" s="100">
        <f t="shared" si="24"/>
        <v>2</v>
      </c>
      <c r="AH30" s="101">
        <f t="shared" si="25"/>
        <v>20</v>
      </c>
      <c r="AI30" s="43">
        <f t="shared" si="26"/>
        <v>40</v>
      </c>
      <c r="AJ30" s="102">
        <f t="shared" si="27"/>
        <v>-20</v>
      </c>
      <c r="AK30" s="43">
        <f ca="1">IF(AG30=AG27,INDIRECT("U"&amp;5+6*(FIND(Z30,"ABCDEFGH")-1)),0)</f>
        <v>0</v>
      </c>
      <c r="AL30" s="43">
        <f ca="1">IF(AG30=AG28,INDIRECT("U"&amp;7+6*(FIND(Z30,"ABCDEFGH")-1)),0)</f>
        <v>0</v>
      </c>
      <c r="AM30" s="43">
        <f ca="1">IF(AG30=AG29,INDIRECT("U"&amp;8+6*(FIND(Z30,"ABCDEFGH")-1)),0)</f>
        <v>0</v>
      </c>
      <c r="AN30" s="101">
        <f t="shared" ca="1" si="28"/>
        <v>0</v>
      </c>
      <c r="AO30" s="96">
        <f ca="1">IF(AG30=AG27,INDIRECT("W"&amp;5+6*(FIND(Z30,"ABCDEFGH")-1)),0)</f>
        <v>0</v>
      </c>
      <c r="AP30" s="96">
        <f ca="1">IF(AG30=AG28,INDIRECT("W"&amp;7+6*(FIND(Z30,"ABCDEFGH")-1)),0)</f>
        <v>0</v>
      </c>
      <c r="AQ30" s="96">
        <f ca="1">IF(AG30=AG29,INDIRECT("W"&amp;8+6*(FIND(Z30,"ABCDEFGH")-1)),0)</f>
        <v>0</v>
      </c>
      <c r="AR30" s="102">
        <f t="shared" ca="1" si="29"/>
        <v>0</v>
      </c>
      <c r="AS30" s="103">
        <f t="shared" ca="1" si="30"/>
        <v>2.5000004800200002</v>
      </c>
      <c r="AU30" s="104" t="s">
        <v>250</v>
      </c>
      <c r="AV30" s="105">
        <v>76</v>
      </c>
      <c r="AW30" s="106" t="s">
        <v>138</v>
      </c>
      <c r="AX30" s="107" t="s">
        <v>230</v>
      </c>
      <c r="AY30" s="106" t="s">
        <v>251</v>
      </c>
      <c r="AZ30" s="106" t="s">
        <v>252</v>
      </c>
      <c r="BA30" s="94" t="str">
        <f ca="1">IF(LEFT(AY30,1)="V",VLOOKUP(VALUE(SUBSTITUTE(AY30,"V","")),B_PARTITE_2A_FASE_PER_NUMERO,10,FALSE),IF(LEFT(AY30,1)="P",VLOOKUP(VALUE(SUBSTITUTE(AY30,"P","")),B_PARTITE_2A_FASE_PER_NUMERO,11,FALSE),VLOOKUP(AY30,B_CLASSIFICHE_GIRONI,4,FALSE)))</f>
        <v>Orche</v>
      </c>
      <c r="BB30" s="94" t="str">
        <f ca="1">IF(LEFT(AZ30,1)="V",VLOOKUP(VALUE(SUBSTITUTE(AZ30,"V","")),B_PARTITE_2A_FASE_PER_NUMERO,10,FALSE),IF(LEFT(AZ30,1)="P",VLOOKUP(VALUE(SUBSTITUTE(AZ30,"P","")),B_PARTITE_2A_FASE_PER_NUMERO,11,FALSE),VLOOKUP(AZ30,B_CLASSIFICHE_GIRONI,4,FALSE)))</f>
        <v>Zebre</v>
      </c>
      <c r="BC30" s="43">
        <f t="shared" si="31"/>
        <v>64</v>
      </c>
      <c r="BD30" s="43">
        <f t="shared" si="32"/>
        <v>32</v>
      </c>
      <c r="BE30" s="94" t="str">
        <f t="shared" ca="1" si="33"/>
        <v>Orche</v>
      </c>
      <c r="BF30" s="94" t="str">
        <f t="shared" ca="1" si="34"/>
        <v>Zebre</v>
      </c>
      <c r="BG30" s="43">
        <f t="shared" si="35"/>
        <v>1</v>
      </c>
      <c r="BH30" s="95">
        <f t="shared" si="36"/>
        <v>0</v>
      </c>
      <c r="BI30" s="95">
        <f t="shared" si="37"/>
        <v>0</v>
      </c>
      <c r="BJ30" s="43">
        <f t="shared" si="38"/>
        <v>64</v>
      </c>
      <c r="BK30" s="43">
        <f t="shared" si="39"/>
        <v>32</v>
      </c>
      <c r="BL30" s="96">
        <f t="shared" si="40"/>
        <v>32</v>
      </c>
      <c r="BM30" s="43">
        <f t="shared" si="41"/>
        <v>0</v>
      </c>
      <c r="BN30" s="43">
        <f t="shared" si="42"/>
        <v>1</v>
      </c>
      <c r="BO30" s="43">
        <f t="shared" si="43"/>
        <v>0</v>
      </c>
      <c r="BP30" s="43">
        <f t="shared" si="44"/>
        <v>32</v>
      </c>
      <c r="BQ30" s="43">
        <f t="shared" si="45"/>
        <v>64</v>
      </c>
      <c r="BR30" s="97">
        <f t="shared" si="46"/>
        <v>-32</v>
      </c>
    </row>
    <row r="31" spans="1:70">
      <c r="A31" s="31">
        <v>33</v>
      </c>
      <c r="B31" s="33" t="s">
        <v>10</v>
      </c>
      <c r="C31" s="33" t="s">
        <v>51</v>
      </c>
      <c r="D31" s="43" t="s">
        <v>207</v>
      </c>
      <c r="E31" s="43" t="s">
        <v>215</v>
      </c>
      <c r="F31" s="94" t="str">
        <f t="shared" si="0"/>
        <v>Bufali</v>
      </c>
      <c r="G31" s="94" t="str">
        <f t="shared" si="1"/>
        <v>Cinghiali</v>
      </c>
      <c r="H31" s="43">
        <f t="shared" si="2"/>
        <v>35</v>
      </c>
      <c r="I31" s="43">
        <f t="shared" si="3"/>
        <v>33</v>
      </c>
      <c r="J31" s="94" t="str">
        <f t="shared" si="4"/>
        <v>Bufali</v>
      </c>
      <c r="K31" s="94" t="str">
        <f t="shared" si="5"/>
        <v>Cinghiali</v>
      </c>
      <c r="L31" s="43">
        <f t="shared" si="6"/>
        <v>1</v>
      </c>
      <c r="M31" s="95">
        <f t="shared" si="7"/>
        <v>0</v>
      </c>
      <c r="N31" s="95">
        <f t="shared" si="8"/>
        <v>0</v>
      </c>
      <c r="O31" s="43">
        <f t="shared" si="9"/>
        <v>35</v>
      </c>
      <c r="P31" s="43">
        <f t="shared" si="10"/>
        <v>33</v>
      </c>
      <c r="Q31" s="96">
        <f t="shared" si="11"/>
        <v>2</v>
      </c>
      <c r="R31" s="43">
        <f t="shared" si="12"/>
        <v>0</v>
      </c>
      <c r="S31" s="43">
        <f t="shared" si="13"/>
        <v>1</v>
      </c>
      <c r="T31" s="43">
        <f t="shared" si="14"/>
        <v>0</v>
      </c>
      <c r="U31" s="43">
        <f t="shared" si="15"/>
        <v>33</v>
      </c>
      <c r="V31" s="43">
        <f t="shared" si="16"/>
        <v>35</v>
      </c>
      <c r="W31" s="97">
        <f t="shared" si="17"/>
        <v>-2</v>
      </c>
      <c r="Y31" s="108" t="str">
        <f t="shared" ref="Y31:Y34" ca="1" si="53">COUNTIF(B_COEFF_GIRONE_H,"&gt;="&amp;AS31)&amp;Z31</f>
        <v>1H</v>
      </c>
      <c r="Z31" s="109" t="s">
        <v>66</v>
      </c>
      <c r="AA31" s="109" t="s">
        <v>253</v>
      </c>
      <c r="AB31" s="110" t="str">
        <f t="shared" si="19"/>
        <v>Piranha</v>
      </c>
      <c r="AC31" s="109">
        <f t="shared" si="20"/>
        <v>3</v>
      </c>
      <c r="AD31" s="109">
        <f t="shared" si="21"/>
        <v>2</v>
      </c>
      <c r="AE31" s="109">
        <f t="shared" si="22"/>
        <v>1</v>
      </c>
      <c r="AF31" s="109">
        <f t="shared" si="23"/>
        <v>0</v>
      </c>
      <c r="AG31" s="111">
        <f t="shared" si="24"/>
        <v>5</v>
      </c>
      <c r="AH31" s="112">
        <f t="shared" si="25"/>
        <v>245</v>
      </c>
      <c r="AI31" s="109">
        <f t="shared" si="26"/>
        <v>215</v>
      </c>
      <c r="AJ31" s="113">
        <f t="shared" si="27"/>
        <v>30</v>
      </c>
      <c r="AK31" s="109">
        <f ca="1">IF(AG31=AG32,INDIRECT("O"&amp;3+6*(FIND(Z31,"ABCDEFGH")-1)),0)</f>
        <v>0</v>
      </c>
      <c r="AL31" s="114">
        <f ca="1">IF(AG31=AG33,INDIRECT("O"&amp;4+6*(FIND(Z31,"ABCDEFGH")-1)),0)</f>
        <v>97</v>
      </c>
      <c r="AM31" s="109">
        <f ca="1">IF(AG31=AG34,INDIRECT("O"&amp;5+6*(FIND(Z31,"ABCDEFGH")-1)),0)</f>
        <v>0</v>
      </c>
      <c r="AN31" s="112">
        <f t="shared" ca="1" si="28"/>
        <v>97</v>
      </c>
      <c r="AO31" s="115">
        <f ca="1">IF(AG31=AG32,INDIRECT("Q"&amp;3+6*(FIND(Z31,"ABCDEFGH")-1)),0)</f>
        <v>0</v>
      </c>
      <c r="AP31" s="115">
        <f ca="1">IF(AG31=AG33,INDIRECT("Q"&amp;4+6*(FIND(Z31,"ABCDEFGH")-1)),0)</f>
        <v>19</v>
      </c>
      <c r="AQ31" s="115">
        <f ca="1">IF(AG31=AG34,INDIRECT("Q"&amp;5+6*(FIND(Z31,"ABCDEFGH")-1)),0)</f>
        <v>0</v>
      </c>
      <c r="AR31" s="113">
        <f t="shared" ca="1" si="29"/>
        <v>19</v>
      </c>
      <c r="AS31" s="116">
        <f t="shared" ca="1" si="30"/>
        <v>5.5190975302450003</v>
      </c>
      <c r="AU31" s="104" t="s">
        <v>254</v>
      </c>
      <c r="AV31" s="105">
        <v>77</v>
      </c>
      <c r="AW31" s="106" t="s">
        <v>138</v>
      </c>
      <c r="AX31" s="107" t="s">
        <v>255</v>
      </c>
      <c r="AY31" s="106" t="s">
        <v>256</v>
      </c>
      <c r="AZ31" s="106" t="s">
        <v>257</v>
      </c>
      <c r="BA31" s="94" t="str">
        <f ca="1">IF(LEFT(AY31,1)="V",VLOOKUP(VALUE(SUBSTITUTE(AY31,"V","")),B_PARTITE_2A_FASE_PER_NUMERO,10,FALSE),IF(LEFT(AY31,1)="P",VLOOKUP(VALUE(SUBSTITUTE(AY31,"P","")),B_PARTITE_2A_FASE_PER_NUMERO,11,FALSE),VLOOKUP(AY31,B_CLASSIFICHE_GIRONI,4,FALSE)))</f>
        <v>Elefanti</v>
      </c>
      <c r="BB31" s="94" t="str">
        <f ca="1">IF(LEFT(AZ31,1)="V",VLOOKUP(VALUE(SUBSTITUTE(AZ31,"V","")),B_PARTITE_2A_FASE_PER_NUMERO,10,FALSE),IF(LEFT(AZ31,1)="P",VLOOKUP(VALUE(SUBSTITUTE(AZ31,"P","")),B_PARTITE_2A_FASE_PER_NUMERO,11,FALSE),VLOOKUP(AZ31,B_CLASSIFICHE_GIRONI,4,FALSE)))</f>
        <v>Aquile</v>
      </c>
      <c r="BC31" s="43">
        <f t="shared" si="31"/>
        <v>56</v>
      </c>
      <c r="BD31" s="43">
        <f t="shared" si="32"/>
        <v>36</v>
      </c>
      <c r="BE31" s="94" t="str">
        <f t="shared" ca="1" si="33"/>
        <v>Elefanti</v>
      </c>
      <c r="BF31" s="94" t="str">
        <f t="shared" ca="1" si="34"/>
        <v>Aquile</v>
      </c>
      <c r="BG31" s="43">
        <f t="shared" si="35"/>
        <v>1</v>
      </c>
      <c r="BH31" s="95">
        <f t="shared" si="36"/>
        <v>0</v>
      </c>
      <c r="BI31" s="95">
        <f t="shared" si="37"/>
        <v>0</v>
      </c>
      <c r="BJ31" s="43">
        <f t="shared" si="38"/>
        <v>56</v>
      </c>
      <c r="BK31" s="43">
        <f t="shared" si="39"/>
        <v>36</v>
      </c>
      <c r="BL31" s="96">
        <f t="shared" si="40"/>
        <v>20</v>
      </c>
      <c r="BM31" s="43">
        <f t="shared" si="41"/>
        <v>0</v>
      </c>
      <c r="BN31" s="43">
        <f t="shared" si="42"/>
        <v>1</v>
      </c>
      <c r="BO31" s="43">
        <f t="shared" si="43"/>
        <v>0</v>
      </c>
      <c r="BP31" s="43">
        <f t="shared" si="44"/>
        <v>36</v>
      </c>
      <c r="BQ31" s="43">
        <f t="shared" si="45"/>
        <v>56</v>
      </c>
      <c r="BR31" s="97">
        <f t="shared" si="46"/>
        <v>-20</v>
      </c>
    </row>
    <row r="32" spans="1:70">
      <c r="A32" s="31">
        <v>21</v>
      </c>
      <c r="B32" s="33" t="s">
        <v>10</v>
      </c>
      <c r="C32" s="33" t="s">
        <v>51</v>
      </c>
      <c r="D32" s="43" t="s">
        <v>211</v>
      </c>
      <c r="E32" s="43" t="s">
        <v>215</v>
      </c>
      <c r="F32" s="94" t="str">
        <f t="shared" si="0"/>
        <v>Cervi</v>
      </c>
      <c r="G32" s="94" t="str">
        <f t="shared" si="1"/>
        <v>Cinghiali</v>
      </c>
      <c r="H32" s="43">
        <f t="shared" si="2"/>
        <v>34</v>
      </c>
      <c r="I32" s="43">
        <f t="shared" si="3"/>
        <v>33</v>
      </c>
      <c r="J32" s="94" t="str">
        <f t="shared" si="4"/>
        <v>Cervi</v>
      </c>
      <c r="K32" s="94" t="str">
        <f t="shared" si="5"/>
        <v>Cinghiali</v>
      </c>
      <c r="L32" s="43">
        <f t="shared" si="6"/>
        <v>1</v>
      </c>
      <c r="M32" s="95">
        <f t="shared" si="7"/>
        <v>0</v>
      </c>
      <c r="N32" s="95">
        <f t="shared" si="8"/>
        <v>0</v>
      </c>
      <c r="O32" s="43">
        <f t="shared" si="9"/>
        <v>34</v>
      </c>
      <c r="P32" s="43">
        <f t="shared" si="10"/>
        <v>33</v>
      </c>
      <c r="Q32" s="96">
        <f t="shared" si="11"/>
        <v>1</v>
      </c>
      <c r="R32" s="43">
        <f t="shared" si="12"/>
        <v>0</v>
      </c>
      <c r="S32" s="43">
        <f t="shared" si="13"/>
        <v>1</v>
      </c>
      <c r="T32" s="43">
        <f t="shared" si="14"/>
        <v>0</v>
      </c>
      <c r="U32" s="43">
        <f t="shared" si="15"/>
        <v>33</v>
      </c>
      <c r="V32" s="43">
        <f t="shared" si="16"/>
        <v>34</v>
      </c>
      <c r="W32" s="97">
        <f t="shared" si="17"/>
        <v>-1</v>
      </c>
      <c r="Y32" s="98" t="str">
        <f t="shared" ca="1" si="53"/>
        <v>4H</v>
      </c>
      <c r="Z32" s="33" t="s">
        <v>66</v>
      </c>
      <c r="AA32" s="43" t="s">
        <v>258</v>
      </c>
      <c r="AB32" s="99" t="str">
        <f t="shared" si="19"/>
        <v>Scorpioni</v>
      </c>
      <c r="AC32" s="43">
        <f t="shared" si="20"/>
        <v>3</v>
      </c>
      <c r="AD32" s="43">
        <f t="shared" si="21"/>
        <v>0</v>
      </c>
      <c r="AE32" s="43">
        <f t="shared" si="22"/>
        <v>3</v>
      </c>
      <c r="AF32" s="43">
        <f t="shared" si="23"/>
        <v>0</v>
      </c>
      <c r="AG32" s="100">
        <f t="shared" si="24"/>
        <v>3</v>
      </c>
      <c r="AH32" s="101">
        <f t="shared" si="25"/>
        <v>170</v>
      </c>
      <c r="AI32" s="43">
        <f t="shared" si="26"/>
        <v>244</v>
      </c>
      <c r="AJ32" s="102">
        <f t="shared" si="27"/>
        <v>-74</v>
      </c>
      <c r="AK32" s="43">
        <f ca="1">IF(AG32=AG33,INDIRECT("O"&amp;6+6*(FIND(Z32,"ABCDEFGH")-1)),0)</f>
        <v>0</v>
      </c>
      <c r="AL32" s="43">
        <f ca="1">IF(AG32=AG34,INDIRECT("O"&amp;7+6*(FIND(Z32,"ABCDEFGH")-1)),0)</f>
        <v>0</v>
      </c>
      <c r="AM32" s="43">
        <f ca="1">IF(AG32=AG31,INDIRECT("U"&amp;3+6*(FIND(Z32,"ABCDEFGH")-1)),0)</f>
        <v>0</v>
      </c>
      <c r="AN32" s="101">
        <f t="shared" ca="1" si="28"/>
        <v>0</v>
      </c>
      <c r="AO32" s="96">
        <f ca="1">IF(AG32=AG33,INDIRECT("Q"&amp;6+6*(FIND(Z32,"ABCDEFGH")-1)),0)</f>
        <v>0</v>
      </c>
      <c r="AP32" s="96">
        <f ca="1">IF(AG32=AG34,INDIRECT("Q"&amp;7+6*(FIND(Z32,"ABCDEFGH")-1)),0)</f>
        <v>0</v>
      </c>
      <c r="AQ32" s="96">
        <f ca="1">IF(AG32=AG31,INDIRECT("W"&amp;3+6*(FIND(Z32,"ABCDEFGH")-1)),0)</f>
        <v>0</v>
      </c>
      <c r="AR32" s="102">
        <f t="shared" ca="1" si="29"/>
        <v>0</v>
      </c>
      <c r="AS32" s="103">
        <f t="shared" ca="1" si="30"/>
        <v>3.5000004261700002</v>
      </c>
      <c r="AU32" s="104" t="s">
        <v>259</v>
      </c>
      <c r="AV32" s="105">
        <v>78</v>
      </c>
      <c r="AW32" s="106" t="s">
        <v>138</v>
      </c>
      <c r="AX32" s="107" t="s">
        <v>255</v>
      </c>
      <c r="AY32" s="106" t="s">
        <v>260</v>
      </c>
      <c r="AZ32" s="106" t="s">
        <v>261</v>
      </c>
      <c r="BA32" s="94" t="str">
        <f ca="1">IF(LEFT(AY32,1)="V",VLOOKUP(VALUE(SUBSTITUTE(AY32,"V","")),B_PARTITE_2A_FASE_PER_NUMERO,10,FALSE),IF(LEFT(AY32,1)="P",VLOOKUP(VALUE(SUBSTITUTE(AY32,"P","")),B_PARTITE_2A_FASE_PER_NUMERO,11,FALSE),VLOOKUP(AY32,B_CLASSIFICHE_GIRONI,4,FALSE)))</f>
        <v>Gorilla</v>
      </c>
      <c r="BB32" s="94" t="str">
        <f ca="1">IF(LEFT(AZ32,1)="V",VLOOKUP(VALUE(SUBSTITUTE(AZ32,"V","")),B_PARTITE_2A_FASE_PER_NUMERO,10,FALSE),IF(LEFT(AZ32,1)="P",VLOOKUP(VALUE(SUBSTITUTE(AZ32,"P","")),B_PARTITE_2A_FASE_PER_NUMERO,11,FALSE),VLOOKUP(AZ32,B_CLASSIFICHE_GIRONI,4,FALSE)))</f>
        <v>Tonni</v>
      </c>
      <c r="BC32" s="43">
        <f t="shared" si="31"/>
        <v>64</v>
      </c>
      <c r="BD32" s="43">
        <f t="shared" si="32"/>
        <v>40</v>
      </c>
      <c r="BE32" s="94" t="str">
        <f t="shared" ca="1" si="33"/>
        <v>Gorilla</v>
      </c>
      <c r="BF32" s="94" t="str">
        <f t="shared" ca="1" si="34"/>
        <v>Tonni</v>
      </c>
      <c r="BG32" s="43">
        <f t="shared" si="35"/>
        <v>1</v>
      </c>
      <c r="BH32" s="95">
        <f t="shared" si="36"/>
        <v>0</v>
      </c>
      <c r="BI32" s="95">
        <f t="shared" si="37"/>
        <v>0</v>
      </c>
      <c r="BJ32" s="43">
        <f t="shared" si="38"/>
        <v>64</v>
      </c>
      <c r="BK32" s="43">
        <f t="shared" si="39"/>
        <v>40</v>
      </c>
      <c r="BL32" s="96">
        <f t="shared" si="40"/>
        <v>24</v>
      </c>
      <c r="BM32" s="43">
        <f t="shared" si="41"/>
        <v>0</v>
      </c>
      <c r="BN32" s="43">
        <f t="shared" si="42"/>
        <v>1</v>
      </c>
      <c r="BO32" s="43">
        <f t="shared" si="43"/>
        <v>0</v>
      </c>
      <c r="BP32" s="43">
        <f t="shared" si="44"/>
        <v>40</v>
      </c>
      <c r="BQ32" s="43">
        <f t="shared" si="45"/>
        <v>64</v>
      </c>
      <c r="BR32" s="97">
        <f t="shared" si="46"/>
        <v>-24</v>
      </c>
    </row>
    <row r="33" spans="1:70">
      <c r="A33" s="31">
        <v>18</v>
      </c>
      <c r="B33" s="33" t="s">
        <v>10</v>
      </c>
      <c r="C33" s="33" t="s">
        <v>56</v>
      </c>
      <c r="D33" s="43" t="s">
        <v>219</v>
      </c>
      <c r="E33" s="43" t="s">
        <v>224</v>
      </c>
      <c r="F33" s="94" t="str">
        <f t="shared" si="0"/>
        <v>Balene</v>
      </c>
      <c r="G33" s="94" t="str">
        <f t="shared" si="1"/>
        <v>Gabbiani</v>
      </c>
      <c r="H33" s="43">
        <f t="shared" si="2"/>
        <v>34</v>
      </c>
      <c r="I33" s="43">
        <f t="shared" si="3"/>
        <v>33</v>
      </c>
      <c r="J33" s="94" t="str">
        <f t="shared" si="4"/>
        <v>Balene</v>
      </c>
      <c r="K33" s="94" t="str">
        <f t="shared" si="5"/>
        <v>Gabbiani</v>
      </c>
      <c r="L33" s="43">
        <f t="shared" si="6"/>
        <v>1</v>
      </c>
      <c r="M33" s="95">
        <f t="shared" si="7"/>
        <v>0</v>
      </c>
      <c r="N33" s="95">
        <f t="shared" si="8"/>
        <v>0</v>
      </c>
      <c r="O33" s="43">
        <f t="shared" si="9"/>
        <v>34</v>
      </c>
      <c r="P33" s="43">
        <f t="shared" si="10"/>
        <v>33</v>
      </c>
      <c r="Q33" s="96">
        <f t="shared" si="11"/>
        <v>1</v>
      </c>
      <c r="R33" s="43">
        <f t="shared" si="12"/>
        <v>0</v>
      </c>
      <c r="S33" s="43">
        <f t="shared" si="13"/>
        <v>1</v>
      </c>
      <c r="T33" s="43">
        <f t="shared" si="14"/>
        <v>0</v>
      </c>
      <c r="U33" s="43">
        <f t="shared" si="15"/>
        <v>33</v>
      </c>
      <c r="V33" s="43">
        <f t="shared" si="16"/>
        <v>34</v>
      </c>
      <c r="W33" s="97">
        <f t="shared" si="17"/>
        <v>-1</v>
      </c>
      <c r="Y33" s="98" t="str">
        <f t="shared" ca="1" si="53"/>
        <v>2H</v>
      </c>
      <c r="Z33" s="33" t="s">
        <v>66</v>
      </c>
      <c r="AA33" s="43" t="s">
        <v>262</v>
      </c>
      <c r="AB33" s="99" t="str">
        <f t="shared" si="19"/>
        <v>Tonni</v>
      </c>
      <c r="AC33" s="43">
        <f t="shared" si="20"/>
        <v>3</v>
      </c>
      <c r="AD33" s="43">
        <f t="shared" si="21"/>
        <v>2</v>
      </c>
      <c r="AE33" s="43">
        <f t="shared" si="22"/>
        <v>1</v>
      </c>
      <c r="AF33" s="43">
        <f t="shared" si="23"/>
        <v>0</v>
      </c>
      <c r="AG33" s="100">
        <f t="shared" si="24"/>
        <v>5</v>
      </c>
      <c r="AH33" s="101">
        <f t="shared" si="25"/>
        <v>163</v>
      </c>
      <c r="AI33" s="43">
        <f t="shared" si="26"/>
        <v>110</v>
      </c>
      <c r="AJ33" s="102">
        <f t="shared" si="27"/>
        <v>53</v>
      </c>
      <c r="AK33" s="43">
        <f ca="1">IF(AG33=AG34,INDIRECT("O"&amp;8+6*(FIND(Z33,"ABCDEFGH")-1)),0)</f>
        <v>0</v>
      </c>
      <c r="AL33" s="43">
        <f ca="1">IF(AG33=AG31,INDIRECT("U"&amp;4+6*(FIND(Z33,"ABCDEFGH")-1)),0)</f>
        <v>78</v>
      </c>
      <c r="AM33" s="43">
        <f ca="1">IF(AG33=AG32,INDIRECT("U"&amp;6+6*(FIND(Z33,"ABCDEFGH")-1)),0)</f>
        <v>0</v>
      </c>
      <c r="AN33" s="101">
        <f t="shared" ca="1" si="28"/>
        <v>78</v>
      </c>
      <c r="AO33" s="96">
        <f ca="1">IF(AG33=AG34,INDIRECT("Q"&amp;8+6*(FIND(Z33,"ABCDEFGH")-1)),0)</f>
        <v>0</v>
      </c>
      <c r="AP33" s="96">
        <f ca="1">IF(AG33=AG31,INDIRECT("W"&amp;4+6*(FIND(Z33,"ABCDEFGH")-1)),0)</f>
        <v>-19</v>
      </c>
      <c r="AQ33" s="96">
        <f ca="1">IF(AG33=AG32,INDIRECT("W"&amp;6+6*(FIND(Z33,"ABCDEFGH")-1)),0)</f>
        <v>0</v>
      </c>
      <c r="AR33" s="102">
        <f t="shared" ca="1" si="29"/>
        <v>-19</v>
      </c>
      <c r="AS33" s="103">
        <f t="shared" ca="1" si="30"/>
        <v>5.481078553163</v>
      </c>
      <c r="AU33" s="104" t="s">
        <v>263</v>
      </c>
      <c r="AV33" s="105">
        <v>79</v>
      </c>
      <c r="AW33" s="106" t="s">
        <v>138</v>
      </c>
      <c r="AX33" s="107" t="s">
        <v>255</v>
      </c>
      <c r="AY33" s="106" t="s">
        <v>264</v>
      </c>
      <c r="AZ33" s="106" t="s">
        <v>265</v>
      </c>
      <c r="BA33" s="94" t="str">
        <f ca="1">IF(LEFT(AY33,1)="V",VLOOKUP(VALUE(SUBSTITUTE(AY33,"V","")),B_PARTITE_2A_FASE_PER_NUMERO,10,FALSE),IF(LEFT(AY33,1)="P",VLOOKUP(VALUE(SUBSTITUTE(AY33,"P","")),B_PARTITE_2A_FASE_PER_NUMERO,11,FALSE),VLOOKUP(AY33,B_CLASSIFICHE_GIRONI,4,FALSE)))</f>
        <v>Giraffe</v>
      </c>
      <c r="BB33" s="94" t="str">
        <f ca="1">IF(LEFT(AZ33,1)="V",VLOOKUP(VALUE(SUBSTITUTE(AZ33,"V","")),B_PARTITE_2A_FASE_PER_NUMERO,10,FALSE),IF(LEFT(AZ33,1)="P",VLOOKUP(VALUE(SUBSTITUTE(AZ33,"P","")),B_PARTITE_2A_FASE_PER_NUMERO,11,FALSE),VLOOKUP(AZ33,B_CLASSIFICHE_GIRONI,4,FALSE)))</f>
        <v>Puma</v>
      </c>
      <c r="BC33" s="43">
        <f t="shared" si="31"/>
        <v>63</v>
      </c>
      <c r="BD33" s="43">
        <f t="shared" si="32"/>
        <v>42</v>
      </c>
      <c r="BE33" s="94" t="str">
        <f t="shared" ca="1" si="33"/>
        <v>Giraffe</v>
      </c>
      <c r="BF33" s="94" t="str">
        <f t="shared" ca="1" si="34"/>
        <v>Puma</v>
      </c>
      <c r="BG33" s="43">
        <f t="shared" si="35"/>
        <v>1</v>
      </c>
      <c r="BH33" s="95">
        <f t="shared" si="36"/>
        <v>0</v>
      </c>
      <c r="BI33" s="95">
        <f t="shared" si="37"/>
        <v>0</v>
      </c>
      <c r="BJ33" s="43">
        <f t="shared" si="38"/>
        <v>63</v>
      </c>
      <c r="BK33" s="43">
        <f t="shared" si="39"/>
        <v>42</v>
      </c>
      <c r="BL33" s="96">
        <f t="shared" si="40"/>
        <v>21</v>
      </c>
      <c r="BM33" s="43">
        <f t="shared" si="41"/>
        <v>0</v>
      </c>
      <c r="BN33" s="43">
        <f t="shared" si="42"/>
        <v>1</v>
      </c>
      <c r="BO33" s="43">
        <f t="shared" si="43"/>
        <v>0</v>
      </c>
      <c r="BP33" s="43">
        <f t="shared" si="44"/>
        <v>42</v>
      </c>
      <c r="BQ33" s="43">
        <f t="shared" si="45"/>
        <v>63</v>
      </c>
      <c r="BR33" s="97">
        <f t="shared" si="46"/>
        <v>-21</v>
      </c>
    </row>
    <row r="34" spans="1:70">
      <c r="A34" s="31">
        <v>30</v>
      </c>
      <c r="B34" s="33" t="s">
        <v>10</v>
      </c>
      <c r="C34" s="33" t="s">
        <v>56</v>
      </c>
      <c r="D34" s="43" t="s">
        <v>219</v>
      </c>
      <c r="E34" s="43" t="s">
        <v>228</v>
      </c>
      <c r="F34" s="94" t="str">
        <f t="shared" si="0"/>
        <v>Balene</v>
      </c>
      <c r="G34" s="94" t="str">
        <f t="shared" si="1"/>
        <v>Delfini</v>
      </c>
      <c r="H34" s="43">
        <f t="shared" si="2"/>
        <v>33</v>
      </c>
      <c r="I34" s="43">
        <f t="shared" si="3"/>
        <v>34</v>
      </c>
      <c r="J34" s="94" t="str">
        <f t="shared" si="4"/>
        <v>Delfini</v>
      </c>
      <c r="K34" s="94" t="str">
        <f t="shared" si="5"/>
        <v>Balene</v>
      </c>
      <c r="L34" s="43">
        <f t="shared" si="6"/>
        <v>0</v>
      </c>
      <c r="M34" s="95">
        <f t="shared" si="7"/>
        <v>1</v>
      </c>
      <c r="N34" s="95">
        <f t="shared" si="8"/>
        <v>0</v>
      </c>
      <c r="O34" s="43">
        <f t="shared" si="9"/>
        <v>33</v>
      </c>
      <c r="P34" s="43">
        <f t="shared" si="10"/>
        <v>34</v>
      </c>
      <c r="Q34" s="96">
        <f t="shared" si="11"/>
        <v>-1</v>
      </c>
      <c r="R34" s="43">
        <f t="shared" si="12"/>
        <v>1</v>
      </c>
      <c r="S34" s="43">
        <f t="shared" si="13"/>
        <v>0</v>
      </c>
      <c r="T34" s="43">
        <f t="shared" si="14"/>
        <v>0</v>
      </c>
      <c r="U34" s="43">
        <f t="shared" si="15"/>
        <v>34</v>
      </c>
      <c r="V34" s="43">
        <f t="shared" si="16"/>
        <v>33</v>
      </c>
      <c r="W34" s="97">
        <f t="shared" si="17"/>
        <v>1</v>
      </c>
      <c r="Y34" s="127" t="str">
        <f t="shared" ca="1" si="53"/>
        <v>3H</v>
      </c>
      <c r="Z34" s="46" t="s">
        <v>66</v>
      </c>
      <c r="AA34" s="68" t="s">
        <v>266</v>
      </c>
      <c r="AB34" s="128" t="str">
        <f t="shared" si="19"/>
        <v>Zebre</v>
      </c>
      <c r="AC34" s="68">
        <f t="shared" si="20"/>
        <v>3</v>
      </c>
      <c r="AD34" s="68">
        <f t="shared" si="21"/>
        <v>2</v>
      </c>
      <c r="AE34" s="68">
        <f t="shared" si="22"/>
        <v>0</v>
      </c>
      <c r="AF34" s="68">
        <f t="shared" si="23"/>
        <v>1</v>
      </c>
      <c r="AG34" s="129">
        <f t="shared" si="24"/>
        <v>4</v>
      </c>
      <c r="AH34" s="130">
        <f t="shared" si="25"/>
        <v>133</v>
      </c>
      <c r="AI34" s="68">
        <f t="shared" si="26"/>
        <v>142</v>
      </c>
      <c r="AJ34" s="131">
        <f t="shared" si="27"/>
        <v>-9</v>
      </c>
      <c r="AK34" s="68">
        <f ca="1">IF(AG34=AG31,INDIRECT("U"&amp;5+6*(FIND(Z34,"ABCDEFGH")-1)),0)</f>
        <v>0</v>
      </c>
      <c r="AL34" s="68">
        <f ca="1">IF(AG34=AG32,INDIRECT("U"&amp;7+6*(FIND(Z34,"ABCDEFGH")-1)),0)</f>
        <v>0</v>
      </c>
      <c r="AM34" s="68">
        <f ca="1">IF(AG34=AG33,INDIRECT("U"&amp;8+6*(FIND(Z34,"ABCDEFGH")-1)),0)</f>
        <v>0</v>
      </c>
      <c r="AN34" s="130">
        <f t="shared" ca="1" si="28"/>
        <v>0</v>
      </c>
      <c r="AO34" s="132">
        <f ca="1">IF(AG34=AG31,INDIRECT("W"&amp;5+6*(FIND(Z34,"ABCDEFGH")-1)),0)</f>
        <v>0</v>
      </c>
      <c r="AP34" s="132">
        <f ca="1">IF(AG34=AG32,INDIRECT("W"&amp;7+6*(FIND(Z34,"ABCDEFGH")-1)),0)</f>
        <v>0</v>
      </c>
      <c r="AQ34" s="132">
        <f ca="1">IF(AG34=AG33,INDIRECT("W"&amp;8+6*(FIND(Z34,"ABCDEFGH")-1)),0)</f>
        <v>0</v>
      </c>
      <c r="AR34" s="131">
        <f t="shared" ca="1" si="29"/>
        <v>0</v>
      </c>
      <c r="AS34" s="133">
        <f t="shared" ca="1" si="30"/>
        <v>4.500000491133</v>
      </c>
      <c r="AU34" s="104" t="s">
        <v>267</v>
      </c>
      <c r="AV34" s="105">
        <v>80</v>
      </c>
      <c r="AW34" s="106" t="s">
        <v>138</v>
      </c>
      <c r="AX34" s="107" t="s">
        <v>255</v>
      </c>
      <c r="AY34" s="106" t="s">
        <v>268</v>
      </c>
      <c r="AZ34" s="106" t="s">
        <v>269</v>
      </c>
      <c r="BA34" s="94" t="str">
        <f ca="1">IF(LEFT(AY34,1)="V",VLOOKUP(VALUE(SUBSTITUTE(AY34,"V","")),B_PARTITE_2A_FASE_PER_NUMERO,10,FALSE),IF(LEFT(AY34,1)="P",VLOOKUP(VALUE(SUBSTITUTE(AY34,"P","")),B_PARTITE_2A_FASE_PER_NUMERO,11,FALSE),VLOOKUP(AY34,B_CLASSIFICHE_GIRONI,4,FALSE)))</f>
        <v>Bufali</v>
      </c>
      <c r="BB34" s="94" t="str">
        <f ca="1">IF(LEFT(AZ34,1)="V",VLOOKUP(VALUE(SUBSTITUTE(AZ34,"V","")),B_PARTITE_2A_FASE_PER_NUMERO,10,FALSE),IF(LEFT(AZ34,1)="P",VLOOKUP(VALUE(SUBSTITUTE(AZ34,"P","")),B_PARTITE_2A_FASE_PER_NUMERO,11,FALSE),VLOOKUP(AZ34,B_CLASSIFICHE_GIRONI,4,FALSE)))</f>
        <v>Gabbiani</v>
      </c>
      <c r="BC34" s="43">
        <f t="shared" si="31"/>
        <v>65</v>
      </c>
      <c r="BD34" s="43">
        <f t="shared" si="32"/>
        <v>49</v>
      </c>
      <c r="BE34" s="94" t="str">
        <f t="shared" ca="1" si="33"/>
        <v>Bufali</v>
      </c>
      <c r="BF34" s="94" t="str">
        <f t="shared" ca="1" si="34"/>
        <v>Gabbiani</v>
      </c>
      <c r="BG34" s="43">
        <f t="shared" si="35"/>
        <v>1</v>
      </c>
      <c r="BH34" s="95">
        <f t="shared" si="36"/>
        <v>0</v>
      </c>
      <c r="BI34" s="95">
        <f t="shared" si="37"/>
        <v>0</v>
      </c>
      <c r="BJ34" s="43">
        <f t="shared" si="38"/>
        <v>65</v>
      </c>
      <c r="BK34" s="43">
        <f t="shared" si="39"/>
        <v>49</v>
      </c>
      <c r="BL34" s="96">
        <f t="shared" si="40"/>
        <v>16</v>
      </c>
      <c r="BM34" s="43">
        <f t="shared" si="41"/>
        <v>0</v>
      </c>
      <c r="BN34" s="43">
        <f t="shared" si="42"/>
        <v>1</v>
      </c>
      <c r="BO34" s="43">
        <f t="shared" si="43"/>
        <v>0</v>
      </c>
      <c r="BP34" s="43">
        <f t="shared" si="44"/>
        <v>49</v>
      </c>
      <c r="BQ34" s="43">
        <f t="shared" si="45"/>
        <v>65</v>
      </c>
      <c r="BR34" s="97">
        <f t="shared" si="46"/>
        <v>-16</v>
      </c>
    </row>
    <row r="35" spans="1:70">
      <c r="A35" s="31">
        <v>42</v>
      </c>
      <c r="B35" s="33" t="s">
        <v>10</v>
      </c>
      <c r="C35" s="33" t="s">
        <v>56</v>
      </c>
      <c r="D35" s="43" t="s">
        <v>219</v>
      </c>
      <c r="E35" s="43" t="s">
        <v>233</v>
      </c>
      <c r="F35" s="94" t="str">
        <f t="shared" si="0"/>
        <v>Balene</v>
      </c>
      <c r="G35" s="94" t="str">
        <f t="shared" si="1"/>
        <v>Fenicotteri</v>
      </c>
      <c r="H35" s="43">
        <f t="shared" si="2"/>
        <v>36</v>
      </c>
      <c r="I35" s="43">
        <f t="shared" si="3"/>
        <v>35</v>
      </c>
      <c r="J35" s="94" t="str">
        <f t="shared" si="4"/>
        <v>Balene</v>
      </c>
      <c r="K35" s="94" t="str">
        <f t="shared" si="5"/>
        <v>Fenicotteri</v>
      </c>
      <c r="L35" s="43">
        <f t="shared" si="6"/>
        <v>1</v>
      </c>
      <c r="M35" s="95">
        <f t="shared" si="7"/>
        <v>0</v>
      </c>
      <c r="N35" s="95">
        <f t="shared" si="8"/>
        <v>0</v>
      </c>
      <c r="O35" s="43">
        <f t="shared" si="9"/>
        <v>36</v>
      </c>
      <c r="P35" s="43">
        <f t="shared" si="10"/>
        <v>35</v>
      </c>
      <c r="Q35" s="96">
        <f t="shared" si="11"/>
        <v>1</v>
      </c>
      <c r="R35" s="43">
        <f t="shared" si="12"/>
        <v>0</v>
      </c>
      <c r="S35" s="43">
        <f t="shared" si="13"/>
        <v>1</v>
      </c>
      <c r="T35" s="43">
        <f t="shared" si="14"/>
        <v>0</v>
      </c>
      <c r="U35" s="43">
        <f t="shared" si="15"/>
        <v>35</v>
      </c>
      <c r="V35" s="43">
        <f t="shared" si="16"/>
        <v>36</v>
      </c>
      <c r="W35" s="97">
        <f t="shared" si="17"/>
        <v>-1</v>
      </c>
      <c r="AU35" s="104" t="s">
        <v>270</v>
      </c>
      <c r="AV35" s="105">
        <v>81</v>
      </c>
      <c r="AW35" s="106" t="s">
        <v>138</v>
      </c>
      <c r="AX35" s="107" t="s">
        <v>271</v>
      </c>
      <c r="AY35" s="106" t="s">
        <v>272</v>
      </c>
      <c r="AZ35" s="106" t="s">
        <v>273</v>
      </c>
      <c r="BA35" s="94" t="str">
        <f ca="1">IF(LEFT(AY35,1)="V",VLOOKUP(VALUE(SUBSTITUTE(AY35,"V","")),B_PARTITE_2A_FASE_PER_NUMERO,10,FALSE),IF(LEFT(AY35,1)="P",VLOOKUP(VALUE(SUBSTITUTE(AY35,"P","")),B_PARTITE_2A_FASE_PER_NUMERO,11,FALSE),VLOOKUP(AY35,B_CLASSIFICHE_GIRONI,4,FALSE)))</f>
        <v>Iguane</v>
      </c>
      <c r="BB35" s="94" t="str">
        <f ca="1">IF(LEFT(AZ35,1)="V",VLOOKUP(VALUE(SUBSTITUTE(AZ35,"V","")),B_PARTITE_2A_FASE_PER_NUMERO,10,FALSE),IF(LEFT(AZ35,1)="P",VLOOKUP(VALUE(SUBSTITUTE(AZ35,"P","")),B_PARTITE_2A_FASE_PER_NUMERO,11,FALSE),VLOOKUP(AZ35,B_CLASSIFICHE_GIRONI,4,FALSE)))</f>
        <v>Muli</v>
      </c>
      <c r="BC35" s="43">
        <f t="shared" si="31"/>
        <v>55</v>
      </c>
      <c r="BD35" s="43">
        <f t="shared" si="32"/>
        <v>41</v>
      </c>
      <c r="BE35" s="94" t="str">
        <f t="shared" ca="1" si="33"/>
        <v>Iguane</v>
      </c>
      <c r="BF35" s="94" t="str">
        <f t="shared" ca="1" si="34"/>
        <v>Muli</v>
      </c>
      <c r="BG35" s="43">
        <f t="shared" si="35"/>
        <v>1</v>
      </c>
      <c r="BH35" s="95">
        <f t="shared" si="36"/>
        <v>0</v>
      </c>
      <c r="BI35" s="95">
        <f t="shared" si="37"/>
        <v>0</v>
      </c>
      <c r="BJ35" s="43">
        <f t="shared" si="38"/>
        <v>55</v>
      </c>
      <c r="BK35" s="43">
        <f t="shared" si="39"/>
        <v>41</v>
      </c>
      <c r="BL35" s="96">
        <f t="shared" si="40"/>
        <v>14</v>
      </c>
      <c r="BM35" s="43">
        <f t="shared" si="41"/>
        <v>0</v>
      </c>
      <c r="BN35" s="43">
        <f t="shared" si="42"/>
        <v>1</v>
      </c>
      <c r="BO35" s="43">
        <f t="shared" si="43"/>
        <v>0</v>
      </c>
      <c r="BP35" s="43">
        <f t="shared" si="44"/>
        <v>41</v>
      </c>
      <c r="BQ35" s="43">
        <f t="shared" si="45"/>
        <v>55</v>
      </c>
      <c r="BR35" s="97">
        <f t="shared" si="46"/>
        <v>-14</v>
      </c>
    </row>
    <row r="36" spans="1:70">
      <c r="A36" s="31">
        <v>46</v>
      </c>
      <c r="B36" s="33" t="s">
        <v>10</v>
      </c>
      <c r="C36" s="33" t="s">
        <v>56</v>
      </c>
      <c r="D36" s="43" t="s">
        <v>224</v>
      </c>
      <c r="E36" s="43" t="s">
        <v>228</v>
      </c>
      <c r="F36" s="94" t="str">
        <f t="shared" si="0"/>
        <v>Gabbiani</v>
      </c>
      <c r="G36" s="94" t="str">
        <f t="shared" si="1"/>
        <v>Delfini</v>
      </c>
      <c r="H36" s="43">
        <f t="shared" si="2"/>
        <v>34</v>
      </c>
      <c r="I36" s="43">
        <f t="shared" si="3"/>
        <v>33</v>
      </c>
      <c r="J36" s="94" t="str">
        <f t="shared" si="4"/>
        <v>Gabbiani</v>
      </c>
      <c r="K36" s="94" t="str">
        <f t="shared" si="5"/>
        <v>Delfini</v>
      </c>
      <c r="L36" s="43">
        <f t="shared" si="6"/>
        <v>1</v>
      </c>
      <c r="M36" s="95">
        <f t="shared" si="7"/>
        <v>0</v>
      </c>
      <c r="N36" s="95">
        <f t="shared" si="8"/>
        <v>0</v>
      </c>
      <c r="O36" s="43">
        <f t="shared" si="9"/>
        <v>34</v>
      </c>
      <c r="P36" s="43">
        <f t="shared" si="10"/>
        <v>33</v>
      </c>
      <c r="Q36" s="96">
        <f t="shared" si="11"/>
        <v>1</v>
      </c>
      <c r="R36" s="43">
        <f t="shared" si="12"/>
        <v>0</v>
      </c>
      <c r="S36" s="43">
        <f t="shared" si="13"/>
        <v>1</v>
      </c>
      <c r="T36" s="43">
        <f t="shared" si="14"/>
        <v>0</v>
      </c>
      <c r="U36" s="43">
        <f t="shared" si="15"/>
        <v>33</v>
      </c>
      <c r="V36" s="43">
        <f t="shared" si="16"/>
        <v>34</v>
      </c>
      <c r="W36" s="97">
        <f t="shared" si="17"/>
        <v>-1</v>
      </c>
      <c r="AU36" s="104" t="s">
        <v>274</v>
      </c>
      <c r="AV36" s="105">
        <v>82</v>
      </c>
      <c r="AW36" s="106" t="s">
        <v>138</v>
      </c>
      <c r="AX36" s="107" t="s">
        <v>271</v>
      </c>
      <c r="AY36" s="106" t="s">
        <v>236</v>
      </c>
      <c r="AZ36" s="106" t="s">
        <v>275</v>
      </c>
      <c r="BA36" s="94" t="str">
        <f ca="1">IF(LEFT(AY36,1)="V",VLOOKUP(VALUE(SUBSTITUTE(AY36,"V","")),B_PARTITE_2A_FASE_PER_NUMERO,10,FALSE),IF(LEFT(AY36,1)="P",VLOOKUP(VALUE(SUBSTITUTE(AY36,"P","")),B_PARTITE_2A_FASE_PER_NUMERO,11,FALSE),VLOOKUP(AY36,B_CLASSIFICHE_GIRONI,4,FALSE)))</f>
        <v>Delfini</v>
      </c>
      <c r="BB36" s="94" t="str">
        <f ca="1">IF(LEFT(AZ36,1)="V",VLOOKUP(VALUE(SUBSTITUTE(AZ36,"V","")),B_PARTITE_2A_FASE_PER_NUMERO,10,FALSE),IF(LEFT(AZ36,1)="P",VLOOKUP(VALUE(SUBSTITUTE(AZ36,"P","")),B_PARTITE_2A_FASE_PER_NUMERO,11,FALSE),VLOOKUP(AZ36,B_CLASSIFICHE_GIRONI,4,FALSE)))</f>
        <v>Ghepardi</v>
      </c>
      <c r="BC36" s="43">
        <f t="shared" si="31"/>
        <v>63</v>
      </c>
      <c r="BD36" s="43">
        <f t="shared" si="32"/>
        <v>37</v>
      </c>
      <c r="BE36" s="94" t="str">
        <f t="shared" ca="1" si="33"/>
        <v>Delfini</v>
      </c>
      <c r="BF36" s="94" t="str">
        <f t="shared" ca="1" si="34"/>
        <v>Ghepardi</v>
      </c>
      <c r="BG36" s="43">
        <f t="shared" si="35"/>
        <v>1</v>
      </c>
      <c r="BH36" s="95">
        <f t="shared" si="36"/>
        <v>0</v>
      </c>
      <c r="BI36" s="95">
        <f t="shared" si="37"/>
        <v>0</v>
      </c>
      <c r="BJ36" s="43">
        <f t="shared" si="38"/>
        <v>63</v>
      </c>
      <c r="BK36" s="43">
        <f t="shared" si="39"/>
        <v>37</v>
      </c>
      <c r="BL36" s="96">
        <f t="shared" si="40"/>
        <v>26</v>
      </c>
      <c r="BM36" s="43">
        <f t="shared" si="41"/>
        <v>0</v>
      </c>
      <c r="BN36" s="43">
        <f t="shared" si="42"/>
        <v>1</v>
      </c>
      <c r="BO36" s="43">
        <f t="shared" si="43"/>
        <v>0</v>
      </c>
      <c r="BP36" s="43">
        <f t="shared" si="44"/>
        <v>37</v>
      </c>
      <c r="BQ36" s="43">
        <f t="shared" si="45"/>
        <v>63</v>
      </c>
      <c r="BR36" s="97">
        <f t="shared" si="46"/>
        <v>-26</v>
      </c>
    </row>
    <row r="37" spans="1:70">
      <c r="A37" s="31">
        <v>34</v>
      </c>
      <c r="B37" s="33" t="s">
        <v>10</v>
      </c>
      <c r="C37" s="33" t="s">
        <v>56</v>
      </c>
      <c r="D37" s="43" t="s">
        <v>224</v>
      </c>
      <c r="E37" s="43" t="s">
        <v>233</v>
      </c>
      <c r="F37" s="94" t="str">
        <f t="shared" si="0"/>
        <v>Gabbiani</v>
      </c>
      <c r="G37" s="94" t="str">
        <f t="shared" si="1"/>
        <v>Fenicotteri</v>
      </c>
      <c r="H37" s="43">
        <f t="shared" si="2"/>
        <v>35</v>
      </c>
      <c r="I37" s="43">
        <f t="shared" si="3"/>
        <v>34</v>
      </c>
      <c r="J37" s="94" t="str">
        <f t="shared" si="4"/>
        <v>Gabbiani</v>
      </c>
      <c r="K37" s="94" t="str">
        <f t="shared" si="5"/>
        <v>Fenicotteri</v>
      </c>
      <c r="L37" s="43">
        <f t="shared" si="6"/>
        <v>1</v>
      </c>
      <c r="M37" s="95">
        <f t="shared" si="7"/>
        <v>0</v>
      </c>
      <c r="N37" s="95">
        <f t="shared" si="8"/>
        <v>0</v>
      </c>
      <c r="O37" s="43">
        <f t="shared" si="9"/>
        <v>35</v>
      </c>
      <c r="P37" s="43">
        <f t="shared" si="10"/>
        <v>34</v>
      </c>
      <c r="Q37" s="96">
        <f t="shared" si="11"/>
        <v>1</v>
      </c>
      <c r="R37" s="43">
        <f t="shared" si="12"/>
        <v>0</v>
      </c>
      <c r="S37" s="43">
        <f t="shared" si="13"/>
        <v>1</v>
      </c>
      <c r="T37" s="43">
        <f t="shared" si="14"/>
        <v>0</v>
      </c>
      <c r="U37" s="43">
        <f t="shared" si="15"/>
        <v>34</v>
      </c>
      <c r="V37" s="43">
        <f t="shared" si="16"/>
        <v>35</v>
      </c>
      <c r="W37" s="97">
        <f t="shared" si="17"/>
        <v>-1</v>
      </c>
      <c r="AU37" s="104" t="s">
        <v>276</v>
      </c>
      <c r="AV37" s="105">
        <v>83</v>
      </c>
      <c r="AW37" s="106" t="s">
        <v>138</v>
      </c>
      <c r="AX37" s="107" t="s">
        <v>277</v>
      </c>
      <c r="AY37" s="106" t="s">
        <v>278</v>
      </c>
      <c r="AZ37" s="106" t="s">
        <v>279</v>
      </c>
      <c r="BA37" s="94" t="str">
        <f ca="1">IF(LEFT(AY37,1)="V",VLOOKUP(VALUE(SUBSTITUTE(AY37,"V","")),B_PARTITE_2A_FASE_PER_NUMERO,10,FALSE),IF(LEFT(AY37,1)="P",VLOOKUP(VALUE(SUBSTITUTE(AY37,"P","")),B_PARTITE_2A_FASE_PER_NUMERO,11,FALSE),VLOOKUP(AY37,B_CLASSIFICHE_GIRONI,4,FALSE)))</f>
        <v>Falchi</v>
      </c>
      <c r="BB37" s="94" t="str">
        <f ca="1">IF(LEFT(AZ37,1)="V",VLOOKUP(VALUE(SUBSTITUTE(AZ37,"V","")),B_PARTITE_2A_FASE_PER_NUMERO,10,FALSE),IF(LEFT(AZ37,1)="P",VLOOKUP(VALUE(SUBSTITUTE(AZ37,"P","")),B_PARTITE_2A_FASE_PER_NUMERO,11,FALSE),VLOOKUP(AZ37,B_CLASSIFICHE_GIRONI,4,FALSE)))</f>
        <v>Scorpioni</v>
      </c>
      <c r="BC37" s="43">
        <f t="shared" si="31"/>
        <v>52</v>
      </c>
      <c r="BD37" s="43">
        <f t="shared" si="32"/>
        <v>40</v>
      </c>
      <c r="BE37" s="94" t="str">
        <f t="shared" ca="1" si="33"/>
        <v>Falchi</v>
      </c>
      <c r="BF37" s="94" t="str">
        <f t="shared" ca="1" si="34"/>
        <v>Scorpioni</v>
      </c>
      <c r="BG37" s="43">
        <f t="shared" si="35"/>
        <v>1</v>
      </c>
      <c r="BH37" s="95">
        <f t="shared" si="36"/>
        <v>0</v>
      </c>
      <c r="BI37" s="95">
        <f t="shared" si="37"/>
        <v>0</v>
      </c>
      <c r="BJ37" s="43">
        <f t="shared" si="38"/>
        <v>52</v>
      </c>
      <c r="BK37" s="43">
        <f t="shared" si="39"/>
        <v>40</v>
      </c>
      <c r="BL37" s="96">
        <f t="shared" si="40"/>
        <v>12</v>
      </c>
      <c r="BM37" s="43">
        <f t="shared" si="41"/>
        <v>0</v>
      </c>
      <c r="BN37" s="43">
        <f t="shared" si="42"/>
        <v>1</v>
      </c>
      <c r="BO37" s="43">
        <f t="shared" si="43"/>
        <v>0</v>
      </c>
      <c r="BP37" s="43">
        <f t="shared" si="44"/>
        <v>40</v>
      </c>
      <c r="BQ37" s="43">
        <f t="shared" si="45"/>
        <v>52</v>
      </c>
      <c r="BR37" s="97">
        <f t="shared" si="46"/>
        <v>-12</v>
      </c>
    </row>
    <row r="38" spans="1:70">
      <c r="A38" s="31">
        <v>22</v>
      </c>
      <c r="B38" s="33" t="s">
        <v>10</v>
      </c>
      <c r="C38" s="33" t="s">
        <v>56</v>
      </c>
      <c r="D38" s="43" t="s">
        <v>228</v>
      </c>
      <c r="E38" s="43" t="s">
        <v>233</v>
      </c>
      <c r="F38" s="94" t="str">
        <f t="shared" si="0"/>
        <v>Delfini</v>
      </c>
      <c r="G38" s="94" t="str">
        <f t="shared" si="1"/>
        <v>Fenicotteri</v>
      </c>
      <c r="H38" s="43">
        <f t="shared" si="2"/>
        <v>34</v>
      </c>
      <c r="I38" s="43">
        <f t="shared" si="3"/>
        <v>33</v>
      </c>
      <c r="J38" s="94" t="str">
        <f t="shared" si="4"/>
        <v>Delfini</v>
      </c>
      <c r="K38" s="94" t="str">
        <f t="shared" si="5"/>
        <v>Fenicotteri</v>
      </c>
      <c r="L38" s="43">
        <f t="shared" si="6"/>
        <v>1</v>
      </c>
      <c r="M38" s="95">
        <f t="shared" si="7"/>
        <v>0</v>
      </c>
      <c r="N38" s="95">
        <f t="shared" si="8"/>
        <v>0</v>
      </c>
      <c r="O38" s="43">
        <f t="shared" si="9"/>
        <v>34</v>
      </c>
      <c r="P38" s="43">
        <f t="shared" si="10"/>
        <v>33</v>
      </c>
      <c r="Q38" s="96">
        <f t="shared" si="11"/>
        <v>1</v>
      </c>
      <c r="R38" s="43">
        <f t="shared" si="12"/>
        <v>0</v>
      </c>
      <c r="S38" s="43">
        <f t="shared" si="13"/>
        <v>1</v>
      </c>
      <c r="T38" s="43">
        <f t="shared" si="14"/>
        <v>0</v>
      </c>
      <c r="U38" s="43">
        <f t="shared" si="15"/>
        <v>33</v>
      </c>
      <c r="V38" s="43">
        <f t="shared" si="16"/>
        <v>34</v>
      </c>
      <c r="W38" s="97">
        <f t="shared" si="17"/>
        <v>-1</v>
      </c>
      <c r="AU38" s="104" t="s">
        <v>280</v>
      </c>
      <c r="AV38" s="105">
        <v>84</v>
      </c>
      <c r="AW38" s="106" t="s">
        <v>138</v>
      </c>
      <c r="AX38" s="107" t="s">
        <v>277</v>
      </c>
      <c r="AY38" s="106" t="s">
        <v>214</v>
      </c>
      <c r="AZ38" s="106" t="s">
        <v>281</v>
      </c>
      <c r="BA38" s="94" t="str">
        <f ca="1">IF(LEFT(AY38,1)="V",VLOOKUP(VALUE(SUBSTITUTE(AY38,"V","")),B_PARTITE_2A_FASE_PER_NUMERO,10,FALSE),IF(LEFT(AY38,1)="P",VLOOKUP(VALUE(SUBSTITUTE(AY38,"P","")),B_PARTITE_2A_FASE_PER_NUMERO,11,FALSE),VLOOKUP(AY38,B_CLASSIFICHE_GIRONI,4,FALSE)))</f>
        <v>Scorpioni</v>
      </c>
      <c r="BB38" s="94" t="str">
        <f ca="1">IF(LEFT(AZ38,1)="V",VLOOKUP(VALUE(SUBSTITUTE(AZ38,"V","")),B_PARTITE_2A_FASE_PER_NUMERO,10,FALSE),IF(LEFT(AZ38,1)="P",VLOOKUP(VALUE(SUBSTITUTE(AZ38,"P","")),B_PARTITE_2A_FASE_PER_NUMERO,11,FALSE),VLOOKUP(AZ38,B_CLASSIFICHE_GIRONI,4,FALSE)))</f>
        <v>Serval</v>
      </c>
      <c r="BC38" s="43">
        <f t="shared" si="31"/>
        <v>52</v>
      </c>
      <c r="BD38" s="43">
        <f t="shared" si="32"/>
        <v>36</v>
      </c>
      <c r="BE38" s="94" t="str">
        <f t="shared" ca="1" si="33"/>
        <v>Scorpioni</v>
      </c>
      <c r="BF38" s="94" t="str">
        <f t="shared" ca="1" si="34"/>
        <v>Serval</v>
      </c>
      <c r="BG38" s="43">
        <f t="shared" si="35"/>
        <v>1</v>
      </c>
      <c r="BH38" s="95">
        <f t="shared" si="36"/>
        <v>0</v>
      </c>
      <c r="BI38" s="95">
        <f t="shared" si="37"/>
        <v>0</v>
      </c>
      <c r="BJ38" s="43">
        <f t="shared" si="38"/>
        <v>52</v>
      </c>
      <c r="BK38" s="43">
        <f t="shared" si="39"/>
        <v>36</v>
      </c>
      <c r="BL38" s="96">
        <f t="shared" si="40"/>
        <v>16</v>
      </c>
      <c r="BM38" s="43">
        <f t="shared" si="41"/>
        <v>0</v>
      </c>
      <c r="BN38" s="43">
        <f t="shared" si="42"/>
        <v>1</v>
      </c>
      <c r="BO38" s="43">
        <f t="shared" si="43"/>
        <v>0</v>
      </c>
      <c r="BP38" s="43">
        <f t="shared" si="44"/>
        <v>36</v>
      </c>
      <c r="BQ38" s="43">
        <f t="shared" si="45"/>
        <v>52</v>
      </c>
      <c r="BR38" s="97">
        <f t="shared" si="46"/>
        <v>-16</v>
      </c>
    </row>
    <row r="39" spans="1:70">
      <c r="A39" s="31">
        <v>19</v>
      </c>
      <c r="B39" s="33" t="s">
        <v>10</v>
      </c>
      <c r="C39" s="33" t="s">
        <v>61</v>
      </c>
      <c r="D39" s="43" t="s">
        <v>237</v>
      </c>
      <c r="E39" s="43" t="s">
        <v>241</v>
      </c>
      <c r="F39" s="94" t="str">
        <f t="shared" si="0"/>
        <v>Istrici</v>
      </c>
      <c r="G39" s="94" t="str">
        <f t="shared" si="1"/>
        <v>Gorilla</v>
      </c>
      <c r="H39" s="43">
        <f t="shared" si="2"/>
        <v>20</v>
      </c>
      <c r="I39" s="43">
        <f t="shared" si="3"/>
        <v>0</v>
      </c>
      <c r="J39" s="94" t="str">
        <f t="shared" si="4"/>
        <v>Istrici</v>
      </c>
      <c r="K39" s="94" t="str">
        <f t="shared" si="5"/>
        <v>Gorilla</v>
      </c>
      <c r="L39" s="43">
        <f t="shared" si="6"/>
        <v>1</v>
      </c>
      <c r="M39" s="95">
        <f t="shared" si="7"/>
        <v>0</v>
      </c>
      <c r="N39" s="95">
        <f t="shared" si="8"/>
        <v>0</v>
      </c>
      <c r="O39" s="43">
        <f t="shared" si="9"/>
        <v>20</v>
      </c>
      <c r="P39" s="43">
        <f t="shared" si="10"/>
        <v>0</v>
      </c>
      <c r="Q39" s="96">
        <f t="shared" si="11"/>
        <v>20</v>
      </c>
      <c r="R39" s="43">
        <f t="shared" si="12"/>
        <v>0</v>
      </c>
      <c r="S39" s="43">
        <f t="shared" si="13"/>
        <v>0</v>
      </c>
      <c r="T39" s="43">
        <f t="shared" si="14"/>
        <v>1</v>
      </c>
      <c r="U39" s="43">
        <f t="shared" si="15"/>
        <v>0</v>
      </c>
      <c r="V39" s="43">
        <f t="shared" si="16"/>
        <v>20</v>
      </c>
      <c r="W39" s="97">
        <f t="shared" si="17"/>
        <v>-20</v>
      </c>
      <c r="AU39" s="104" t="s">
        <v>282</v>
      </c>
      <c r="AV39" s="105">
        <v>85</v>
      </c>
      <c r="AW39" s="106" t="s">
        <v>138</v>
      </c>
      <c r="AX39" s="107" t="s">
        <v>283</v>
      </c>
      <c r="AY39" s="106" t="s">
        <v>284</v>
      </c>
      <c r="AZ39" s="106" t="s">
        <v>285</v>
      </c>
      <c r="BA39" s="94" t="str">
        <f ca="1">IF(LEFT(AY39,1)="V",VLOOKUP(VALUE(SUBSTITUTE(AY39,"V","")),B_PARTITE_2A_FASE_PER_NUMERO,10,FALSE),IF(LEFT(AY39,1)="P",VLOOKUP(VALUE(SUBSTITUTE(AY39,"P","")),B_PARTITE_2A_FASE_PER_NUMERO,11,FALSE),VLOOKUP(AY39,B_CLASSIFICHE_GIRONI,4,FALSE)))</f>
        <v>Giaguari</v>
      </c>
      <c r="BB39" s="94" t="str">
        <f ca="1">IF(LEFT(AZ39,1)="V",VLOOKUP(VALUE(SUBSTITUTE(AZ39,"V","")),B_PARTITE_2A_FASE_PER_NUMERO,10,FALSE),IF(LEFT(AZ39,1)="P",VLOOKUP(VALUE(SUBSTITUTE(AZ39,"P","")),B_PARTITE_2A_FASE_PER_NUMERO,11,FALSE),VLOOKUP(AZ39,B_CLASSIFICHE_GIRONI,4,FALSE)))</f>
        <v>Balene</v>
      </c>
      <c r="BC39" s="43">
        <f t="shared" si="31"/>
        <v>70</v>
      </c>
      <c r="BD39" s="43">
        <f t="shared" si="32"/>
        <v>42</v>
      </c>
      <c r="BE39" s="94" t="str">
        <f t="shared" ca="1" si="33"/>
        <v>Giaguari</v>
      </c>
      <c r="BF39" s="94" t="str">
        <f t="shared" ca="1" si="34"/>
        <v>Balene</v>
      </c>
      <c r="BG39" s="43">
        <f t="shared" si="35"/>
        <v>1</v>
      </c>
      <c r="BH39" s="95">
        <f t="shared" si="36"/>
        <v>0</v>
      </c>
      <c r="BI39" s="95">
        <f t="shared" si="37"/>
        <v>0</v>
      </c>
      <c r="BJ39" s="43">
        <f t="shared" si="38"/>
        <v>70</v>
      </c>
      <c r="BK39" s="43">
        <f t="shared" si="39"/>
        <v>42</v>
      </c>
      <c r="BL39" s="96">
        <f t="shared" si="40"/>
        <v>28</v>
      </c>
      <c r="BM39" s="43">
        <f t="shared" si="41"/>
        <v>0</v>
      </c>
      <c r="BN39" s="43">
        <f t="shared" si="42"/>
        <v>1</v>
      </c>
      <c r="BO39" s="43">
        <f t="shared" si="43"/>
        <v>0</v>
      </c>
      <c r="BP39" s="43">
        <f t="shared" si="44"/>
        <v>42</v>
      </c>
      <c r="BQ39" s="43">
        <f t="shared" si="45"/>
        <v>70</v>
      </c>
      <c r="BR39" s="97">
        <f t="shared" si="46"/>
        <v>-28</v>
      </c>
    </row>
    <row r="40" spans="1:70">
      <c r="A40" s="31">
        <v>31</v>
      </c>
      <c r="B40" s="33" t="s">
        <v>10</v>
      </c>
      <c r="C40" s="33" t="s">
        <v>61</v>
      </c>
      <c r="D40" s="43" t="s">
        <v>237</v>
      </c>
      <c r="E40" s="43" t="s">
        <v>245</v>
      </c>
      <c r="F40" s="94" t="str">
        <f t="shared" si="0"/>
        <v>Istrici</v>
      </c>
      <c r="G40" s="94" t="str">
        <f t="shared" si="1"/>
        <v>Muli</v>
      </c>
      <c r="H40" s="43">
        <f t="shared" si="2"/>
        <v>20</v>
      </c>
      <c r="I40" s="43">
        <f t="shared" si="3"/>
        <v>0</v>
      </c>
      <c r="J40" s="94" t="str">
        <f t="shared" si="4"/>
        <v>Istrici</v>
      </c>
      <c r="K40" s="94" t="str">
        <f t="shared" si="5"/>
        <v>Muli</v>
      </c>
      <c r="L40" s="43">
        <f t="shared" si="6"/>
        <v>1</v>
      </c>
      <c r="M40" s="95">
        <f t="shared" si="7"/>
        <v>0</v>
      </c>
      <c r="N40" s="95">
        <f t="shared" si="8"/>
        <v>0</v>
      </c>
      <c r="O40" s="43">
        <f t="shared" si="9"/>
        <v>20</v>
      </c>
      <c r="P40" s="43">
        <f t="shared" si="10"/>
        <v>0</v>
      </c>
      <c r="Q40" s="96">
        <f t="shared" si="11"/>
        <v>20</v>
      </c>
      <c r="R40" s="43">
        <f t="shared" si="12"/>
        <v>0</v>
      </c>
      <c r="S40" s="43">
        <f t="shared" si="13"/>
        <v>0</v>
      </c>
      <c r="T40" s="43">
        <f t="shared" si="14"/>
        <v>1</v>
      </c>
      <c r="U40" s="43">
        <f t="shared" si="15"/>
        <v>0</v>
      </c>
      <c r="V40" s="43">
        <f t="shared" si="16"/>
        <v>20</v>
      </c>
      <c r="W40" s="97">
        <f t="shared" si="17"/>
        <v>-20</v>
      </c>
      <c r="AU40" s="104" t="s">
        <v>286</v>
      </c>
      <c r="AV40" s="105">
        <v>86</v>
      </c>
      <c r="AW40" s="106" t="s">
        <v>138</v>
      </c>
      <c r="AX40" s="107" t="s">
        <v>283</v>
      </c>
      <c r="AY40" s="106" t="s">
        <v>287</v>
      </c>
      <c r="AZ40" s="106" t="s">
        <v>288</v>
      </c>
      <c r="BA40" s="94" t="str">
        <f ca="1">IF(LEFT(AY40,1)="V",VLOOKUP(VALUE(SUBSTITUTE(AY40,"V","")),B_PARTITE_2A_FASE_PER_NUMERO,10,FALSE),IF(LEFT(AY40,1)="P",VLOOKUP(VALUE(SUBSTITUTE(AY40,"P","")),B_PARTITE_2A_FASE_PER_NUMERO,11,FALSE),VLOOKUP(AY40,B_CLASSIFICHE_GIRONI,4,FALSE)))</f>
        <v>Coccodrilli</v>
      </c>
      <c r="BB40" s="94" t="str">
        <f ca="1">IF(LEFT(AZ40,1)="V",VLOOKUP(VALUE(SUBSTITUTE(AZ40,"V","")),B_PARTITE_2A_FASE_PER_NUMERO,10,FALSE),IF(LEFT(AZ40,1)="P",VLOOKUP(VALUE(SUBSTITUTE(AZ40,"P","")),B_PARTITE_2A_FASE_PER_NUMERO,11,FALSE),VLOOKUP(AZ40,B_CLASSIFICHE_GIRONI,4,FALSE)))</f>
        <v>Piranha</v>
      </c>
      <c r="BC40" s="43">
        <f t="shared" si="31"/>
        <v>55</v>
      </c>
      <c r="BD40" s="43">
        <f t="shared" si="32"/>
        <v>35</v>
      </c>
      <c r="BE40" s="94" t="str">
        <f t="shared" ca="1" si="33"/>
        <v>Coccodrilli</v>
      </c>
      <c r="BF40" s="94" t="str">
        <f t="shared" ca="1" si="34"/>
        <v>Piranha</v>
      </c>
      <c r="BG40" s="43">
        <f t="shared" si="35"/>
        <v>1</v>
      </c>
      <c r="BH40" s="95">
        <f t="shared" si="36"/>
        <v>0</v>
      </c>
      <c r="BI40" s="95">
        <f t="shared" si="37"/>
        <v>0</v>
      </c>
      <c r="BJ40" s="43">
        <f t="shared" si="38"/>
        <v>55</v>
      </c>
      <c r="BK40" s="43">
        <f t="shared" si="39"/>
        <v>35</v>
      </c>
      <c r="BL40" s="96">
        <f t="shared" si="40"/>
        <v>20</v>
      </c>
      <c r="BM40" s="43">
        <f t="shared" si="41"/>
        <v>0</v>
      </c>
      <c r="BN40" s="43">
        <f t="shared" si="42"/>
        <v>1</v>
      </c>
      <c r="BO40" s="43">
        <f t="shared" si="43"/>
        <v>0</v>
      </c>
      <c r="BP40" s="43">
        <f t="shared" si="44"/>
        <v>35</v>
      </c>
      <c r="BQ40" s="43">
        <f t="shared" si="45"/>
        <v>55</v>
      </c>
      <c r="BR40" s="97">
        <f t="shared" si="46"/>
        <v>-20</v>
      </c>
    </row>
    <row r="41" spans="1:70">
      <c r="A41" s="31">
        <v>43</v>
      </c>
      <c r="B41" s="33" t="s">
        <v>10</v>
      </c>
      <c r="C41" s="33" t="s">
        <v>61</v>
      </c>
      <c r="D41" s="43" t="s">
        <v>237</v>
      </c>
      <c r="E41" s="43" t="s">
        <v>249</v>
      </c>
      <c r="F41" s="94" t="str">
        <f t="shared" si="0"/>
        <v>Istrici</v>
      </c>
      <c r="G41" s="94" t="str">
        <f t="shared" si="1"/>
        <v>Orche</v>
      </c>
      <c r="H41" s="43">
        <f t="shared" si="2"/>
        <v>20</v>
      </c>
      <c r="I41" s="43">
        <f t="shared" si="3"/>
        <v>0</v>
      </c>
      <c r="J41" s="94" t="str">
        <f t="shared" si="4"/>
        <v>Istrici</v>
      </c>
      <c r="K41" s="94" t="str">
        <f t="shared" si="5"/>
        <v>Orche</v>
      </c>
      <c r="L41" s="43">
        <f t="shared" si="6"/>
        <v>1</v>
      </c>
      <c r="M41" s="95">
        <f t="shared" si="7"/>
        <v>0</v>
      </c>
      <c r="N41" s="95">
        <f t="shared" si="8"/>
        <v>0</v>
      </c>
      <c r="O41" s="43">
        <f t="shared" si="9"/>
        <v>20</v>
      </c>
      <c r="P41" s="43">
        <f t="shared" si="10"/>
        <v>0</v>
      </c>
      <c r="Q41" s="96">
        <f t="shared" si="11"/>
        <v>20</v>
      </c>
      <c r="R41" s="43">
        <f t="shared" si="12"/>
        <v>0</v>
      </c>
      <c r="S41" s="43">
        <f t="shared" si="13"/>
        <v>0</v>
      </c>
      <c r="T41" s="43">
        <f t="shared" si="14"/>
        <v>1</v>
      </c>
      <c r="U41" s="43">
        <f t="shared" si="15"/>
        <v>0</v>
      </c>
      <c r="V41" s="43">
        <f t="shared" si="16"/>
        <v>20</v>
      </c>
      <c r="W41" s="97">
        <f t="shared" si="17"/>
        <v>-20</v>
      </c>
      <c r="AU41" s="104" t="s">
        <v>289</v>
      </c>
      <c r="AV41" s="105">
        <v>87</v>
      </c>
      <c r="AW41" s="106" t="s">
        <v>138</v>
      </c>
      <c r="AX41" s="107" t="s">
        <v>290</v>
      </c>
      <c r="AY41" s="106" t="s">
        <v>291</v>
      </c>
      <c r="AZ41" s="106" t="s">
        <v>292</v>
      </c>
      <c r="BA41" s="94" t="str">
        <f ca="1">IF(LEFT(AY41,1)="V",VLOOKUP(VALUE(SUBSTITUTE(AY41,"V","")),B_PARTITE_2A_FASE_PER_NUMERO,10,FALSE),IF(LEFT(AY41,1)="P",VLOOKUP(VALUE(SUBSTITUTE(AY41,"P","")),B_PARTITE_2A_FASE_PER_NUMERO,11,FALSE),VLOOKUP(AY41,B_CLASSIFICHE_GIRONI,4,FALSE)))</f>
        <v>Leoni</v>
      </c>
      <c r="BB41" s="94" t="str">
        <f ca="1">IF(LEFT(AZ41,1)="V",VLOOKUP(VALUE(SUBSTITUTE(AZ41,"V","")),B_PARTITE_2A_FASE_PER_NUMERO,10,FALSE),IF(LEFT(AZ41,1)="P",VLOOKUP(VALUE(SUBSTITUTE(AZ41,"P","")),B_PARTITE_2A_FASE_PER_NUMERO,11,FALSE),VLOOKUP(AZ41,B_CLASSIFICHE_GIRONI,4,FALSE)))</f>
        <v>Bisonti</v>
      </c>
      <c r="BC41" s="43">
        <f t="shared" si="31"/>
        <v>66</v>
      </c>
      <c r="BD41" s="43">
        <f t="shared" si="32"/>
        <v>31</v>
      </c>
      <c r="BE41" s="94" t="str">
        <f t="shared" ca="1" si="33"/>
        <v>Leoni</v>
      </c>
      <c r="BF41" s="94" t="str">
        <f t="shared" ca="1" si="34"/>
        <v>Bisonti</v>
      </c>
      <c r="BG41" s="43">
        <f t="shared" si="35"/>
        <v>1</v>
      </c>
      <c r="BH41" s="95">
        <f t="shared" si="36"/>
        <v>0</v>
      </c>
      <c r="BI41" s="95">
        <f t="shared" si="37"/>
        <v>0</v>
      </c>
      <c r="BJ41" s="43">
        <f t="shared" si="38"/>
        <v>66</v>
      </c>
      <c r="BK41" s="43">
        <f t="shared" si="39"/>
        <v>31</v>
      </c>
      <c r="BL41" s="96">
        <f t="shared" si="40"/>
        <v>35</v>
      </c>
      <c r="BM41" s="43">
        <f t="shared" si="41"/>
        <v>0</v>
      </c>
      <c r="BN41" s="43">
        <f t="shared" si="42"/>
        <v>1</v>
      </c>
      <c r="BO41" s="43">
        <f t="shared" si="43"/>
        <v>0</v>
      </c>
      <c r="BP41" s="43">
        <f t="shared" si="44"/>
        <v>31</v>
      </c>
      <c r="BQ41" s="43">
        <f t="shared" si="45"/>
        <v>66</v>
      </c>
      <c r="BR41" s="97">
        <f t="shared" si="46"/>
        <v>-35</v>
      </c>
    </row>
    <row r="42" spans="1:70">
      <c r="A42" s="31">
        <v>47</v>
      </c>
      <c r="B42" s="33" t="s">
        <v>10</v>
      </c>
      <c r="C42" s="33" t="s">
        <v>61</v>
      </c>
      <c r="D42" s="43" t="s">
        <v>241</v>
      </c>
      <c r="E42" s="43" t="s">
        <v>245</v>
      </c>
      <c r="F42" s="94" t="str">
        <f t="shared" si="0"/>
        <v>Gorilla</v>
      </c>
      <c r="G42" s="94" t="str">
        <f t="shared" si="1"/>
        <v>Muli</v>
      </c>
      <c r="H42" s="43">
        <f t="shared" si="2"/>
        <v>20</v>
      </c>
      <c r="I42" s="43">
        <f t="shared" si="3"/>
        <v>0</v>
      </c>
      <c r="J42" s="94" t="str">
        <f t="shared" si="4"/>
        <v>Gorilla</v>
      </c>
      <c r="K42" s="94" t="str">
        <f t="shared" si="5"/>
        <v>Muli</v>
      </c>
      <c r="L42" s="43">
        <f t="shared" si="6"/>
        <v>1</v>
      </c>
      <c r="M42" s="95">
        <f t="shared" si="7"/>
        <v>0</v>
      </c>
      <c r="N42" s="95">
        <f t="shared" si="8"/>
        <v>0</v>
      </c>
      <c r="O42" s="43">
        <f t="shared" si="9"/>
        <v>20</v>
      </c>
      <c r="P42" s="43">
        <f t="shared" si="10"/>
        <v>0</v>
      </c>
      <c r="Q42" s="96">
        <f t="shared" si="11"/>
        <v>20</v>
      </c>
      <c r="R42" s="43">
        <f t="shared" si="12"/>
        <v>0</v>
      </c>
      <c r="S42" s="43">
        <f t="shared" si="13"/>
        <v>0</v>
      </c>
      <c r="T42" s="43">
        <f t="shared" si="14"/>
        <v>1</v>
      </c>
      <c r="U42" s="43">
        <f t="shared" si="15"/>
        <v>0</v>
      </c>
      <c r="V42" s="43">
        <f t="shared" si="16"/>
        <v>20</v>
      </c>
      <c r="W42" s="97">
        <f t="shared" si="17"/>
        <v>-20</v>
      </c>
      <c r="AU42" s="104" t="s">
        <v>293</v>
      </c>
      <c r="AV42" s="105">
        <v>88</v>
      </c>
      <c r="AW42" s="106" t="s">
        <v>138</v>
      </c>
      <c r="AX42" s="107" t="s">
        <v>290</v>
      </c>
      <c r="AY42" s="106" t="s">
        <v>294</v>
      </c>
      <c r="AZ42" s="106" t="s">
        <v>295</v>
      </c>
      <c r="BA42" s="94" t="str">
        <f ca="1">IF(LEFT(AY42,1)="V",VLOOKUP(VALUE(SUBSTITUTE(AY42,"V","")),B_PARTITE_2A_FASE_PER_NUMERO,10,FALSE),IF(LEFT(AY42,1)="P",VLOOKUP(VALUE(SUBSTITUTE(AY42,"P","")),B_PARTITE_2A_FASE_PER_NUMERO,11,FALSE),VLOOKUP(AY42,B_CLASSIFICHE_GIRONI,4,FALSE)))</f>
        <v>Pantere</v>
      </c>
      <c r="BB42" s="94" t="str">
        <f ca="1">IF(LEFT(AZ42,1)="V",VLOOKUP(VALUE(SUBSTITUTE(AZ42,"V","")),B_PARTITE_2A_FASE_PER_NUMERO,10,FALSE),IF(LEFT(AZ42,1)="P",VLOOKUP(VALUE(SUBSTITUTE(AZ42,"P","")),B_PARTITE_2A_FASE_PER_NUMERO,11,FALSE),VLOOKUP(AZ42,B_CLASSIFICHE_GIRONI,4,FALSE)))</f>
        <v>Istrici</v>
      </c>
      <c r="BC42" s="43">
        <f t="shared" si="31"/>
        <v>68</v>
      </c>
      <c r="BD42" s="43">
        <f t="shared" si="32"/>
        <v>47</v>
      </c>
      <c r="BE42" s="94" t="str">
        <f t="shared" ca="1" si="33"/>
        <v>Pantere</v>
      </c>
      <c r="BF42" s="94" t="str">
        <f t="shared" ca="1" si="34"/>
        <v>Istrici</v>
      </c>
      <c r="BG42" s="43">
        <f t="shared" si="35"/>
        <v>1</v>
      </c>
      <c r="BH42" s="95">
        <f t="shared" si="36"/>
        <v>0</v>
      </c>
      <c r="BI42" s="95">
        <f t="shared" si="37"/>
        <v>0</v>
      </c>
      <c r="BJ42" s="43">
        <f t="shared" si="38"/>
        <v>68</v>
      </c>
      <c r="BK42" s="43">
        <f t="shared" si="39"/>
        <v>47</v>
      </c>
      <c r="BL42" s="96">
        <f t="shared" si="40"/>
        <v>21</v>
      </c>
      <c r="BM42" s="43">
        <f t="shared" si="41"/>
        <v>0</v>
      </c>
      <c r="BN42" s="43">
        <f t="shared" si="42"/>
        <v>1</v>
      </c>
      <c r="BO42" s="43">
        <f t="shared" si="43"/>
        <v>0</v>
      </c>
      <c r="BP42" s="43">
        <f t="shared" si="44"/>
        <v>47</v>
      </c>
      <c r="BQ42" s="43">
        <f t="shared" si="45"/>
        <v>68</v>
      </c>
      <c r="BR42" s="97">
        <f t="shared" si="46"/>
        <v>-21</v>
      </c>
    </row>
    <row r="43" spans="1:70">
      <c r="A43" s="31">
        <v>35</v>
      </c>
      <c r="B43" s="33" t="s">
        <v>10</v>
      </c>
      <c r="C43" s="33" t="s">
        <v>61</v>
      </c>
      <c r="D43" s="43" t="s">
        <v>241</v>
      </c>
      <c r="E43" s="43" t="s">
        <v>249</v>
      </c>
      <c r="F43" s="94" t="str">
        <f t="shared" si="0"/>
        <v>Gorilla</v>
      </c>
      <c r="G43" s="94" t="str">
        <f t="shared" si="1"/>
        <v>Orche</v>
      </c>
      <c r="H43" s="43">
        <f t="shared" si="2"/>
        <v>20</v>
      </c>
      <c r="I43" s="43">
        <f t="shared" si="3"/>
        <v>0</v>
      </c>
      <c r="J43" s="94" t="str">
        <f t="shared" si="4"/>
        <v>Gorilla</v>
      </c>
      <c r="K43" s="94" t="str">
        <f t="shared" si="5"/>
        <v>Orche</v>
      </c>
      <c r="L43" s="43">
        <f t="shared" si="6"/>
        <v>1</v>
      </c>
      <c r="M43" s="95">
        <f t="shared" si="7"/>
        <v>0</v>
      </c>
      <c r="N43" s="95">
        <f t="shared" si="8"/>
        <v>0</v>
      </c>
      <c r="O43" s="43">
        <f t="shared" si="9"/>
        <v>20</v>
      </c>
      <c r="P43" s="43">
        <f t="shared" si="10"/>
        <v>0</v>
      </c>
      <c r="Q43" s="96">
        <f t="shared" si="11"/>
        <v>20</v>
      </c>
      <c r="R43" s="43">
        <f t="shared" si="12"/>
        <v>0</v>
      </c>
      <c r="S43" s="43">
        <f t="shared" si="13"/>
        <v>0</v>
      </c>
      <c r="T43" s="43">
        <f t="shared" si="14"/>
        <v>1</v>
      </c>
      <c r="U43" s="43">
        <f t="shared" si="15"/>
        <v>0</v>
      </c>
      <c r="V43" s="43">
        <f t="shared" si="16"/>
        <v>20</v>
      </c>
      <c r="W43" s="97">
        <f t="shared" si="17"/>
        <v>-20</v>
      </c>
      <c r="AU43" s="104" t="s">
        <v>296</v>
      </c>
      <c r="AV43" s="105">
        <v>89</v>
      </c>
      <c r="AW43" s="106" t="s">
        <v>138</v>
      </c>
      <c r="AX43" s="107" t="s">
        <v>297</v>
      </c>
      <c r="AY43" s="106" t="s">
        <v>298</v>
      </c>
      <c r="AZ43" s="106" t="s">
        <v>299</v>
      </c>
      <c r="BA43" s="94" t="str">
        <f ca="1">IF(LEFT(AY43,1)="V",VLOOKUP(VALUE(SUBSTITUTE(AY43,"V","")),B_PARTITE_2A_FASE_PER_NUMERO,10,FALSE),IF(LEFT(AY43,1)="P",VLOOKUP(VALUE(SUBSTITUTE(AY43,"P","")),B_PARTITE_2A_FASE_PER_NUMERO,11,FALSE),VLOOKUP(AY43,B_CLASSIFICHE_GIRONI,4,FALSE)))</f>
        <v>Elefanti</v>
      </c>
      <c r="BB43" s="94" t="str">
        <f ca="1">IF(LEFT(AZ43,1)="V",VLOOKUP(VALUE(SUBSTITUTE(AZ43,"V","")),B_PARTITE_2A_FASE_PER_NUMERO,10,FALSE),IF(LEFT(AZ43,1)="P",VLOOKUP(VALUE(SUBSTITUTE(AZ43,"P","")),B_PARTITE_2A_FASE_PER_NUMERO,11,FALSE),VLOOKUP(AZ43,B_CLASSIFICHE_GIRONI,4,FALSE)))</f>
        <v>Gorilla</v>
      </c>
      <c r="BC43" s="43">
        <f t="shared" si="31"/>
        <v>66</v>
      </c>
      <c r="BD43" s="43">
        <f t="shared" si="32"/>
        <v>32</v>
      </c>
      <c r="BE43" s="94" t="str">
        <f t="shared" ca="1" si="33"/>
        <v>Elefanti</v>
      </c>
      <c r="BF43" s="94" t="str">
        <f t="shared" ca="1" si="34"/>
        <v>Gorilla</v>
      </c>
      <c r="BG43" s="43">
        <f t="shared" si="35"/>
        <v>1</v>
      </c>
      <c r="BH43" s="95">
        <f t="shared" si="36"/>
        <v>0</v>
      </c>
      <c r="BI43" s="95">
        <f t="shared" si="37"/>
        <v>0</v>
      </c>
      <c r="BJ43" s="43">
        <f t="shared" si="38"/>
        <v>66</v>
      </c>
      <c r="BK43" s="43">
        <f t="shared" si="39"/>
        <v>32</v>
      </c>
      <c r="BL43" s="96">
        <f t="shared" si="40"/>
        <v>34</v>
      </c>
      <c r="BM43" s="43">
        <f t="shared" si="41"/>
        <v>0</v>
      </c>
      <c r="BN43" s="43">
        <f t="shared" si="42"/>
        <v>1</v>
      </c>
      <c r="BO43" s="43">
        <f t="shared" si="43"/>
        <v>0</v>
      </c>
      <c r="BP43" s="43">
        <f t="shared" si="44"/>
        <v>32</v>
      </c>
      <c r="BQ43" s="43">
        <f t="shared" si="45"/>
        <v>66</v>
      </c>
      <c r="BR43" s="97">
        <f t="shared" si="46"/>
        <v>-34</v>
      </c>
    </row>
    <row r="44" spans="1:70">
      <c r="A44" s="31">
        <v>23</v>
      </c>
      <c r="B44" s="33" t="s">
        <v>10</v>
      </c>
      <c r="C44" s="33" t="s">
        <v>61</v>
      </c>
      <c r="D44" s="43" t="s">
        <v>245</v>
      </c>
      <c r="E44" s="43" t="s">
        <v>249</v>
      </c>
      <c r="F44" s="94" t="str">
        <f t="shared" si="0"/>
        <v>Muli</v>
      </c>
      <c r="G44" s="94" t="str">
        <f t="shared" si="1"/>
        <v>Orche</v>
      </c>
      <c r="H44" s="43">
        <f t="shared" si="2"/>
        <v>0</v>
      </c>
      <c r="I44" s="43">
        <f t="shared" si="3"/>
        <v>20</v>
      </c>
      <c r="J44" s="94" t="str">
        <f t="shared" si="4"/>
        <v>Orche</v>
      </c>
      <c r="K44" s="94" t="str">
        <f t="shared" si="5"/>
        <v>Muli</v>
      </c>
      <c r="L44" s="43">
        <f t="shared" si="6"/>
        <v>0</v>
      </c>
      <c r="M44" s="95">
        <f t="shared" si="7"/>
        <v>0</v>
      </c>
      <c r="N44" s="95">
        <f t="shared" si="8"/>
        <v>1</v>
      </c>
      <c r="O44" s="43">
        <f t="shared" si="9"/>
        <v>0</v>
      </c>
      <c r="P44" s="43">
        <f t="shared" si="10"/>
        <v>20</v>
      </c>
      <c r="Q44" s="96">
        <f t="shared" si="11"/>
        <v>-20</v>
      </c>
      <c r="R44" s="43">
        <f t="shared" si="12"/>
        <v>1</v>
      </c>
      <c r="S44" s="43">
        <f t="shared" si="13"/>
        <v>0</v>
      </c>
      <c r="T44" s="43">
        <f t="shared" si="14"/>
        <v>0</v>
      </c>
      <c r="U44" s="43">
        <f t="shared" si="15"/>
        <v>20</v>
      </c>
      <c r="V44" s="43">
        <f t="shared" si="16"/>
        <v>0</v>
      </c>
      <c r="W44" s="97">
        <f t="shared" si="17"/>
        <v>20</v>
      </c>
      <c r="AU44" s="104" t="s">
        <v>300</v>
      </c>
      <c r="AV44" s="105">
        <v>90</v>
      </c>
      <c r="AW44" s="106" t="s">
        <v>138</v>
      </c>
      <c r="AX44" s="107" t="s">
        <v>297</v>
      </c>
      <c r="AY44" s="106" t="s">
        <v>301</v>
      </c>
      <c r="AZ44" s="106" t="s">
        <v>302</v>
      </c>
      <c r="BA44" s="94" t="str">
        <f ca="1">IF(LEFT(AY44,1)="V",VLOOKUP(VALUE(SUBSTITUTE(AY44,"V","")),B_PARTITE_2A_FASE_PER_NUMERO,10,FALSE),IF(LEFT(AY44,1)="P",VLOOKUP(VALUE(SUBSTITUTE(AY44,"P","")),B_PARTITE_2A_FASE_PER_NUMERO,11,FALSE),VLOOKUP(AY44,B_CLASSIFICHE_GIRONI,4,FALSE)))</f>
        <v>Giraffe</v>
      </c>
      <c r="BB44" s="94" t="str">
        <f ca="1">IF(LEFT(AZ44,1)="V",VLOOKUP(VALUE(SUBSTITUTE(AZ44,"V","")),B_PARTITE_2A_FASE_PER_NUMERO,10,FALSE),IF(LEFT(AZ44,1)="P",VLOOKUP(VALUE(SUBSTITUTE(AZ44,"P","")),B_PARTITE_2A_FASE_PER_NUMERO,11,FALSE),VLOOKUP(AZ44,B_CLASSIFICHE_GIRONI,4,FALSE)))</f>
        <v>Bufali</v>
      </c>
      <c r="BC44" s="43">
        <f t="shared" si="31"/>
        <v>52</v>
      </c>
      <c r="BD44" s="43">
        <f t="shared" si="32"/>
        <v>30</v>
      </c>
      <c r="BE44" s="94" t="str">
        <f t="shared" ca="1" si="33"/>
        <v>Giraffe</v>
      </c>
      <c r="BF44" s="94" t="str">
        <f t="shared" ca="1" si="34"/>
        <v>Bufali</v>
      </c>
      <c r="BG44" s="43">
        <f t="shared" si="35"/>
        <v>1</v>
      </c>
      <c r="BH44" s="95">
        <f t="shared" si="36"/>
        <v>0</v>
      </c>
      <c r="BI44" s="95">
        <f t="shared" si="37"/>
        <v>0</v>
      </c>
      <c r="BJ44" s="43">
        <f t="shared" si="38"/>
        <v>52</v>
      </c>
      <c r="BK44" s="43">
        <f t="shared" si="39"/>
        <v>30</v>
      </c>
      <c r="BL44" s="96">
        <f t="shared" si="40"/>
        <v>22</v>
      </c>
      <c r="BM44" s="43">
        <f t="shared" si="41"/>
        <v>0</v>
      </c>
      <c r="BN44" s="43">
        <f t="shared" si="42"/>
        <v>1</v>
      </c>
      <c r="BO44" s="43">
        <f t="shared" si="43"/>
        <v>0</v>
      </c>
      <c r="BP44" s="43">
        <f t="shared" si="44"/>
        <v>30</v>
      </c>
      <c r="BQ44" s="43">
        <f t="shared" si="45"/>
        <v>52</v>
      </c>
      <c r="BR44" s="97">
        <f t="shared" si="46"/>
        <v>-22</v>
      </c>
    </row>
    <row r="45" spans="1:70">
      <c r="A45" s="31">
        <v>20</v>
      </c>
      <c r="B45" s="33" t="s">
        <v>10</v>
      </c>
      <c r="C45" s="33" t="s">
        <v>66</v>
      </c>
      <c r="D45" s="43" t="s">
        <v>253</v>
      </c>
      <c r="E45" s="43" t="s">
        <v>258</v>
      </c>
      <c r="F45" s="94" t="str">
        <f t="shared" si="0"/>
        <v>Piranha</v>
      </c>
      <c r="G45" s="94" t="str">
        <f t="shared" si="1"/>
        <v>Scorpioni</v>
      </c>
      <c r="H45" s="43">
        <f t="shared" si="2"/>
        <v>100</v>
      </c>
      <c r="I45" s="43">
        <f t="shared" si="3"/>
        <v>83</v>
      </c>
      <c r="J45" s="94" t="str">
        <f t="shared" si="4"/>
        <v>Piranha</v>
      </c>
      <c r="K45" s="94" t="str">
        <f t="shared" si="5"/>
        <v>Scorpioni</v>
      </c>
      <c r="L45" s="43">
        <f t="shared" si="6"/>
        <v>1</v>
      </c>
      <c r="M45" s="95">
        <f t="shared" si="7"/>
        <v>0</v>
      </c>
      <c r="N45" s="95">
        <f t="shared" si="8"/>
        <v>0</v>
      </c>
      <c r="O45" s="43">
        <f t="shared" si="9"/>
        <v>100</v>
      </c>
      <c r="P45" s="43">
        <f t="shared" si="10"/>
        <v>83</v>
      </c>
      <c r="Q45" s="96">
        <f t="shared" si="11"/>
        <v>17</v>
      </c>
      <c r="R45" s="43">
        <f t="shared" si="12"/>
        <v>0</v>
      </c>
      <c r="S45" s="43">
        <f t="shared" si="13"/>
        <v>1</v>
      </c>
      <c r="T45" s="43">
        <f t="shared" si="14"/>
        <v>0</v>
      </c>
      <c r="U45" s="43">
        <f t="shared" si="15"/>
        <v>83</v>
      </c>
      <c r="V45" s="43">
        <f t="shared" si="16"/>
        <v>100</v>
      </c>
      <c r="W45" s="97">
        <f t="shared" si="17"/>
        <v>-17</v>
      </c>
      <c r="AU45" s="104" t="s">
        <v>303</v>
      </c>
      <c r="AV45" s="105">
        <v>91</v>
      </c>
      <c r="AW45" s="106" t="s">
        <v>138</v>
      </c>
      <c r="AX45" s="107" t="s">
        <v>304</v>
      </c>
      <c r="AY45" s="106" t="s">
        <v>305</v>
      </c>
      <c r="AZ45" s="106" t="s">
        <v>306</v>
      </c>
      <c r="BA45" s="94" t="str">
        <f ca="1">IF(LEFT(AY45,1)="V",VLOOKUP(VALUE(SUBSTITUTE(AY45,"V","")),B_PARTITE_2A_FASE_PER_NUMERO,10,FALSE),IF(LEFT(AY45,1)="P",VLOOKUP(VALUE(SUBSTITUTE(AY45,"P","")),B_PARTITE_2A_FASE_PER_NUMERO,11,FALSE),VLOOKUP(AY45,B_CLASSIFICHE_GIRONI,4,FALSE)))</f>
        <v>Aquile</v>
      </c>
      <c r="BB45" s="94" t="str">
        <f ca="1">IF(LEFT(AZ45,1)="V",VLOOKUP(VALUE(SUBSTITUTE(AZ45,"V","")),B_PARTITE_2A_FASE_PER_NUMERO,10,FALSE),IF(LEFT(AZ45,1)="P",VLOOKUP(VALUE(SUBSTITUTE(AZ45,"P","")),B_PARTITE_2A_FASE_PER_NUMERO,11,FALSE),VLOOKUP(AZ45,B_CLASSIFICHE_GIRONI,4,FALSE)))</f>
        <v>Tonni</v>
      </c>
      <c r="BC45" s="43">
        <f t="shared" si="31"/>
        <v>54</v>
      </c>
      <c r="BD45" s="43">
        <f t="shared" si="32"/>
        <v>36</v>
      </c>
      <c r="BE45" s="94" t="str">
        <f t="shared" ca="1" si="33"/>
        <v>Aquile</v>
      </c>
      <c r="BF45" s="94" t="str">
        <f t="shared" ca="1" si="34"/>
        <v>Tonni</v>
      </c>
      <c r="BG45" s="43">
        <f t="shared" si="35"/>
        <v>1</v>
      </c>
      <c r="BH45" s="95">
        <f t="shared" si="36"/>
        <v>0</v>
      </c>
      <c r="BI45" s="95">
        <f t="shared" si="37"/>
        <v>0</v>
      </c>
      <c r="BJ45" s="43">
        <f t="shared" si="38"/>
        <v>54</v>
      </c>
      <c r="BK45" s="43">
        <f t="shared" si="39"/>
        <v>36</v>
      </c>
      <c r="BL45" s="96">
        <f t="shared" si="40"/>
        <v>18</v>
      </c>
      <c r="BM45" s="43">
        <f t="shared" si="41"/>
        <v>0</v>
      </c>
      <c r="BN45" s="43">
        <f t="shared" si="42"/>
        <v>1</v>
      </c>
      <c r="BO45" s="43">
        <f t="shared" si="43"/>
        <v>0</v>
      </c>
      <c r="BP45" s="43">
        <f t="shared" si="44"/>
        <v>36</v>
      </c>
      <c r="BQ45" s="43">
        <f t="shared" si="45"/>
        <v>54</v>
      </c>
      <c r="BR45" s="97">
        <f t="shared" si="46"/>
        <v>-18</v>
      </c>
    </row>
    <row r="46" spans="1:70">
      <c r="A46" s="31">
        <v>32</v>
      </c>
      <c r="B46" s="33" t="s">
        <v>10</v>
      </c>
      <c r="C46" s="33" t="s">
        <v>66</v>
      </c>
      <c r="D46" s="43" t="s">
        <v>253</v>
      </c>
      <c r="E46" s="43" t="s">
        <v>262</v>
      </c>
      <c r="F46" s="94" t="str">
        <f t="shared" si="0"/>
        <v>Piranha</v>
      </c>
      <c r="G46" s="94" t="str">
        <f t="shared" si="1"/>
        <v>Tonni</v>
      </c>
      <c r="H46" s="43">
        <f t="shared" si="2"/>
        <v>97</v>
      </c>
      <c r="I46" s="43">
        <f t="shared" si="3"/>
        <v>78</v>
      </c>
      <c r="J46" s="94" t="str">
        <f t="shared" si="4"/>
        <v>Piranha</v>
      </c>
      <c r="K46" s="94" t="str">
        <f t="shared" si="5"/>
        <v>Tonni</v>
      </c>
      <c r="L46" s="43">
        <f t="shared" si="6"/>
        <v>1</v>
      </c>
      <c r="M46" s="95">
        <f t="shared" si="7"/>
        <v>0</v>
      </c>
      <c r="N46" s="95">
        <f t="shared" si="8"/>
        <v>0</v>
      </c>
      <c r="O46" s="43">
        <f t="shared" si="9"/>
        <v>97</v>
      </c>
      <c r="P46" s="43">
        <f t="shared" si="10"/>
        <v>78</v>
      </c>
      <c r="Q46" s="96">
        <f t="shared" si="11"/>
        <v>19</v>
      </c>
      <c r="R46" s="43">
        <f t="shared" si="12"/>
        <v>0</v>
      </c>
      <c r="S46" s="43">
        <f t="shared" si="13"/>
        <v>1</v>
      </c>
      <c r="T46" s="43">
        <f t="shared" si="14"/>
        <v>0</v>
      </c>
      <c r="U46" s="43">
        <f t="shared" si="15"/>
        <v>78</v>
      </c>
      <c r="V46" s="43">
        <f t="shared" si="16"/>
        <v>97</v>
      </c>
      <c r="W46" s="97">
        <f t="shared" si="17"/>
        <v>-19</v>
      </c>
      <c r="AU46" s="104" t="s">
        <v>307</v>
      </c>
      <c r="AV46" s="105">
        <v>92</v>
      </c>
      <c r="AW46" s="106" t="s">
        <v>138</v>
      </c>
      <c r="AX46" s="107" t="s">
        <v>304</v>
      </c>
      <c r="AY46" s="106" t="s">
        <v>308</v>
      </c>
      <c r="AZ46" s="106" t="s">
        <v>309</v>
      </c>
      <c r="BA46" s="94" t="str">
        <f ca="1">IF(LEFT(AY46,1)="V",VLOOKUP(VALUE(SUBSTITUTE(AY46,"V","")),B_PARTITE_2A_FASE_PER_NUMERO,10,FALSE),IF(LEFT(AY46,1)="P",VLOOKUP(VALUE(SUBSTITUTE(AY46,"P","")),B_PARTITE_2A_FASE_PER_NUMERO,11,FALSE),VLOOKUP(AY46,B_CLASSIFICHE_GIRONI,4,FALSE)))</f>
        <v>Puma</v>
      </c>
      <c r="BB46" s="94" t="str">
        <f ca="1">IF(LEFT(AZ46,1)="V",VLOOKUP(VALUE(SUBSTITUTE(AZ46,"V","")),B_PARTITE_2A_FASE_PER_NUMERO,10,FALSE),IF(LEFT(AZ46,1)="P",VLOOKUP(VALUE(SUBSTITUTE(AZ46,"P","")),B_PARTITE_2A_FASE_PER_NUMERO,11,FALSE),VLOOKUP(AZ46,B_CLASSIFICHE_GIRONI,4,FALSE)))</f>
        <v>Gabbiani</v>
      </c>
      <c r="BC46" s="43">
        <f t="shared" si="31"/>
        <v>64</v>
      </c>
      <c r="BD46" s="43">
        <f t="shared" si="32"/>
        <v>33</v>
      </c>
      <c r="BE46" s="94" t="str">
        <f t="shared" ca="1" si="33"/>
        <v>Puma</v>
      </c>
      <c r="BF46" s="94" t="str">
        <f t="shared" ca="1" si="34"/>
        <v>Gabbiani</v>
      </c>
      <c r="BG46" s="43">
        <f t="shared" si="35"/>
        <v>1</v>
      </c>
      <c r="BH46" s="95">
        <f t="shared" si="36"/>
        <v>0</v>
      </c>
      <c r="BI46" s="95">
        <f t="shared" si="37"/>
        <v>0</v>
      </c>
      <c r="BJ46" s="43">
        <f t="shared" si="38"/>
        <v>64</v>
      </c>
      <c r="BK46" s="43">
        <f t="shared" si="39"/>
        <v>33</v>
      </c>
      <c r="BL46" s="96">
        <f t="shared" si="40"/>
        <v>31</v>
      </c>
      <c r="BM46" s="43">
        <f t="shared" si="41"/>
        <v>0</v>
      </c>
      <c r="BN46" s="43">
        <f t="shared" si="42"/>
        <v>1</v>
      </c>
      <c r="BO46" s="43">
        <f t="shared" si="43"/>
        <v>0</v>
      </c>
      <c r="BP46" s="43">
        <f t="shared" si="44"/>
        <v>33</v>
      </c>
      <c r="BQ46" s="43">
        <f t="shared" si="45"/>
        <v>64</v>
      </c>
      <c r="BR46" s="97">
        <f t="shared" si="46"/>
        <v>-31</v>
      </c>
    </row>
    <row r="47" spans="1:70">
      <c r="A47" s="31">
        <v>36</v>
      </c>
      <c r="B47" s="33" t="s">
        <v>10</v>
      </c>
      <c r="C47" s="33" t="s">
        <v>66</v>
      </c>
      <c r="D47" s="43" t="s">
        <v>258</v>
      </c>
      <c r="E47" s="43" t="s">
        <v>266</v>
      </c>
      <c r="F47" s="94" t="str">
        <f t="shared" si="0"/>
        <v>Scorpioni</v>
      </c>
      <c r="G47" s="94" t="str">
        <f t="shared" si="1"/>
        <v>Zebre</v>
      </c>
      <c r="H47" s="43">
        <f t="shared" si="2"/>
        <v>74</v>
      </c>
      <c r="I47" s="43">
        <f t="shared" si="3"/>
        <v>79</v>
      </c>
      <c r="J47" s="94" t="str">
        <f t="shared" si="4"/>
        <v>Zebre</v>
      </c>
      <c r="K47" s="94" t="str">
        <f t="shared" si="5"/>
        <v>Scorpioni</v>
      </c>
      <c r="L47" s="43">
        <f t="shared" si="6"/>
        <v>0</v>
      </c>
      <c r="M47" s="95">
        <f t="shared" si="7"/>
        <v>1</v>
      </c>
      <c r="N47" s="95">
        <f t="shared" si="8"/>
        <v>0</v>
      </c>
      <c r="O47" s="43">
        <f t="shared" si="9"/>
        <v>74</v>
      </c>
      <c r="P47" s="43">
        <f t="shared" si="10"/>
        <v>79</v>
      </c>
      <c r="Q47" s="96">
        <f t="shared" si="11"/>
        <v>-5</v>
      </c>
      <c r="R47" s="43">
        <f t="shared" si="12"/>
        <v>1</v>
      </c>
      <c r="S47" s="43">
        <f t="shared" si="13"/>
        <v>0</v>
      </c>
      <c r="T47" s="43">
        <f t="shared" si="14"/>
        <v>0</v>
      </c>
      <c r="U47" s="43">
        <f t="shared" si="15"/>
        <v>79</v>
      </c>
      <c r="V47" s="43">
        <f t="shared" si="16"/>
        <v>74</v>
      </c>
      <c r="W47" s="97">
        <f t="shared" si="17"/>
        <v>5</v>
      </c>
      <c r="AU47" s="104" t="s">
        <v>310</v>
      </c>
      <c r="AV47" s="105">
        <v>93</v>
      </c>
      <c r="AW47" s="106" t="s">
        <v>138</v>
      </c>
      <c r="AX47" s="107" t="s">
        <v>311</v>
      </c>
      <c r="AY47" s="106" t="s">
        <v>312</v>
      </c>
      <c r="AZ47" s="106" t="s">
        <v>313</v>
      </c>
      <c r="BA47" s="94" t="str">
        <f ca="1">IF(LEFT(AY47,1)="V",VLOOKUP(VALUE(SUBSTITUTE(AY47,"V","")),B_PARTITE_2A_FASE_PER_NUMERO,10,FALSE),IF(LEFT(AY47,1)="P",VLOOKUP(VALUE(SUBSTITUTE(AY47,"P","")),B_PARTITE_2A_FASE_PER_NUMERO,11,FALSE),VLOOKUP(AY47,B_CLASSIFICHE_GIRONI,4,FALSE)))</f>
        <v>Tigri</v>
      </c>
      <c r="BB47" s="94" t="str">
        <f ca="1">IF(LEFT(AZ47,1)="V",VLOOKUP(VALUE(SUBSTITUTE(AZ47,"V","")),B_PARTITE_2A_FASE_PER_NUMERO,10,FALSE),IF(LEFT(AZ47,1)="P",VLOOKUP(VALUE(SUBSTITUTE(AZ47,"P","")),B_PARTITE_2A_FASE_PER_NUMERO,11,FALSE),VLOOKUP(AZ47,B_CLASSIFICHE_GIRONI,4,FALSE)))</f>
        <v>Cervi</v>
      </c>
      <c r="BC47" s="43">
        <f t="shared" si="31"/>
        <v>57</v>
      </c>
      <c r="BD47" s="43">
        <f t="shared" si="32"/>
        <v>49</v>
      </c>
      <c r="BE47" s="94" t="str">
        <f t="shared" ca="1" si="33"/>
        <v>Tigri</v>
      </c>
      <c r="BF47" s="94" t="str">
        <f t="shared" ca="1" si="34"/>
        <v>Cervi</v>
      </c>
      <c r="BG47" s="43">
        <f t="shared" si="35"/>
        <v>1</v>
      </c>
      <c r="BH47" s="95">
        <f t="shared" si="36"/>
        <v>0</v>
      </c>
      <c r="BI47" s="95">
        <f t="shared" si="37"/>
        <v>0</v>
      </c>
      <c r="BJ47" s="43">
        <f t="shared" si="38"/>
        <v>57</v>
      </c>
      <c r="BK47" s="43">
        <f t="shared" si="39"/>
        <v>49</v>
      </c>
      <c r="BL47" s="96">
        <f t="shared" si="40"/>
        <v>8</v>
      </c>
      <c r="BM47" s="43">
        <f t="shared" si="41"/>
        <v>0</v>
      </c>
      <c r="BN47" s="43">
        <f t="shared" si="42"/>
        <v>1</v>
      </c>
      <c r="BO47" s="43">
        <f t="shared" si="43"/>
        <v>0</v>
      </c>
      <c r="BP47" s="43">
        <f t="shared" si="44"/>
        <v>49</v>
      </c>
      <c r="BQ47" s="43">
        <f t="shared" si="45"/>
        <v>57</v>
      </c>
      <c r="BR47" s="97">
        <f t="shared" si="46"/>
        <v>-8</v>
      </c>
    </row>
    <row r="48" spans="1:70">
      <c r="A48" s="31">
        <v>44</v>
      </c>
      <c r="B48" s="33" t="s">
        <v>10</v>
      </c>
      <c r="C48" s="33" t="s">
        <v>66</v>
      </c>
      <c r="D48" s="43" t="s">
        <v>262</v>
      </c>
      <c r="E48" s="43" t="s">
        <v>258</v>
      </c>
      <c r="F48" s="94" t="str">
        <f t="shared" si="0"/>
        <v>Tonni</v>
      </c>
      <c r="G48" s="94" t="str">
        <f t="shared" si="1"/>
        <v>Scorpioni</v>
      </c>
      <c r="H48" s="43">
        <f t="shared" si="2"/>
        <v>65</v>
      </c>
      <c r="I48" s="43">
        <f t="shared" si="3"/>
        <v>13</v>
      </c>
      <c r="J48" s="94" t="str">
        <f t="shared" si="4"/>
        <v>Tonni</v>
      </c>
      <c r="K48" s="94" t="str">
        <f t="shared" si="5"/>
        <v>Scorpioni</v>
      </c>
      <c r="L48" s="43">
        <f t="shared" si="6"/>
        <v>1</v>
      </c>
      <c r="M48" s="95">
        <f t="shared" si="7"/>
        <v>0</v>
      </c>
      <c r="N48" s="95">
        <f t="shared" si="8"/>
        <v>0</v>
      </c>
      <c r="O48" s="43">
        <f t="shared" si="9"/>
        <v>65</v>
      </c>
      <c r="P48" s="43">
        <f t="shared" si="10"/>
        <v>13</v>
      </c>
      <c r="Q48" s="96">
        <f t="shared" si="11"/>
        <v>52</v>
      </c>
      <c r="R48" s="43">
        <f t="shared" si="12"/>
        <v>0</v>
      </c>
      <c r="S48" s="43">
        <f t="shared" si="13"/>
        <v>1</v>
      </c>
      <c r="T48" s="43">
        <f t="shared" si="14"/>
        <v>0</v>
      </c>
      <c r="U48" s="43">
        <f t="shared" si="15"/>
        <v>13</v>
      </c>
      <c r="V48" s="43">
        <f t="shared" si="16"/>
        <v>65</v>
      </c>
      <c r="W48" s="97">
        <f t="shared" si="17"/>
        <v>-52</v>
      </c>
      <c r="AU48" s="104" t="s">
        <v>314</v>
      </c>
      <c r="AV48" s="105">
        <v>94</v>
      </c>
      <c r="AW48" s="106" t="s">
        <v>138</v>
      </c>
      <c r="AX48" s="107" t="s">
        <v>311</v>
      </c>
      <c r="AY48" s="106" t="s">
        <v>315</v>
      </c>
      <c r="AZ48" s="106" t="s">
        <v>316</v>
      </c>
      <c r="BA48" s="94" t="str">
        <f ca="1">IF(LEFT(AY48,1)="V",VLOOKUP(VALUE(SUBSTITUTE(AY48,"V","")),B_PARTITE_2A_FASE_PER_NUMERO,10,FALSE),IF(LEFT(AY48,1)="P",VLOOKUP(VALUE(SUBSTITUTE(AY48,"P","")),B_PARTITE_2A_FASE_PER_NUMERO,11,FALSE),VLOOKUP(AY48,B_CLASSIFICHE_GIRONI,4,FALSE)))</f>
        <v>Ippopotami</v>
      </c>
      <c r="BB48" s="94" t="str">
        <f ca="1">IF(LEFT(AZ48,1)="V",VLOOKUP(VALUE(SUBSTITUTE(AZ48,"V","")),B_PARTITE_2A_FASE_PER_NUMERO,10,FALSE),IF(LEFT(AZ48,1)="P",VLOOKUP(VALUE(SUBSTITUTE(AZ48,"P","")),B_PARTITE_2A_FASE_PER_NUMERO,11,FALSE),VLOOKUP(AZ48,B_CLASSIFICHE_GIRONI,4,FALSE)))</f>
        <v>Orche</v>
      </c>
      <c r="BC48" s="43">
        <f t="shared" si="31"/>
        <v>56</v>
      </c>
      <c r="BD48" s="43">
        <f t="shared" si="32"/>
        <v>42</v>
      </c>
      <c r="BE48" s="94" t="str">
        <f t="shared" ca="1" si="33"/>
        <v>Ippopotami</v>
      </c>
      <c r="BF48" s="94" t="str">
        <f t="shared" ca="1" si="34"/>
        <v>Orche</v>
      </c>
      <c r="BG48" s="43">
        <f t="shared" si="35"/>
        <v>1</v>
      </c>
      <c r="BH48" s="95">
        <f t="shared" si="36"/>
        <v>0</v>
      </c>
      <c r="BI48" s="95">
        <f t="shared" si="37"/>
        <v>0</v>
      </c>
      <c r="BJ48" s="43">
        <f t="shared" si="38"/>
        <v>56</v>
      </c>
      <c r="BK48" s="43">
        <f t="shared" si="39"/>
        <v>42</v>
      </c>
      <c r="BL48" s="96">
        <f t="shared" si="40"/>
        <v>14</v>
      </c>
      <c r="BM48" s="43">
        <f t="shared" si="41"/>
        <v>0</v>
      </c>
      <c r="BN48" s="43">
        <f t="shared" si="42"/>
        <v>1</v>
      </c>
      <c r="BO48" s="43">
        <f t="shared" si="43"/>
        <v>0</v>
      </c>
      <c r="BP48" s="43">
        <f t="shared" si="44"/>
        <v>42</v>
      </c>
      <c r="BQ48" s="43">
        <f t="shared" si="45"/>
        <v>56</v>
      </c>
      <c r="BR48" s="97">
        <f t="shared" si="46"/>
        <v>-14</v>
      </c>
    </row>
    <row r="49" spans="1:70">
      <c r="A49" s="31">
        <v>24</v>
      </c>
      <c r="B49" s="33" t="s">
        <v>10</v>
      </c>
      <c r="C49" s="33" t="s">
        <v>66</v>
      </c>
      <c r="D49" s="43" t="s">
        <v>262</v>
      </c>
      <c r="E49" s="43" t="s">
        <v>266</v>
      </c>
      <c r="F49" s="94" t="str">
        <f t="shared" si="0"/>
        <v>Tonni</v>
      </c>
      <c r="G49" s="94" t="str">
        <f t="shared" si="1"/>
        <v>Zebre</v>
      </c>
      <c r="H49" s="43">
        <f t="shared" si="2"/>
        <v>20</v>
      </c>
      <c r="I49" s="43">
        <f t="shared" si="3"/>
        <v>0</v>
      </c>
      <c r="J49" s="94" t="str">
        <f t="shared" si="4"/>
        <v>Tonni</v>
      </c>
      <c r="K49" s="94" t="str">
        <f t="shared" si="5"/>
        <v>Zebre</v>
      </c>
      <c r="L49" s="43">
        <f t="shared" si="6"/>
        <v>1</v>
      </c>
      <c r="M49" s="95">
        <f t="shared" si="7"/>
        <v>0</v>
      </c>
      <c r="N49" s="95">
        <f t="shared" si="8"/>
        <v>0</v>
      </c>
      <c r="O49" s="43">
        <f t="shared" si="9"/>
        <v>20</v>
      </c>
      <c r="P49" s="43">
        <f t="shared" si="10"/>
        <v>0</v>
      </c>
      <c r="Q49" s="96">
        <f t="shared" si="11"/>
        <v>20</v>
      </c>
      <c r="R49" s="43">
        <f t="shared" si="12"/>
        <v>0</v>
      </c>
      <c r="S49" s="43">
        <f t="shared" si="13"/>
        <v>0</v>
      </c>
      <c r="T49" s="43">
        <f t="shared" si="14"/>
        <v>1</v>
      </c>
      <c r="U49" s="43">
        <f t="shared" si="15"/>
        <v>0</v>
      </c>
      <c r="V49" s="43">
        <f t="shared" si="16"/>
        <v>20</v>
      </c>
      <c r="W49" s="97">
        <f t="shared" si="17"/>
        <v>-20</v>
      </c>
      <c r="AU49" s="104" t="s">
        <v>317</v>
      </c>
      <c r="AV49" s="105">
        <v>95</v>
      </c>
      <c r="AW49" s="106" t="s">
        <v>138</v>
      </c>
      <c r="AX49" s="107" t="s">
        <v>318</v>
      </c>
      <c r="AY49" s="106" t="s">
        <v>319</v>
      </c>
      <c r="AZ49" s="106" t="s">
        <v>320</v>
      </c>
      <c r="BA49" s="94" t="str">
        <f ca="1">IF(LEFT(AY49,1)="V",VLOOKUP(VALUE(SUBSTITUTE(AY49,"V","")),B_PARTITE_2A_FASE_PER_NUMERO,10,FALSE),IF(LEFT(AY49,1)="P",VLOOKUP(VALUE(SUBSTITUTE(AY49,"P","")),B_PARTITE_2A_FASE_PER_NUMERO,11,FALSE),VLOOKUP(AY49,B_CLASSIFICHE_GIRONI,4,FALSE)))</f>
        <v>Linci</v>
      </c>
      <c r="BB49" s="94" t="str">
        <f ca="1">IF(LEFT(AZ49,1)="V",VLOOKUP(VALUE(SUBSTITUTE(AZ49,"V","")),B_PARTITE_2A_FASE_PER_NUMERO,10,FALSE),IF(LEFT(AZ49,1)="P",VLOOKUP(VALUE(SUBSTITUTE(AZ49,"P","")),B_PARTITE_2A_FASE_PER_NUMERO,11,FALSE),VLOOKUP(AZ49,B_CLASSIFICHE_GIRONI,4,FALSE)))</f>
        <v>Delfini</v>
      </c>
      <c r="BC49" s="43">
        <f t="shared" si="31"/>
        <v>53</v>
      </c>
      <c r="BD49" s="43">
        <f t="shared" si="32"/>
        <v>49</v>
      </c>
      <c r="BE49" s="94" t="str">
        <f t="shared" ca="1" si="33"/>
        <v>Linci</v>
      </c>
      <c r="BF49" s="94" t="str">
        <f t="shared" ca="1" si="34"/>
        <v>Delfini</v>
      </c>
      <c r="BG49" s="43">
        <f t="shared" si="35"/>
        <v>1</v>
      </c>
      <c r="BH49" s="95">
        <f t="shared" si="36"/>
        <v>0</v>
      </c>
      <c r="BI49" s="95">
        <f t="shared" si="37"/>
        <v>0</v>
      </c>
      <c r="BJ49" s="43">
        <f t="shared" si="38"/>
        <v>53</v>
      </c>
      <c r="BK49" s="43">
        <f t="shared" si="39"/>
        <v>49</v>
      </c>
      <c r="BL49" s="96">
        <f t="shared" si="40"/>
        <v>4</v>
      </c>
      <c r="BM49" s="43">
        <f t="shared" si="41"/>
        <v>0</v>
      </c>
      <c r="BN49" s="43">
        <f t="shared" si="42"/>
        <v>1</v>
      </c>
      <c r="BO49" s="43">
        <f t="shared" si="43"/>
        <v>0</v>
      </c>
      <c r="BP49" s="43">
        <f t="shared" si="44"/>
        <v>49</v>
      </c>
      <c r="BQ49" s="43">
        <f t="shared" si="45"/>
        <v>53</v>
      </c>
      <c r="BR49" s="97">
        <f t="shared" si="46"/>
        <v>-4</v>
      </c>
    </row>
    <row r="50" spans="1:70">
      <c r="A50" s="44">
        <v>48</v>
      </c>
      <c r="B50" s="46" t="s">
        <v>10</v>
      </c>
      <c r="C50" s="46" t="s">
        <v>66</v>
      </c>
      <c r="D50" s="68" t="s">
        <v>266</v>
      </c>
      <c r="E50" s="68" t="s">
        <v>253</v>
      </c>
      <c r="F50" s="134" t="str">
        <f t="shared" si="0"/>
        <v>Zebre</v>
      </c>
      <c r="G50" s="134" t="str">
        <f t="shared" si="1"/>
        <v>Piranha</v>
      </c>
      <c r="H50" s="68">
        <f t="shared" si="2"/>
        <v>54</v>
      </c>
      <c r="I50" s="68">
        <f t="shared" si="3"/>
        <v>48</v>
      </c>
      <c r="J50" s="134" t="str">
        <f t="shared" si="4"/>
        <v>Zebre</v>
      </c>
      <c r="K50" s="134" t="str">
        <f t="shared" si="5"/>
        <v>Piranha</v>
      </c>
      <c r="L50" s="68">
        <f t="shared" si="6"/>
        <v>1</v>
      </c>
      <c r="M50" s="135">
        <f t="shared" si="7"/>
        <v>0</v>
      </c>
      <c r="N50" s="135">
        <f t="shared" si="8"/>
        <v>0</v>
      </c>
      <c r="O50" s="68">
        <f t="shared" si="9"/>
        <v>54</v>
      </c>
      <c r="P50" s="68">
        <f t="shared" si="10"/>
        <v>48</v>
      </c>
      <c r="Q50" s="132">
        <f t="shared" si="11"/>
        <v>6</v>
      </c>
      <c r="R50" s="68">
        <f t="shared" si="12"/>
        <v>0</v>
      </c>
      <c r="S50" s="68">
        <f t="shared" si="13"/>
        <v>1</v>
      </c>
      <c r="T50" s="68">
        <f t="shared" si="14"/>
        <v>0</v>
      </c>
      <c r="U50" s="68">
        <f t="shared" si="15"/>
        <v>48</v>
      </c>
      <c r="V50" s="68">
        <f t="shared" si="16"/>
        <v>54</v>
      </c>
      <c r="W50" s="136">
        <f t="shared" si="17"/>
        <v>-6</v>
      </c>
      <c r="AU50" s="104" t="s">
        <v>321</v>
      </c>
      <c r="AV50" s="105">
        <v>96</v>
      </c>
      <c r="AW50" s="137" t="s">
        <v>138</v>
      </c>
      <c r="AX50" s="138" t="s">
        <v>318</v>
      </c>
      <c r="AY50" s="137" t="s">
        <v>322</v>
      </c>
      <c r="AZ50" s="137" t="s">
        <v>323</v>
      </c>
      <c r="BA50" s="134" t="str">
        <f ca="1">IF(LEFT(AY50,1)="V",VLOOKUP(VALUE(SUBSTITUTE(AY50,"V","")),B_PARTITE_2A_FASE_PER_NUMERO,10,FALSE),IF(LEFT(AY50,1)="P",VLOOKUP(VALUE(SUBSTITUTE(AY50,"P","")),B_PARTITE_2A_FASE_PER_NUMERO,11,FALSE),VLOOKUP(AY50,B_CLASSIFICHE_GIRONI,4,FALSE)))</f>
        <v>Pitoni</v>
      </c>
      <c r="BB50" s="134" t="str">
        <f ca="1">IF(LEFT(AZ50,1)="V",VLOOKUP(VALUE(SUBSTITUTE(AZ50,"V","")),B_PARTITE_2A_FASE_PER_NUMERO,10,FALSE),IF(LEFT(AZ50,1)="P",VLOOKUP(VALUE(SUBSTITUTE(AZ50,"P","")),B_PARTITE_2A_FASE_PER_NUMERO,11,FALSE),VLOOKUP(AZ50,B_CLASSIFICHE_GIRONI,4,FALSE)))</f>
        <v>Zebre</v>
      </c>
      <c r="BC50" s="68">
        <f t="shared" si="31"/>
        <v>63</v>
      </c>
      <c r="BD50" s="68">
        <f t="shared" si="32"/>
        <v>34</v>
      </c>
      <c r="BE50" s="134" t="str">
        <f t="shared" ca="1" si="33"/>
        <v>Pitoni</v>
      </c>
      <c r="BF50" s="134" t="str">
        <f t="shared" ca="1" si="34"/>
        <v>Zebre</v>
      </c>
      <c r="BG50" s="68">
        <f t="shared" si="35"/>
        <v>1</v>
      </c>
      <c r="BH50" s="135">
        <f t="shared" si="36"/>
        <v>0</v>
      </c>
      <c r="BI50" s="135">
        <f t="shared" si="37"/>
        <v>0</v>
      </c>
      <c r="BJ50" s="68">
        <f t="shared" si="38"/>
        <v>63</v>
      </c>
      <c r="BK50" s="68">
        <f t="shared" si="39"/>
        <v>34</v>
      </c>
      <c r="BL50" s="132">
        <f t="shared" si="40"/>
        <v>29</v>
      </c>
      <c r="BM50" s="68">
        <f t="shared" si="41"/>
        <v>0</v>
      </c>
      <c r="BN50" s="68">
        <f t="shared" si="42"/>
        <v>1</v>
      </c>
      <c r="BO50" s="68">
        <f t="shared" si="43"/>
        <v>0</v>
      </c>
      <c r="BP50" s="68">
        <f t="shared" si="44"/>
        <v>34</v>
      </c>
      <c r="BQ50" s="68">
        <f t="shared" si="45"/>
        <v>63</v>
      </c>
      <c r="BR50" s="136">
        <f t="shared" si="46"/>
        <v>-29</v>
      </c>
    </row>
    <row r="51" spans="1:70">
      <c r="AU51" s="104" t="s">
        <v>324</v>
      </c>
      <c r="AV51" s="105">
        <v>97</v>
      </c>
      <c r="AW51" s="106" t="s">
        <v>138</v>
      </c>
      <c r="AX51" s="107" t="s">
        <v>325</v>
      </c>
      <c r="AY51" s="106" t="s">
        <v>326</v>
      </c>
      <c r="AZ51" s="106" t="s">
        <v>327</v>
      </c>
      <c r="BA51" s="94" t="str">
        <f ca="1">IF(LEFT(AY51,1)="V",VLOOKUP(VALUE(SUBSTITUTE(AY51,"V","")),B_PARTITE_2A_FASE_PER_NUMERO,10,FALSE),IF(LEFT(AY51,1)="P",VLOOKUP(VALUE(SUBSTITUTE(AY51,"P","")),B_PARTITE_2A_FASE_PER_NUMERO,11,FALSE),VLOOKUP(AY51,B_CLASSIFICHE_GIRONI,4,FALSE)))</f>
        <v>Scorpioni</v>
      </c>
      <c r="BB51" s="94" t="str">
        <f ca="1">IF(LEFT(AZ51,1)="V",VLOOKUP(VALUE(SUBSTITUTE(AZ51,"V","")),B_PARTITE_2A_FASE_PER_NUMERO,10,FALSE),IF(LEFT(AZ51,1)="P",VLOOKUP(VALUE(SUBSTITUTE(AZ51,"P","")),B_PARTITE_2A_FASE_PER_NUMERO,11,FALSE),VLOOKUP(AZ51,B_CLASSIFICHE_GIRONI,4,FALSE)))</f>
        <v>Serval</v>
      </c>
      <c r="BC51" s="43">
        <f t="shared" si="31"/>
        <v>53</v>
      </c>
      <c r="BD51" s="43">
        <f t="shared" si="32"/>
        <v>32</v>
      </c>
      <c r="BE51" s="94" t="str">
        <f t="shared" ca="1" si="33"/>
        <v>Scorpioni</v>
      </c>
      <c r="BF51" s="94" t="str">
        <f t="shared" ca="1" si="34"/>
        <v>Serval</v>
      </c>
      <c r="BG51" s="43">
        <f t="shared" si="35"/>
        <v>1</v>
      </c>
      <c r="BH51" s="95">
        <f t="shared" si="36"/>
        <v>0</v>
      </c>
      <c r="BI51" s="95">
        <f t="shared" si="37"/>
        <v>0</v>
      </c>
      <c r="BJ51" s="43">
        <f t="shared" si="38"/>
        <v>53</v>
      </c>
      <c r="BK51" s="43">
        <f t="shared" si="39"/>
        <v>32</v>
      </c>
      <c r="BL51" s="96">
        <f t="shared" si="40"/>
        <v>21</v>
      </c>
      <c r="BM51" s="43">
        <f t="shared" si="41"/>
        <v>0</v>
      </c>
      <c r="BN51" s="43">
        <f t="shared" si="42"/>
        <v>1</v>
      </c>
      <c r="BO51" s="43">
        <f t="shared" si="43"/>
        <v>0</v>
      </c>
      <c r="BP51" s="43">
        <f t="shared" si="44"/>
        <v>32</v>
      </c>
      <c r="BQ51" s="43">
        <f t="shared" si="45"/>
        <v>53</v>
      </c>
      <c r="BR51" s="97">
        <f t="shared" si="46"/>
        <v>-21</v>
      </c>
    </row>
    <row r="52" spans="1:70">
      <c r="AU52" s="104" t="s">
        <v>328</v>
      </c>
      <c r="AV52" s="105">
        <v>98</v>
      </c>
      <c r="AW52" s="106" t="s">
        <v>138</v>
      </c>
      <c r="AX52" s="107" t="s">
        <v>329</v>
      </c>
      <c r="AY52" s="106" t="s">
        <v>330</v>
      </c>
      <c r="AZ52" s="106" t="s">
        <v>331</v>
      </c>
      <c r="BA52" s="94" t="str">
        <f ca="1">IF(LEFT(AY52,1)="V",VLOOKUP(VALUE(SUBSTITUTE(AY52,"V","")),B_PARTITE_2A_FASE_PER_NUMERO,10,FALSE),IF(LEFT(AY52,1)="P",VLOOKUP(VALUE(SUBSTITUTE(AY52,"P","")),B_PARTITE_2A_FASE_PER_NUMERO,11,FALSE),VLOOKUP(AY52,B_CLASSIFICHE_GIRONI,4,FALSE)))</f>
        <v>Falchi</v>
      </c>
      <c r="BB52" s="94" t="str">
        <f ca="1">IF(LEFT(AZ52,1)="V",VLOOKUP(VALUE(SUBSTITUTE(AZ52,"V","")),B_PARTITE_2A_FASE_PER_NUMERO,10,FALSE),IF(LEFT(AZ52,1)="P",VLOOKUP(VALUE(SUBSTITUTE(AZ52,"P","")),B_PARTITE_2A_FASE_PER_NUMERO,11,FALSE),VLOOKUP(AZ52,B_CLASSIFICHE_GIRONI,4,FALSE)))</f>
        <v>Scorpioni</v>
      </c>
      <c r="BC52" s="43">
        <f t="shared" si="31"/>
        <v>50</v>
      </c>
      <c r="BD52" s="43">
        <f t="shared" si="32"/>
        <v>38</v>
      </c>
      <c r="BE52" s="94" t="str">
        <f t="shared" ca="1" si="33"/>
        <v>Falchi</v>
      </c>
      <c r="BF52" s="94" t="str">
        <f t="shared" ca="1" si="34"/>
        <v>Scorpioni</v>
      </c>
      <c r="BG52" s="43">
        <f t="shared" si="35"/>
        <v>1</v>
      </c>
      <c r="BH52" s="95">
        <f t="shared" si="36"/>
        <v>0</v>
      </c>
      <c r="BI52" s="95">
        <f t="shared" si="37"/>
        <v>0</v>
      </c>
      <c r="BJ52" s="43">
        <f t="shared" si="38"/>
        <v>50</v>
      </c>
      <c r="BK52" s="43">
        <f t="shared" si="39"/>
        <v>38</v>
      </c>
      <c r="BL52" s="96">
        <f t="shared" si="40"/>
        <v>12</v>
      </c>
      <c r="BM52" s="43">
        <f t="shared" si="41"/>
        <v>0</v>
      </c>
      <c r="BN52" s="43">
        <f t="shared" si="42"/>
        <v>1</v>
      </c>
      <c r="BO52" s="43">
        <f t="shared" si="43"/>
        <v>0</v>
      </c>
      <c r="BP52" s="43">
        <f t="shared" si="44"/>
        <v>38</v>
      </c>
      <c r="BQ52" s="43">
        <f t="shared" si="45"/>
        <v>50</v>
      </c>
      <c r="BR52" s="97">
        <f t="shared" si="46"/>
        <v>-12</v>
      </c>
    </row>
    <row r="53" spans="1:70">
      <c r="AU53" s="104" t="s">
        <v>332</v>
      </c>
      <c r="AV53" s="105">
        <v>99</v>
      </c>
      <c r="AW53" s="106" t="s">
        <v>138</v>
      </c>
      <c r="AX53" s="107" t="s">
        <v>333</v>
      </c>
      <c r="AY53" s="106" t="s">
        <v>334</v>
      </c>
      <c r="AZ53" s="106" t="s">
        <v>335</v>
      </c>
      <c r="BA53" s="94" t="str">
        <f ca="1">IF(LEFT(AY53,1)="V",VLOOKUP(VALUE(SUBSTITUTE(AY53,"V","")),B_PARTITE_2A_FASE_PER_NUMERO,10,FALSE),IF(LEFT(AY53,1)="P",VLOOKUP(VALUE(SUBSTITUTE(AY53,"P","")),B_PARTITE_2A_FASE_PER_NUMERO,11,FALSE),VLOOKUP(AY53,B_CLASSIFICHE_GIRONI,4,FALSE)))</f>
        <v>Muli</v>
      </c>
      <c r="BB53" s="94" t="str">
        <f ca="1">IF(LEFT(AZ53,1)="V",VLOOKUP(VALUE(SUBSTITUTE(AZ53,"V","")),B_PARTITE_2A_FASE_PER_NUMERO,10,FALSE),IF(LEFT(AZ53,1)="P",VLOOKUP(VALUE(SUBSTITUTE(AZ53,"P","")),B_PARTITE_2A_FASE_PER_NUMERO,11,FALSE),VLOOKUP(AZ53,B_CLASSIFICHE_GIRONI,4,FALSE)))</f>
        <v>Ghepardi</v>
      </c>
      <c r="BC53" s="43">
        <f t="shared" si="31"/>
        <v>62</v>
      </c>
      <c r="BD53" s="43">
        <f t="shared" si="32"/>
        <v>47</v>
      </c>
      <c r="BE53" s="94" t="str">
        <f t="shared" ca="1" si="33"/>
        <v>Muli</v>
      </c>
      <c r="BF53" s="94" t="str">
        <f t="shared" ca="1" si="34"/>
        <v>Ghepardi</v>
      </c>
      <c r="BG53" s="43">
        <f t="shared" si="35"/>
        <v>1</v>
      </c>
      <c r="BH53" s="95">
        <f t="shared" si="36"/>
        <v>0</v>
      </c>
      <c r="BI53" s="95">
        <f t="shared" si="37"/>
        <v>0</v>
      </c>
      <c r="BJ53" s="43">
        <f t="shared" si="38"/>
        <v>62</v>
      </c>
      <c r="BK53" s="43">
        <f t="shared" si="39"/>
        <v>47</v>
      </c>
      <c r="BL53" s="96">
        <f t="shared" si="40"/>
        <v>15</v>
      </c>
      <c r="BM53" s="43">
        <f t="shared" si="41"/>
        <v>0</v>
      </c>
      <c r="BN53" s="43">
        <f t="shared" si="42"/>
        <v>1</v>
      </c>
      <c r="BO53" s="43">
        <f t="shared" si="43"/>
        <v>0</v>
      </c>
      <c r="BP53" s="43">
        <f t="shared" si="44"/>
        <v>47</v>
      </c>
      <c r="BQ53" s="43">
        <f t="shared" si="45"/>
        <v>62</v>
      </c>
      <c r="BR53" s="97">
        <f t="shared" si="46"/>
        <v>-15</v>
      </c>
    </row>
    <row r="54" spans="1:70">
      <c r="AU54" s="104" t="s">
        <v>336</v>
      </c>
      <c r="AV54" s="105">
        <v>100</v>
      </c>
      <c r="AW54" s="106" t="s">
        <v>138</v>
      </c>
      <c r="AX54" s="107" t="s">
        <v>337</v>
      </c>
      <c r="AY54" s="106" t="s">
        <v>338</v>
      </c>
      <c r="AZ54" s="106" t="s">
        <v>339</v>
      </c>
      <c r="BA54" s="94" t="str">
        <f ca="1">IF(LEFT(AY54,1)="V",VLOOKUP(VALUE(SUBSTITUTE(AY54,"V","")),B_PARTITE_2A_FASE_PER_NUMERO,10,FALSE),IF(LEFT(AY54,1)="P",VLOOKUP(VALUE(SUBSTITUTE(AY54,"P","")),B_PARTITE_2A_FASE_PER_NUMERO,11,FALSE),VLOOKUP(AY54,B_CLASSIFICHE_GIRONI,4,FALSE)))</f>
        <v>Iguane</v>
      </c>
      <c r="BB54" s="94" t="str">
        <f ca="1">IF(LEFT(AZ54,1)="V",VLOOKUP(VALUE(SUBSTITUTE(AZ54,"V","")),B_PARTITE_2A_FASE_PER_NUMERO,10,FALSE),IF(LEFT(AZ54,1)="P",VLOOKUP(VALUE(SUBSTITUTE(AZ54,"P","")),B_PARTITE_2A_FASE_PER_NUMERO,11,FALSE),VLOOKUP(AZ54,B_CLASSIFICHE_GIRONI,4,FALSE)))</f>
        <v>Delfini</v>
      </c>
      <c r="BC54" s="43">
        <f t="shared" si="31"/>
        <v>69</v>
      </c>
      <c r="BD54" s="43">
        <f t="shared" si="32"/>
        <v>31</v>
      </c>
      <c r="BE54" s="94" t="str">
        <f t="shared" ca="1" si="33"/>
        <v>Iguane</v>
      </c>
      <c r="BF54" s="94" t="str">
        <f t="shared" ca="1" si="34"/>
        <v>Delfini</v>
      </c>
      <c r="BG54" s="43">
        <f t="shared" si="35"/>
        <v>1</v>
      </c>
      <c r="BH54" s="95">
        <f t="shared" si="36"/>
        <v>0</v>
      </c>
      <c r="BI54" s="95">
        <f t="shared" si="37"/>
        <v>0</v>
      </c>
      <c r="BJ54" s="43">
        <f t="shared" si="38"/>
        <v>69</v>
      </c>
      <c r="BK54" s="43">
        <f t="shared" si="39"/>
        <v>31</v>
      </c>
      <c r="BL54" s="96">
        <f t="shared" si="40"/>
        <v>38</v>
      </c>
      <c r="BM54" s="43">
        <f t="shared" si="41"/>
        <v>0</v>
      </c>
      <c r="BN54" s="43">
        <f t="shared" si="42"/>
        <v>1</v>
      </c>
      <c r="BO54" s="43">
        <f t="shared" si="43"/>
        <v>0</v>
      </c>
      <c r="BP54" s="43">
        <f t="shared" si="44"/>
        <v>31</v>
      </c>
      <c r="BQ54" s="43">
        <f t="shared" si="45"/>
        <v>69</v>
      </c>
      <c r="BR54" s="97">
        <f t="shared" si="46"/>
        <v>-38</v>
      </c>
    </row>
    <row r="55" spans="1:70">
      <c r="AU55" s="104" t="s">
        <v>340</v>
      </c>
      <c r="AV55" s="105">
        <v>101</v>
      </c>
      <c r="AW55" s="106" t="s">
        <v>138</v>
      </c>
      <c r="AX55" s="107" t="s">
        <v>341</v>
      </c>
      <c r="AY55" s="106" t="s">
        <v>342</v>
      </c>
      <c r="AZ55" s="106" t="s">
        <v>343</v>
      </c>
      <c r="BA55" s="94" t="str">
        <f ca="1">IF(LEFT(AY55,1)="V",VLOOKUP(VALUE(SUBSTITUTE(AY55,"V","")),B_PARTITE_2A_FASE_PER_NUMERO,10,FALSE),IF(LEFT(AY55,1)="P",VLOOKUP(VALUE(SUBSTITUTE(AY55,"P","")),B_PARTITE_2A_FASE_PER_NUMERO,11,FALSE),VLOOKUP(AY55,B_CLASSIFICHE_GIRONI,4,FALSE)))</f>
        <v>Delfini</v>
      </c>
      <c r="BB55" s="94" t="str">
        <f ca="1">IF(LEFT(AZ55,1)="V",VLOOKUP(VALUE(SUBSTITUTE(AZ55,"V","")),B_PARTITE_2A_FASE_PER_NUMERO,10,FALSE),IF(LEFT(AZ55,1)="P",VLOOKUP(VALUE(SUBSTITUTE(AZ55,"P","")),B_PARTITE_2A_FASE_PER_NUMERO,11,FALSE),VLOOKUP(AZ55,B_CLASSIFICHE_GIRONI,4,FALSE)))</f>
        <v>Zebre</v>
      </c>
      <c r="BC55" s="43">
        <f t="shared" si="31"/>
        <v>62</v>
      </c>
      <c r="BD55" s="43">
        <f t="shared" si="32"/>
        <v>38</v>
      </c>
      <c r="BE55" s="94" t="str">
        <f t="shared" ca="1" si="33"/>
        <v>Delfini</v>
      </c>
      <c r="BF55" s="94" t="str">
        <f t="shared" ca="1" si="34"/>
        <v>Zebre</v>
      </c>
      <c r="BG55" s="43">
        <f t="shared" si="35"/>
        <v>1</v>
      </c>
      <c r="BH55" s="95">
        <f t="shared" si="36"/>
        <v>0</v>
      </c>
      <c r="BI55" s="95">
        <f t="shared" si="37"/>
        <v>0</v>
      </c>
      <c r="BJ55" s="43">
        <f t="shared" si="38"/>
        <v>62</v>
      </c>
      <c r="BK55" s="43">
        <f t="shared" si="39"/>
        <v>38</v>
      </c>
      <c r="BL55" s="96">
        <f t="shared" si="40"/>
        <v>24</v>
      </c>
      <c r="BM55" s="43">
        <f t="shared" si="41"/>
        <v>0</v>
      </c>
      <c r="BN55" s="43">
        <f t="shared" si="42"/>
        <v>1</v>
      </c>
      <c r="BO55" s="43">
        <f t="shared" si="43"/>
        <v>0</v>
      </c>
      <c r="BP55" s="43">
        <f t="shared" si="44"/>
        <v>38</v>
      </c>
      <c r="BQ55" s="43">
        <f t="shared" si="45"/>
        <v>62</v>
      </c>
      <c r="BR55" s="97">
        <f t="shared" si="46"/>
        <v>-24</v>
      </c>
    </row>
    <row r="56" spans="1:70">
      <c r="AU56" s="104" t="s">
        <v>344</v>
      </c>
      <c r="AV56" s="105">
        <v>102</v>
      </c>
      <c r="AW56" s="106" t="s">
        <v>138</v>
      </c>
      <c r="AX56" s="107" t="s">
        <v>345</v>
      </c>
      <c r="AY56" s="106" t="s">
        <v>346</v>
      </c>
      <c r="AZ56" s="106" t="s">
        <v>347</v>
      </c>
      <c r="BA56" s="94" t="str">
        <f ca="1">IF(LEFT(AY56,1)="V",VLOOKUP(VALUE(SUBSTITUTE(AY56,"V","")),B_PARTITE_2A_FASE_PER_NUMERO,10,FALSE),IF(LEFT(AY56,1)="P",VLOOKUP(VALUE(SUBSTITUTE(AY56,"P","")),B_PARTITE_2A_FASE_PER_NUMERO,11,FALSE),VLOOKUP(AY56,B_CLASSIFICHE_GIRONI,4,FALSE)))</f>
        <v>Linci</v>
      </c>
      <c r="BB56" s="94" t="str">
        <f ca="1">IF(LEFT(AZ56,1)="V",VLOOKUP(VALUE(SUBSTITUTE(AZ56,"V","")),B_PARTITE_2A_FASE_PER_NUMERO,10,FALSE),IF(LEFT(AZ56,1)="P",VLOOKUP(VALUE(SUBSTITUTE(AZ56,"P","")),B_PARTITE_2A_FASE_PER_NUMERO,11,FALSE),VLOOKUP(AZ56,B_CLASSIFICHE_GIRONI,4,FALSE)))</f>
        <v>Pitoni</v>
      </c>
      <c r="BC56" s="43">
        <f t="shared" si="31"/>
        <v>52</v>
      </c>
      <c r="BD56" s="43">
        <f t="shared" si="32"/>
        <v>39</v>
      </c>
      <c r="BE56" s="94" t="str">
        <f t="shared" ca="1" si="33"/>
        <v>Linci</v>
      </c>
      <c r="BF56" s="94" t="str">
        <f t="shared" ca="1" si="34"/>
        <v>Pitoni</v>
      </c>
      <c r="BG56" s="43">
        <f t="shared" si="35"/>
        <v>1</v>
      </c>
      <c r="BH56" s="95">
        <f t="shared" si="36"/>
        <v>0</v>
      </c>
      <c r="BI56" s="95">
        <f t="shared" si="37"/>
        <v>0</v>
      </c>
      <c r="BJ56" s="43">
        <f t="shared" si="38"/>
        <v>52</v>
      </c>
      <c r="BK56" s="43">
        <f t="shared" si="39"/>
        <v>39</v>
      </c>
      <c r="BL56" s="96">
        <f t="shared" si="40"/>
        <v>13</v>
      </c>
      <c r="BM56" s="43">
        <f t="shared" si="41"/>
        <v>0</v>
      </c>
      <c r="BN56" s="43">
        <f t="shared" si="42"/>
        <v>1</v>
      </c>
      <c r="BO56" s="43">
        <f t="shared" si="43"/>
        <v>0</v>
      </c>
      <c r="BP56" s="43">
        <f t="shared" si="44"/>
        <v>39</v>
      </c>
      <c r="BQ56" s="43">
        <f t="shared" si="45"/>
        <v>52</v>
      </c>
      <c r="BR56" s="97">
        <f t="shared" si="46"/>
        <v>-13</v>
      </c>
    </row>
    <row r="57" spans="1:70">
      <c r="AU57" s="104" t="s">
        <v>348</v>
      </c>
      <c r="AV57" s="105">
        <v>103</v>
      </c>
      <c r="AW57" s="106" t="s">
        <v>138</v>
      </c>
      <c r="AX57" s="107" t="s">
        <v>349</v>
      </c>
      <c r="AY57" s="106" t="s">
        <v>350</v>
      </c>
      <c r="AZ57" s="106" t="s">
        <v>351</v>
      </c>
      <c r="BA57" s="94" t="str">
        <f ca="1">IF(LEFT(AY57,1)="V",VLOOKUP(VALUE(SUBSTITUTE(AY57,"V","")),B_PARTITE_2A_FASE_PER_NUMERO,10,FALSE),IF(LEFT(AY57,1)="P",VLOOKUP(VALUE(SUBSTITUTE(AY57,"P","")),B_PARTITE_2A_FASE_PER_NUMERO,11,FALSE),VLOOKUP(AY57,B_CLASSIFICHE_GIRONI,4,FALSE)))</f>
        <v>Cervi</v>
      </c>
      <c r="BB57" s="94" t="str">
        <f ca="1">IF(LEFT(AZ57,1)="V",VLOOKUP(VALUE(SUBSTITUTE(AZ57,"V","")),B_PARTITE_2A_FASE_PER_NUMERO,10,FALSE),IF(LEFT(AZ57,1)="P",VLOOKUP(VALUE(SUBSTITUTE(AZ57,"P","")),B_PARTITE_2A_FASE_PER_NUMERO,11,FALSE),VLOOKUP(AZ57,B_CLASSIFICHE_GIRONI,4,FALSE)))</f>
        <v>Orche</v>
      </c>
      <c r="BC57" s="43">
        <f t="shared" si="31"/>
        <v>68</v>
      </c>
      <c r="BD57" s="43">
        <f t="shared" si="32"/>
        <v>37</v>
      </c>
      <c r="BE57" s="94" t="str">
        <f t="shared" ca="1" si="33"/>
        <v>Cervi</v>
      </c>
      <c r="BF57" s="94" t="str">
        <f t="shared" ca="1" si="34"/>
        <v>Orche</v>
      </c>
      <c r="BG57" s="43">
        <f t="shared" si="35"/>
        <v>1</v>
      </c>
      <c r="BH57" s="95">
        <f t="shared" si="36"/>
        <v>0</v>
      </c>
      <c r="BI57" s="95">
        <f t="shared" si="37"/>
        <v>0</v>
      </c>
      <c r="BJ57" s="43">
        <f t="shared" si="38"/>
        <v>68</v>
      </c>
      <c r="BK57" s="43">
        <f t="shared" si="39"/>
        <v>37</v>
      </c>
      <c r="BL57" s="96">
        <f t="shared" si="40"/>
        <v>31</v>
      </c>
      <c r="BM57" s="43">
        <f t="shared" si="41"/>
        <v>0</v>
      </c>
      <c r="BN57" s="43">
        <f t="shared" si="42"/>
        <v>1</v>
      </c>
      <c r="BO57" s="43">
        <f t="shared" si="43"/>
        <v>0</v>
      </c>
      <c r="BP57" s="43">
        <f t="shared" si="44"/>
        <v>37</v>
      </c>
      <c r="BQ57" s="43">
        <f t="shared" si="45"/>
        <v>68</v>
      </c>
      <c r="BR57" s="97">
        <f t="shared" si="46"/>
        <v>-31</v>
      </c>
    </row>
    <row r="58" spans="1:70">
      <c r="AU58" s="104" t="s">
        <v>352</v>
      </c>
      <c r="AV58" s="105">
        <v>104</v>
      </c>
      <c r="AW58" s="106" t="s">
        <v>138</v>
      </c>
      <c r="AX58" s="107" t="s">
        <v>353</v>
      </c>
      <c r="AY58" s="106" t="s">
        <v>354</v>
      </c>
      <c r="AZ58" s="106" t="s">
        <v>355</v>
      </c>
      <c r="BA58" s="94" t="str">
        <f ca="1">IF(LEFT(AY58,1)="V",VLOOKUP(VALUE(SUBSTITUTE(AY58,"V","")),B_PARTITE_2A_FASE_PER_NUMERO,10,FALSE),IF(LEFT(AY58,1)="P",VLOOKUP(VALUE(SUBSTITUTE(AY58,"P","")),B_PARTITE_2A_FASE_PER_NUMERO,11,FALSE),VLOOKUP(AY58,B_CLASSIFICHE_GIRONI,4,FALSE)))</f>
        <v>Tigri</v>
      </c>
      <c r="BB58" s="94" t="str">
        <f ca="1">IF(LEFT(AZ58,1)="V",VLOOKUP(VALUE(SUBSTITUTE(AZ58,"V","")),B_PARTITE_2A_FASE_PER_NUMERO,10,FALSE),IF(LEFT(AZ58,1)="P",VLOOKUP(VALUE(SUBSTITUTE(AZ58,"P","")),B_PARTITE_2A_FASE_PER_NUMERO,11,FALSE),VLOOKUP(AZ58,B_CLASSIFICHE_GIRONI,4,FALSE)))</f>
        <v>Ippopotami</v>
      </c>
      <c r="BC58" s="43">
        <f t="shared" si="31"/>
        <v>52</v>
      </c>
      <c r="BD58" s="43">
        <f t="shared" si="32"/>
        <v>46</v>
      </c>
      <c r="BE58" s="94" t="str">
        <f t="shared" ca="1" si="33"/>
        <v>Tigri</v>
      </c>
      <c r="BF58" s="94" t="str">
        <f t="shared" ca="1" si="34"/>
        <v>Ippopotami</v>
      </c>
      <c r="BG58" s="43">
        <f t="shared" si="35"/>
        <v>1</v>
      </c>
      <c r="BH58" s="95">
        <f t="shared" si="36"/>
        <v>0</v>
      </c>
      <c r="BI58" s="95">
        <f t="shared" si="37"/>
        <v>0</v>
      </c>
      <c r="BJ58" s="43">
        <f t="shared" si="38"/>
        <v>52</v>
      </c>
      <c r="BK58" s="43">
        <f t="shared" si="39"/>
        <v>46</v>
      </c>
      <c r="BL58" s="96">
        <f t="shared" si="40"/>
        <v>6</v>
      </c>
      <c r="BM58" s="43">
        <f t="shared" si="41"/>
        <v>0</v>
      </c>
      <c r="BN58" s="43">
        <f t="shared" si="42"/>
        <v>1</v>
      </c>
      <c r="BO58" s="43">
        <f t="shared" si="43"/>
        <v>0</v>
      </c>
      <c r="BP58" s="43">
        <f t="shared" si="44"/>
        <v>46</v>
      </c>
      <c r="BQ58" s="43">
        <f t="shared" si="45"/>
        <v>52</v>
      </c>
      <c r="BR58" s="97">
        <f t="shared" si="46"/>
        <v>-6</v>
      </c>
    </row>
    <row r="59" spans="1:70">
      <c r="AU59" s="104" t="s">
        <v>356</v>
      </c>
      <c r="AV59" s="105">
        <v>105</v>
      </c>
      <c r="AW59" s="106" t="s">
        <v>138</v>
      </c>
      <c r="AX59" s="107" t="s">
        <v>357</v>
      </c>
      <c r="AY59" s="106" t="s">
        <v>358</v>
      </c>
      <c r="AZ59" s="106" t="s">
        <v>359</v>
      </c>
      <c r="BA59" s="94" t="str">
        <f ca="1">IF(LEFT(AY59,1)="V",VLOOKUP(VALUE(SUBSTITUTE(AY59,"V","")),B_PARTITE_2A_FASE_PER_NUMERO,10,FALSE),IF(LEFT(AY59,1)="P",VLOOKUP(VALUE(SUBSTITUTE(AY59,"P","")),B_PARTITE_2A_FASE_PER_NUMERO,11,FALSE),VLOOKUP(AY59,B_CLASSIFICHE_GIRONI,4,FALSE)))</f>
        <v>Tonni</v>
      </c>
      <c r="BB59" s="94" t="str">
        <f ca="1">IF(LEFT(AZ59,1)="V",VLOOKUP(VALUE(SUBSTITUTE(AZ59,"V","")),B_PARTITE_2A_FASE_PER_NUMERO,10,FALSE),IF(LEFT(AZ59,1)="P",VLOOKUP(VALUE(SUBSTITUTE(AZ59,"P","")),B_PARTITE_2A_FASE_PER_NUMERO,11,FALSE),VLOOKUP(AZ59,B_CLASSIFICHE_GIRONI,4,FALSE)))</f>
        <v>Gabbiani</v>
      </c>
      <c r="BC59" s="43">
        <f t="shared" si="31"/>
        <v>60</v>
      </c>
      <c r="BD59" s="43">
        <f t="shared" si="32"/>
        <v>42</v>
      </c>
      <c r="BE59" s="94" t="str">
        <f t="shared" ca="1" si="33"/>
        <v>Tonni</v>
      </c>
      <c r="BF59" s="94" t="str">
        <f t="shared" ca="1" si="34"/>
        <v>Gabbiani</v>
      </c>
      <c r="BG59" s="43">
        <f t="shared" si="35"/>
        <v>1</v>
      </c>
      <c r="BH59" s="95">
        <f t="shared" si="36"/>
        <v>0</v>
      </c>
      <c r="BI59" s="95">
        <f t="shared" si="37"/>
        <v>0</v>
      </c>
      <c r="BJ59" s="43">
        <f t="shared" si="38"/>
        <v>60</v>
      </c>
      <c r="BK59" s="43">
        <f t="shared" si="39"/>
        <v>42</v>
      </c>
      <c r="BL59" s="96">
        <f t="shared" si="40"/>
        <v>18</v>
      </c>
      <c r="BM59" s="43">
        <f t="shared" si="41"/>
        <v>0</v>
      </c>
      <c r="BN59" s="43">
        <f t="shared" si="42"/>
        <v>1</v>
      </c>
      <c r="BO59" s="43">
        <f t="shared" si="43"/>
        <v>0</v>
      </c>
      <c r="BP59" s="43">
        <f t="shared" si="44"/>
        <v>42</v>
      </c>
      <c r="BQ59" s="43">
        <f t="shared" si="45"/>
        <v>60</v>
      </c>
      <c r="BR59" s="97">
        <f t="shared" si="46"/>
        <v>-18</v>
      </c>
    </row>
    <row r="60" spans="1:70">
      <c r="AU60" s="104" t="s">
        <v>360</v>
      </c>
      <c r="AV60" s="105">
        <v>106</v>
      </c>
      <c r="AW60" s="106" t="s">
        <v>138</v>
      </c>
      <c r="AX60" s="107" t="s">
        <v>361</v>
      </c>
      <c r="AY60" s="106" t="s">
        <v>362</v>
      </c>
      <c r="AZ60" s="106" t="s">
        <v>363</v>
      </c>
      <c r="BA60" s="94" t="str">
        <f ca="1">IF(LEFT(AY60,1)="V",VLOOKUP(VALUE(SUBSTITUTE(AY60,"V","")),B_PARTITE_2A_FASE_PER_NUMERO,10,FALSE),IF(LEFT(AY60,1)="P",VLOOKUP(VALUE(SUBSTITUTE(AY60,"P","")),B_PARTITE_2A_FASE_PER_NUMERO,11,FALSE),VLOOKUP(AY60,B_CLASSIFICHE_GIRONI,4,FALSE)))</f>
        <v>Aquile</v>
      </c>
      <c r="BB60" s="94" t="str">
        <f ca="1">IF(LEFT(AZ60,1)="V",VLOOKUP(VALUE(SUBSTITUTE(AZ60,"V","")),B_PARTITE_2A_FASE_PER_NUMERO,10,FALSE),IF(LEFT(AZ60,1)="P",VLOOKUP(VALUE(SUBSTITUTE(AZ60,"P","")),B_PARTITE_2A_FASE_PER_NUMERO,11,FALSE),VLOOKUP(AZ60,B_CLASSIFICHE_GIRONI,4,FALSE)))</f>
        <v>Puma</v>
      </c>
      <c r="BC60" s="43">
        <f t="shared" si="31"/>
        <v>65</v>
      </c>
      <c r="BD60" s="43">
        <f t="shared" si="32"/>
        <v>45</v>
      </c>
      <c r="BE60" s="94" t="str">
        <f t="shared" ca="1" si="33"/>
        <v>Aquile</v>
      </c>
      <c r="BF60" s="94" t="str">
        <f t="shared" ca="1" si="34"/>
        <v>Puma</v>
      </c>
      <c r="BG60" s="43">
        <f t="shared" si="35"/>
        <v>1</v>
      </c>
      <c r="BH60" s="95">
        <f t="shared" si="36"/>
        <v>0</v>
      </c>
      <c r="BI60" s="95">
        <f t="shared" si="37"/>
        <v>0</v>
      </c>
      <c r="BJ60" s="43">
        <f t="shared" si="38"/>
        <v>65</v>
      </c>
      <c r="BK60" s="43">
        <f t="shared" si="39"/>
        <v>45</v>
      </c>
      <c r="BL60" s="96">
        <f t="shared" si="40"/>
        <v>20</v>
      </c>
      <c r="BM60" s="43">
        <f t="shared" si="41"/>
        <v>0</v>
      </c>
      <c r="BN60" s="43">
        <f t="shared" si="42"/>
        <v>1</v>
      </c>
      <c r="BO60" s="43">
        <f t="shared" si="43"/>
        <v>0</v>
      </c>
      <c r="BP60" s="43">
        <f t="shared" si="44"/>
        <v>45</v>
      </c>
      <c r="BQ60" s="43">
        <f t="shared" si="45"/>
        <v>65</v>
      </c>
      <c r="BR60" s="97">
        <f t="shared" si="46"/>
        <v>-20</v>
      </c>
    </row>
    <row r="61" spans="1:70">
      <c r="AU61" s="104" t="s">
        <v>364</v>
      </c>
      <c r="AV61" s="105">
        <v>107</v>
      </c>
      <c r="AW61" s="106" t="s">
        <v>138</v>
      </c>
      <c r="AX61" s="107" t="s">
        <v>365</v>
      </c>
      <c r="AY61" s="106" t="s">
        <v>366</v>
      </c>
      <c r="AZ61" s="106" t="s">
        <v>367</v>
      </c>
      <c r="BA61" s="94" t="str">
        <f ca="1">IF(LEFT(AY61,1)="V",VLOOKUP(VALUE(SUBSTITUTE(AY61,"V","")),B_PARTITE_2A_FASE_PER_NUMERO,10,FALSE),IF(LEFT(AY61,1)="P",VLOOKUP(VALUE(SUBSTITUTE(AY61,"P","")),B_PARTITE_2A_FASE_PER_NUMERO,11,FALSE),VLOOKUP(AY61,B_CLASSIFICHE_GIRONI,4,FALSE)))</f>
        <v>Gorilla</v>
      </c>
      <c r="BB61" s="94" t="str">
        <f ca="1">IF(LEFT(AZ61,1)="V",VLOOKUP(VALUE(SUBSTITUTE(AZ61,"V","")),B_PARTITE_2A_FASE_PER_NUMERO,10,FALSE),IF(LEFT(AZ61,1)="P",VLOOKUP(VALUE(SUBSTITUTE(AZ61,"P","")),B_PARTITE_2A_FASE_PER_NUMERO,11,FALSE),VLOOKUP(AZ61,B_CLASSIFICHE_GIRONI,4,FALSE)))</f>
        <v>Bufali</v>
      </c>
      <c r="BC61" s="43">
        <f t="shared" si="31"/>
        <v>50</v>
      </c>
      <c r="BD61" s="43">
        <f t="shared" si="32"/>
        <v>47</v>
      </c>
      <c r="BE61" s="94" t="str">
        <f t="shared" ca="1" si="33"/>
        <v>Gorilla</v>
      </c>
      <c r="BF61" s="94" t="str">
        <f t="shared" ca="1" si="34"/>
        <v>Bufali</v>
      </c>
      <c r="BG61" s="43">
        <f t="shared" si="35"/>
        <v>1</v>
      </c>
      <c r="BH61" s="95">
        <f t="shared" si="36"/>
        <v>0</v>
      </c>
      <c r="BI61" s="95">
        <f t="shared" si="37"/>
        <v>0</v>
      </c>
      <c r="BJ61" s="43">
        <f t="shared" si="38"/>
        <v>50</v>
      </c>
      <c r="BK61" s="43">
        <f t="shared" si="39"/>
        <v>47</v>
      </c>
      <c r="BL61" s="96">
        <f t="shared" si="40"/>
        <v>3</v>
      </c>
      <c r="BM61" s="43">
        <f t="shared" si="41"/>
        <v>0</v>
      </c>
      <c r="BN61" s="43">
        <f t="shared" si="42"/>
        <v>1</v>
      </c>
      <c r="BO61" s="43">
        <f t="shared" si="43"/>
        <v>0</v>
      </c>
      <c r="BP61" s="43">
        <f t="shared" si="44"/>
        <v>47</v>
      </c>
      <c r="BQ61" s="43">
        <f t="shared" si="45"/>
        <v>50</v>
      </c>
      <c r="BR61" s="97">
        <f t="shared" si="46"/>
        <v>-3</v>
      </c>
    </row>
    <row r="62" spans="1:70">
      <c r="AU62" s="104" t="s">
        <v>368</v>
      </c>
      <c r="AV62" s="105">
        <v>108</v>
      </c>
      <c r="AW62" s="106" t="s">
        <v>138</v>
      </c>
      <c r="AX62" s="107" t="s">
        <v>369</v>
      </c>
      <c r="AY62" s="106" t="s">
        <v>370</v>
      </c>
      <c r="AZ62" s="106" t="s">
        <v>371</v>
      </c>
      <c r="BA62" s="94" t="str">
        <f ca="1">IF(LEFT(AY62,1)="V",VLOOKUP(VALUE(SUBSTITUTE(AY62,"V","")),B_PARTITE_2A_FASE_PER_NUMERO,10,FALSE),IF(LEFT(AY62,1)="P",VLOOKUP(VALUE(SUBSTITUTE(AY62,"P","")),B_PARTITE_2A_FASE_PER_NUMERO,11,FALSE),VLOOKUP(AY62,B_CLASSIFICHE_GIRONI,4,FALSE)))</f>
        <v>Elefanti</v>
      </c>
      <c r="BB62" s="94" t="str">
        <f ca="1">IF(LEFT(AZ62,1)="V",VLOOKUP(VALUE(SUBSTITUTE(AZ62,"V","")),B_PARTITE_2A_FASE_PER_NUMERO,10,FALSE),IF(LEFT(AZ62,1)="P",VLOOKUP(VALUE(SUBSTITUTE(AZ62,"P","")),B_PARTITE_2A_FASE_PER_NUMERO,11,FALSE),VLOOKUP(AZ62,B_CLASSIFICHE_GIRONI,4,FALSE)))</f>
        <v>Giraffe</v>
      </c>
      <c r="BC62" s="43">
        <f t="shared" si="31"/>
        <v>69</v>
      </c>
      <c r="BD62" s="43">
        <f t="shared" si="32"/>
        <v>40</v>
      </c>
      <c r="BE62" s="94" t="str">
        <f t="shared" ca="1" si="33"/>
        <v>Elefanti</v>
      </c>
      <c r="BF62" s="94" t="str">
        <f t="shared" ca="1" si="34"/>
        <v>Giraffe</v>
      </c>
      <c r="BG62" s="43">
        <f t="shared" si="35"/>
        <v>1</v>
      </c>
      <c r="BH62" s="95">
        <f t="shared" si="36"/>
        <v>0</v>
      </c>
      <c r="BI62" s="95">
        <f t="shared" si="37"/>
        <v>0</v>
      </c>
      <c r="BJ62" s="43">
        <f t="shared" si="38"/>
        <v>69</v>
      </c>
      <c r="BK62" s="43">
        <f t="shared" si="39"/>
        <v>40</v>
      </c>
      <c r="BL62" s="96">
        <f t="shared" si="40"/>
        <v>29</v>
      </c>
      <c r="BM62" s="43">
        <f t="shared" si="41"/>
        <v>0</v>
      </c>
      <c r="BN62" s="43">
        <f t="shared" si="42"/>
        <v>1</v>
      </c>
      <c r="BO62" s="43">
        <f t="shared" si="43"/>
        <v>0</v>
      </c>
      <c r="BP62" s="43">
        <f t="shared" si="44"/>
        <v>40</v>
      </c>
      <c r="BQ62" s="43">
        <f t="shared" si="45"/>
        <v>69</v>
      </c>
      <c r="BR62" s="97">
        <f t="shared" si="46"/>
        <v>-29</v>
      </c>
    </row>
    <row r="63" spans="1:70">
      <c r="AU63" s="104" t="s">
        <v>372</v>
      </c>
      <c r="AV63" s="105">
        <v>109</v>
      </c>
      <c r="AW63" s="106" t="s">
        <v>138</v>
      </c>
      <c r="AX63" s="107" t="s">
        <v>373</v>
      </c>
      <c r="AY63" s="106" t="s">
        <v>374</v>
      </c>
      <c r="AZ63" s="106" t="s">
        <v>375</v>
      </c>
      <c r="BA63" s="94" t="str">
        <f ca="1">IF(LEFT(AY63,1)="V",VLOOKUP(VALUE(SUBSTITUTE(AY63,"V","")),B_PARTITE_2A_FASE_PER_NUMERO,10,FALSE),IF(LEFT(AY63,1)="P",VLOOKUP(VALUE(SUBSTITUTE(AY63,"P","")),B_PARTITE_2A_FASE_PER_NUMERO,11,FALSE),VLOOKUP(AY63,B_CLASSIFICHE_GIRONI,4,FALSE)))</f>
        <v>Giaguari</v>
      </c>
      <c r="BB63" s="94" t="str">
        <f ca="1">IF(LEFT(AZ63,1)="V",VLOOKUP(VALUE(SUBSTITUTE(AZ63,"V","")),B_PARTITE_2A_FASE_PER_NUMERO,10,FALSE),IF(LEFT(AZ63,1)="P",VLOOKUP(VALUE(SUBSTITUTE(AZ63,"P","")),B_PARTITE_2A_FASE_PER_NUMERO,11,FALSE),VLOOKUP(AZ63,B_CLASSIFICHE_GIRONI,4,FALSE)))</f>
        <v>Coccodrilli</v>
      </c>
      <c r="BC63" s="43">
        <f t="shared" si="31"/>
        <v>55</v>
      </c>
      <c r="BD63" s="43">
        <f t="shared" si="32"/>
        <v>48</v>
      </c>
      <c r="BE63" s="94" t="str">
        <f t="shared" ca="1" si="33"/>
        <v>Giaguari</v>
      </c>
      <c r="BF63" s="94" t="str">
        <f t="shared" ca="1" si="34"/>
        <v>Coccodrilli</v>
      </c>
      <c r="BG63" s="43">
        <f t="shared" si="35"/>
        <v>1</v>
      </c>
      <c r="BH63" s="95">
        <f t="shared" si="36"/>
        <v>0</v>
      </c>
      <c r="BI63" s="95">
        <f t="shared" si="37"/>
        <v>0</v>
      </c>
      <c r="BJ63" s="43">
        <f t="shared" si="38"/>
        <v>55</v>
      </c>
      <c r="BK63" s="43">
        <f t="shared" si="39"/>
        <v>48</v>
      </c>
      <c r="BL63" s="96">
        <f t="shared" si="40"/>
        <v>7</v>
      </c>
      <c r="BM63" s="43">
        <f t="shared" si="41"/>
        <v>0</v>
      </c>
      <c r="BN63" s="43">
        <f t="shared" si="42"/>
        <v>1</v>
      </c>
      <c r="BO63" s="43">
        <f t="shared" si="43"/>
        <v>0</v>
      </c>
      <c r="BP63" s="43">
        <f t="shared" si="44"/>
        <v>48</v>
      </c>
      <c r="BQ63" s="43">
        <f t="shared" si="45"/>
        <v>55</v>
      </c>
      <c r="BR63" s="97">
        <f t="shared" si="46"/>
        <v>-7</v>
      </c>
    </row>
    <row r="64" spans="1:70">
      <c r="AU64" s="104" t="s">
        <v>376</v>
      </c>
      <c r="AV64" s="105">
        <v>110</v>
      </c>
      <c r="AW64" s="106" t="s">
        <v>138</v>
      </c>
      <c r="AX64" s="107" t="s">
        <v>377</v>
      </c>
      <c r="AY64" s="106" t="s">
        <v>378</v>
      </c>
      <c r="AZ64" s="106" t="s">
        <v>379</v>
      </c>
      <c r="BA64" s="94" t="str">
        <f ca="1">IF(LEFT(AY64,1)="V",VLOOKUP(VALUE(SUBSTITUTE(AY64,"V","")),B_PARTITE_2A_FASE_PER_NUMERO,10,FALSE),IF(LEFT(AY64,1)="P",VLOOKUP(VALUE(SUBSTITUTE(AY64,"P","")),B_PARTITE_2A_FASE_PER_NUMERO,11,FALSE),VLOOKUP(AY64,B_CLASSIFICHE_GIRONI,4,FALSE)))</f>
        <v>Balene</v>
      </c>
      <c r="BB64" s="94" t="str">
        <f ca="1">IF(LEFT(AZ64,1)="V",VLOOKUP(VALUE(SUBSTITUTE(AZ64,"V","")),B_PARTITE_2A_FASE_PER_NUMERO,10,FALSE),IF(LEFT(AZ64,1)="P",VLOOKUP(VALUE(SUBSTITUTE(AZ64,"P","")),B_PARTITE_2A_FASE_PER_NUMERO,11,FALSE),VLOOKUP(AZ64,B_CLASSIFICHE_GIRONI,4,FALSE)))</f>
        <v>Piranha</v>
      </c>
      <c r="BC64" s="43">
        <f t="shared" si="31"/>
        <v>52</v>
      </c>
      <c r="BD64" s="43">
        <f t="shared" si="32"/>
        <v>49</v>
      </c>
      <c r="BE64" s="94" t="str">
        <f t="shared" ca="1" si="33"/>
        <v>Balene</v>
      </c>
      <c r="BF64" s="94" t="str">
        <f t="shared" ca="1" si="34"/>
        <v>Piranha</v>
      </c>
      <c r="BG64" s="43">
        <f t="shared" si="35"/>
        <v>1</v>
      </c>
      <c r="BH64" s="95">
        <f t="shared" si="36"/>
        <v>0</v>
      </c>
      <c r="BI64" s="95">
        <f t="shared" si="37"/>
        <v>0</v>
      </c>
      <c r="BJ64" s="43">
        <f t="shared" si="38"/>
        <v>52</v>
      </c>
      <c r="BK64" s="43">
        <f t="shared" si="39"/>
        <v>49</v>
      </c>
      <c r="BL64" s="96">
        <f t="shared" si="40"/>
        <v>3</v>
      </c>
      <c r="BM64" s="43">
        <f t="shared" si="41"/>
        <v>0</v>
      </c>
      <c r="BN64" s="43">
        <f t="shared" si="42"/>
        <v>1</v>
      </c>
      <c r="BO64" s="43">
        <f t="shared" si="43"/>
        <v>0</v>
      </c>
      <c r="BP64" s="43">
        <f t="shared" si="44"/>
        <v>49</v>
      </c>
      <c r="BQ64" s="43">
        <f t="shared" si="45"/>
        <v>52</v>
      </c>
      <c r="BR64" s="97">
        <f t="shared" si="46"/>
        <v>-3</v>
      </c>
    </row>
    <row r="65" spans="47:70">
      <c r="AU65" s="104" t="s">
        <v>380</v>
      </c>
      <c r="AV65" s="105">
        <v>111</v>
      </c>
      <c r="AW65" s="106" t="s">
        <v>138</v>
      </c>
      <c r="AX65" s="107" t="s">
        <v>381</v>
      </c>
      <c r="AY65" s="106" t="s">
        <v>382</v>
      </c>
      <c r="AZ65" s="106" t="s">
        <v>383</v>
      </c>
      <c r="BA65" s="94" t="str">
        <f ca="1">IF(LEFT(AY65,1)="V",VLOOKUP(VALUE(SUBSTITUTE(AY65,"V","")),B_PARTITE_2A_FASE_PER_NUMERO,10,FALSE),IF(LEFT(AY65,1)="P",VLOOKUP(VALUE(SUBSTITUTE(AY65,"P","")),B_PARTITE_2A_FASE_PER_NUMERO,11,FALSE),VLOOKUP(AY65,B_CLASSIFICHE_GIRONI,4,FALSE)))</f>
        <v>Bisonti</v>
      </c>
      <c r="BB65" s="94" t="str">
        <f ca="1">IF(LEFT(AZ65,1)="V",VLOOKUP(VALUE(SUBSTITUTE(AZ65,"V","")),B_PARTITE_2A_FASE_PER_NUMERO,10,FALSE),IF(LEFT(AZ65,1)="P",VLOOKUP(VALUE(SUBSTITUTE(AZ65,"P","")),B_PARTITE_2A_FASE_PER_NUMERO,11,FALSE),VLOOKUP(AZ65,B_CLASSIFICHE_GIRONI,4,FALSE)))</f>
        <v>Istrici</v>
      </c>
      <c r="BC65" s="43">
        <f t="shared" si="31"/>
        <v>65</v>
      </c>
      <c r="BD65" s="43">
        <f t="shared" si="32"/>
        <v>45</v>
      </c>
      <c r="BE65" s="94" t="str">
        <f t="shared" ca="1" si="33"/>
        <v>Bisonti</v>
      </c>
      <c r="BF65" s="94" t="str">
        <f t="shared" ca="1" si="34"/>
        <v>Istrici</v>
      </c>
      <c r="BG65" s="43">
        <f t="shared" si="35"/>
        <v>1</v>
      </c>
      <c r="BH65" s="95">
        <f t="shared" si="36"/>
        <v>0</v>
      </c>
      <c r="BI65" s="95">
        <f t="shared" si="37"/>
        <v>0</v>
      </c>
      <c r="BJ65" s="43">
        <f t="shared" si="38"/>
        <v>65</v>
      </c>
      <c r="BK65" s="43">
        <f t="shared" si="39"/>
        <v>45</v>
      </c>
      <c r="BL65" s="96">
        <f t="shared" si="40"/>
        <v>20</v>
      </c>
      <c r="BM65" s="43">
        <f t="shared" si="41"/>
        <v>0</v>
      </c>
      <c r="BN65" s="43">
        <f t="shared" si="42"/>
        <v>1</v>
      </c>
      <c r="BO65" s="43">
        <f t="shared" si="43"/>
        <v>0</v>
      </c>
      <c r="BP65" s="43">
        <f t="shared" si="44"/>
        <v>45</v>
      </c>
      <c r="BQ65" s="43">
        <f t="shared" si="45"/>
        <v>65</v>
      </c>
      <c r="BR65" s="97">
        <f t="shared" si="46"/>
        <v>-20</v>
      </c>
    </row>
    <row r="66" spans="47:70">
      <c r="AU66" s="139" t="s">
        <v>384</v>
      </c>
      <c r="AV66" s="140">
        <v>112</v>
      </c>
      <c r="AW66" s="137" t="s">
        <v>138</v>
      </c>
      <c r="AX66" s="138" t="s">
        <v>385</v>
      </c>
      <c r="AY66" s="137" t="s">
        <v>386</v>
      </c>
      <c r="AZ66" s="137" t="s">
        <v>387</v>
      </c>
      <c r="BA66" s="134" t="str">
        <f ca="1">IF(LEFT(AY66,1)="V",VLOOKUP(VALUE(SUBSTITUTE(AY66,"V","")),B_PARTITE_2A_FASE_PER_NUMERO,10,FALSE),IF(LEFT(AY66,1)="P",VLOOKUP(VALUE(SUBSTITUTE(AY66,"P","")),B_PARTITE_2A_FASE_PER_NUMERO,11,FALSE),VLOOKUP(AY66,B_CLASSIFICHE_GIRONI,4,FALSE)))</f>
        <v>Leoni</v>
      </c>
      <c r="BB66" s="134" t="str">
        <f ca="1">IF(LEFT(AZ66,1)="V",VLOOKUP(VALUE(SUBSTITUTE(AZ66,"V","")),B_PARTITE_2A_FASE_PER_NUMERO,10,FALSE),IF(LEFT(AZ66,1)="P",VLOOKUP(VALUE(SUBSTITUTE(AZ66,"P","")),B_PARTITE_2A_FASE_PER_NUMERO,11,FALSE),VLOOKUP(AZ66,B_CLASSIFICHE_GIRONI,4,FALSE)))</f>
        <v>Pantere</v>
      </c>
      <c r="BC66" s="68">
        <f t="shared" si="31"/>
        <v>69</v>
      </c>
      <c r="BD66" s="68">
        <f t="shared" si="32"/>
        <v>42</v>
      </c>
      <c r="BE66" s="134" t="str">
        <f t="shared" ca="1" si="33"/>
        <v>Leoni</v>
      </c>
      <c r="BF66" s="134" t="str">
        <f t="shared" ca="1" si="34"/>
        <v>Pantere</v>
      </c>
      <c r="BG66" s="68">
        <f t="shared" si="35"/>
        <v>1</v>
      </c>
      <c r="BH66" s="135">
        <f t="shared" si="36"/>
        <v>0</v>
      </c>
      <c r="BI66" s="135">
        <f t="shared" si="37"/>
        <v>0</v>
      </c>
      <c r="BJ66" s="68">
        <f t="shared" si="38"/>
        <v>69</v>
      </c>
      <c r="BK66" s="68">
        <f t="shared" si="39"/>
        <v>42</v>
      </c>
      <c r="BL66" s="132">
        <f t="shared" si="40"/>
        <v>27</v>
      </c>
      <c r="BM66" s="68">
        <f t="shared" si="41"/>
        <v>0</v>
      </c>
      <c r="BN66" s="68">
        <f t="shared" si="42"/>
        <v>1</v>
      </c>
      <c r="BO66" s="68">
        <f t="shared" si="43"/>
        <v>0</v>
      </c>
      <c r="BP66" s="68">
        <f t="shared" si="44"/>
        <v>42</v>
      </c>
      <c r="BQ66" s="68">
        <f t="shared" si="45"/>
        <v>69</v>
      </c>
      <c r="BR66" s="136">
        <f t="shared" si="46"/>
        <v>-27</v>
      </c>
    </row>
  </sheetData>
  <sheetProtection selectLockedCells="1" selectUnlockedCells="1"/>
  <mergeCells count="3">
    <mergeCell ref="A1:W1"/>
    <mergeCell ref="Y1:AS1"/>
    <mergeCell ref="AU1:BR1"/>
  </mergeCells>
  <conditionalFormatting sqref="C3:C50 Z3:Z34 AX3:AX66">
    <cfRule type="cellIs" dxfId="7" priority="1" stopIfTrue="1" operator="equal">
      <formula>"A"</formula>
    </cfRule>
  </conditionalFormatting>
  <conditionalFormatting sqref="C3:C50 Z3:Z34 AX3:AX66">
    <cfRule type="cellIs" dxfId="6" priority="2" stopIfTrue="1" operator="equal">
      <formula>"B"</formula>
    </cfRule>
  </conditionalFormatting>
  <conditionalFormatting sqref="C3:C50 Z3:Z34 AX3:AX66">
    <cfRule type="cellIs" dxfId="5" priority="3" stopIfTrue="1" operator="equal">
      <formula>"C"</formula>
    </cfRule>
  </conditionalFormatting>
  <conditionalFormatting sqref="C3:C50 Z3:Z34 AX3:AX66">
    <cfRule type="cellIs" dxfId="4" priority="4" stopIfTrue="1" operator="equal">
      <formula>"D"</formula>
    </cfRule>
  </conditionalFormatting>
  <conditionalFormatting sqref="C3:C50 Z3:Z34 AX3:AX66">
    <cfRule type="cellIs" dxfId="3" priority="5" stopIfTrue="1" operator="equal">
      <formula>"E"</formula>
    </cfRule>
  </conditionalFormatting>
  <conditionalFormatting sqref="C3:C50 Z3:Z34 AX3:AX66">
    <cfRule type="cellIs" dxfId="2" priority="6" stopIfTrue="1" operator="equal">
      <formula>"F"</formula>
    </cfRule>
  </conditionalFormatting>
  <conditionalFormatting sqref="C3:C50 Z3:Z34 AX3:AX66">
    <cfRule type="cellIs" dxfId="1" priority="7" stopIfTrue="1" operator="equal">
      <formula>"G"</formula>
    </cfRule>
  </conditionalFormatting>
  <conditionalFormatting sqref="C3:C50 Z3:Z34 AX3:AX66">
    <cfRule type="cellIs" dxfId="0" priority="8" stopIfTrue="1" operator="equal">
      <formula>"H"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G52"/>
  <sheetViews>
    <sheetView topLeftCell="T4" zoomScale="140" zoomScaleNormal="140" workbookViewId="0">
      <selection activeCell="AJ21" sqref="AJ21"/>
    </sheetView>
  </sheetViews>
  <sheetFormatPr defaultColWidth="11.5703125" defaultRowHeight="12.75"/>
  <cols>
    <col min="1" max="1" width="5.5703125" style="69" hidden="1" customWidth="1"/>
    <col min="2" max="2" width="9.140625" customWidth="1"/>
    <col min="3" max="3" width="6.140625" customWidth="1"/>
    <col min="4" max="4" width="14.28515625" customWidth="1"/>
    <col min="5" max="6" width="4.5703125" customWidth="1"/>
    <col min="7" max="7" width="14.28515625" customWidth="1"/>
    <col min="8" max="8" width="4" customWidth="1"/>
    <col min="9" max="9" width="14.5703125" customWidth="1"/>
    <col min="11" max="11" width="11.42578125" customWidth="1"/>
    <col min="12" max="12" width="2.85546875" customWidth="1"/>
    <col min="13" max="14" width="2.7109375" customWidth="1"/>
    <col min="15" max="15" width="2.5703125" customWidth="1"/>
    <col min="16" max="16" width="4.140625" customWidth="1"/>
    <col min="17" max="17" width="5.28515625" customWidth="1"/>
    <col min="18" max="18" width="5.42578125" customWidth="1"/>
    <col min="20" max="20" width="4.85546875" customWidth="1"/>
    <col min="21" max="21" width="17.85546875" customWidth="1"/>
    <col min="22" max="25" width="4.85546875" customWidth="1"/>
    <col min="26" max="26" width="17.85546875" customWidth="1"/>
    <col min="27" max="30" width="4.85546875" customWidth="1"/>
    <col min="31" max="31" width="17.85546875" customWidth="1"/>
    <col min="32" max="35" width="4.85546875" customWidth="1"/>
    <col min="36" max="36" width="17.85546875" customWidth="1"/>
    <col min="37" max="38" width="4.85546875" customWidth="1"/>
    <col min="100" max="100" width="13.42578125" customWidth="1"/>
    <col min="101" max="101" width="2.85546875" customWidth="1"/>
    <col min="102" max="102" width="2.7109375" customWidth="1"/>
    <col min="103" max="103" width="2.85546875" customWidth="1"/>
    <col min="104" max="104" width="2.7109375" customWidth="1"/>
    <col min="105" max="105" width="4" customWidth="1"/>
    <col min="106" max="106" width="4.140625" customWidth="1"/>
    <col min="107" max="107" width="4.28515625" customWidth="1"/>
    <col min="108" max="108" width="7.7109375" customWidth="1"/>
    <col min="110" max="110" width="6.7109375" customWidth="1"/>
    <col min="111" max="111" width="2.5703125" customWidth="1"/>
  </cols>
  <sheetData>
    <row r="1" spans="1:111" ht="20.25">
      <c r="A1" s="141"/>
      <c r="B1" s="236" t="str">
        <f>VLOOKUP("NOME_TORNEO",A_1_INPUT_DATI_TORNEO,2,0)</f>
        <v>Torneo dell’Estate</v>
      </c>
      <c r="C1" s="236"/>
      <c r="D1" s="236"/>
      <c r="E1" s="236"/>
      <c r="F1" s="236"/>
      <c r="G1" s="236"/>
      <c r="H1" s="236"/>
      <c r="I1" s="236"/>
      <c r="K1" s="236" t="str">
        <f>VLOOKUP("NOME_TORNEO",A_1_INPUT_DATI_TORNEO,2,0)</f>
        <v>Torneo dell’Estate</v>
      </c>
      <c r="L1" s="236"/>
      <c r="M1" s="236"/>
      <c r="N1" s="236"/>
      <c r="O1" s="236"/>
      <c r="P1" s="236"/>
      <c r="Q1" s="236"/>
      <c r="R1" s="236"/>
      <c r="T1" s="237" t="str">
        <f>VLOOKUP("NOME_TORNEO",A_1_INPUT_DATI_TORNEO,2,0)</f>
        <v>Torneo dell’Estate</v>
      </c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3"/>
      <c r="DG1" s="143"/>
    </row>
    <row r="2" spans="1:111" ht="15.75" customHeight="1">
      <c r="A2" s="141"/>
      <c r="B2" s="238" t="s">
        <v>388</v>
      </c>
      <c r="C2" s="238"/>
      <c r="D2" s="238"/>
      <c r="E2" s="238"/>
      <c r="F2" s="238"/>
      <c r="G2" s="238"/>
      <c r="H2" s="238"/>
      <c r="I2" s="238"/>
      <c r="K2" s="238" t="s">
        <v>389</v>
      </c>
      <c r="L2" s="238"/>
      <c r="M2" s="238"/>
      <c r="N2" s="238"/>
      <c r="O2" s="238"/>
      <c r="P2" s="238"/>
      <c r="Q2" s="238"/>
      <c r="R2" s="238"/>
      <c r="T2" s="238" t="s">
        <v>390</v>
      </c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</row>
    <row r="3" spans="1:111" ht="15.95" customHeight="1">
      <c r="A3" s="141"/>
      <c r="B3" s="144" t="s">
        <v>18</v>
      </c>
      <c r="C3" s="144" t="s">
        <v>19</v>
      </c>
      <c r="D3" s="144" t="s">
        <v>98</v>
      </c>
      <c r="E3" s="239" t="s">
        <v>391</v>
      </c>
      <c r="F3" s="239"/>
      <c r="G3" s="144" t="s">
        <v>99</v>
      </c>
      <c r="H3" s="144" t="s">
        <v>392</v>
      </c>
      <c r="I3" s="144" t="s">
        <v>393</v>
      </c>
      <c r="K3" s="145" t="s">
        <v>394</v>
      </c>
      <c r="L3" s="146" t="s">
        <v>61</v>
      </c>
      <c r="M3" s="146" t="s">
        <v>395</v>
      </c>
      <c r="N3" s="146" t="s">
        <v>396</v>
      </c>
      <c r="O3" s="146" t="s">
        <v>56</v>
      </c>
      <c r="P3" s="146" t="s">
        <v>397</v>
      </c>
      <c r="Q3" s="146" t="s">
        <v>398</v>
      </c>
      <c r="R3" s="147" t="s">
        <v>399</v>
      </c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8" t="s">
        <v>400</v>
      </c>
      <c r="CW3" s="148" t="s">
        <v>61</v>
      </c>
      <c r="CX3" s="148" t="s">
        <v>395</v>
      </c>
      <c r="CY3" s="148" t="s">
        <v>401</v>
      </c>
      <c r="CZ3" s="148" t="s">
        <v>396</v>
      </c>
      <c r="DA3" s="148" t="s">
        <v>402</v>
      </c>
      <c r="DB3" s="148" t="s">
        <v>403</v>
      </c>
      <c r="DC3" s="148" t="s">
        <v>404</v>
      </c>
      <c r="DD3" s="148" t="s">
        <v>405</v>
      </c>
      <c r="DE3" s="148"/>
      <c r="DF3" s="148" t="s">
        <v>406</v>
      </c>
      <c r="DG3" s="143"/>
    </row>
    <row r="4" spans="1:111" ht="15.95" customHeight="1">
      <c r="A4" s="149">
        <v>1</v>
      </c>
      <c r="B4" s="150">
        <f t="shared" ref="B4:B11" si="0">VLOOKUP(A4,A_4_INPUT_DATE_E_RISULTATI_GIRONI,8,0)</f>
        <v>44354</v>
      </c>
      <c r="C4" s="151">
        <f t="shared" ref="C4:C11" si="1">VLOOKUP(A4,A_4_INPUT_DATE_E_RISULTATI_GIRONI,9,0)</f>
        <v>0.66666666666666663</v>
      </c>
      <c r="D4" s="152" t="str">
        <f t="shared" ref="D4:D11" si="2">VLOOKUP(A4,A_4_INPUT_DATE_E_RISULTATI_GIRONI,4,0)</f>
        <v>Leoni</v>
      </c>
      <c r="E4" s="153">
        <f t="shared" ref="E4:E11" si="3">VLOOKUP(A4,A_4_INPUT_DATE_E_RISULTATI_GIRONI,6,0)</f>
        <v>72</v>
      </c>
      <c r="F4" s="153">
        <f t="shared" ref="F4:F11" si="4">VLOOKUP(A4,A_4_INPUT_DATE_E_RISULTATI_GIRONI,7,0)</f>
        <v>49</v>
      </c>
      <c r="G4" s="154" t="str">
        <f t="shared" ref="G4:G11" si="5">VLOOKUP(A4,A_4_INPUT_DATE_E_RISULTATI_GIRONI,5,0)</f>
        <v>Pantere</v>
      </c>
      <c r="H4" s="155" t="str">
        <f t="shared" ref="H4:H11" si="6">VLOOKUP(A4,A_4_INPUT_DATE_E_RISULTATI_GIRONI,3,0)</f>
        <v>A</v>
      </c>
      <c r="I4" s="156" t="str">
        <f t="shared" ref="I4:I11" si="7">VLOOKUP(A4,A_4_INPUT_DATE_E_RISULTATI_GIRONI,11,0)</f>
        <v>Cristo Re 1</v>
      </c>
      <c r="K4" s="157" t="str">
        <f t="shared" ref="K4:K7" ca="1" si="8">VLOOKUP(ROW()-3&amp;RIGHT(K$3,1),B_CLASSIFICA_GIRONE_A,4,0)</f>
        <v>Leoni</v>
      </c>
      <c r="L4" s="158">
        <f t="shared" ref="L4:L7" ca="1" si="9">VLOOKUP(ROW()-3&amp;RIGHT(K$3,1),B_CLASSIFICA_GIRONE_A,5,0)</f>
        <v>3</v>
      </c>
      <c r="M4" s="158">
        <f t="shared" ref="M4:M7" ca="1" si="10">VLOOKUP(ROW()-3&amp;RIGHT(K$3,1),B_CLASSIFICA_GIRONE_A,6,0)</f>
        <v>3</v>
      </c>
      <c r="N4" s="158">
        <f t="shared" ref="N4:N7" ca="1" si="11">VLOOKUP(ROW()-3&amp;RIGHT(K$3,1),B_CLASSIFICA_GIRONE_A,7,0)</f>
        <v>0</v>
      </c>
      <c r="O4" s="158">
        <f t="shared" ref="O4:O7" ca="1" si="12">VLOOKUP(ROW()-3&amp;RIGHT(K$3,1),B_CLASSIFICA_GIRONE_A,8,0)</f>
        <v>0</v>
      </c>
      <c r="P4" s="158">
        <f t="shared" ref="P4:P7" ca="1" si="13">VLOOKUP(ROW()-3&amp;RIGHT(K$3,1),B_CLASSIFICA_GIRONE_A,9,0)</f>
        <v>6</v>
      </c>
      <c r="Q4" s="158">
        <f t="shared" ref="Q4:Q7" ca="1" si="14">VLOOKUP(ROW()-3&amp;RIGHT(K$3,1),B_CLASSIFICA_GIRONE_A,10,0)</f>
        <v>244</v>
      </c>
      <c r="R4" s="159">
        <f t="shared" ref="R4:R7" ca="1" si="15">VLOOKUP(ROW()-3&amp;RIGHT(K$3,1),B_CLASSIFICA_GIRONE_A,11,0)</f>
        <v>96</v>
      </c>
      <c r="T4" s="240" t="s">
        <v>407</v>
      </c>
      <c r="U4" s="240"/>
      <c r="V4" s="240"/>
      <c r="W4" s="142"/>
      <c r="X4" s="143"/>
      <c r="Y4" s="240" t="s">
        <v>408</v>
      </c>
      <c r="Z4" s="240"/>
      <c r="AA4" s="240"/>
      <c r="AB4" s="143"/>
      <c r="AC4" s="143"/>
      <c r="AD4" s="240" t="s">
        <v>409</v>
      </c>
      <c r="AE4" s="240"/>
      <c r="AF4" s="240"/>
      <c r="AG4" s="143"/>
      <c r="AH4" s="143"/>
      <c r="AI4" s="240" t="s">
        <v>410</v>
      </c>
      <c r="AJ4" s="240"/>
      <c r="AK4" s="240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60" t="s">
        <v>411</v>
      </c>
      <c r="CW4" s="161">
        <v>3</v>
      </c>
      <c r="CX4" s="161">
        <v>2</v>
      </c>
      <c r="CY4" s="161">
        <v>1</v>
      </c>
      <c r="CZ4" s="161">
        <v>0</v>
      </c>
      <c r="DA4" s="161">
        <v>4</v>
      </c>
      <c r="DB4" s="161">
        <v>1</v>
      </c>
      <c r="DC4" s="161">
        <v>3</v>
      </c>
      <c r="DD4" s="161">
        <v>7.0003000000000002</v>
      </c>
      <c r="DE4" s="161"/>
      <c r="DF4" s="162">
        <v>70307</v>
      </c>
      <c r="DG4" s="143">
        <v>1</v>
      </c>
    </row>
    <row r="5" spans="1:111" ht="15.95" customHeight="1">
      <c r="A5" s="149">
        <v>2</v>
      </c>
      <c r="B5" s="150">
        <f t="shared" si="0"/>
        <v>44354</v>
      </c>
      <c r="C5" s="151">
        <f t="shared" si="1"/>
        <v>0.75</v>
      </c>
      <c r="D5" s="163" t="str">
        <f t="shared" si="2"/>
        <v>Tigri</v>
      </c>
      <c r="E5" s="153">
        <f t="shared" si="3"/>
        <v>67</v>
      </c>
      <c r="F5" s="153">
        <f t="shared" si="4"/>
        <v>51</v>
      </c>
      <c r="G5" s="154" t="str">
        <f t="shared" si="5"/>
        <v>Ghepardi</v>
      </c>
      <c r="H5" s="156" t="str">
        <f t="shared" si="6"/>
        <v>A</v>
      </c>
      <c r="I5" s="156" t="str">
        <f t="shared" si="7"/>
        <v>Cristo Re 1</v>
      </c>
      <c r="K5" s="164" t="str">
        <f t="shared" ca="1" si="8"/>
        <v>Pantere</v>
      </c>
      <c r="L5" s="165">
        <f t="shared" ca="1" si="9"/>
        <v>3</v>
      </c>
      <c r="M5" s="165">
        <f t="shared" ca="1" si="10"/>
        <v>2</v>
      </c>
      <c r="N5" s="165">
        <f t="shared" ca="1" si="11"/>
        <v>1</v>
      </c>
      <c r="O5" s="165">
        <f t="shared" ca="1" si="12"/>
        <v>0</v>
      </c>
      <c r="P5" s="165">
        <f t="shared" ca="1" si="13"/>
        <v>5</v>
      </c>
      <c r="Q5" s="165">
        <f t="shared" ca="1" si="14"/>
        <v>199</v>
      </c>
      <c r="R5" s="166">
        <f t="shared" ca="1" si="15"/>
        <v>123</v>
      </c>
      <c r="T5" s="240"/>
      <c r="U5" s="240"/>
      <c r="V5" s="240"/>
      <c r="W5" s="142"/>
      <c r="X5" s="143"/>
      <c r="Y5" s="240"/>
      <c r="Z5" s="240"/>
      <c r="AA5" s="240"/>
      <c r="AB5" s="143"/>
      <c r="AC5" s="143"/>
      <c r="AD5" s="240"/>
      <c r="AE5" s="240"/>
      <c r="AF5" s="240"/>
      <c r="AG5" s="143"/>
      <c r="AH5" s="143"/>
      <c r="AI5" s="240"/>
      <c r="AJ5" s="240"/>
      <c r="AK5" s="240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60" t="s">
        <v>412</v>
      </c>
      <c r="CW5" s="161">
        <v>3</v>
      </c>
      <c r="CX5" s="161">
        <v>1</v>
      </c>
      <c r="CY5" s="161">
        <v>0</v>
      </c>
      <c r="CZ5" s="161">
        <v>2</v>
      </c>
      <c r="DA5" s="161">
        <v>1</v>
      </c>
      <c r="DB5" s="161">
        <v>3</v>
      </c>
      <c r="DC5" s="161">
        <v>-2</v>
      </c>
      <c r="DD5" s="161">
        <v>2.9998</v>
      </c>
      <c r="DE5" s="161"/>
      <c r="DF5" s="162">
        <v>29799</v>
      </c>
      <c r="DG5" s="143">
        <v>2</v>
      </c>
    </row>
    <row r="6" spans="1:111" ht="15.95" customHeight="1">
      <c r="A6" s="149">
        <v>3</v>
      </c>
      <c r="B6" s="150">
        <f t="shared" si="0"/>
        <v>44354</v>
      </c>
      <c r="C6" s="151">
        <f t="shared" si="1"/>
        <v>0.66666666666666663</v>
      </c>
      <c r="D6" s="163" t="str">
        <f t="shared" si="2"/>
        <v>Giaguari</v>
      </c>
      <c r="E6" s="153">
        <f t="shared" si="3"/>
        <v>100</v>
      </c>
      <c r="F6" s="153">
        <f t="shared" si="4"/>
        <v>51</v>
      </c>
      <c r="G6" s="154" t="str">
        <f t="shared" si="5"/>
        <v>Puma</v>
      </c>
      <c r="H6" s="156" t="str">
        <f t="shared" si="6"/>
        <v>B</v>
      </c>
      <c r="I6" s="156" t="str">
        <f t="shared" si="7"/>
        <v>Cristo Re 2</v>
      </c>
      <c r="K6" s="167" t="str">
        <f t="shared" ca="1" si="8"/>
        <v>Tigri</v>
      </c>
      <c r="L6" s="168">
        <f t="shared" ca="1" si="9"/>
        <v>3</v>
      </c>
      <c r="M6" s="168">
        <f t="shared" ca="1" si="10"/>
        <v>1</v>
      </c>
      <c r="N6" s="168">
        <f t="shared" ca="1" si="11"/>
        <v>2</v>
      </c>
      <c r="O6" s="168">
        <f t="shared" ca="1" si="12"/>
        <v>0</v>
      </c>
      <c r="P6" s="168">
        <f t="shared" ca="1" si="13"/>
        <v>4</v>
      </c>
      <c r="Q6" s="168">
        <f t="shared" ca="1" si="14"/>
        <v>119</v>
      </c>
      <c r="R6" s="169">
        <f t="shared" ca="1" si="15"/>
        <v>234</v>
      </c>
      <c r="T6" s="170"/>
      <c r="U6" s="171"/>
      <c r="V6" s="143"/>
      <c r="W6" s="142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60" t="s">
        <v>413</v>
      </c>
      <c r="CW6" s="161">
        <v>3</v>
      </c>
      <c r="CX6" s="172">
        <v>1</v>
      </c>
      <c r="CY6" s="172">
        <v>2</v>
      </c>
      <c r="CZ6" s="172">
        <v>0</v>
      </c>
      <c r="DA6" s="172">
        <v>2</v>
      </c>
      <c r="DB6" s="172">
        <v>1</v>
      </c>
      <c r="DC6" s="161">
        <v>1</v>
      </c>
      <c r="DD6" s="172">
        <v>5.0000999999999998</v>
      </c>
      <c r="DE6" s="172"/>
      <c r="DF6" s="162">
        <v>50103</v>
      </c>
      <c r="DG6" s="143">
        <v>2</v>
      </c>
    </row>
    <row r="7" spans="1:111" ht="15.95" customHeight="1">
      <c r="A7" s="149">
        <v>4</v>
      </c>
      <c r="B7" s="150">
        <f t="shared" si="0"/>
        <v>44354</v>
      </c>
      <c r="C7" s="151">
        <f t="shared" si="1"/>
        <v>0.75</v>
      </c>
      <c r="D7" s="163" t="str">
        <f t="shared" si="2"/>
        <v>Linci</v>
      </c>
      <c r="E7" s="153">
        <f t="shared" si="3"/>
        <v>96</v>
      </c>
      <c r="F7" s="153">
        <f t="shared" si="4"/>
        <v>86</v>
      </c>
      <c r="G7" s="154" t="str">
        <f t="shared" si="5"/>
        <v>Serval</v>
      </c>
      <c r="H7" s="156" t="str">
        <f t="shared" si="6"/>
        <v>B</v>
      </c>
      <c r="I7" s="156" t="str">
        <f t="shared" si="7"/>
        <v>Cristo Re 2</v>
      </c>
      <c r="K7" s="173" t="str">
        <f t="shared" ca="1" si="8"/>
        <v>Ghepardi</v>
      </c>
      <c r="L7" s="174">
        <f t="shared" ca="1" si="9"/>
        <v>3</v>
      </c>
      <c r="M7" s="174">
        <f t="shared" ca="1" si="10"/>
        <v>0</v>
      </c>
      <c r="N7" s="174">
        <f t="shared" ca="1" si="11"/>
        <v>3</v>
      </c>
      <c r="O7" s="174">
        <f t="shared" ca="1" si="12"/>
        <v>0</v>
      </c>
      <c r="P7" s="174">
        <f t="shared" ca="1" si="13"/>
        <v>3</v>
      </c>
      <c r="Q7" s="174">
        <f t="shared" ca="1" si="14"/>
        <v>97</v>
      </c>
      <c r="R7" s="175">
        <f t="shared" ca="1" si="15"/>
        <v>206</v>
      </c>
      <c r="T7" s="176" t="str">
        <f>TEXT(VLOOKUP(T8,A_5_INPUT_DATE_E_RISULTATI_2A_FASE,8,FALSE),"GGG G MMM")&amp;" "&amp;TEXT(VLOOKUP(T8,A_5_INPUT_DATE_E_RISULTATI_2A_FASE,9,FALSE),"h:mm")&amp;" ("&amp;VLOOKUP(T8,A_5_INPUT_DATE_E_RISULTATI_2A_FASE,11,FALSE)&amp;")"</f>
        <v>gio 10 giu 9:00 (Cristo Re 1)</v>
      </c>
      <c r="U7" s="171"/>
      <c r="V7" s="177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60" t="s">
        <v>414</v>
      </c>
      <c r="CW7" s="161">
        <v>3</v>
      </c>
      <c r="CX7" s="161">
        <v>0</v>
      </c>
      <c r="CY7" s="161">
        <v>1</v>
      </c>
      <c r="CZ7" s="161">
        <v>2</v>
      </c>
      <c r="DA7" s="161">
        <v>2</v>
      </c>
      <c r="DB7" s="161">
        <v>4</v>
      </c>
      <c r="DC7" s="161">
        <v>-2</v>
      </c>
      <c r="DD7" s="161">
        <v>0.99980000000000002</v>
      </c>
      <c r="DE7" s="161"/>
      <c r="DF7" s="162">
        <v>9800</v>
      </c>
      <c r="DG7" s="143">
        <v>3</v>
      </c>
    </row>
    <row r="8" spans="1:111" ht="15.95" customHeight="1">
      <c r="A8" s="149">
        <v>5</v>
      </c>
      <c r="B8" s="150">
        <f t="shared" si="0"/>
        <v>44354</v>
      </c>
      <c r="C8" s="151">
        <f t="shared" si="1"/>
        <v>0.66666666666666663</v>
      </c>
      <c r="D8" s="163" t="str">
        <f t="shared" si="2"/>
        <v>Elefanti</v>
      </c>
      <c r="E8" s="153">
        <f t="shared" si="3"/>
        <v>79</v>
      </c>
      <c r="F8" s="153">
        <f t="shared" si="4"/>
        <v>48</v>
      </c>
      <c r="G8" s="154" t="str">
        <f t="shared" si="5"/>
        <v>Giraffe</v>
      </c>
      <c r="H8" s="156" t="str">
        <f t="shared" si="6"/>
        <v>C</v>
      </c>
      <c r="I8" s="156" t="str">
        <f t="shared" si="7"/>
        <v>Basket Giovane</v>
      </c>
      <c r="K8" s="178" t="s">
        <v>415</v>
      </c>
      <c r="L8" s="179" t="s">
        <v>61</v>
      </c>
      <c r="M8" s="179" t="s">
        <v>395</v>
      </c>
      <c r="N8" s="179" t="s">
        <v>396</v>
      </c>
      <c r="O8" s="179" t="s">
        <v>56</v>
      </c>
      <c r="P8" s="179" t="s">
        <v>397</v>
      </c>
      <c r="Q8" s="179" t="s">
        <v>398</v>
      </c>
      <c r="R8" s="180" t="s">
        <v>399</v>
      </c>
      <c r="T8" s="241">
        <f>VLOOKUP("1-16/8",B_PARTITE_2A_FASE_PER_CODICE,2,FALSE)</f>
        <v>49</v>
      </c>
      <c r="U8" s="181" t="str">
        <f ca="1">VLOOKUP("1-16/8",B_PARTITE_2A_FASE_PER_CODICE,7,FALSE)</f>
        <v>Leoni</v>
      </c>
      <c r="V8" s="182">
        <f>VLOOKUP("1-16/8",B_PARTITE_2A_FASE_PER_CODICE,9,FALSE)</f>
        <v>67</v>
      </c>
      <c r="W8" s="183" t="str">
        <f>VLOOKUP("1-16/8",B_PARTITE_2A_FASE_PER_CODICE,5,FALSE)</f>
        <v>1A</v>
      </c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84" t="s">
        <v>416</v>
      </c>
      <c r="CW8" s="184" t="s">
        <v>61</v>
      </c>
      <c r="CX8" s="184" t="s">
        <v>395</v>
      </c>
      <c r="CY8" s="184" t="s">
        <v>401</v>
      </c>
      <c r="CZ8" s="184" t="s">
        <v>396</v>
      </c>
      <c r="DA8" s="184" t="s">
        <v>402</v>
      </c>
      <c r="DB8" s="184" t="s">
        <v>403</v>
      </c>
      <c r="DC8" s="184"/>
      <c r="DD8" s="184" t="s">
        <v>405</v>
      </c>
      <c r="DE8" s="184"/>
      <c r="DF8" s="162"/>
      <c r="DG8" s="143"/>
    </row>
    <row r="9" spans="1:111" ht="15.95" customHeight="1">
      <c r="A9" s="149">
        <v>6</v>
      </c>
      <c r="B9" s="150">
        <f t="shared" si="0"/>
        <v>44354</v>
      </c>
      <c r="C9" s="151">
        <f t="shared" si="1"/>
        <v>0.75</v>
      </c>
      <c r="D9" s="163" t="str">
        <f t="shared" si="2"/>
        <v>Ippopotami</v>
      </c>
      <c r="E9" s="153">
        <f t="shared" si="3"/>
        <v>62</v>
      </c>
      <c r="F9" s="153">
        <f t="shared" si="4"/>
        <v>44</v>
      </c>
      <c r="G9" s="154" t="str">
        <f t="shared" si="5"/>
        <v>Iguane</v>
      </c>
      <c r="H9" s="156" t="str">
        <f t="shared" si="6"/>
        <v>C</v>
      </c>
      <c r="I9" s="156" t="str">
        <f t="shared" si="7"/>
        <v>Basket Giovane</v>
      </c>
      <c r="K9" s="157" t="str">
        <f t="shared" ref="K9:K12" ca="1" si="16">VLOOKUP(ROW()-8&amp;RIGHT(K$8,1),B_CLASSIFICA_GIRONE_B,4,0)</f>
        <v>Giaguari</v>
      </c>
      <c r="L9" s="158">
        <f t="shared" ref="L9:L12" ca="1" si="17">VLOOKUP(ROW()-8&amp;RIGHT(K$8,1),B_CLASSIFICA_GIRONE_B,5,0)</f>
        <v>3</v>
      </c>
      <c r="M9" s="158">
        <f t="shared" ref="M9:M12" ca="1" si="18">VLOOKUP(ROW()-8&amp;RIGHT(K$8,1),B_CLASSIFICA_GIRONE_B,6,0)</f>
        <v>2</v>
      </c>
      <c r="N9" s="158">
        <f t="shared" ref="N9:N12" ca="1" si="19">VLOOKUP(ROW()-8&amp;RIGHT(K$8,1),B_CLASSIFICA_GIRONE_B,7,0)</f>
        <v>1</v>
      </c>
      <c r="O9" s="158">
        <f t="shared" ref="O9:O12" ca="1" si="20">VLOOKUP(ROW()-8&amp;RIGHT(K$8,1),B_CLASSIFICA_GIRONE_B,8,0)</f>
        <v>0</v>
      </c>
      <c r="P9" s="158">
        <f t="shared" ref="P9:P12" ca="1" si="21">VLOOKUP(ROW()-8&amp;RIGHT(K$8,1),B_CLASSIFICA_GIRONE_B,9,0)</f>
        <v>5</v>
      </c>
      <c r="Q9" s="158">
        <f t="shared" ref="Q9:Q12" ca="1" si="22">VLOOKUP(ROW()-8&amp;RIGHT(K$8,1),B_CLASSIFICA_GIRONE_B,10,0)</f>
        <v>232</v>
      </c>
      <c r="R9" s="159">
        <f t="shared" ref="R9:R12" ca="1" si="23">VLOOKUP(ROW()-8&amp;RIGHT(K$8,1),B_CLASSIFICA_GIRONE_B,11,0)</f>
        <v>192</v>
      </c>
      <c r="T9" s="241"/>
      <c r="U9" s="185" t="str">
        <f ca="1">VLOOKUP("1-16/8",B_PARTITE_2A_FASE_PER_CODICE,8,FALSE)</f>
        <v>Elefanti</v>
      </c>
      <c r="V9" s="186">
        <f>VLOOKUP("1-16/8",B_PARTITE_2A_FASE_PER_CODICE,10,FALSE)</f>
        <v>46</v>
      </c>
      <c r="W9" s="187" t="str">
        <f>VLOOKUP("1-16/8",B_PARTITE_2A_FASE_PER_CODICE,6,FALSE)</f>
        <v>2C</v>
      </c>
      <c r="X9" s="143"/>
      <c r="Y9" s="188" t="str">
        <f>TEXT(VLOOKUP(Y10,A_5_INPUT_DATE_E_RISULTATI_2A_FASE,8,FALSE),"GGG G MMM")&amp;" "&amp;TEXT(VLOOKUP(Y10,A_5_INPUT_DATE_E_RISULTATI_2A_FASE,9,FALSE),"h:mm")&amp;" ("&amp;VLOOKUP(Y10,A_5_INPUT_DATE_E_RISULTATI_2A_FASE,11,FALSE)&amp;")"</f>
        <v>ven 11 giu 9:00 (Cristo Re 1)</v>
      </c>
      <c r="Z9" s="143"/>
      <c r="AA9" s="177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60" t="s">
        <v>417</v>
      </c>
      <c r="CW9" s="161">
        <v>3</v>
      </c>
      <c r="CX9" s="161">
        <v>1</v>
      </c>
      <c r="CY9" s="161">
        <v>2</v>
      </c>
      <c r="CZ9" s="161">
        <v>0</v>
      </c>
      <c r="DA9" s="161">
        <v>3</v>
      </c>
      <c r="DB9" s="161">
        <v>2</v>
      </c>
      <c r="DC9" s="161"/>
      <c r="DD9" s="161">
        <v>5.0000999999999998</v>
      </c>
      <c r="DE9" s="161"/>
      <c r="DF9" s="162">
        <v>50104</v>
      </c>
      <c r="DG9" s="143"/>
    </row>
    <row r="10" spans="1:111" ht="15.95" customHeight="1">
      <c r="A10" s="149">
        <v>7</v>
      </c>
      <c r="B10" s="150">
        <f t="shared" si="0"/>
        <v>44354</v>
      </c>
      <c r="C10" s="151">
        <f t="shared" si="1"/>
        <v>0.66666666666666663</v>
      </c>
      <c r="D10" s="163" t="str">
        <f t="shared" si="2"/>
        <v>Coccodrilli</v>
      </c>
      <c r="E10" s="153">
        <f t="shared" si="3"/>
        <v>96</v>
      </c>
      <c r="F10" s="153">
        <f t="shared" si="4"/>
        <v>25</v>
      </c>
      <c r="G10" s="154" t="str">
        <f t="shared" si="5"/>
        <v>Pitoni</v>
      </c>
      <c r="H10" s="156" t="str">
        <f t="shared" si="6"/>
        <v>D</v>
      </c>
      <c r="I10" s="156" t="str">
        <f t="shared" si="7"/>
        <v>Nuova Scuola</v>
      </c>
      <c r="K10" s="164" t="str">
        <f t="shared" ca="1" si="16"/>
        <v>Puma</v>
      </c>
      <c r="L10" s="165">
        <f t="shared" ca="1" si="17"/>
        <v>3</v>
      </c>
      <c r="M10" s="165">
        <f t="shared" ca="1" si="18"/>
        <v>2</v>
      </c>
      <c r="N10" s="165">
        <f t="shared" ca="1" si="19"/>
        <v>1</v>
      </c>
      <c r="O10" s="165">
        <f t="shared" ca="1" si="20"/>
        <v>0</v>
      </c>
      <c r="P10" s="165">
        <f t="shared" ca="1" si="21"/>
        <v>5</v>
      </c>
      <c r="Q10" s="165">
        <f t="shared" ca="1" si="22"/>
        <v>216</v>
      </c>
      <c r="R10" s="166">
        <f t="shared" ca="1" si="23"/>
        <v>217</v>
      </c>
      <c r="T10" s="170"/>
      <c r="U10" s="171"/>
      <c r="V10" s="189"/>
      <c r="W10" s="190"/>
      <c r="X10" s="143"/>
      <c r="Y10" s="242">
        <f>VLOOKUP("1-8/4",B_PARTITE_2A_FASE_PER_CODICE,2,FALSE)</f>
        <v>69</v>
      </c>
      <c r="Z10" s="181" t="str">
        <f ca="1">VLOOKUP("1-8/4",B_PARTITE_2A_FASE_PER_CODICE,7,FALSE)</f>
        <v>Leoni</v>
      </c>
      <c r="AA10" s="182">
        <f>VLOOKUP("1-8/4",B_PARTITE_2A_FASE_PER_CODICE,9,FALSE)</f>
        <v>58</v>
      </c>
      <c r="AB10" s="183" t="str">
        <f>VLOOKUP("1-8/4",B_PARTITE_2A_FASE_PER_CODICE,5,FALSE)</f>
        <v>V49</v>
      </c>
      <c r="AC10" s="143"/>
      <c r="AD10" s="143"/>
      <c r="AE10" s="143"/>
      <c r="AF10" s="143"/>
      <c r="AG10" s="143"/>
      <c r="AH10" s="143"/>
      <c r="AI10" s="143"/>
      <c r="AJ10" s="143"/>
      <c r="AK10" s="143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  <c r="CT10" s="143"/>
      <c r="CU10" s="143"/>
      <c r="CV10" s="160" t="s">
        <v>418</v>
      </c>
      <c r="CW10" s="161">
        <v>3</v>
      </c>
      <c r="CX10" s="161">
        <v>2</v>
      </c>
      <c r="CY10" s="161">
        <v>0</v>
      </c>
      <c r="CZ10" s="161">
        <v>1</v>
      </c>
      <c r="DA10" s="161">
        <v>6</v>
      </c>
      <c r="DB10" s="161">
        <v>3</v>
      </c>
      <c r="DC10" s="161"/>
      <c r="DD10" s="161">
        <v>6.0003000000000002</v>
      </c>
      <c r="DE10" s="161"/>
      <c r="DF10" s="162">
        <v>60309</v>
      </c>
      <c r="DG10" s="143"/>
    </row>
    <row r="11" spans="1:111" ht="15.95" customHeight="1">
      <c r="A11" s="149">
        <v>8</v>
      </c>
      <c r="B11" s="150">
        <f t="shared" si="0"/>
        <v>44354</v>
      </c>
      <c r="C11" s="151">
        <f t="shared" si="1"/>
        <v>0.75</v>
      </c>
      <c r="D11" s="163" t="str">
        <f t="shared" si="2"/>
        <v>Aquile</v>
      </c>
      <c r="E11" s="153">
        <f t="shared" si="3"/>
        <v>72</v>
      </c>
      <c r="F11" s="153">
        <f t="shared" si="4"/>
        <v>52</v>
      </c>
      <c r="G11" s="154" t="str">
        <f t="shared" si="5"/>
        <v>Falchi</v>
      </c>
      <c r="H11" s="156" t="str">
        <f t="shared" si="6"/>
        <v>D</v>
      </c>
      <c r="I11" s="156" t="str">
        <f t="shared" si="7"/>
        <v>Nuova Scuola</v>
      </c>
      <c r="K11" s="167" t="str">
        <f t="shared" ca="1" si="16"/>
        <v>Linci</v>
      </c>
      <c r="L11" s="168">
        <f t="shared" ca="1" si="17"/>
        <v>3</v>
      </c>
      <c r="M11" s="168">
        <f t="shared" ca="1" si="18"/>
        <v>1</v>
      </c>
      <c r="N11" s="168">
        <f t="shared" ca="1" si="19"/>
        <v>2</v>
      </c>
      <c r="O11" s="168">
        <f t="shared" ca="1" si="20"/>
        <v>0</v>
      </c>
      <c r="P11" s="168">
        <f t="shared" ca="1" si="21"/>
        <v>4</v>
      </c>
      <c r="Q11" s="168">
        <f t="shared" ca="1" si="22"/>
        <v>215</v>
      </c>
      <c r="R11" s="169">
        <f t="shared" ca="1" si="23"/>
        <v>239</v>
      </c>
      <c r="T11" s="188" t="str">
        <f>TEXT(VLOOKUP(T12,A_5_INPUT_DATE_E_RISULTATI_2A_FASE,8,FALSE),"GGG G MMM")&amp;" "&amp;TEXT(VLOOKUP(T12,A_5_INPUT_DATE_E_RISULTATI_2A_FASE,9,FALSE),"h:mm")&amp;" ("&amp;VLOOKUP(T12,A_5_INPUT_DATE_E_RISULTATI_2A_FASE,11,FALSE)&amp;")"</f>
        <v>gio 10 giu 11:00 (Cristo Re 1)</v>
      </c>
      <c r="U11" s="171"/>
      <c r="V11" s="191"/>
      <c r="W11" s="190"/>
      <c r="X11" s="192"/>
      <c r="Y11" s="242"/>
      <c r="Z11" s="185" t="str">
        <f ca="1">VLOOKUP("1-8/4",B_PARTITE_2A_FASE_PER_CODICE,8,FALSE)</f>
        <v>Giaguari</v>
      </c>
      <c r="AA11" s="186">
        <f>VLOOKUP("1-8/4",B_PARTITE_2A_FASE_PER_CODICE,10,FALSE)</f>
        <v>46</v>
      </c>
      <c r="AB11" s="187" t="str">
        <f>VLOOKUP("1-8/4",B_PARTITE_2A_FASE_PER_CODICE,6,FALSE)</f>
        <v>V53</v>
      </c>
      <c r="AC11" s="143"/>
      <c r="AD11" s="143"/>
      <c r="AE11" s="143"/>
      <c r="AF11" s="143"/>
      <c r="AG11" s="143"/>
      <c r="AH11" s="143"/>
      <c r="AI11" s="143"/>
      <c r="AJ11" s="143"/>
      <c r="AK11" s="143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  <c r="CT11" s="143"/>
      <c r="CU11" s="143"/>
      <c r="CV11" s="160" t="s">
        <v>419</v>
      </c>
      <c r="CW11" s="161">
        <v>3</v>
      </c>
      <c r="CX11" s="172">
        <v>1</v>
      </c>
      <c r="CY11" s="172">
        <v>1</v>
      </c>
      <c r="CZ11" s="172">
        <v>1</v>
      </c>
      <c r="DA11" s="172">
        <v>3</v>
      </c>
      <c r="DB11" s="172">
        <v>3</v>
      </c>
      <c r="DC11" s="172"/>
      <c r="DD11" s="172">
        <v>4</v>
      </c>
      <c r="DE11" s="172"/>
      <c r="DF11" s="162">
        <v>40003</v>
      </c>
      <c r="DG11" s="143"/>
    </row>
    <row r="12" spans="1:111" ht="15.95" customHeight="1">
      <c r="A12" s="149"/>
      <c r="B12" s="150"/>
      <c r="C12" s="151"/>
      <c r="D12" s="163"/>
      <c r="E12" s="153"/>
      <c r="F12" s="153"/>
      <c r="G12" s="154"/>
      <c r="H12" s="156"/>
      <c r="I12" s="156"/>
      <c r="K12" s="173" t="str">
        <f t="shared" ca="1" si="16"/>
        <v>Serval</v>
      </c>
      <c r="L12" s="174">
        <f t="shared" ca="1" si="17"/>
        <v>3</v>
      </c>
      <c r="M12" s="174">
        <f t="shared" ca="1" si="18"/>
        <v>1</v>
      </c>
      <c r="N12" s="174">
        <f t="shared" ca="1" si="19"/>
        <v>2</v>
      </c>
      <c r="O12" s="174">
        <f t="shared" ca="1" si="20"/>
        <v>0</v>
      </c>
      <c r="P12" s="174">
        <f t="shared" ca="1" si="21"/>
        <v>4</v>
      </c>
      <c r="Q12" s="174">
        <f t="shared" ca="1" si="22"/>
        <v>225</v>
      </c>
      <c r="R12" s="175">
        <f t="shared" ca="1" si="23"/>
        <v>240</v>
      </c>
      <c r="T12" s="241">
        <f>VLOOKUP("1-16/7",B_PARTITE_2A_FASE_PER_CODICE,2,FALSE)</f>
        <v>53</v>
      </c>
      <c r="U12" s="193" t="str">
        <f ca="1">VLOOKUP("1-16/7",B_PARTITE_2A_FASE_PER_CODICE,7,FALSE)</f>
        <v>Giaguari</v>
      </c>
      <c r="V12" s="182">
        <f>VLOOKUP("1-16/7",B_PARTITE_2A_FASE_PER_CODICE,9,FALSE)</f>
        <v>52</v>
      </c>
      <c r="W12" s="194" t="str">
        <f>VLOOKUP("1-16/7",B_PARTITE_2A_FASE_PER_CODICE,5,FALSE)</f>
        <v>1B</v>
      </c>
      <c r="X12" s="143"/>
      <c r="Y12" s="143"/>
      <c r="Z12" s="143"/>
      <c r="AA12" s="189"/>
      <c r="AB12" s="190"/>
      <c r="AC12" s="143"/>
      <c r="AD12" s="143"/>
      <c r="AE12" s="143"/>
      <c r="AF12" s="143"/>
      <c r="AG12" s="143"/>
      <c r="AH12" s="143"/>
      <c r="AI12" s="143"/>
      <c r="AJ12" s="143"/>
      <c r="AK12" s="143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  <c r="CT12" s="143"/>
      <c r="CU12" s="143"/>
      <c r="CV12" s="160" t="s">
        <v>420</v>
      </c>
      <c r="CW12" s="161">
        <v>3</v>
      </c>
      <c r="CX12" s="161">
        <v>0</v>
      </c>
      <c r="CY12" s="161">
        <v>1</v>
      </c>
      <c r="CZ12" s="161">
        <v>2</v>
      </c>
      <c r="DA12" s="161">
        <v>2</v>
      </c>
      <c r="DB12" s="161">
        <v>6</v>
      </c>
      <c r="DC12" s="161"/>
      <c r="DD12" s="161">
        <v>0.99960000000000004</v>
      </c>
      <c r="DE12" s="161"/>
      <c r="DF12" s="162">
        <v>9598</v>
      </c>
      <c r="DG12" s="143"/>
    </row>
    <row r="13" spans="1:111" ht="15.95" customHeight="1">
      <c r="A13" s="149">
        <v>9</v>
      </c>
      <c r="B13" s="150">
        <f t="shared" ref="B13:B52" si="24">VLOOKUP(A13,A_4_INPUT_DATE_E_RISULTATI_GIRONI,8,0)</f>
        <v>44355</v>
      </c>
      <c r="C13" s="151">
        <f t="shared" ref="C13:C52" si="25">VLOOKUP(A13,A_4_INPUT_DATE_E_RISULTATI_GIRONI,9,0)</f>
        <v>0.375</v>
      </c>
      <c r="D13" s="163" t="str">
        <f t="shared" ref="D13:D52" si="26">VLOOKUP(A13,A_4_INPUT_DATE_E_RISULTATI_GIRONI,4,0)</f>
        <v>Leoni</v>
      </c>
      <c r="E13" s="153">
        <f t="shared" ref="E13:E52" si="27">VLOOKUP(A13,A_4_INPUT_DATE_E_RISULTATI_GIRONI,6,0)</f>
        <v>90</v>
      </c>
      <c r="F13" s="153">
        <f t="shared" ref="F13:F52" si="28">VLOOKUP(A13,A_4_INPUT_DATE_E_RISULTATI_GIRONI,7,0)</f>
        <v>22</v>
      </c>
      <c r="G13" s="154" t="str">
        <f t="shared" ref="G13:G52" si="29">VLOOKUP(A13,A_4_INPUT_DATE_E_RISULTATI_GIRONI,5,0)</f>
        <v>Tigri</v>
      </c>
      <c r="H13" s="156" t="str">
        <f t="shared" ref="H13:H52" si="30">VLOOKUP(A13,A_4_INPUT_DATE_E_RISULTATI_GIRONI,3,0)</f>
        <v>A</v>
      </c>
      <c r="I13" s="156" t="str">
        <f t="shared" ref="I13:I52" si="31">VLOOKUP(A13,A_4_INPUT_DATE_E_RISULTATI_GIRONI,11,0)</f>
        <v>Cristo Re 1</v>
      </c>
      <c r="K13" s="195" t="s">
        <v>421</v>
      </c>
      <c r="L13" s="196" t="s">
        <v>61</v>
      </c>
      <c r="M13" s="196" t="s">
        <v>395</v>
      </c>
      <c r="N13" s="196" t="s">
        <v>396</v>
      </c>
      <c r="O13" s="196" t="s">
        <v>56</v>
      </c>
      <c r="P13" s="196" t="s">
        <v>397</v>
      </c>
      <c r="Q13" s="196" t="s">
        <v>398</v>
      </c>
      <c r="R13" s="197" t="s">
        <v>399</v>
      </c>
      <c r="T13" s="241"/>
      <c r="U13" s="198" t="str">
        <f ca="1">VLOOKUP("1-16/7",B_PARTITE_2A_FASE_PER_CODICE,8,FALSE)</f>
        <v>Aquile</v>
      </c>
      <c r="V13" s="186">
        <f>VLOOKUP("1-16/7",B_PARTITE_2A_FASE_PER_CODICE,10,FALSE)</f>
        <v>43</v>
      </c>
      <c r="W13" s="183" t="str">
        <f>VLOOKUP("1-16/7",B_PARTITE_2A_FASE_PER_CODICE,6,FALSE)</f>
        <v>2D</v>
      </c>
      <c r="X13" s="143"/>
      <c r="Y13" s="143"/>
      <c r="Z13" s="143"/>
      <c r="AA13" s="189"/>
      <c r="AB13" s="190"/>
      <c r="AC13" s="143"/>
      <c r="AD13" s="199" t="str">
        <f>TEXT(VLOOKUP(AD14,A_5_INPUT_DATE_E_RISULTATI_2A_FASE,8,FALSE),"GGG G MMM")&amp;" "&amp;TEXT(VLOOKUP(AD14,A_5_INPUT_DATE_E_RISULTATI_2A_FASE,9,FALSE),"h:mm")&amp;" ("&amp;VLOOKUP(AD14,A_5_INPUT_DATE_E_RISULTATI_2A_FASE,11,FALSE)&amp;")"</f>
        <v>ven 11 giu 20:30 (Basket Giovane)</v>
      </c>
      <c r="AE13" s="143"/>
      <c r="AF13" s="143"/>
      <c r="AG13" s="143"/>
      <c r="AH13" s="143"/>
      <c r="AI13" s="143"/>
      <c r="AJ13" s="143"/>
      <c r="AK13" s="143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  <c r="CT13" s="143"/>
      <c r="CU13" s="143"/>
      <c r="CV13" s="200" t="s">
        <v>422</v>
      </c>
      <c r="CW13" s="200" t="s">
        <v>61</v>
      </c>
      <c r="CX13" s="200" t="s">
        <v>395</v>
      </c>
      <c r="CY13" s="200" t="s">
        <v>401</v>
      </c>
      <c r="CZ13" s="200" t="s">
        <v>396</v>
      </c>
      <c r="DA13" s="200" t="s">
        <v>402</v>
      </c>
      <c r="DB13" s="200" t="s">
        <v>403</v>
      </c>
      <c r="DC13" s="200"/>
      <c r="DD13" s="200" t="s">
        <v>405</v>
      </c>
      <c r="DE13" s="200"/>
      <c r="DF13" s="162"/>
      <c r="DG13" s="143"/>
    </row>
    <row r="14" spans="1:111" ht="15.95" customHeight="1">
      <c r="A14" s="149">
        <v>10</v>
      </c>
      <c r="B14" s="150">
        <f t="shared" si="24"/>
        <v>44355</v>
      </c>
      <c r="C14" s="151">
        <f t="shared" si="25"/>
        <v>0.375</v>
      </c>
      <c r="D14" s="163" t="str">
        <f t="shared" si="26"/>
        <v>Giaguari</v>
      </c>
      <c r="E14" s="153">
        <f t="shared" si="27"/>
        <v>56</v>
      </c>
      <c r="F14" s="153">
        <f t="shared" si="28"/>
        <v>47</v>
      </c>
      <c r="G14" s="154" t="str">
        <f t="shared" si="29"/>
        <v>Linci</v>
      </c>
      <c r="H14" s="156" t="str">
        <f t="shared" si="30"/>
        <v>B</v>
      </c>
      <c r="I14" s="156" t="str">
        <f t="shared" si="31"/>
        <v>Cristo Re 2</v>
      </c>
      <c r="K14" s="157" t="str">
        <f t="shared" ref="K14:K17" ca="1" si="32">VLOOKUP(ROW()-13&amp;RIGHT(K$13,1),B_CLASSIFICA_GIRONE_C,4,0)</f>
        <v>Giraffe</v>
      </c>
      <c r="L14" s="158">
        <f t="shared" ref="L14:L17" ca="1" si="33">VLOOKUP(ROW()-13&amp;RIGHT(K$13,1),B_CLASSIFICA_GIRONE_C,5,0)</f>
        <v>3</v>
      </c>
      <c r="M14" s="158">
        <f t="shared" ref="M14:M17" ca="1" si="34">VLOOKUP(ROW()-13&amp;RIGHT(K$13,1),B_CLASSIFICA_GIRONE_C,6,0)</f>
        <v>2</v>
      </c>
      <c r="N14" s="158">
        <f t="shared" ref="N14:N17" ca="1" si="35">VLOOKUP(ROW()-13&amp;RIGHT(K$13,1),B_CLASSIFICA_GIRONE_C,7,0)</f>
        <v>1</v>
      </c>
      <c r="O14" s="158">
        <f t="shared" ref="O14:O17" ca="1" si="36">VLOOKUP(ROW()-13&amp;RIGHT(K$13,1),B_CLASSIFICA_GIRONE_C,8,0)</f>
        <v>0</v>
      </c>
      <c r="P14" s="158">
        <f t="shared" ref="P14:P17" ca="1" si="37">VLOOKUP(ROW()-13&amp;RIGHT(K$13,1),B_CLASSIFICA_GIRONE_C,9,0)</f>
        <v>5</v>
      </c>
      <c r="Q14" s="158">
        <f t="shared" ref="Q14:Q17" ca="1" si="38">VLOOKUP(ROW()-13&amp;RIGHT(K$13,1),B_CLASSIFICA_GIRONE_C,10,0)</f>
        <v>206</v>
      </c>
      <c r="R14" s="159">
        <f t="shared" ref="R14:R17" ca="1" si="39">VLOOKUP(ROW()-13&amp;RIGHT(K$13,1),B_CLASSIFICA_GIRONE_C,11,0)</f>
        <v>162</v>
      </c>
      <c r="T14" s="170"/>
      <c r="U14" s="171"/>
      <c r="V14" s="189"/>
      <c r="W14" s="143"/>
      <c r="X14" s="143"/>
      <c r="Y14" s="143"/>
      <c r="Z14" s="143"/>
      <c r="AA14" s="189"/>
      <c r="AB14" s="190"/>
      <c r="AC14" s="143"/>
      <c r="AD14" s="243">
        <f>VLOOKUP("1-4/2",B_PARTITE_2A_FASE_PER_CODICE,2,FALSE)</f>
        <v>87</v>
      </c>
      <c r="AE14" s="181" t="str">
        <f ca="1">VLOOKUP("1-4/2",B_PARTITE_2A_FASE_PER_CODICE,7,FALSE)</f>
        <v>Leoni</v>
      </c>
      <c r="AF14" s="182">
        <f>VLOOKUP("1-4/2",B_PARTITE_2A_FASE_PER_CODICE,9,FALSE)</f>
        <v>66</v>
      </c>
      <c r="AG14" s="183" t="str">
        <f>VLOOKUP("1-4/2",B_PARTITE_2A_FASE_PER_CODICE,5,FALSE)</f>
        <v>V69</v>
      </c>
      <c r="AH14" s="201"/>
      <c r="AI14" s="143"/>
      <c r="AJ14" s="143"/>
      <c r="AK14" s="143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  <c r="CT14" s="143"/>
      <c r="CU14" s="143"/>
      <c r="CV14" s="160" t="s">
        <v>423</v>
      </c>
      <c r="CW14" s="161">
        <v>3</v>
      </c>
      <c r="CX14" s="161">
        <v>1</v>
      </c>
      <c r="CY14" s="161">
        <v>0</v>
      </c>
      <c r="CZ14" s="161">
        <v>2</v>
      </c>
      <c r="DA14" s="161">
        <v>2</v>
      </c>
      <c r="DB14" s="161">
        <v>2</v>
      </c>
      <c r="DC14" s="161"/>
      <c r="DD14" s="161">
        <v>3</v>
      </c>
      <c r="DE14" s="161"/>
      <c r="DF14" s="162"/>
      <c r="DG14" s="143"/>
    </row>
    <row r="15" spans="1:111" ht="15.95" customHeight="1">
      <c r="A15" s="149">
        <v>11</v>
      </c>
      <c r="B15" s="150">
        <f t="shared" si="24"/>
        <v>44355</v>
      </c>
      <c r="C15" s="151">
        <f t="shared" si="25"/>
        <v>0.375</v>
      </c>
      <c r="D15" s="163" t="str">
        <f t="shared" si="26"/>
        <v>Elefanti</v>
      </c>
      <c r="E15" s="153">
        <f t="shared" si="27"/>
        <v>66</v>
      </c>
      <c r="F15" s="153">
        <f t="shared" si="28"/>
        <v>95</v>
      </c>
      <c r="G15" s="154" t="str">
        <f t="shared" si="29"/>
        <v>Ippopotami</v>
      </c>
      <c r="H15" s="156" t="str">
        <f t="shared" si="30"/>
        <v>C</v>
      </c>
      <c r="I15" s="156" t="str">
        <f t="shared" si="31"/>
        <v>Basket Giovane</v>
      </c>
      <c r="K15" s="164" t="str">
        <f t="shared" ca="1" si="32"/>
        <v>Elefanti</v>
      </c>
      <c r="L15" s="165">
        <f t="shared" ca="1" si="33"/>
        <v>3</v>
      </c>
      <c r="M15" s="165">
        <f t="shared" ca="1" si="34"/>
        <v>2</v>
      </c>
      <c r="N15" s="165">
        <f t="shared" ca="1" si="35"/>
        <v>1</v>
      </c>
      <c r="O15" s="165">
        <f t="shared" ca="1" si="36"/>
        <v>0</v>
      </c>
      <c r="P15" s="165">
        <f t="shared" ca="1" si="37"/>
        <v>5</v>
      </c>
      <c r="Q15" s="165">
        <f t="shared" ca="1" si="38"/>
        <v>202</v>
      </c>
      <c r="R15" s="166">
        <f t="shared" ca="1" si="39"/>
        <v>185</v>
      </c>
      <c r="T15" s="188" t="str">
        <f>TEXT(VLOOKUP(T16,A_5_INPUT_DATE_E_RISULTATI_2A_FASE,8,FALSE),"GGG G MMM")&amp;" "&amp;TEXT(VLOOKUP(T16,A_5_INPUT_DATE_E_RISULTATI_2A_FASE,9,FALSE),"h:mm")&amp;" ("&amp;VLOOKUP(T16,A_5_INPUT_DATE_E_RISULTATI_2A_FASE,11,FALSE)&amp;")"</f>
        <v>gio 10 giu 15:30 (Cristo Re 1)</v>
      </c>
      <c r="U15" s="171"/>
      <c r="V15" s="191"/>
      <c r="W15" s="143"/>
      <c r="X15" s="143"/>
      <c r="Y15" s="143"/>
      <c r="Z15" s="143"/>
      <c r="AA15" s="191"/>
      <c r="AB15" s="190"/>
      <c r="AC15" s="192"/>
      <c r="AD15" s="243"/>
      <c r="AE15" s="185" t="str">
        <f ca="1">VLOOKUP("1-4/2",B_PARTITE_2A_FASE_PER_CODICE,8,FALSE)</f>
        <v>Bisonti</v>
      </c>
      <c r="AF15" s="186">
        <f>VLOOKUP("1-4/2",B_PARTITE_2A_FASE_PER_CODICE,10,FALSE)</f>
        <v>31</v>
      </c>
      <c r="AG15" s="187" t="str">
        <f>VLOOKUP("1-4/2",B_PARTITE_2A_FASE_PER_CODICE,6,FALSE)</f>
        <v>V70</v>
      </c>
      <c r="AH15" s="202"/>
      <c r="AI15" s="143"/>
      <c r="AJ15" s="143"/>
      <c r="AK15" s="143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  <c r="CT15" s="143"/>
      <c r="CU15" s="143"/>
      <c r="CV15" s="160" t="s">
        <v>424</v>
      </c>
      <c r="CW15" s="161">
        <v>3</v>
      </c>
      <c r="CX15" s="161">
        <v>2</v>
      </c>
      <c r="CY15" s="161">
        <v>1</v>
      </c>
      <c r="CZ15" s="161">
        <v>0</v>
      </c>
      <c r="DA15" s="161">
        <v>3</v>
      </c>
      <c r="DB15" s="161">
        <v>0</v>
      </c>
      <c r="DC15" s="161"/>
      <c r="DD15" s="161">
        <v>7.0003000000000002</v>
      </c>
      <c r="DE15" s="161"/>
      <c r="DF15" s="162"/>
      <c r="DG15" s="143"/>
    </row>
    <row r="16" spans="1:111" ht="15.95" customHeight="1">
      <c r="A16" s="149">
        <v>12</v>
      </c>
      <c r="B16" s="150">
        <f t="shared" si="24"/>
        <v>44355</v>
      </c>
      <c r="C16" s="151">
        <f t="shared" si="25"/>
        <v>0.375</v>
      </c>
      <c r="D16" s="163" t="str">
        <f t="shared" si="26"/>
        <v>Coccodrilli</v>
      </c>
      <c r="E16" s="153">
        <f t="shared" si="27"/>
        <v>29</v>
      </c>
      <c r="F16" s="153">
        <f t="shared" si="28"/>
        <v>39</v>
      </c>
      <c r="G16" s="154" t="str">
        <f t="shared" si="29"/>
        <v>Aquile</v>
      </c>
      <c r="H16" s="156" t="str">
        <f t="shared" si="30"/>
        <v>D</v>
      </c>
      <c r="I16" s="156" t="str">
        <f t="shared" si="31"/>
        <v>Nuova Scuola</v>
      </c>
      <c r="K16" s="167" t="str">
        <f t="shared" ca="1" si="32"/>
        <v>Ippopotami</v>
      </c>
      <c r="L16" s="168">
        <f t="shared" ca="1" si="33"/>
        <v>3</v>
      </c>
      <c r="M16" s="168">
        <f t="shared" ca="1" si="34"/>
        <v>2</v>
      </c>
      <c r="N16" s="168">
        <f t="shared" ca="1" si="35"/>
        <v>1</v>
      </c>
      <c r="O16" s="168">
        <f t="shared" ca="1" si="36"/>
        <v>0</v>
      </c>
      <c r="P16" s="168">
        <f t="shared" ca="1" si="37"/>
        <v>5</v>
      </c>
      <c r="Q16" s="168">
        <f t="shared" ca="1" si="38"/>
        <v>206</v>
      </c>
      <c r="R16" s="169">
        <f t="shared" ca="1" si="39"/>
        <v>208</v>
      </c>
      <c r="T16" s="241">
        <f>VLOOKUP("1-16/6",B_PARTITE_2A_FASE_PER_CODICE,2,FALSE)</f>
        <v>57</v>
      </c>
      <c r="U16" s="193" t="str">
        <f ca="1">VLOOKUP("1-16/6",B_PARTITE_2A_FASE_PER_CODICE,7,FALSE)</f>
        <v>Bisonti</v>
      </c>
      <c r="V16" s="182">
        <f>VLOOKUP("1-16/6",B_PARTITE_2A_FASE_PER_CODICE,9,FALSE)</f>
        <v>58</v>
      </c>
      <c r="W16" s="183" t="str">
        <f>VLOOKUP("1-16/6",B_PARTITE_2A_FASE_PER_CODICE,5,FALSE)</f>
        <v>1E</v>
      </c>
      <c r="X16" s="143"/>
      <c r="Y16" s="143"/>
      <c r="Z16" s="143"/>
      <c r="AA16" s="191"/>
      <c r="AB16" s="190"/>
      <c r="AC16" s="143"/>
      <c r="AD16" s="143"/>
      <c r="AE16" s="143"/>
      <c r="AF16" s="189"/>
      <c r="AG16" s="190"/>
      <c r="AH16" s="143"/>
      <c r="AI16" s="143"/>
      <c r="AJ16" s="143"/>
      <c r="AK16" s="143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  <c r="CT16" s="143"/>
      <c r="CU16" s="143"/>
      <c r="CV16" s="160" t="s">
        <v>425</v>
      </c>
      <c r="CW16" s="161">
        <v>3</v>
      </c>
      <c r="CX16" s="172">
        <v>2</v>
      </c>
      <c r="CY16" s="172">
        <v>1</v>
      </c>
      <c r="CZ16" s="172">
        <v>0</v>
      </c>
      <c r="DA16" s="172">
        <v>2</v>
      </c>
      <c r="DB16" s="172">
        <v>0</v>
      </c>
      <c r="DC16" s="172"/>
      <c r="DD16" s="172">
        <v>7.0002000000000004</v>
      </c>
      <c r="DE16" s="172"/>
      <c r="DF16" s="162"/>
      <c r="DG16" s="143"/>
    </row>
    <row r="17" spans="1:111" ht="15.95" customHeight="1">
      <c r="A17" s="149">
        <v>13</v>
      </c>
      <c r="B17" s="150">
        <f t="shared" si="24"/>
        <v>44355</v>
      </c>
      <c r="C17" s="151">
        <f t="shared" si="25"/>
        <v>0.45833333333333331</v>
      </c>
      <c r="D17" s="163" t="str">
        <f t="shared" si="26"/>
        <v>Pantere</v>
      </c>
      <c r="E17" s="153">
        <f t="shared" si="27"/>
        <v>57</v>
      </c>
      <c r="F17" s="153">
        <f t="shared" si="28"/>
        <v>21</v>
      </c>
      <c r="G17" s="154" t="str">
        <f t="shared" si="29"/>
        <v>Ghepardi</v>
      </c>
      <c r="H17" s="156" t="str">
        <f t="shared" si="30"/>
        <v>A</v>
      </c>
      <c r="I17" s="156" t="str">
        <f t="shared" si="31"/>
        <v>Cristo Re 1</v>
      </c>
      <c r="K17" s="173" t="str">
        <f t="shared" ca="1" si="32"/>
        <v>Iguane</v>
      </c>
      <c r="L17" s="174">
        <f t="shared" ca="1" si="33"/>
        <v>3</v>
      </c>
      <c r="M17" s="174">
        <f t="shared" ca="1" si="34"/>
        <v>0</v>
      </c>
      <c r="N17" s="174">
        <f t="shared" ca="1" si="35"/>
        <v>3</v>
      </c>
      <c r="O17" s="174">
        <f t="shared" ca="1" si="36"/>
        <v>0</v>
      </c>
      <c r="P17" s="174">
        <f t="shared" ca="1" si="37"/>
        <v>3</v>
      </c>
      <c r="Q17" s="174">
        <f t="shared" ca="1" si="38"/>
        <v>120</v>
      </c>
      <c r="R17" s="175">
        <f t="shared" ca="1" si="39"/>
        <v>179</v>
      </c>
      <c r="T17" s="241"/>
      <c r="U17" s="198" t="str">
        <f ca="1">VLOOKUP("1-16/6",B_PARTITE_2A_FASE_PER_CODICE,8,FALSE)</f>
        <v>Gorilla</v>
      </c>
      <c r="V17" s="186">
        <f>VLOOKUP("1-16/6",B_PARTITE_2A_FASE_PER_CODICE,10,FALSE)</f>
        <v>39</v>
      </c>
      <c r="W17" s="187" t="str">
        <f>VLOOKUP("1-16/6",B_PARTITE_2A_FASE_PER_CODICE,6,FALSE)</f>
        <v>2G</v>
      </c>
      <c r="X17" s="143"/>
      <c r="Y17" s="188" t="str">
        <f>TEXT(VLOOKUP(Y18,A_5_INPUT_DATE_E_RISULTATI_2A_FASE,8,FALSE),"GGG G MMM")&amp;" "&amp;TEXT(VLOOKUP(Y18,A_5_INPUT_DATE_E_RISULTATI_2A_FASE,9,FALSE),"h:mm")&amp;" ("&amp;VLOOKUP(Y18,A_5_INPUT_DATE_E_RISULTATI_2A_FASE,11,FALSE)&amp;")"</f>
        <v>ven 11 giu 9:00 (Cristo Re 2)</v>
      </c>
      <c r="Z17" s="143"/>
      <c r="AA17" s="191"/>
      <c r="AB17" s="190"/>
      <c r="AC17" s="143"/>
      <c r="AD17" s="143"/>
      <c r="AE17" s="143"/>
      <c r="AF17" s="189"/>
      <c r="AG17" s="190"/>
      <c r="AH17" s="143"/>
      <c r="AI17" s="143"/>
      <c r="AJ17" s="143"/>
      <c r="AK17" s="143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60" t="s">
        <v>426</v>
      </c>
      <c r="CW17" s="161">
        <v>3</v>
      </c>
      <c r="CX17" s="161">
        <v>0</v>
      </c>
      <c r="CY17" s="161">
        <v>0</v>
      </c>
      <c r="CZ17" s="161">
        <v>3</v>
      </c>
      <c r="DA17" s="161">
        <v>0</v>
      </c>
      <c r="DB17" s="161">
        <v>5</v>
      </c>
      <c r="DC17" s="161"/>
      <c r="DD17" s="161">
        <v>-5.0000000000000001E-4</v>
      </c>
      <c r="DE17" s="161"/>
      <c r="DF17" s="162"/>
      <c r="DG17" s="143"/>
    </row>
    <row r="18" spans="1:111" ht="15.95" customHeight="1">
      <c r="A18" s="149">
        <v>14</v>
      </c>
      <c r="B18" s="150">
        <f t="shared" si="24"/>
        <v>44355</v>
      </c>
      <c r="C18" s="151">
        <f t="shared" si="25"/>
        <v>0.45833333333333331</v>
      </c>
      <c r="D18" s="163" t="str">
        <f t="shared" si="26"/>
        <v>Puma</v>
      </c>
      <c r="E18" s="153">
        <f t="shared" si="27"/>
        <v>68</v>
      </c>
      <c r="F18" s="153">
        <f t="shared" si="28"/>
        <v>45</v>
      </c>
      <c r="G18" s="154" t="str">
        <f t="shared" si="29"/>
        <v>Serval</v>
      </c>
      <c r="H18" s="156" t="str">
        <f t="shared" si="30"/>
        <v>B</v>
      </c>
      <c r="I18" s="156" t="str">
        <f t="shared" si="31"/>
        <v>Cristo Re 2</v>
      </c>
      <c r="K18" s="203" t="s">
        <v>427</v>
      </c>
      <c r="L18" s="204" t="s">
        <v>61</v>
      </c>
      <c r="M18" s="204" t="s">
        <v>395</v>
      </c>
      <c r="N18" s="204" t="s">
        <v>396</v>
      </c>
      <c r="O18" s="204" t="s">
        <v>56</v>
      </c>
      <c r="P18" s="204" t="s">
        <v>397</v>
      </c>
      <c r="Q18" s="204" t="s">
        <v>398</v>
      </c>
      <c r="R18" s="205" t="s">
        <v>399</v>
      </c>
      <c r="T18" s="170"/>
      <c r="U18" s="171"/>
      <c r="V18" s="189"/>
      <c r="W18" s="206"/>
      <c r="X18" s="143"/>
      <c r="Y18" s="242">
        <f>VLOOKUP("1-8/3",B_PARTITE_2A_FASE_PER_CODICE,2,FALSE)</f>
        <v>70</v>
      </c>
      <c r="Z18" s="181" t="str">
        <f ca="1">VLOOKUP("1-8/3",B_PARTITE_2A_FASE_PER_CODICE,7,FALSE)</f>
        <v>Bisonti</v>
      </c>
      <c r="AA18" s="182">
        <f>VLOOKUP("1-8/3",B_PARTITE_2A_FASE_PER_CODICE,9,FALSE)</f>
        <v>60</v>
      </c>
      <c r="AB18" s="194" t="str">
        <f>VLOOKUP("1-8/3",B_PARTITE_2A_FASE_PER_CODICE,5,FALSE)</f>
        <v>V57</v>
      </c>
      <c r="AC18" s="143"/>
      <c r="AD18" s="143"/>
      <c r="AE18" s="143"/>
      <c r="AF18" s="189"/>
      <c r="AG18" s="190"/>
      <c r="AH18" s="143"/>
      <c r="AI18" s="143"/>
      <c r="AJ18" s="143"/>
      <c r="AK18" s="143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207" t="s">
        <v>428</v>
      </c>
      <c r="CW18" s="207" t="s">
        <v>61</v>
      </c>
      <c r="CX18" s="207" t="s">
        <v>395</v>
      </c>
      <c r="CY18" s="207" t="s">
        <v>401</v>
      </c>
      <c r="CZ18" s="207" t="s">
        <v>396</v>
      </c>
      <c r="DA18" s="207" t="s">
        <v>402</v>
      </c>
      <c r="DB18" s="207" t="s">
        <v>403</v>
      </c>
      <c r="DC18" s="207"/>
      <c r="DD18" s="207" t="s">
        <v>405</v>
      </c>
      <c r="DE18" s="207"/>
      <c r="DF18" s="162"/>
      <c r="DG18" s="143"/>
    </row>
    <row r="19" spans="1:111" ht="15.95" customHeight="1">
      <c r="A19" s="149">
        <v>15</v>
      </c>
      <c r="B19" s="150">
        <f t="shared" si="24"/>
        <v>44355</v>
      </c>
      <c r="C19" s="151">
        <f t="shared" si="25"/>
        <v>0.45833333333333331</v>
      </c>
      <c r="D19" s="163" t="str">
        <f t="shared" si="26"/>
        <v>Giraffe</v>
      </c>
      <c r="E19" s="153">
        <f t="shared" si="27"/>
        <v>60</v>
      </c>
      <c r="F19" s="153">
        <f t="shared" si="28"/>
        <v>34</v>
      </c>
      <c r="G19" s="154" t="str">
        <f t="shared" si="29"/>
        <v>Iguane</v>
      </c>
      <c r="H19" s="156" t="str">
        <f t="shared" si="30"/>
        <v>C</v>
      </c>
      <c r="I19" s="156" t="str">
        <f t="shared" si="31"/>
        <v>Basket Giovane</v>
      </c>
      <c r="K19" s="157" t="str">
        <f t="shared" ref="K19:K22" ca="1" si="40">VLOOKUP(ROW()-18&amp;RIGHT(K$18,1),B_CLASSIFICA_GIRONE_D,4,0)</f>
        <v>Coccodrilli</v>
      </c>
      <c r="L19" s="158">
        <f t="shared" ref="L19:L22" ca="1" si="41">VLOOKUP(ROW()-18&amp;RIGHT(K$18,1),B_CLASSIFICA_GIRONE_D,5,0)</f>
        <v>3</v>
      </c>
      <c r="M19" s="158">
        <f t="shared" ref="M19:M22" ca="1" si="42">VLOOKUP(ROW()-18&amp;RIGHT(K$18,1),B_CLASSIFICA_GIRONE_D,6,0)</f>
        <v>2</v>
      </c>
      <c r="N19" s="158">
        <f t="shared" ref="N19:N22" ca="1" si="43">VLOOKUP(ROW()-18&amp;RIGHT(K$18,1),B_CLASSIFICA_GIRONE_D,7,0)</f>
        <v>1</v>
      </c>
      <c r="O19" s="158">
        <f t="shared" ref="O19:O22" ca="1" si="44">VLOOKUP(ROW()-18&amp;RIGHT(K$18,1),B_CLASSIFICA_GIRONE_D,8,0)</f>
        <v>0</v>
      </c>
      <c r="P19" s="158">
        <f t="shared" ref="P19:P22" ca="1" si="45">VLOOKUP(ROW()-18&amp;RIGHT(K$18,1),B_CLASSIFICA_GIRONE_D,9,0)</f>
        <v>5</v>
      </c>
      <c r="Q19" s="158">
        <f t="shared" ref="Q19:Q22" ca="1" si="46">VLOOKUP(ROW()-18&amp;RIGHT(K$18,1),B_CLASSIFICA_GIRONE_D,10,0)</f>
        <v>179</v>
      </c>
      <c r="R19" s="159">
        <f t="shared" ref="R19:R22" ca="1" si="47">VLOOKUP(ROW()-18&amp;RIGHT(K$18,1),B_CLASSIFICA_GIRONE_D,11,0)</f>
        <v>108</v>
      </c>
      <c r="T19" s="188" t="str">
        <f>TEXT(VLOOKUP(T20,A_5_INPUT_DATE_E_RISULTATI_2A_FASE,8,FALSE),"GGG G MMM")&amp;" "&amp;TEXT(VLOOKUP(T20,A_5_INPUT_DATE_E_RISULTATI_2A_FASE,9,FALSE),"h:mm")&amp;" ("&amp;VLOOKUP(T20,A_5_INPUT_DATE_E_RISULTATI_2A_FASE,11,FALSE)&amp;")"</f>
        <v>gio 10 giu 17:00 (Cristo Re 1)</v>
      </c>
      <c r="U19" s="171"/>
      <c r="V19" s="191"/>
      <c r="W19" s="206"/>
      <c r="X19" s="192"/>
      <c r="Y19" s="242"/>
      <c r="Z19" s="185" t="str">
        <f ca="1">VLOOKUP("1-8/3",B_PARTITE_2A_FASE_PER_CODICE,8,FALSE)</f>
        <v>Balene</v>
      </c>
      <c r="AA19" s="186">
        <f>VLOOKUP("1-8/3",B_PARTITE_2A_FASE_PER_CODICE,10,FALSE)</f>
        <v>31</v>
      </c>
      <c r="AB19" s="183" t="str">
        <f>VLOOKUP("1-8/3",B_PARTITE_2A_FASE_PER_CODICE,6,FALSE)</f>
        <v>V61</v>
      </c>
      <c r="AC19" s="143"/>
      <c r="AD19" s="143"/>
      <c r="AE19" s="143"/>
      <c r="AF19" s="189"/>
      <c r="AG19" s="190"/>
      <c r="AH19" s="143"/>
      <c r="AI19" s="143"/>
      <c r="AJ19" s="143"/>
      <c r="AK19" s="143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60" t="s">
        <v>429</v>
      </c>
      <c r="CW19" s="161">
        <v>3</v>
      </c>
      <c r="CX19" s="161">
        <v>1</v>
      </c>
      <c r="CY19" s="161">
        <v>0</v>
      </c>
      <c r="CZ19" s="161">
        <v>2</v>
      </c>
      <c r="DA19" s="161">
        <v>2</v>
      </c>
      <c r="DB19" s="161">
        <v>4</v>
      </c>
      <c r="DC19" s="161"/>
      <c r="DD19" s="161">
        <v>2.9998</v>
      </c>
      <c r="DE19" s="161"/>
      <c r="DF19" s="162"/>
      <c r="DG19" s="143"/>
    </row>
    <row r="20" spans="1:111" ht="15.95" customHeight="1">
      <c r="A20" s="149">
        <v>16</v>
      </c>
      <c r="B20" s="150">
        <f t="shared" si="24"/>
        <v>44355</v>
      </c>
      <c r="C20" s="151">
        <f t="shared" si="25"/>
        <v>0.45833333333333331</v>
      </c>
      <c r="D20" s="163" t="str">
        <f t="shared" si="26"/>
        <v>Pitoni</v>
      </c>
      <c r="E20" s="153">
        <f t="shared" si="27"/>
        <v>83</v>
      </c>
      <c r="F20" s="153">
        <f t="shared" si="28"/>
        <v>57</v>
      </c>
      <c r="G20" s="154" t="str">
        <f t="shared" si="29"/>
        <v>Falchi</v>
      </c>
      <c r="H20" s="156" t="str">
        <f t="shared" si="30"/>
        <v>D</v>
      </c>
      <c r="I20" s="156" t="str">
        <f t="shared" si="31"/>
        <v>Nuova Scuola</v>
      </c>
      <c r="K20" s="164" t="str">
        <f t="shared" ca="1" si="40"/>
        <v>Aquile</v>
      </c>
      <c r="L20" s="165">
        <f t="shared" ca="1" si="41"/>
        <v>3</v>
      </c>
      <c r="M20" s="165">
        <f t="shared" ca="1" si="42"/>
        <v>2</v>
      </c>
      <c r="N20" s="165">
        <f t="shared" ca="1" si="43"/>
        <v>1</v>
      </c>
      <c r="O20" s="165">
        <f t="shared" ca="1" si="44"/>
        <v>0</v>
      </c>
      <c r="P20" s="165">
        <f t="shared" ca="1" si="45"/>
        <v>5</v>
      </c>
      <c r="Q20" s="165">
        <f t="shared" ca="1" si="46"/>
        <v>126</v>
      </c>
      <c r="R20" s="166">
        <f t="shared" ca="1" si="47"/>
        <v>106</v>
      </c>
      <c r="T20" s="241">
        <f>VLOOKUP("1-16/5",B_PARTITE_2A_FASE_PER_CODICE,2,FALSE)</f>
        <v>61</v>
      </c>
      <c r="U20" s="193" t="str">
        <f ca="1">VLOOKUP("1-16/5",B_PARTITE_2A_FASE_PER_CODICE,7,FALSE)</f>
        <v>Balene</v>
      </c>
      <c r="V20" s="182">
        <f>VLOOKUP("1-16/5",B_PARTITE_2A_FASE_PER_CODICE,9,FALSE)</f>
        <v>51</v>
      </c>
      <c r="W20" s="194" t="str">
        <f>VLOOKUP("1-16/5",B_PARTITE_2A_FASE_PER_CODICE,5,FALSE)</f>
        <v>1F</v>
      </c>
      <c r="X20" s="143"/>
      <c r="Y20" s="143"/>
      <c r="Z20" s="143"/>
      <c r="AA20" s="189"/>
      <c r="AB20" s="143"/>
      <c r="AC20" s="143"/>
      <c r="AD20" s="143"/>
      <c r="AE20" s="143"/>
      <c r="AF20" s="189"/>
      <c r="AG20" s="190"/>
      <c r="AH20" s="143"/>
      <c r="AI20" s="199" t="str">
        <f>TEXT(VLOOKUP(AI21,A_5_INPUT_DATE_E_RISULTATI_2A_FASE,8,FALSE),"GGG G MMM")&amp;" "&amp;TEXT(VLOOKUP(AI21,A_5_INPUT_DATE_E_RISULTATI_2A_FASE,9,FALSE),"h:mm")&amp;" ("&amp;VLOOKUP(AI21,A_5_INPUT_DATE_E_RISULTATI_2A_FASE,11,FALSE)&amp;")"</f>
        <v>dom 13 giu 10:30 (Basket Giovane)</v>
      </c>
      <c r="AJ20" s="143"/>
      <c r="AK20" s="143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60" t="s">
        <v>430</v>
      </c>
      <c r="CW20" s="161">
        <v>3</v>
      </c>
      <c r="CX20" s="161">
        <v>2</v>
      </c>
      <c r="CY20" s="161">
        <v>1</v>
      </c>
      <c r="CZ20" s="161">
        <v>0</v>
      </c>
      <c r="DA20" s="161">
        <v>5</v>
      </c>
      <c r="DB20" s="161">
        <v>3</v>
      </c>
      <c r="DC20" s="161"/>
      <c r="DD20" s="161">
        <v>7.0002000000000004</v>
      </c>
      <c r="DE20" s="161"/>
      <c r="DF20" s="162"/>
      <c r="DG20" s="143"/>
    </row>
    <row r="21" spans="1:111" ht="15.95" customHeight="1">
      <c r="A21" s="149">
        <v>17</v>
      </c>
      <c r="B21" s="150">
        <f t="shared" si="24"/>
        <v>44355</v>
      </c>
      <c r="C21" s="151">
        <f t="shared" si="25"/>
        <v>0.64583333333333337</v>
      </c>
      <c r="D21" s="163" t="str">
        <f t="shared" si="26"/>
        <v>Bisonti</v>
      </c>
      <c r="E21" s="153">
        <f t="shared" si="27"/>
        <v>34</v>
      </c>
      <c r="F21" s="153">
        <f t="shared" si="28"/>
        <v>33</v>
      </c>
      <c r="G21" s="154" t="str">
        <f t="shared" si="29"/>
        <v>Bufali</v>
      </c>
      <c r="H21" s="156" t="str">
        <f t="shared" si="30"/>
        <v>E</v>
      </c>
      <c r="I21" s="156" t="str">
        <f t="shared" si="31"/>
        <v>Cristo Re 1</v>
      </c>
      <c r="K21" s="167" t="str">
        <f t="shared" ca="1" si="40"/>
        <v>Pitoni</v>
      </c>
      <c r="L21" s="168">
        <f t="shared" ca="1" si="41"/>
        <v>3</v>
      </c>
      <c r="M21" s="168">
        <f t="shared" ca="1" si="42"/>
        <v>2</v>
      </c>
      <c r="N21" s="168">
        <f t="shared" ca="1" si="43"/>
        <v>1</v>
      </c>
      <c r="O21" s="168">
        <f t="shared" ca="1" si="44"/>
        <v>0</v>
      </c>
      <c r="P21" s="168">
        <f t="shared" ca="1" si="45"/>
        <v>5</v>
      </c>
      <c r="Q21" s="168">
        <f t="shared" ca="1" si="46"/>
        <v>133</v>
      </c>
      <c r="R21" s="169">
        <f t="shared" ca="1" si="47"/>
        <v>168</v>
      </c>
      <c r="T21" s="241"/>
      <c r="U21" s="198" t="str">
        <f ca="1">VLOOKUP("1-16/5",B_PARTITE_2A_FASE_PER_CODICE,8,FALSE)</f>
        <v>Tonni</v>
      </c>
      <c r="V21" s="186">
        <f>VLOOKUP("1-16/5",B_PARTITE_2A_FASE_PER_CODICE,10,FALSE)</f>
        <v>47</v>
      </c>
      <c r="W21" s="183" t="str">
        <f>VLOOKUP("1-16/5",B_PARTITE_2A_FASE_PER_CODICE,6,FALSE)</f>
        <v>2H</v>
      </c>
      <c r="X21" s="143"/>
      <c r="Y21" s="143"/>
      <c r="Z21" s="143"/>
      <c r="AA21" s="189"/>
      <c r="AB21" s="143"/>
      <c r="AC21" s="143"/>
      <c r="AD21" s="143"/>
      <c r="AE21" s="143"/>
      <c r="AF21" s="189"/>
      <c r="AG21" s="190"/>
      <c r="AH21" s="143"/>
      <c r="AI21" s="244">
        <f>VLOOKUP("1-2/1",B_PARTITE_2A_FASE_PER_CODICE,2,FALSE)</f>
        <v>112</v>
      </c>
      <c r="AJ21" s="181" t="str">
        <f ca="1">VLOOKUP("1-2/1",B_PARTITE_2A_FASE_PER_CODICE,7,FALSE)</f>
        <v>Leoni</v>
      </c>
      <c r="AK21" s="182">
        <f>VLOOKUP("1-2/1",B_PARTITE_2A_FASE_PER_CODICE,9,FALSE)</f>
        <v>69</v>
      </c>
      <c r="AL21" s="208" t="str">
        <f>VLOOKUP("1-2/1",B_PARTITE_2A_FASE_PER_CODICE,5,FALSE)</f>
        <v>V87</v>
      </c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60" t="s">
        <v>431</v>
      </c>
      <c r="CW21" s="161">
        <v>3</v>
      </c>
      <c r="CX21" s="172">
        <v>2</v>
      </c>
      <c r="CY21" s="172">
        <v>0</v>
      </c>
      <c r="CZ21" s="172">
        <v>1</v>
      </c>
      <c r="DA21" s="172">
        <v>5</v>
      </c>
      <c r="DB21" s="172">
        <v>2</v>
      </c>
      <c r="DC21" s="172"/>
      <c r="DD21" s="172">
        <v>6.0003000000000002</v>
      </c>
      <c r="DE21" s="172"/>
      <c r="DF21" s="162"/>
      <c r="DG21" s="143"/>
    </row>
    <row r="22" spans="1:111" ht="15.95" customHeight="1">
      <c r="A22" s="149">
        <v>18</v>
      </c>
      <c r="B22" s="150">
        <f t="shared" si="24"/>
        <v>44355</v>
      </c>
      <c r="C22" s="151">
        <f t="shared" si="25"/>
        <v>0.64583333333333337</v>
      </c>
      <c r="D22" s="163" t="str">
        <f t="shared" si="26"/>
        <v>Balene</v>
      </c>
      <c r="E22" s="153">
        <f t="shared" si="27"/>
        <v>34</v>
      </c>
      <c r="F22" s="153">
        <f t="shared" si="28"/>
        <v>33</v>
      </c>
      <c r="G22" s="154" t="str">
        <f t="shared" si="29"/>
        <v>Gabbiani</v>
      </c>
      <c r="H22" s="156" t="str">
        <f t="shared" si="30"/>
        <v>F</v>
      </c>
      <c r="I22" s="156" t="str">
        <f t="shared" si="31"/>
        <v>Cristo Re 2</v>
      </c>
      <c r="K22" s="173" t="str">
        <f t="shared" ca="1" si="40"/>
        <v>Falchi</v>
      </c>
      <c r="L22" s="174">
        <f t="shared" ca="1" si="41"/>
        <v>3</v>
      </c>
      <c r="M22" s="174">
        <f t="shared" ca="1" si="42"/>
        <v>0</v>
      </c>
      <c r="N22" s="174">
        <f t="shared" ca="1" si="43"/>
        <v>3</v>
      </c>
      <c r="O22" s="174">
        <f t="shared" ca="1" si="44"/>
        <v>0</v>
      </c>
      <c r="P22" s="174">
        <f t="shared" ca="1" si="45"/>
        <v>3</v>
      </c>
      <c r="Q22" s="174">
        <f t="shared" ca="1" si="46"/>
        <v>153</v>
      </c>
      <c r="R22" s="175">
        <f t="shared" ca="1" si="47"/>
        <v>209</v>
      </c>
      <c r="T22" s="170"/>
      <c r="U22" s="171"/>
      <c r="V22" s="189"/>
      <c r="W22" s="183"/>
      <c r="X22" s="143"/>
      <c r="Y22" s="143"/>
      <c r="Z22" s="143"/>
      <c r="AA22" s="189"/>
      <c r="AB22" s="143"/>
      <c r="AC22" s="143"/>
      <c r="AD22" s="143"/>
      <c r="AE22" s="143"/>
      <c r="AF22" s="189"/>
      <c r="AG22" s="190"/>
      <c r="AH22" s="192"/>
      <c r="AI22" s="244"/>
      <c r="AJ22" s="185" t="str">
        <f ca="1">VLOOKUP("1-2/1",B_PARTITE_2A_FASE_PER_CODICE,8,FALSE)</f>
        <v>Pantere</v>
      </c>
      <c r="AK22" s="186">
        <f>VLOOKUP("1-2/1",B_PARTITE_2A_FASE_PER_CODICE,10,FALSE)</f>
        <v>42</v>
      </c>
      <c r="AL22" s="208" t="str">
        <f>VLOOKUP("1-2/1",B_PARTITE_2A_FASE_PER_CODICE,6,FALSE)</f>
        <v>V88</v>
      </c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  <c r="CT22" s="143"/>
      <c r="CU22" s="143"/>
      <c r="CV22" s="160" t="s">
        <v>432</v>
      </c>
      <c r="CW22" s="161">
        <v>3</v>
      </c>
      <c r="CX22" s="161">
        <v>0</v>
      </c>
      <c r="CY22" s="161">
        <v>1</v>
      </c>
      <c r="CZ22" s="161">
        <v>2</v>
      </c>
      <c r="DA22" s="161">
        <v>2</v>
      </c>
      <c r="DB22" s="161">
        <v>5</v>
      </c>
      <c r="DC22" s="161"/>
      <c r="DD22" s="161">
        <v>0.99970000000000003</v>
      </c>
      <c r="DE22" s="161"/>
      <c r="DF22" s="162"/>
      <c r="DG22" s="143"/>
    </row>
    <row r="23" spans="1:111" ht="15.95" customHeight="1">
      <c r="A23" s="149">
        <v>19</v>
      </c>
      <c r="B23" s="150">
        <f t="shared" si="24"/>
        <v>44355</v>
      </c>
      <c r="C23" s="151">
        <f t="shared" si="25"/>
        <v>0.64583333333333337</v>
      </c>
      <c r="D23" s="163" t="str">
        <f t="shared" si="26"/>
        <v>Istrici</v>
      </c>
      <c r="E23" s="153">
        <f t="shared" si="27"/>
        <v>20</v>
      </c>
      <c r="F23" s="153">
        <f t="shared" si="28"/>
        <v>0</v>
      </c>
      <c r="G23" s="154" t="str">
        <f t="shared" si="29"/>
        <v>Gorilla</v>
      </c>
      <c r="H23" s="156" t="str">
        <f t="shared" si="30"/>
        <v>G</v>
      </c>
      <c r="I23" s="156" t="str">
        <f t="shared" si="31"/>
        <v>Basket Giovane</v>
      </c>
      <c r="K23" s="209" t="s">
        <v>433</v>
      </c>
      <c r="L23" s="210" t="s">
        <v>61</v>
      </c>
      <c r="M23" s="210" t="s">
        <v>395</v>
      </c>
      <c r="N23" s="210" t="s">
        <v>396</v>
      </c>
      <c r="O23" s="210" t="s">
        <v>56</v>
      </c>
      <c r="P23" s="210" t="s">
        <v>397</v>
      </c>
      <c r="Q23" s="210" t="s">
        <v>398</v>
      </c>
      <c r="R23" s="211" t="s">
        <v>399</v>
      </c>
      <c r="T23" s="245" t="str">
        <f>TEXT(VLOOKUP(T24,A_5_INPUT_DATE_E_RISULTATI_2A_FASE,8,FALSE),"GGG G MMM")&amp;" "&amp;TEXT(VLOOKUP(T24,A_5_INPUT_DATE_E_RISULTATI_2A_FASE,9,FALSE),"h:mm")&amp;" ("&amp;VLOOKUP(T24,A_5_INPUT_DATE_E_RISULTATI_2A_FASE,11,FALSE)&amp;")"</f>
        <v>gio 10 giu 9:00 (Cristo Re 2)</v>
      </c>
      <c r="U23" s="245"/>
      <c r="V23" s="245"/>
      <c r="W23" s="245"/>
      <c r="X23" s="143"/>
      <c r="Y23" s="143"/>
      <c r="Z23" s="143"/>
      <c r="AA23" s="189"/>
      <c r="AB23" s="143"/>
      <c r="AC23" s="143"/>
      <c r="AD23" s="143"/>
      <c r="AE23" s="143"/>
      <c r="AF23" s="189"/>
      <c r="AG23" s="190"/>
      <c r="AH23" s="143"/>
      <c r="AI23" s="143"/>
      <c r="AJ23" s="143"/>
      <c r="AK23" s="143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  <c r="CT23" s="143"/>
      <c r="CU23" s="143"/>
      <c r="CV23" s="212" t="s">
        <v>434</v>
      </c>
      <c r="CW23" s="212" t="s">
        <v>61</v>
      </c>
      <c r="CX23" s="212" t="s">
        <v>395</v>
      </c>
      <c r="CY23" s="212" t="s">
        <v>401</v>
      </c>
      <c r="CZ23" s="212" t="s">
        <v>396</v>
      </c>
      <c r="DA23" s="212" t="s">
        <v>402</v>
      </c>
      <c r="DB23" s="212" t="s">
        <v>403</v>
      </c>
      <c r="DC23" s="212"/>
      <c r="DD23" s="212" t="s">
        <v>405</v>
      </c>
      <c r="DE23" s="212"/>
      <c r="DF23" s="162"/>
      <c r="DG23" s="143"/>
    </row>
    <row r="24" spans="1:111" ht="15.95" customHeight="1">
      <c r="A24" s="149">
        <v>20</v>
      </c>
      <c r="B24" s="150">
        <f t="shared" si="24"/>
        <v>44355</v>
      </c>
      <c r="C24" s="151">
        <f t="shared" si="25"/>
        <v>0.64583333333333337</v>
      </c>
      <c r="D24" s="163" t="str">
        <f t="shared" si="26"/>
        <v>Piranha</v>
      </c>
      <c r="E24" s="153">
        <f t="shared" si="27"/>
        <v>100</v>
      </c>
      <c r="F24" s="153">
        <f t="shared" si="28"/>
        <v>83</v>
      </c>
      <c r="G24" s="154" t="str">
        <f t="shared" si="29"/>
        <v>Scorpioni</v>
      </c>
      <c r="H24" s="156" t="str">
        <f t="shared" si="30"/>
        <v>H</v>
      </c>
      <c r="I24" s="156" t="str">
        <f t="shared" si="31"/>
        <v>Nuova Scuola</v>
      </c>
      <c r="K24" s="157" t="str">
        <f t="shared" ref="K24:K27" ca="1" si="48">VLOOKUP(ROW()-23&amp;RIGHT(K$23,1),B_CLASSIFICA_GIRONE_E,4,0)</f>
        <v>Bisonti</v>
      </c>
      <c r="L24" s="158">
        <f t="shared" ref="L24:L27" ca="1" si="49">VLOOKUP(ROW()-23&amp;RIGHT(K$23,1),B_CLASSIFICA_GIRONE_E,5,0)</f>
        <v>3</v>
      </c>
      <c r="M24" s="158">
        <f t="shared" ref="M24:M27" ca="1" si="50">VLOOKUP(ROW()-23&amp;RIGHT(K$23,1),B_CLASSIFICA_GIRONE_E,6,0)</f>
        <v>2</v>
      </c>
      <c r="N24" s="158">
        <f t="shared" ref="N24:N27" ca="1" si="51">VLOOKUP(ROW()-23&amp;RIGHT(K$23,1),B_CLASSIFICA_GIRONE_E,7,0)</f>
        <v>1</v>
      </c>
      <c r="O24" s="158">
        <f t="shared" ref="O24:O27" ca="1" si="52">VLOOKUP(ROW()-23&amp;RIGHT(K$23,1),B_CLASSIFICA_GIRONE_E,8,0)</f>
        <v>0</v>
      </c>
      <c r="P24" s="158">
        <f t="shared" ref="P24:P27" ca="1" si="53">VLOOKUP(ROW()-23&amp;RIGHT(K$23,1),B_CLASSIFICA_GIRONE_E,9,0)</f>
        <v>5</v>
      </c>
      <c r="Q24" s="158">
        <f t="shared" ref="Q24:Q27" ca="1" si="54">VLOOKUP(ROW()-23&amp;RIGHT(K$23,1),B_CLASSIFICA_GIRONE_E,10,0)</f>
        <v>103</v>
      </c>
      <c r="R24" s="159">
        <f t="shared" ref="R24:R27" ca="1" si="55">VLOOKUP(ROW()-23&amp;RIGHT(K$23,1),B_CLASSIFICA_GIRONE_E,11,0)</f>
        <v>100</v>
      </c>
      <c r="T24" s="241">
        <f>VLOOKUP("1-16/4",B_PARTITE_2A_FASE_PER_CODICE,2,FALSE)</f>
        <v>50</v>
      </c>
      <c r="U24" s="193" t="str">
        <f ca="1">VLOOKUP("1-16/4",B_PARTITE_2A_FASE_PER_CODICE,7,FALSE)</f>
        <v>Pantere</v>
      </c>
      <c r="V24" s="182">
        <f>VLOOKUP("1-16/4",B_PARTITE_2A_FASE_PER_CODICE,9,FALSE)</f>
        <v>55</v>
      </c>
      <c r="W24" s="183" t="str">
        <f>VLOOKUP("1-16/4",B_PARTITE_2A_FASE_PER_CODICE,5,FALSE)</f>
        <v>2A</v>
      </c>
      <c r="X24" s="143"/>
      <c r="Y24" s="143"/>
      <c r="Z24" s="143"/>
      <c r="AA24" s="189"/>
      <c r="AB24" s="143"/>
      <c r="AC24" s="143"/>
      <c r="AD24" s="143"/>
      <c r="AE24" s="143"/>
      <c r="AF24" s="189"/>
      <c r="AG24" s="190"/>
      <c r="AH24" s="143"/>
      <c r="AI24" s="143"/>
      <c r="AJ24" s="143"/>
      <c r="AK24" s="143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  <c r="CT24" s="143"/>
      <c r="CU24" s="143"/>
      <c r="CV24" s="160" t="s">
        <v>435</v>
      </c>
      <c r="CW24" s="161">
        <v>3</v>
      </c>
      <c r="CX24" s="161">
        <v>2</v>
      </c>
      <c r="CY24" s="161">
        <v>0</v>
      </c>
      <c r="CZ24" s="161">
        <v>1</v>
      </c>
      <c r="DA24" s="161">
        <v>3</v>
      </c>
      <c r="DB24" s="161">
        <v>1</v>
      </c>
      <c r="DC24" s="161"/>
      <c r="DD24" s="161">
        <v>6.0002000000000004</v>
      </c>
      <c r="DE24" s="161"/>
      <c r="DF24" s="162"/>
      <c r="DG24" s="143"/>
    </row>
    <row r="25" spans="1:111" ht="15.95" customHeight="1">
      <c r="A25" s="149">
        <v>21</v>
      </c>
      <c r="B25" s="150">
        <f t="shared" si="24"/>
        <v>44355</v>
      </c>
      <c r="C25" s="151">
        <f t="shared" si="25"/>
        <v>0.70833333333333337</v>
      </c>
      <c r="D25" s="163" t="str">
        <f t="shared" si="26"/>
        <v>Cervi</v>
      </c>
      <c r="E25" s="153">
        <f t="shared" si="27"/>
        <v>34</v>
      </c>
      <c r="F25" s="153">
        <f t="shared" si="28"/>
        <v>33</v>
      </c>
      <c r="G25" s="154" t="str">
        <f t="shared" si="29"/>
        <v>Cinghiali</v>
      </c>
      <c r="H25" s="156" t="str">
        <f t="shared" si="30"/>
        <v>E</v>
      </c>
      <c r="I25" s="156" t="str">
        <f t="shared" si="31"/>
        <v>Cristo Re 1</v>
      </c>
      <c r="K25" s="164" t="str">
        <f t="shared" ca="1" si="48"/>
        <v>Bufali</v>
      </c>
      <c r="L25" s="165">
        <f t="shared" ca="1" si="49"/>
        <v>3</v>
      </c>
      <c r="M25" s="165">
        <f t="shared" ca="1" si="50"/>
        <v>2</v>
      </c>
      <c r="N25" s="165">
        <f t="shared" ca="1" si="51"/>
        <v>1</v>
      </c>
      <c r="O25" s="165">
        <f t="shared" ca="1" si="52"/>
        <v>0</v>
      </c>
      <c r="P25" s="165">
        <f t="shared" ca="1" si="53"/>
        <v>5</v>
      </c>
      <c r="Q25" s="165">
        <f t="shared" ca="1" si="54"/>
        <v>102</v>
      </c>
      <c r="R25" s="166">
        <f t="shared" ca="1" si="55"/>
        <v>100</v>
      </c>
      <c r="T25" s="241"/>
      <c r="U25" s="198" t="str">
        <f ca="1">VLOOKUP("1-16/4",B_PARTITE_2A_FASE_PER_CODICE,8,FALSE)</f>
        <v>Giraffe</v>
      </c>
      <c r="V25" s="186">
        <f>VLOOKUP("1-16/4",B_PARTITE_2A_FASE_PER_CODICE,10,FALSE)</f>
        <v>36</v>
      </c>
      <c r="W25" s="187" t="str">
        <f>VLOOKUP("1-16/4",B_PARTITE_2A_FASE_PER_CODICE,6,FALSE)</f>
        <v>1C</v>
      </c>
      <c r="X25" s="143"/>
      <c r="Y25" s="199" t="str">
        <f>TEXT(VLOOKUP(Y26,A_5_INPUT_DATE_E_RISULTATI_2A_FASE,8,FALSE),"GGG G MMM")&amp;" "&amp;TEXT(VLOOKUP(Y26,A_5_INPUT_DATE_E_RISULTATI_2A_FASE,9,FALSE),"h:mm")&amp;" ("&amp;VLOOKUP(Y26,A_5_INPUT_DATE_E_RISULTATI_2A_FASE,11,FALSE)&amp;")"</f>
        <v>ven 11 giu 11:00 (Cristo Re 1)</v>
      </c>
      <c r="Z25" s="143"/>
      <c r="AA25" s="189"/>
      <c r="AB25" s="143"/>
      <c r="AC25" s="143"/>
      <c r="AD25" s="143"/>
      <c r="AE25" s="143"/>
      <c r="AF25" s="189"/>
      <c r="AG25" s="190"/>
      <c r="AH25" s="143"/>
      <c r="AI25" s="143"/>
      <c r="AJ25" s="143"/>
      <c r="AK25" s="143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60" t="s">
        <v>436</v>
      </c>
      <c r="CW25" s="161">
        <v>3</v>
      </c>
      <c r="CX25" s="161">
        <v>2</v>
      </c>
      <c r="CY25" s="161">
        <v>0</v>
      </c>
      <c r="CZ25" s="161">
        <v>1</v>
      </c>
      <c r="DA25" s="161">
        <v>4</v>
      </c>
      <c r="DB25" s="161">
        <v>2</v>
      </c>
      <c r="DC25" s="161"/>
      <c r="DD25" s="161">
        <v>6.0002000000000004</v>
      </c>
      <c r="DE25" s="161"/>
      <c r="DF25" s="162"/>
      <c r="DG25" s="143"/>
    </row>
    <row r="26" spans="1:111" ht="15.95" customHeight="1">
      <c r="A26" s="149">
        <v>22</v>
      </c>
      <c r="B26" s="150">
        <f t="shared" si="24"/>
        <v>44355</v>
      </c>
      <c r="C26" s="151">
        <f t="shared" si="25"/>
        <v>0.70833333333333337</v>
      </c>
      <c r="D26" s="163" t="str">
        <f t="shared" si="26"/>
        <v>Delfini</v>
      </c>
      <c r="E26" s="153">
        <f t="shared" si="27"/>
        <v>34</v>
      </c>
      <c r="F26" s="153">
        <f t="shared" si="28"/>
        <v>33</v>
      </c>
      <c r="G26" s="154" t="str">
        <f t="shared" si="29"/>
        <v>Fenicotteri</v>
      </c>
      <c r="H26" s="156" t="str">
        <f t="shared" si="30"/>
        <v>F</v>
      </c>
      <c r="I26" s="156" t="str">
        <f t="shared" si="31"/>
        <v>Cristo Re 2</v>
      </c>
      <c r="K26" s="167" t="str">
        <f t="shared" ca="1" si="48"/>
        <v>Cervi</v>
      </c>
      <c r="L26" s="168">
        <f t="shared" ca="1" si="49"/>
        <v>3</v>
      </c>
      <c r="M26" s="168">
        <f t="shared" ca="1" si="50"/>
        <v>2</v>
      </c>
      <c r="N26" s="168">
        <f t="shared" ca="1" si="51"/>
        <v>1</v>
      </c>
      <c r="O26" s="168">
        <f t="shared" ca="1" si="52"/>
        <v>0</v>
      </c>
      <c r="P26" s="168">
        <f t="shared" ca="1" si="53"/>
        <v>5</v>
      </c>
      <c r="Q26" s="168">
        <f t="shared" ca="1" si="54"/>
        <v>101</v>
      </c>
      <c r="R26" s="169">
        <f t="shared" ca="1" si="55"/>
        <v>100</v>
      </c>
      <c r="T26" s="170"/>
      <c r="U26" s="171"/>
      <c r="V26" s="189"/>
      <c r="W26" s="206"/>
      <c r="X26" s="143"/>
      <c r="Y26" s="242">
        <f>VLOOKUP("1-8/2",B_PARTITE_2A_FASE_PER_CODICE,2,FALSE)</f>
        <v>73</v>
      </c>
      <c r="Z26" s="181" t="str">
        <f ca="1">VLOOKUP("1-8/2",B_PARTITE_2A_FASE_PER_CODICE,7,FALSE)</f>
        <v>Pantere</v>
      </c>
      <c r="AA26" s="182">
        <f>VLOOKUP("1-8/2",B_PARTITE_2A_FASE_PER_CODICE,9,FALSE)</f>
        <v>56</v>
      </c>
      <c r="AB26" s="183" t="str">
        <f>VLOOKUP("1-8/2",B_PARTITE_2A_FASE_PER_CODICE,5,FALSE)</f>
        <v>V50</v>
      </c>
      <c r="AC26" s="143"/>
      <c r="AD26" s="143"/>
      <c r="AE26" s="143"/>
      <c r="AF26" s="189"/>
      <c r="AG26" s="190"/>
      <c r="AH26" s="143"/>
      <c r="AI26" s="143"/>
      <c r="AJ26" s="143"/>
      <c r="AK26" s="143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60" t="s">
        <v>437</v>
      </c>
      <c r="CW26" s="161">
        <v>3</v>
      </c>
      <c r="CX26" s="172">
        <v>0</v>
      </c>
      <c r="CY26" s="172">
        <v>1</v>
      </c>
      <c r="CZ26" s="172">
        <v>2</v>
      </c>
      <c r="DA26" s="172">
        <v>1</v>
      </c>
      <c r="DB26" s="172">
        <v>3</v>
      </c>
      <c r="DC26" s="172"/>
      <c r="DD26" s="172">
        <v>0.99980000000000002</v>
      </c>
      <c r="DE26" s="172"/>
      <c r="DF26" s="162"/>
      <c r="DG26" s="143"/>
    </row>
    <row r="27" spans="1:111" ht="15.95" customHeight="1">
      <c r="A27" s="149">
        <v>23</v>
      </c>
      <c r="B27" s="150">
        <f t="shared" si="24"/>
        <v>44355</v>
      </c>
      <c r="C27" s="151">
        <f t="shared" si="25"/>
        <v>0.70833333333333337</v>
      </c>
      <c r="D27" s="163" t="str">
        <f t="shared" si="26"/>
        <v>Muli</v>
      </c>
      <c r="E27" s="153">
        <f t="shared" si="27"/>
        <v>0</v>
      </c>
      <c r="F27" s="153">
        <f t="shared" si="28"/>
        <v>20</v>
      </c>
      <c r="G27" s="154" t="str">
        <f t="shared" si="29"/>
        <v>Orche</v>
      </c>
      <c r="H27" s="156" t="str">
        <f t="shared" si="30"/>
        <v>G</v>
      </c>
      <c r="I27" s="156" t="str">
        <f t="shared" si="31"/>
        <v>Basket Giovane</v>
      </c>
      <c r="K27" s="173" t="str">
        <f t="shared" ca="1" si="48"/>
        <v>Cinghiali</v>
      </c>
      <c r="L27" s="174">
        <f t="shared" ca="1" si="49"/>
        <v>3</v>
      </c>
      <c r="M27" s="174">
        <f t="shared" ca="1" si="50"/>
        <v>0</v>
      </c>
      <c r="N27" s="174">
        <f t="shared" ca="1" si="51"/>
        <v>3</v>
      </c>
      <c r="O27" s="174">
        <f t="shared" ca="1" si="52"/>
        <v>0</v>
      </c>
      <c r="P27" s="174">
        <f t="shared" ca="1" si="53"/>
        <v>3</v>
      </c>
      <c r="Q27" s="174">
        <f t="shared" ca="1" si="54"/>
        <v>99</v>
      </c>
      <c r="R27" s="175">
        <f t="shared" ca="1" si="55"/>
        <v>105</v>
      </c>
      <c r="T27" s="188" t="str">
        <f>TEXT(VLOOKUP(T28,A_5_INPUT_DATE_E_RISULTATI_2A_FASE,8,FALSE),"GGG G MMM")&amp;" "&amp;TEXT(VLOOKUP(T28,A_5_INPUT_DATE_E_RISULTATI_2A_FASE,9,FALSE),"h:mm")&amp;" ("&amp;VLOOKUP(T28,A_5_INPUT_DATE_E_RISULTATI_2A_FASE,11,FALSE)&amp;")"</f>
        <v>gio 10 giu 11:00 (Cristo Re 2)</v>
      </c>
      <c r="U27" s="171"/>
      <c r="V27" s="191"/>
      <c r="W27" s="206"/>
      <c r="X27" s="192"/>
      <c r="Y27" s="242"/>
      <c r="Z27" s="185" t="str">
        <f ca="1">VLOOKUP("1-8/2",B_PARTITE_2A_FASE_PER_CODICE,8,FALSE)</f>
        <v>Coccodrilli</v>
      </c>
      <c r="AA27" s="186">
        <f>VLOOKUP("1-8/2",B_PARTITE_2A_FASE_PER_CODICE,10,FALSE)</f>
        <v>34</v>
      </c>
      <c r="AB27" s="187" t="str">
        <f>VLOOKUP("1-8/2",B_PARTITE_2A_FASE_PER_CODICE,6,FALSE)</f>
        <v>V54</v>
      </c>
      <c r="AC27" s="143"/>
      <c r="AD27" s="143"/>
      <c r="AE27" s="143"/>
      <c r="AF27" s="189"/>
      <c r="AG27" s="190"/>
      <c r="AH27" s="143"/>
      <c r="AI27" s="143"/>
      <c r="AJ27" s="143"/>
      <c r="AK27" s="143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60" t="s">
        <v>438</v>
      </c>
      <c r="CW27" s="161">
        <v>3</v>
      </c>
      <c r="CX27" s="161">
        <v>1</v>
      </c>
      <c r="CY27" s="161">
        <v>1</v>
      </c>
      <c r="CZ27" s="161">
        <v>1</v>
      </c>
      <c r="DA27" s="161">
        <v>2</v>
      </c>
      <c r="DB27" s="161">
        <v>4</v>
      </c>
      <c r="DC27" s="161"/>
      <c r="DD27" s="161">
        <v>3.9998</v>
      </c>
      <c r="DE27" s="161"/>
      <c r="DF27" s="162"/>
      <c r="DG27" s="143"/>
    </row>
    <row r="28" spans="1:111" ht="15.95" customHeight="1">
      <c r="A28" s="149">
        <v>24</v>
      </c>
      <c r="B28" s="150">
        <f t="shared" si="24"/>
        <v>44355</v>
      </c>
      <c r="C28" s="151">
        <f t="shared" si="25"/>
        <v>0.70833333333333337</v>
      </c>
      <c r="D28" s="163" t="str">
        <f t="shared" si="26"/>
        <v>Tonni</v>
      </c>
      <c r="E28" s="153">
        <f t="shared" si="27"/>
        <v>20</v>
      </c>
      <c r="F28" s="153">
        <f t="shared" si="28"/>
        <v>0</v>
      </c>
      <c r="G28" s="154" t="str">
        <f t="shared" si="29"/>
        <v>Zebre</v>
      </c>
      <c r="H28" s="156" t="str">
        <f t="shared" si="30"/>
        <v>H</v>
      </c>
      <c r="I28" s="156" t="str">
        <f t="shared" si="31"/>
        <v>Nuova Scuola</v>
      </c>
      <c r="K28" s="213" t="s">
        <v>439</v>
      </c>
      <c r="L28" s="214" t="s">
        <v>61</v>
      </c>
      <c r="M28" s="214" t="s">
        <v>395</v>
      </c>
      <c r="N28" s="214" t="s">
        <v>396</v>
      </c>
      <c r="O28" s="214" t="s">
        <v>56</v>
      </c>
      <c r="P28" s="214" t="s">
        <v>397</v>
      </c>
      <c r="Q28" s="214" t="s">
        <v>398</v>
      </c>
      <c r="R28" s="215" t="s">
        <v>399</v>
      </c>
      <c r="T28" s="241">
        <f>VLOOKUP("1-16/3",B_PARTITE_2A_FASE_PER_CODICE,2,FALSE)</f>
        <v>54</v>
      </c>
      <c r="U28" s="216" t="str">
        <f ca="1">VLOOKUP("1-16/3",B_PARTITE_2A_FASE_PER_CODICE,7,FALSE)</f>
        <v>Coccodrilli</v>
      </c>
      <c r="V28" s="182">
        <f>VLOOKUP("1-16/3",B_PARTITE_2A_FASE_PER_CODICE,9,FALSE)</f>
        <v>67</v>
      </c>
      <c r="W28" s="194" t="str">
        <f>VLOOKUP("1-16/3",B_PARTITE_2A_FASE_PER_CODICE,5,FALSE)</f>
        <v>1D</v>
      </c>
      <c r="X28" s="143"/>
      <c r="Y28" s="143"/>
      <c r="Z28" s="143"/>
      <c r="AA28" s="189"/>
      <c r="AB28" s="190"/>
      <c r="AC28" s="143"/>
      <c r="AD28" s="143"/>
      <c r="AE28" s="143"/>
      <c r="AF28" s="189"/>
      <c r="AG28" s="190"/>
      <c r="AH28" s="143"/>
      <c r="AI28" s="143"/>
      <c r="AJ28" s="143"/>
      <c r="AK28" s="143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217" t="s">
        <v>440</v>
      </c>
      <c r="CW28" s="217" t="s">
        <v>61</v>
      </c>
      <c r="CX28" s="217" t="s">
        <v>395</v>
      </c>
      <c r="CY28" s="217" t="s">
        <v>401</v>
      </c>
      <c r="CZ28" s="217" t="s">
        <v>396</v>
      </c>
      <c r="DA28" s="217" t="s">
        <v>402</v>
      </c>
      <c r="DB28" s="217" t="s">
        <v>403</v>
      </c>
      <c r="DC28" s="217"/>
      <c r="DD28" s="217" t="s">
        <v>405</v>
      </c>
      <c r="DE28" s="217"/>
      <c r="DF28" s="162"/>
      <c r="DG28" s="143"/>
    </row>
    <row r="29" spans="1:111" ht="15.95" customHeight="1">
      <c r="A29" s="149">
        <v>25</v>
      </c>
      <c r="B29" s="150">
        <f t="shared" si="24"/>
        <v>44355</v>
      </c>
      <c r="C29" s="151">
        <f t="shared" si="25"/>
        <v>0.77083333333333337</v>
      </c>
      <c r="D29" s="163" t="str">
        <f t="shared" si="26"/>
        <v>Leoni</v>
      </c>
      <c r="E29" s="153">
        <f t="shared" si="27"/>
        <v>82</v>
      </c>
      <c r="F29" s="153">
        <f t="shared" si="28"/>
        <v>25</v>
      </c>
      <c r="G29" s="154" t="str">
        <f t="shared" si="29"/>
        <v>Ghepardi</v>
      </c>
      <c r="H29" s="156" t="str">
        <f t="shared" si="30"/>
        <v>A</v>
      </c>
      <c r="I29" s="156" t="str">
        <f t="shared" si="31"/>
        <v>Cristo Re 1</v>
      </c>
      <c r="K29" s="157" t="str">
        <f t="shared" ref="K29:K32" ca="1" si="56">VLOOKUP(ROW()-28&amp;RIGHT(K$28,1),B_CLASSIFICA_GIRONE_F,4,0)</f>
        <v>Balene</v>
      </c>
      <c r="L29" s="158">
        <f t="shared" ref="L29:L32" ca="1" si="57">VLOOKUP(ROW()-28&amp;RIGHT(K$28,1),B_CLASSIFICA_GIRONE_F,5,0)</f>
        <v>3</v>
      </c>
      <c r="M29" s="158">
        <f t="shared" ref="M29:M32" ca="1" si="58">VLOOKUP(ROW()-28&amp;RIGHT(K$28,1),B_CLASSIFICA_GIRONE_F,6,0)</f>
        <v>2</v>
      </c>
      <c r="N29" s="158">
        <f t="shared" ref="N29:N32" ca="1" si="59">VLOOKUP(ROW()-28&amp;RIGHT(K$28,1),B_CLASSIFICA_GIRONE_F,7,0)</f>
        <v>1</v>
      </c>
      <c r="O29" s="158">
        <f t="shared" ref="O29:O32" ca="1" si="60">VLOOKUP(ROW()-28&amp;RIGHT(K$28,1),B_CLASSIFICA_GIRONE_F,8,0)</f>
        <v>0</v>
      </c>
      <c r="P29" s="158">
        <f t="shared" ref="P29:P32" ca="1" si="61">VLOOKUP(ROW()-28&amp;RIGHT(K$28,1),B_CLASSIFICA_GIRONE_F,9,0)</f>
        <v>5</v>
      </c>
      <c r="Q29" s="158">
        <f t="shared" ref="Q29:Q32" ca="1" si="62">VLOOKUP(ROW()-28&amp;RIGHT(K$28,1),B_CLASSIFICA_GIRONE_F,10,0)</f>
        <v>103</v>
      </c>
      <c r="R29" s="159">
        <f t="shared" ref="R29:R32" ca="1" si="63">VLOOKUP(ROW()-28&amp;RIGHT(K$28,1),B_CLASSIFICA_GIRONE_F,11,0)</f>
        <v>102</v>
      </c>
      <c r="T29" s="241"/>
      <c r="U29" s="198" t="str">
        <f ca="1">VLOOKUP("1-16/3",B_PARTITE_2A_FASE_PER_CODICE,8,FALSE)</f>
        <v>Puma</v>
      </c>
      <c r="V29" s="186">
        <f>VLOOKUP("1-16/3",B_PARTITE_2A_FASE_PER_CODICE,10,FALSE)</f>
        <v>34</v>
      </c>
      <c r="W29" s="183" t="str">
        <f>VLOOKUP("1-16/3",B_PARTITE_2A_FASE_PER_CODICE,6,FALSE)</f>
        <v>2B</v>
      </c>
      <c r="X29" s="143"/>
      <c r="Y29" s="143"/>
      <c r="Z29" s="143"/>
      <c r="AA29" s="189"/>
      <c r="AB29" s="190"/>
      <c r="AC29" s="143"/>
      <c r="AD29" s="199" t="str">
        <f>TEXT(VLOOKUP(AD30,A_5_INPUT_DATE_E_RISULTATI_2A_FASE,8,FALSE),"GGG G MMM")&amp;" "&amp;TEXT(VLOOKUP(AD30,A_5_INPUT_DATE_E_RISULTATI_2A_FASE,9,FALSE),"h:mm")&amp;" ("&amp;VLOOKUP(AD30,A_5_INPUT_DATE_E_RISULTATI_2A_FASE,11,FALSE)&amp;")"</f>
        <v>ven 11 giu 22:00 (Basket Giovane)</v>
      </c>
      <c r="AE29" s="143"/>
      <c r="AF29" s="189"/>
      <c r="AG29" s="190"/>
      <c r="AH29" s="201"/>
      <c r="AI29" s="143"/>
      <c r="AJ29" s="143"/>
      <c r="AK29" s="143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  <c r="CT29" s="143"/>
      <c r="CU29" s="143"/>
      <c r="CV29" s="160" t="s">
        <v>441</v>
      </c>
      <c r="CW29" s="161">
        <v>3</v>
      </c>
      <c r="CX29" s="161">
        <v>0</v>
      </c>
      <c r="CY29" s="161">
        <v>3</v>
      </c>
      <c r="CZ29" s="161">
        <v>0</v>
      </c>
      <c r="DA29" s="161">
        <v>4</v>
      </c>
      <c r="DB29" s="161">
        <v>4</v>
      </c>
      <c r="DC29" s="161"/>
      <c r="DD29" s="161">
        <v>3</v>
      </c>
      <c r="DE29" s="161"/>
      <c r="DF29" s="162"/>
      <c r="DG29" s="143"/>
    </row>
    <row r="30" spans="1:111" ht="15.95" customHeight="1">
      <c r="A30" s="149">
        <v>26</v>
      </c>
      <c r="B30" s="150">
        <f t="shared" si="24"/>
        <v>44355</v>
      </c>
      <c r="C30" s="151">
        <f t="shared" si="25"/>
        <v>0.77083333333333337</v>
      </c>
      <c r="D30" s="163" t="str">
        <f t="shared" si="26"/>
        <v>Giaguari</v>
      </c>
      <c r="E30" s="153">
        <f t="shared" si="27"/>
        <v>76</v>
      </c>
      <c r="F30" s="153">
        <f t="shared" si="28"/>
        <v>94</v>
      </c>
      <c r="G30" s="154" t="str">
        <f t="shared" si="29"/>
        <v>Serval</v>
      </c>
      <c r="H30" s="156" t="str">
        <f t="shared" si="30"/>
        <v>B</v>
      </c>
      <c r="I30" s="156" t="str">
        <f t="shared" si="31"/>
        <v>Cristo Re 2</v>
      </c>
      <c r="K30" s="164" t="str">
        <f t="shared" ca="1" si="56"/>
        <v>Gabbiani</v>
      </c>
      <c r="L30" s="165">
        <f t="shared" ca="1" si="57"/>
        <v>3</v>
      </c>
      <c r="M30" s="165">
        <f t="shared" ca="1" si="58"/>
        <v>2</v>
      </c>
      <c r="N30" s="165">
        <f t="shared" ca="1" si="59"/>
        <v>1</v>
      </c>
      <c r="O30" s="165">
        <f t="shared" ca="1" si="60"/>
        <v>0</v>
      </c>
      <c r="P30" s="165">
        <f t="shared" ca="1" si="61"/>
        <v>5</v>
      </c>
      <c r="Q30" s="165">
        <f t="shared" ca="1" si="62"/>
        <v>102</v>
      </c>
      <c r="R30" s="166">
        <f t="shared" ca="1" si="63"/>
        <v>101</v>
      </c>
      <c r="T30" s="170"/>
      <c r="U30" s="171"/>
      <c r="V30" s="189"/>
      <c r="W30" s="183"/>
      <c r="X30" s="143"/>
      <c r="Y30" s="143"/>
      <c r="Z30" s="143"/>
      <c r="AA30" s="189"/>
      <c r="AB30" s="190"/>
      <c r="AC30" s="143"/>
      <c r="AD30" s="243">
        <f>VLOOKUP("1-4/1",B_PARTITE_2A_FASE_PER_CODICE,2,FALSE)</f>
        <v>88</v>
      </c>
      <c r="AE30" s="181" t="str">
        <f ca="1">VLOOKUP("1-4/1",B_PARTITE_2A_FASE_PER_CODICE,7,FALSE)</f>
        <v>Pantere</v>
      </c>
      <c r="AF30" s="182">
        <f>VLOOKUP("1-4/1",B_PARTITE_2A_FASE_PER_CODICE,9,FALSE)</f>
        <v>68</v>
      </c>
      <c r="AG30" s="194" t="str">
        <f>VLOOKUP("1-4/1",B_PARTITE_2A_FASE_PER_CODICE,5,FALSE)</f>
        <v>V73</v>
      </c>
      <c r="AH30" s="201"/>
      <c r="AI30" s="143"/>
      <c r="AJ30" s="143"/>
      <c r="AK30" s="143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60" t="s">
        <v>442</v>
      </c>
      <c r="CW30" s="161">
        <v>3</v>
      </c>
      <c r="CX30" s="161">
        <v>0</v>
      </c>
      <c r="CY30" s="161">
        <v>1</v>
      </c>
      <c r="CZ30" s="161">
        <v>2</v>
      </c>
      <c r="DA30" s="161">
        <v>1</v>
      </c>
      <c r="DB30" s="161">
        <v>4</v>
      </c>
      <c r="DC30" s="161"/>
      <c r="DD30" s="161">
        <v>0.99970000000000003</v>
      </c>
      <c r="DE30" s="161"/>
      <c r="DF30" s="162"/>
      <c r="DG30" s="143"/>
    </row>
    <row r="31" spans="1:111" ht="15.95" customHeight="1">
      <c r="A31" s="149">
        <v>27</v>
      </c>
      <c r="B31" s="150">
        <f t="shared" si="24"/>
        <v>44355</v>
      </c>
      <c r="C31" s="151">
        <f t="shared" si="25"/>
        <v>0.77083333333333337</v>
      </c>
      <c r="D31" s="163" t="str">
        <f t="shared" si="26"/>
        <v>Elefanti</v>
      </c>
      <c r="E31" s="153">
        <f t="shared" si="27"/>
        <v>57</v>
      </c>
      <c r="F31" s="153">
        <f t="shared" si="28"/>
        <v>42</v>
      </c>
      <c r="G31" s="154" t="str">
        <f t="shared" si="29"/>
        <v>Iguane</v>
      </c>
      <c r="H31" s="156" t="str">
        <f t="shared" si="30"/>
        <v>C</v>
      </c>
      <c r="I31" s="156" t="str">
        <f t="shared" si="31"/>
        <v>Basket Giovane</v>
      </c>
      <c r="K31" s="167" t="str">
        <f t="shared" ca="1" si="56"/>
        <v>Delfini</v>
      </c>
      <c r="L31" s="168">
        <f t="shared" ca="1" si="57"/>
        <v>3</v>
      </c>
      <c r="M31" s="168">
        <f t="shared" ca="1" si="58"/>
        <v>2</v>
      </c>
      <c r="N31" s="168">
        <f t="shared" ca="1" si="59"/>
        <v>1</v>
      </c>
      <c r="O31" s="168">
        <f t="shared" ca="1" si="60"/>
        <v>0</v>
      </c>
      <c r="P31" s="168">
        <f t="shared" ca="1" si="61"/>
        <v>5</v>
      </c>
      <c r="Q31" s="168">
        <f t="shared" ca="1" si="62"/>
        <v>101</v>
      </c>
      <c r="R31" s="169">
        <f t="shared" ca="1" si="63"/>
        <v>100</v>
      </c>
      <c r="T31" s="188" t="str">
        <f>TEXT(VLOOKUP(T32,A_5_INPUT_DATE_E_RISULTATI_2A_FASE,8,FALSE),"GGG G MMM")&amp;" "&amp;TEXT(VLOOKUP(T32,A_5_INPUT_DATE_E_RISULTATI_2A_FASE,9,FALSE),"h:mm")&amp;" ("&amp;VLOOKUP(T32,A_5_INPUT_DATE_E_RISULTATI_2A_FASE,11,FALSE)&amp;")"</f>
        <v>gio 10 giu 15:30 (Cristo Re 2)</v>
      </c>
      <c r="U31" s="171"/>
      <c r="V31" s="191"/>
      <c r="W31" s="183"/>
      <c r="X31" s="143"/>
      <c r="Y31" s="143"/>
      <c r="Z31" s="143"/>
      <c r="AA31" s="191"/>
      <c r="AB31" s="190"/>
      <c r="AC31" s="192"/>
      <c r="AD31" s="243"/>
      <c r="AE31" s="185" t="str">
        <f ca="1">VLOOKUP("1-4/1",B_PARTITE_2A_FASE_PER_CODICE,8,FALSE)</f>
        <v>Istrici</v>
      </c>
      <c r="AF31" s="186">
        <f>VLOOKUP("1-4/1",B_PARTITE_2A_FASE_PER_CODICE,10,FALSE)</f>
        <v>47</v>
      </c>
      <c r="AG31" s="218" t="str">
        <f>VLOOKUP("1-4/1",B_PARTITE_2A_FASE_PER_CODICE,6,FALSE)</f>
        <v>V74</v>
      </c>
      <c r="AH31" s="201"/>
      <c r="AI31" s="143"/>
      <c r="AJ31" s="143"/>
      <c r="AK31" s="143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60" t="s">
        <v>443</v>
      </c>
      <c r="CW31" s="161">
        <v>3</v>
      </c>
      <c r="CX31" s="172">
        <v>1</v>
      </c>
      <c r="CY31" s="172">
        <v>2</v>
      </c>
      <c r="CZ31" s="172">
        <v>0</v>
      </c>
      <c r="DA31" s="172">
        <v>6</v>
      </c>
      <c r="DB31" s="172">
        <v>4</v>
      </c>
      <c r="DC31" s="172"/>
      <c r="DD31" s="172">
        <v>5.0002000000000004</v>
      </c>
      <c r="DE31" s="172"/>
      <c r="DF31" s="162"/>
      <c r="DG31" s="143"/>
    </row>
    <row r="32" spans="1:111" ht="15.95" customHeight="1">
      <c r="A32" s="149">
        <v>28</v>
      </c>
      <c r="B32" s="150">
        <f t="shared" si="24"/>
        <v>44355</v>
      </c>
      <c r="C32" s="151">
        <f t="shared" si="25"/>
        <v>0.77083333333333337</v>
      </c>
      <c r="D32" s="163" t="str">
        <f t="shared" si="26"/>
        <v>Coccodrilli</v>
      </c>
      <c r="E32" s="153">
        <f t="shared" si="27"/>
        <v>54</v>
      </c>
      <c r="F32" s="153">
        <f t="shared" si="28"/>
        <v>44</v>
      </c>
      <c r="G32" s="154" t="str">
        <f t="shared" si="29"/>
        <v>Falchi</v>
      </c>
      <c r="H32" s="156" t="str">
        <f t="shared" si="30"/>
        <v>D</v>
      </c>
      <c r="I32" s="156" t="str">
        <f t="shared" si="31"/>
        <v>Nuova Scuola</v>
      </c>
      <c r="K32" s="173" t="str">
        <f t="shared" ca="1" si="56"/>
        <v>Fenicotteri</v>
      </c>
      <c r="L32" s="174">
        <f t="shared" ca="1" si="57"/>
        <v>3</v>
      </c>
      <c r="M32" s="174">
        <f t="shared" ca="1" si="58"/>
        <v>0</v>
      </c>
      <c r="N32" s="174">
        <f t="shared" ca="1" si="59"/>
        <v>3</v>
      </c>
      <c r="O32" s="174">
        <f t="shared" ca="1" si="60"/>
        <v>0</v>
      </c>
      <c r="P32" s="174">
        <f t="shared" ca="1" si="61"/>
        <v>3</v>
      </c>
      <c r="Q32" s="174">
        <f t="shared" ca="1" si="62"/>
        <v>102</v>
      </c>
      <c r="R32" s="175">
        <f t="shared" ca="1" si="63"/>
        <v>105</v>
      </c>
      <c r="T32" s="241">
        <f>VLOOKUP("1-16/2",B_PARTITE_2A_FASE_PER_CODICE,2,FALSE)</f>
        <v>58</v>
      </c>
      <c r="U32" s="193" t="str">
        <f ca="1">VLOOKUP("1-16/2",B_PARTITE_2A_FASE_PER_CODICE,7,FALSE)</f>
        <v>Istrici</v>
      </c>
      <c r="V32" s="182">
        <f>VLOOKUP("1-16/2",B_PARTITE_2A_FASE_PER_CODICE,9,FALSE)</f>
        <v>64</v>
      </c>
      <c r="W32" s="183" t="str">
        <f>VLOOKUP("1-16/2",B_PARTITE_2A_FASE_PER_CODICE,5,FALSE)</f>
        <v>1G</v>
      </c>
      <c r="X32" s="143"/>
      <c r="Y32" s="143"/>
      <c r="Z32" s="143"/>
      <c r="AA32" s="191"/>
      <c r="AB32" s="190"/>
      <c r="AC32" s="143"/>
      <c r="AD32" s="143"/>
      <c r="AE32" s="143"/>
      <c r="AF32" s="143"/>
      <c r="AG32" s="143"/>
      <c r="AH32" s="143"/>
      <c r="AI32" s="143"/>
      <c r="AJ32" s="143"/>
      <c r="AK32" s="143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  <c r="CT32" s="143"/>
      <c r="CU32" s="143"/>
      <c r="CV32" s="160" t="s">
        <v>444</v>
      </c>
      <c r="CW32" s="161">
        <v>3</v>
      </c>
      <c r="CX32" s="161">
        <v>1</v>
      </c>
      <c r="CY32" s="161">
        <v>2</v>
      </c>
      <c r="CZ32" s="161">
        <v>0</v>
      </c>
      <c r="DA32" s="161">
        <v>4</v>
      </c>
      <c r="DB32" s="161">
        <v>3</v>
      </c>
      <c r="DC32" s="161"/>
      <c r="DD32" s="161">
        <v>5.0000999999999998</v>
      </c>
      <c r="DE32" s="161"/>
      <c r="DF32" s="162"/>
      <c r="DG32" s="143"/>
    </row>
    <row r="33" spans="1:111" ht="15.95" customHeight="1">
      <c r="A33" s="149">
        <v>29</v>
      </c>
      <c r="B33" s="150">
        <f t="shared" si="24"/>
        <v>44356</v>
      </c>
      <c r="C33" s="151">
        <f t="shared" si="25"/>
        <v>0.375</v>
      </c>
      <c r="D33" s="163" t="str">
        <f t="shared" si="26"/>
        <v>Bisonti</v>
      </c>
      <c r="E33" s="153">
        <f t="shared" si="27"/>
        <v>33</v>
      </c>
      <c r="F33" s="153">
        <f t="shared" si="28"/>
        <v>34</v>
      </c>
      <c r="G33" s="154" t="str">
        <f t="shared" si="29"/>
        <v>Cervi</v>
      </c>
      <c r="H33" s="156" t="str">
        <f t="shared" si="30"/>
        <v>E</v>
      </c>
      <c r="I33" s="156" t="str">
        <f t="shared" si="31"/>
        <v>Cristo Re 1</v>
      </c>
      <c r="K33" s="219" t="s">
        <v>445</v>
      </c>
      <c r="L33" s="220" t="s">
        <v>61</v>
      </c>
      <c r="M33" s="220" t="s">
        <v>395</v>
      </c>
      <c r="N33" s="220" t="s">
        <v>396</v>
      </c>
      <c r="O33" s="220" t="s">
        <v>56</v>
      </c>
      <c r="P33" s="220" t="s">
        <v>397</v>
      </c>
      <c r="Q33" s="220" t="s">
        <v>398</v>
      </c>
      <c r="R33" s="221" t="s">
        <v>399</v>
      </c>
      <c r="T33" s="241"/>
      <c r="U33" s="198" t="str">
        <f ca="1">VLOOKUP("1-16/2",B_PARTITE_2A_FASE_PER_CODICE,8,FALSE)</f>
        <v>Bufali</v>
      </c>
      <c r="V33" s="186">
        <f>VLOOKUP("1-16/2",B_PARTITE_2A_FASE_PER_CODICE,10,FALSE)</f>
        <v>43</v>
      </c>
      <c r="W33" s="187" t="str">
        <f>VLOOKUP("1-16/2",B_PARTITE_2A_FASE_PER_CODICE,6,FALSE)</f>
        <v>2E</v>
      </c>
      <c r="X33" s="143"/>
      <c r="Y33" s="199" t="str">
        <f>TEXT(VLOOKUP(Y34,A_5_INPUT_DATE_E_RISULTATI_2A_FASE,8,FALSE),"GGG G MMM")&amp;" "&amp;TEXT(VLOOKUP(Y34,A_5_INPUT_DATE_E_RISULTATI_2A_FASE,9,FALSE),"h:mm")&amp;" ("&amp;VLOOKUP(Y34,A_5_INPUT_DATE_E_RISULTATI_2A_FASE,11,FALSE)&amp;")"</f>
        <v>ven 11 giu 11:00 (Cristo Re 2)</v>
      </c>
      <c r="Z33" s="143"/>
      <c r="AA33" s="191"/>
      <c r="AB33" s="190"/>
      <c r="AC33" s="143"/>
      <c r="AD33" s="143"/>
      <c r="AE33" s="143"/>
      <c r="AF33" s="143"/>
      <c r="AG33" s="143"/>
      <c r="AH33" s="143"/>
      <c r="AI33" s="143"/>
      <c r="AJ33" s="143"/>
      <c r="AK33" s="143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  <c r="CT33" s="143"/>
      <c r="CU33" s="143"/>
      <c r="CV33" s="222" t="s">
        <v>446</v>
      </c>
      <c r="CW33" s="222" t="s">
        <v>61</v>
      </c>
      <c r="CX33" s="222" t="s">
        <v>395</v>
      </c>
      <c r="CY33" s="222" t="s">
        <v>401</v>
      </c>
      <c r="CZ33" s="222" t="s">
        <v>396</v>
      </c>
      <c r="DA33" s="222" t="s">
        <v>402</v>
      </c>
      <c r="DB33" s="222" t="s">
        <v>403</v>
      </c>
      <c r="DC33" s="222"/>
      <c r="DD33" s="222" t="s">
        <v>405</v>
      </c>
      <c r="DE33" s="222"/>
      <c r="DF33" s="143"/>
      <c r="DG33" s="143"/>
    </row>
    <row r="34" spans="1:111" ht="15.95" customHeight="1">
      <c r="A34" s="149">
        <v>30</v>
      </c>
      <c r="B34" s="150">
        <f t="shared" si="24"/>
        <v>44356</v>
      </c>
      <c r="C34" s="151">
        <f t="shared" si="25"/>
        <v>0.375</v>
      </c>
      <c r="D34" s="163" t="str">
        <f t="shared" si="26"/>
        <v>Balene</v>
      </c>
      <c r="E34" s="153">
        <f t="shared" si="27"/>
        <v>33</v>
      </c>
      <c r="F34" s="153">
        <f t="shared" si="28"/>
        <v>34</v>
      </c>
      <c r="G34" s="154" t="str">
        <f t="shared" si="29"/>
        <v>Delfini</v>
      </c>
      <c r="H34" s="156" t="str">
        <f t="shared" si="30"/>
        <v>F</v>
      </c>
      <c r="I34" s="156" t="str">
        <f t="shared" si="31"/>
        <v>Cristo Re 2</v>
      </c>
      <c r="K34" s="157" t="str">
        <f t="shared" ref="K34:K37" ca="1" si="64">VLOOKUP(ROW()-33&amp;RIGHT(K$33,1),B_CLASSIFICA_GIRONE_G,4,0)</f>
        <v>Istrici</v>
      </c>
      <c r="L34" s="158">
        <f t="shared" ref="L34:L37" ca="1" si="65">VLOOKUP(ROW()-33&amp;RIGHT(K$33,1),B_CLASSIFICA_GIRONE_G,5,0)</f>
        <v>3</v>
      </c>
      <c r="M34" s="158">
        <f t="shared" ref="M34:M37" ca="1" si="66">VLOOKUP(ROW()-33&amp;RIGHT(K$33,1),B_CLASSIFICA_GIRONE_G,6,0)</f>
        <v>3</v>
      </c>
      <c r="N34" s="158">
        <f t="shared" ref="N34:N37" ca="1" si="67">VLOOKUP(ROW()-33&amp;RIGHT(K$33,1),B_CLASSIFICA_GIRONE_G,7,0)</f>
        <v>0</v>
      </c>
      <c r="O34" s="158">
        <f t="shared" ref="O34:O37" ca="1" si="68">VLOOKUP(ROW()-33&amp;RIGHT(K$33,1),B_CLASSIFICA_GIRONE_G,8,0)</f>
        <v>0</v>
      </c>
      <c r="P34" s="158">
        <f t="shared" ref="P34:P37" ca="1" si="69">VLOOKUP(ROW()-33&amp;RIGHT(K$33,1),B_CLASSIFICA_GIRONE_G,9,0)</f>
        <v>6</v>
      </c>
      <c r="Q34" s="158">
        <f t="shared" ref="Q34:Q37" ca="1" si="70">VLOOKUP(ROW()-33&amp;RIGHT(K$33,1),B_CLASSIFICA_GIRONE_G,10,0)</f>
        <v>60</v>
      </c>
      <c r="R34" s="159">
        <f t="shared" ref="R34:R37" ca="1" si="71">VLOOKUP(ROW()-33&amp;RIGHT(K$33,1),B_CLASSIFICA_GIRONE_G,11,0)</f>
        <v>0</v>
      </c>
      <c r="T34" s="170"/>
      <c r="U34" s="171"/>
      <c r="V34" s="189"/>
      <c r="W34" s="206"/>
      <c r="X34" s="143"/>
      <c r="Y34" s="242">
        <f>VLOOKUP("1-8/1",B_PARTITE_2A_FASE_PER_CODICE,2,FALSE)</f>
        <v>74</v>
      </c>
      <c r="Z34" s="181" t="str">
        <f ca="1">VLOOKUP("1-8/1",B_PARTITE_2A_FASE_PER_CODICE,7,FALSE)</f>
        <v>Istrici</v>
      </c>
      <c r="AA34" s="182">
        <f>VLOOKUP("1-8/1",B_PARTITE_2A_FASE_PER_CODICE,9,FALSE)</f>
        <v>52</v>
      </c>
      <c r="AB34" s="194" t="str">
        <f>VLOOKUP("1-8/1",B_PARTITE_2A_FASE_PER_CODICE,5,FALSE)</f>
        <v>V58</v>
      </c>
      <c r="AC34" s="143"/>
      <c r="AD34" s="143"/>
      <c r="AE34" s="143"/>
      <c r="AF34" s="143"/>
      <c r="AG34" s="143"/>
      <c r="AH34" s="143"/>
      <c r="AI34" s="143"/>
      <c r="AJ34" s="143"/>
      <c r="AK34" s="143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61" t="s">
        <v>428</v>
      </c>
      <c r="CW34" s="161">
        <v>0</v>
      </c>
      <c r="CX34" s="172">
        <v>0</v>
      </c>
      <c r="CY34" s="172">
        <v>0</v>
      </c>
      <c r="CZ34" s="172">
        <v>0</v>
      </c>
      <c r="DA34" s="172">
        <v>0</v>
      </c>
      <c r="DB34" s="172">
        <v>0</v>
      </c>
      <c r="DC34" s="172"/>
      <c r="DD34" s="172">
        <v>0</v>
      </c>
      <c r="DE34" s="172"/>
      <c r="DF34" s="143"/>
      <c r="DG34" s="143"/>
    </row>
    <row r="35" spans="1:111" ht="15.95" customHeight="1">
      <c r="A35" s="149">
        <v>31</v>
      </c>
      <c r="B35" s="150">
        <f t="shared" si="24"/>
        <v>44356</v>
      </c>
      <c r="C35" s="151">
        <f t="shared" si="25"/>
        <v>0.375</v>
      </c>
      <c r="D35" s="163" t="str">
        <f t="shared" si="26"/>
        <v>Istrici</v>
      </c>
      <c r="E35" s="153">
        <f t="shared" si="27"/>
        <v>20</v>
      </c>
      <c r="F35" s="153">
        <f t="shared" si="28"/>
        <v>0</v>
      </c>
      <c r="G35" s="154" t="str">
        <f t="shared" si="29"/>
        <v>Muli</v>
      </c>
      <c r="H35" s="156" t="str">
        <f t="shared" si="30"/>
        <v>G</v>
      </c>
      <c r="I35" s="156" t="str">
        <f t="shared" si="31"/>
        <v>Basket Giovane</v>
      </c>
      <c r="K35" s="164" t="str">
        <f t="shared" ca="1" si="64"/>
        <v>Gorilla</v>
      </c>
      <c r="L35" s="165">
        <f t="shared" ca="1" si="65"/>
        <v>3</v>
      </c>
      <c r="M35" s="165">
        <f t="shared" ca="1" si="66"/>
        <v>2</v>
      </c>
      <c r="N35" s="165">
        <f t="shared" ca="1" si="67"/>
        <v>0</v>
      </c>
      <c r="O35" s="165">
        <f t="shared" ca="1" si="68"/>
        <v>1</v>
      </c>
      <c r="P35" s="165">
        <f t="shared" ca="1" si="69"/>
        <v>4</v>
      </c>
      <c r="Q35" s="165">
        <f t="shared" ca="1" si="70"/>
        <v>40</v>
      </c>
      <c r="R35" s="166">
        <f t="shared" ca="1" si="71"/>
        <v>20</v>
      </c>
      <c r="T35" s="188" t="str">
        <f>TEXT(VLOOKUP(T36,A_5_INPUT_DATE_E_RISULTATI_2A_FASE,8,FALSE),"GGG G MMM")&amp;" "&amp;TEXT(VLOOKUP(T36,A_5_INPUT_DATE_E_RISULTATI_2A_FASE,9,FALSE),"h:mm")&amp;" ("&amp;VLOOKUP(T36,A_5_INPUT_DATE_E_RISULTATI_2A_FASE,11,FALSE)&amp;")"</f>
        <v>gio 10 giu 17:00 (Cristo Re 2)</v>
      </c>
      <c r="U35" s="223"/>
      <c r="V35" s="224"/>
      <c r="W35" s="225"/>
      <c r="X35" s="192"/>
      <c r="Y35" s="242"/>
      <c r="Z35" s="185" t="str">
        <f ca="1">VLOOKUP("1-8/1",B_PARTITE_2A_FASE_PER_CODICE,8,FALSE)</f>
        <v>Piranha</v>
      </c>
      <c r="AA35" s="186">
        <f>VLOOKUP("1-8/1",B_PARTITE_2A_FASE_PER_CODICE,10,FALSE)</f>
        <v>36</v>
      </c>
      <c r="AB35" s="183" t="str">
        <f>VLOOKUP("1-8/1",B_PARTITE_2A_FASE_PER_CODICE,6,FALSE)</f>
        <v>V62</v>
      </c>
      <c r="AC35" s="143"/>
      <c r="AD35" s="143"/>
      <c r="AE35" s="143"/>
      <c r="AF35" s="143"/>
      <c r="AG35" s="143"/>
      <c r="AH35" s="143"/>
      <c r="AI35" s="143"/>
      <c r="AJ35" s="143"/>
      <c r="AK35" s="143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60" t="s">
        <v>413</v>
      </c>
      <c r="CW35" s="172">
        <v>3</v>
      </c>
      <c r="CX35" s="172">
        <v>1</v>
      </c>
      <c r="CY35" s="172">
        <v>2</v>
      </c>
      <c r="CZ35" s="172">
        <v>0</v>
      </c>
      <c r="DA35" s="172">
        <v>2</v>
      </c>
      <c r="DB35" s="172">
        <v>1</v>
      </c>
      <c r="DC35" s="172"/>
      <c r="DD35" s="172">
        <v>5.0000999999999998</v>
      </c>
      <c r="DE35" s="172"/>
      <c r="DF35" s="143"/>
      <c r="DG35" s="143"/>
    </row>
    <row r="36" spans="1:111" ht="15.95" customHeight="1">
      <c r="A36" s="149">
        <v>32</v>
      </c>
      <c r="B36" s="150">
        <f t="shared" si="24"/>
        <v>44356</v>
      </c>
      <c r="C36" s="151">
        <f t="shared" si="25"/>
        <v>0.375</v>
      </c>
      <c r="D36" s="163" t="str">
        <f t="shared" si="26"/>
        <v>Piranha</v>
      </c>
      <c r="E36" s="153">
        <f t="shared" si="27"/>
        <v>97</v>
      </c>
      <c r="F36" s="153">
        <f t="shared" si="28"/>
        <v>78</v>
      </c>
      <c r="G36" s="154" t="str">
        <f t="shared" si="29"/>
        <v>Tonni</v>
      </c>
      <c r="H36" s="156" t="str">
        <f t="shared" si="30"/>
        <v>H</v>
      </c>
      <c r="I36" s="156" t="str">
        <f t="shared" si="31"/>
        <v>Nuova Scuola</v>
      </c>
      <c r="K36" s="167" t="str">
        <f t="shared" ca="1" si="64"/>
        <v>Orche</v>
      </c>
      <c r="L36" s="168">
        <f t="shared" ca="1" si="65"/>
        <v>3</v>
      </c>
      <c r="M36" s="168">
        <f t="shared" ca="1" si="66"/>
        <v>1</v>
      </c>
      <c r="N36" s="168">
        <f t="shared" ca="1" si="67"/>
        <v>0</v>
      </c>
      <c r="O36" s="168">
        <f t="shared" ca="1" si="68"/>
        <v>2</v>
      </c>
      <c r="P36" s="168">
        <f t="shared" ca="1" si="69"/>
        <v>2</v>
      </c>
      <c r="Q36" s="168">
        <f t="shared" ca="1" si="70"/>
        <v>20</v>
      </c>
      <c r="R36" s="169">
        <f t="shared" ca="1" si="71"/>
        <v>40</v>
      </c>
      <c r="T36" s="241">
        <f>VLOOKUP("1-16/1",B_PARTITE_2A_FASE_PER_CODICE,2,FALSE)</f>
        <v>62</v>
      </c>
      <c r="U36" s="193" t="str">
        <f ca="1">VLOOKUP("1-16/1",B_PARTITE_2A_FASE_PER_CODICE,7,FALSE)</f>
        <v>Piranha</v>
      </c>
      <c r="V36" s="182">
        <f>VLOOKUP("1-16/1",B_PARTITE_2A_FASE_PER_CODICE,9,FALSE)</f>
        <v>60</v>
      </c>
      <c r="W36" s="194" t="str">
        <f>VLOOKUP("1-16/1",B_PARTITE_2A_FASE_PER_CODICE,5,FALSE)</f>
        <v>1H</v>
      </c>
      <c r="X36" s="143"/>
      <c r="Y36" s="143"/>
      <c r="Z36" s="143"/>
      <c r="AA36" s="142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  <c r="CT36" s="143"/>
      <c r="CU36" s="143"/>
      <c r="CV36" s="160" t="s">
        <v>425</v>
      </c>
      <c r="CW36" s="172">
        <v>3</v>
      </c>
      <c r="CX36" s="172">
        <v>2</v>
      </c>
      <c r="CY36" s="172">
        <v>1</v>
      </c>
      <c r="CZ36" s="172">
        <v>0</v>
      </c>
      <c r="DA36" s="172">
        <v>2</v>
      </c>
      <c r="DB36" s="172">
        <v>0</v>
      </c>
      <c r="DC36" s="172"/>
      <c r="DD36" s="172">
        <v>7.0002000000000004</v>
      </c>
      <c r="DE36" s="172"/>
      <c r="DF36" s="143"/>
      <c r="DG36" s="143"/>
    </row>
    <row r="37" spans="1:111" ht="15.95" customHeight="1">
      <c r="A37" s="149">
        <v>33</v>
      </c>
      <c r="B37" s="150">
        <f t="shared" si="24"/>
        <v>44356</v>
      </c>
      <c r="C37" s="151">
        <f t="shared" si="25"/>
        <v>0.45833333333333331</v>
      </c>
      <c r="D37" s="163" t="str">
        <f t="shared" si="26"/>
        <v>Bufali</v>
      </c>
      <c r="E37" s="153">
        <f t="shared" si="27"/>
        <v>35</v>
      </c>
      <c r="F37" s="153">
        <f t="shared" si="28"/>
        <v>33</v>
      </c>
      <c r="G37" s="154" t="str">
        <f t="shared" si="29"/>
        <v>Cinghiali</v>
      </c>
      <c r="H37" s="156" t="str">
        <f t="shared" si="30"/>
        <v>E</v>
      </c>
      <c r="I37" s="156" t="str">
        <f t="shared" si="31"/>
        <v>Cristo Re 1</v>
      </c>
      <c r="K37" s="173" t="str">
        <f t="shared" ca="1" si="64"/>
        <v>Muli</v>
      </c>
      <c r="L37" s="174">
        <f t="shared" ca="1" si="65"/>
        <v>3</v>
      </c>
      <c r="M37" s="174">
        <f t="shared" ca="1" si="66"/>
        <v>0</v>
      </c>
      <c r="N37" s="174">
        <f t="shared" ca="1" si="67"/>
        <v>0</v>
      </c>
      <c r="O37" s="174">
        <f t="shared" ca="1" si="68"/>
        <v>3</v>
      </c>
      <c r="P37" s="174">
        <f t="shared" ca="1" si="69"/>
        <v>0</v>
      </c>
      <c r="Q37" s="174">
        <f t="shared" ca="1" si="70"/>
        <v>0</v>
      </c>
      <c r="R37" s="175">
        <f t="shared" ca="1" si="71"/>
        <v>60</v>
      </c>
      <c r="T37" s="241"/>
      <c r="U37" s="198" t="str">
        <f ca="1">VLOOKUP("1-16/1",B_PARTITE_2A_FASE_PER_CODICE,8,FALSE)</f>
        <v>Gabbiani</v>
      </c>
      <c r="V37" s="186">
        <f>VLOOKUP("1-16/1",B_PARTITE_2A_FASE_PER_CODICE,10,FALSE)</f>
        <v>30</v>
      </c>
      <c r="W37" s="183" t="str">
        <f>VLOOKUP("1-16/1",B_PARTITE_2A_FASE_PER_CODICE,6,FALSE)</f>
        <v>2F</v>
      </c>
      <c r="X37" s="143"/>
      <c r="Y37" s="143"/>
      <c r="Z37" s="143"/>
      <c r="AA37" s="142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60" t="s">
        <v>436</v>
      </c>
      <c r="CW37" s="172">
        <v>3</v>
      </c>
      <c r="CX37" s="172">
        <v>2</v>
      </c>
      <c r="CY37" s="172">
        <v>0</v>
      </c>
      <c r="CZ37" s="172">
        <v>1</v>
      </c>
      <c r="DA37" s="172">
        <v>4</v>
      </c>
      <c r="DB37" s="172">
        <v>2</v>
      </c>
      <c r="DC37" s="172"/>
      <c r="DD37" s="172">
        <v>6.0002000000000004</v>
      </c>
      <c r="DE37" s="172"/>
      <c r="DF37" s="143"/>
      <c r="DG37" s="143"/>
    </row>
    <row r="38" spans="1:111" ht="15.95" customHeight="1">
      <c r="A38" s="149">
        <v>34</v>
      </c>
      <c r="B38" s="150">
        <f t="shared" si="24"/>
        <v>44356</v>
      </c>
      <c r="C38" s="151">
        <f t="shared" si="25"/>
        <v>0.45833333333333331</v>
      </c>
      <c r="D38" s="163" t="str">
        <f t="shared" si="26"/>
        <v>Gabbiani</v>
      </c>
      <c r="E38" s="153">
        <f t="shared" si="27"/>
        <v>35</v>
      </c>
      <c r="F38" s="153">
        <f t="shared" si="28"/>
        <v>34</v>
      </c>
      <c r="G38" s="154" t="str">
        <f t="shared" si="29"/>
        <v>Fenicotteri</v>
      </c>
      <c r="H38" s="156" t="str">
        <f t="shared" si="30"/>
        <v>F</v>
      </c>
      <c r="I38" s="156" t="str">
        <f t="shared" si="31"/>
        <v>Cristo Re 2</v>
      </c>
      <c r="K38" s="226" t="s">
        <v>447</v>
      </c>
      <c r="L38" s="227" t="s">
        <v>61</v>
      </c>
      <c r="M38" s="227" t="s">
        <v>395</v>
      </c>
      <c r="N38" s="227" t="s">
        <v>396</v>
      </c>
      <c r="O38" s="227" t="s">
        <v>56</v>
      </c>
      <c r="P38" s="227" t="s">
        <v>397</v>
      </c>
      <c r="Q38" s="227" t="s">
        <v>398</v>
      </c>
      <c r="R38" s="228" t="s">
        <v>399</v>
      </c>
      <c r="T38" s="142"/>
      <c r="U38" s="229"/>
      <c r="V38" s="142"/>
      <c r="W38" s="142"/>
      <c r="X38" s="142"/>
      <c r="Y38" s="143"/>
      <c r="Z38" s="143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  <c r="CT38" s="143"/>
      <c r="CU38" s="143"/>
      <c r="CV38" s="160" t="s">
        <v>442</v>
      </c>
      <c r="CW38" s="172">
        <v>3</v>
      </c>
      <c r="CX38" s="172">
        <v>0</v>
      </c>
      <c r="CY38" s="172">
        <v>1</v>
      </c>
      <c r="CZ38" s="172">
        <v>2</v>
      </c>
      <c r="DA38" s="172">
        <v>1</v>
      </c>
      <c r="DB38" s="172">
        <v>4</v>
      </c>
      <c r="DC38" s="172"/>
      <c r="DD38" s="172">
        <v>0.99970000000000003</v>
      </c>
      <c r="DE38" s="172"/>
      <c r="DF38" s="143"/>
      <c r="DG38" s="143"/>
    </row>
    <row r="39" spans="1:111" ht="15.95" customHeight="1">
      <c r="A39" s="149">
        <v>35</v>
      </c>
      <c r="B39" s="150">
        <f t="shared" si="24"/>
        <v>44356</v>
      </c>
      <c r="C39" s="151">
        <f t="shared" si="25"/>
        <v>0.45833333333333331</v>
      </c>
      <c r="D39" s="163" t="str">
        <f t="shared" si="26"/>
        <v>Gorilla</v>
      </c>
      <c r="E39" s="153">
        <f t="shared" si="27"/>
        <v>20</v>
      </c>
      <c r="F39" s="153">
        <f t="shared" si="28"/>
        <v>0</v>
      </c>
      <c r="G39" s="154" t="str">
        <f t="shared" si="29"/>
        <v>Orche</v>
      </c>
      <c r="H39" s="156" t="str">
        <f t="shared" si="30"/>
        <v>G</v>
      </c>
      <c r="I39" s="156" t="str">
        <f t="shared" si="31"/>
        <v>Basket Giovane</v>
      </c>
      <c r="K39" s="157" t="str">
        <f t="shared" ref="K39:K42" ca="1" si="72">VLOOKUP(ROW()-38&amp;RIGHT(K$38,1),B_CLASSIFICA_GIRONE_H,4,0)</f>
        <v>Piranha</v>
      </c>
      <c r="L39" s="158">
        <f t="shared" ref="L39:L42" ca="1" si="73">VLOOKUP(ROW()-38&amp;RIGHT(K$38,1),B_CLASSIFICA_GIRONE_H,5,0)</f>
        <v>3</v>
      </c>
      <c r="M39" s="158">
        <f t="shared" ref="M39:M42" ca="1" si="74">VLOOKUP(ROW()-38&amp;RIGHT(K$38,1),B_CLASSIFICA_GIRONE_H,6,0)</f>
        <v>2</v>
      </c>
      <c r="N39" s="158">
        <f t="shared" ref="N39:N42" ca="1" si="75">VLOOKUP(ROW()-38&amp;RIGHT(K$38,1),B_CLASSIFICA_GIRONE_H,7,0)</f>
        <v>1</v>
      </c>
      <c r="O39" s="158">
        <f t="shared" ref="O39:O42" ca="1" si="76">VLOOKUP(ROW()-38&amp;RIGHT(K$38,1),B_CLASSIFICA_GIRONE_H,8,0)</f>
        <v>0</v>
      </c>
      <c r="P39" s="158">
        <f t="shared" ref="P39:P42" ca="1" si="77">VLOOKUP(ROW()-38&amp;RIGHT(K$38,1),B_CLASSIFICA_GIRONE_H,9,0)</f>
        <v>5</v>
      </c>
      <c r="Q39" s="158">
        <f t="shared" ref="Q39:Q42" ca="1" si="78">VLOOKUP(ROW()-38&amp;RIGHT(K$38,1),B_CLASSIFICA_GIRONE_H,10,0)</f>
        <v>245</v>
      </c>
      <c r="R39" s="159">
        <f t="shared" ref="R39:R42" ca="1" si="79">VLOOKUP(ROW()-38&amp;RIGHT(K$38,1),B_CLASSIFICA_GIRONE_H,11,0)</f>
        <v>215</v>
      </c>
      <c r="T39" s="142"/>
      <c r="U39" s="229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60" t="s">
        <v>424</v>
      </c>
      <c r="CW39" s="172">
        <v>3</v>
      </c>
      <c r="CX39" s="172">
        <v>2</v>
      </c>
      <c r="CY39" s="172">
        <v>1</v>
      </c>
      <c r="CZ39" s="172">
        <v>0</v>
      </c>
      <c r="DA39" s="172">
        <v>3</v>
      </c>
      <c r="DB39" s="172">
        <v>0</v>
      </c>
      <c r="DC39" s="172"/>
      <c r="DD39" s="172">
        <v>7.0003000000000002</v>
      </c>
      <c r="DE39" s="172"/>
      <c r="DF39" s="143"/>
      <c r="DG39" s="143"/>
    </row>
    <row r="40" spans="1:111" ht="15.95" customHeight="1">
      <c r="A40" s="149">
        <v>36</v>
      </c>
      <c r="B40" s="150">
        <f t="shared" si="24"/>
        <v>44356</v>
      </c>
      <c r="C40" s="151">
        <f t="shared" si="25"/>
        <v>0.45833333333333331</v>
      </c>
      <c r="D40" s="163" t="str">
        <f t="shared" si="26"/>
        <v>Scorpioni</v>
      </c>
      <c r="E40" s="153">
        <f t="shared" si="27"/>
        <v>74</v>
      </c>
      <c r="F40" s="153">
        <f t="shared" si="28"/>
        <v>79</v>
      </c>
      <c r="G40" s="154" t="str">
        <f t="shared" si="29"/>
        <v>Zebre</v>
      </c>
      <c r="H40" s="156" t="str">
        <f t="shared" si="30"/>
        <v>H</v>
      </c>
      <c r="I40" s="156" t="str">
        <f t="shared" si="31"/>
        <v>Nuova Scuola</v>
      </c>
      <c r="K40" s="164" t="str">
        <f t="shared" ca="1" si="72"/>
        <v>Tonni</v>
      </c>
      <c r="L40" s="165">
        <f t="shared" ca="1" si="73"/>
        <v>3</v>
      </c>
      <c r="M40" s="165">
        <f t="shared" ca="1" si="74"/>
        <v>2</v>
      </c>
      <c r="N40" s="165">
        <f t="shared" ca="1" si="75"/>
        <v>1</v>
      </c>
      <c r="O40" s="165">
        <f t="shared" ca="1" si="76"/>
        <v>0</v>
      </c>
      <c r="P40" s="165">
        <f t="shared" ca="1" si="77"/>
        <v>5</v>
      </c>
      <c r="Q40" s="165">
        <f t="shared" ca="1" si="78"/>
        <v>163</v>
      </c>
      <c r="R40" s="166">
        <f t="shared" ca="1" si="79"/>
        <v>110</v>
      </c>
      <c r="T40" s="142"/>
      <c r="U40" s="229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230"/>
      <c r="CW40" s="230"/>
      <c r="CX40" s="231"/>
      <c r="CY40" s="231"/>
      <c r="CZ40" s="231"/>
      <c r="DA40" s="231"/>
      <c r="DB40" s="231"/>
      <c r="DC40" s="231"/>
      <c r="DD40" s="231"/>
      <c r="DE40" s="231"/>
      <c r="DF40" s="143"/>
      <c r="DG40" s="143"/>
    </row>
    <row r="41" spans="1:111" ht="15.95" customHeight="1">
      <c r="A41" s="149">
        <v>37</v>
      </c>
      <c r="B41" s="150">
        <f t="shared" si="24"/>
        <v>44356</v>
      </c>
      <c r="C41" s="151">
        <f t="shared" si="25"/>
        <v>0.64583333333333337</v>
      </c>
      <c r="D41" s="163" t="str">
        <f t="shared" si="26"/>
        <v>Pantere</v>
      </c>
      <c r="E41" s="153">
        <f t="shared" si="27"/>
        <v>93</v>
      </c>
      <c r="F41" s="153">
        <f t="shared" si="28"/>
        <v>30</v>
      </c>
      <c r="G41" s="154" t="str">
        <f t="shared" si="29"/>
        <v>Tigri</v>
      </c>
      <c r="H41" s="156" t="str">
        <f t="shared" si="30"/>
        <v>A</v>
      </c>
      <c r="I41" s="156" t="str">
        <f t="shared" si="31"/>
        <v>Cristo Re 1</v>
      </c>
      <c r="K41" s="167" t="str">
        <f t="shared" ca="1" si="72"/>
        <v>Zebre</v>
      </c>
      <c r="L41" s="168">
        <f t="shared" ca="1" si="73"/>
        <v>3</v>
      </c>
      <c r="M41" s="168">
        <f t="shared" ca="1" si="74"/>
        <v>2</v>
      </c>
      <c r="N41" s="168">
        <f t="shared" ca="1" si="75"/>
        <v>0</v>
      </c>
      <c r="O41" s="168">
        <f t="shared" ca="1" si="76"/>
        <v>1</v>
      </c>
      <c r="P41" s="168">
        <f t="shared" ca="1" si="77"/>
        <v>4</v>
      </c>
      <c r="Q41" s="168">
        <f t="shared" ca="1" si="78"/>
        <v>133</v>
      </c>
      <c r="R41" s="169">
        <f t="shared" ca="1" si="79"/>
        <v>142</v>
      </c>
      <c r="T41" s="142"/>
      <c r="U41" s="229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230"/>
      <c r="CW41" s="143"/>
      <c r="CX41" s="171"/>
      <c r="CY41" s="171"/>
      <c r="CZ41" s="171"/>
      <c r="DA41" s="171"/>
      <c r="DB41" s="171"/>
      <c r="DC41" s="171"/>
      <c r="DD41" s="171"/>
      <c r="DE41" s="171"/>
      <c r="DF41" s="143"/>
      <c r="DG41" s="143"/>
    </row>
    <row r="42" spans="1:111" ht="15.95" customHeight="1">
      <c r="A42" s="149">
        <v>38</v>
      </c>
      <c r="B42" s="150">
        <f t="shared" si="24"/>
        <v>44356</v>
      </c>
      <c r="C42" s="151">
        <f t="shared" si="25"/>
        <v>0.64583333333333337</v>
      </c>
      <c r="D42" s="163" t="str">
        <f t="shared" si="26"/>
        <v>Puma</v>
      </c>
      <c r="E42" s="153">
        <f t="shared" si="27"/>
        <v>97</v>
      </c>
      <c r="F42" s="153">
        <f t="shared" si="28"/>
        <v>72</v>
      </c>
      <c r="G42" s="154" t="str">
        <f t="shared" si="29"/>
        <v>Linci</v>
      </c>
      <c r="H42" s="156" t="str">
        <f t="shared" si="30"/>
        <v>B</v>
      </c>
      <c r="I42" s="156" t="str">
        <f t="shared" si="31"/>
        <v>Cristo Re 2</v>
      </c>
      <c r="K42" s="173" t="str">
        <f t="shared" ca="1" si="72"/>
        <v>Scorpioni</v>
      </c>
      <c r="L42" s="232">
        <f t="shared" ca="1" si="73"/>
        <v>3</v>
      </c>
      <c r="M42" s="232">
        <f t="shared" ca="1" si="74"/>
        <v>0</v>
      </c>
      <c r="N42" s="232">
        <f t="shared" ca="1" si="75"/>
        <v>3</v>
      </c>
      <c r="O42" s="232">
        <f t="shared" ca="1" si="76"/>
        <v>0</v>
      </c>
      <c r="P42" s="232">
        <f t="shared" ca="1" si="77"/>
        <v>3</v>
      </c>
      <c r="Q42" s="232">
        <f t="shared" ca="1" si="78"/>
        <v>170</v>
      </c>
      <c r="R42" s="233">
        <f t="shared" ca="1" si="79"/>
        <v>244</v>
      </c>
      <c r="T42" s="142"/>
      <c r="U42" s="229"/>
      <c r="V42" s="142"/>
      <c r="W42" s="142"/>
      <c r="X42" s="142"/>
      <c r="Y42" s="142"/>
      <c r="Z42" s="142"/>
      <c r="AA42" s="142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230"/>
      <c r="CW42" s="143"/>
      <c r="CX42" s="171"/>
      <c r="CY42" s="171"/>
      <c r="CZ42" s="171"/>
      <c r="DA42" s="171"/>
      <c r="DB42" s="171"/>
      <c r="DC42" s="171"/>
      <c r="DD42" s="171"/>
      <c r="DE42" s="171"/>
      <c r="DF42" s="143"/>
      <c r="DG42" s="143"/>
    </row>
    <row r="43" spans="1:111" ht="15.95" customHeight="1">
      <c r="A43" s="149">
        <v>39</v>
      </c>
      <c r="B43" s="150">
        <f t="shared" si="24"/>
        <v>44356</v>
      </c>
      <c r="C43" s="151">
        <f t="shared" si="25"/>
        <v>0.64583333333333337</v>
      </c>
      <c r="D43" s="163" t="str">
        <f t="shared" si="26"/>
        <v>Giraffe</v>
      </c>
      <c r="E43" s="153">
        <f t="shared" si="27"/>
        <v>98</v>
      </c>
      <c r="F43" s="153">
        <f t="shared" si="28"/>
        <v>49</v>
      </c>
      <c r="G43" s="154" t="str">
        <f t="shared" si="29"/>
        <v>Ippopotami</v>
      </c>
      <c r="H43" s="156" t="str">
        <f t="shared" si="30"/>
        <v>C</v>
      </c>
      <c r="I43" s="156" t="str">
        <f t="shared" si="31"/>
        <v>Basket Giovane</v>
      </c>
    </row>
    <row r="44" spans="1:111" ht="15.95" customHeight="1">
      <c r="A44" s="149">
        <v>40</v>
      </c>
      <c r="B44" s="150">
        <f t="shared" si="24"/>
        <v>44356</v>
      </c>
      <c r="C44" s="151">
        <f t="shared" si="25"/>
        <v>0.64583333333333337</v>
      </c>
      <c r="D44" s="163" t="str">
        <f t="shared" si="26"/>
        <v>Pitoni</v>
      </c>
      <c r="E44" s="153">
        <f t="shared" si="27"/>
        <v>25</v>
      </c>
      <c r="F44" s="153">
        <f t="shared" si="28"/>
        <v>15</v>
      </c>
      <c r="G44" s="154" t="str">
        <f t="shared" si="29"/>
        <v>Aquile</v>
      </c>
      <c r="H44" s="156" t="str">
        <f t="shared" si="30"/>
        <v>D</v>
      </c>
      <c r="I44" s="156" t="str">
        <f t="shared" si="31"/>
        <v>Nuova Scuola</v>
      </c>
    </row>
    <row r="45" spans="1:111" ht="15.95" customHeight="1">
      <c r="A45" s="149">
        <v>41</v>
      </c>
      <c r="B45" s="150">
        <f t="shared" si="24"/>
        <v>44356</v>
      </c>
      <c r="C45" s="151">
        <f t="shared" si="25"/>
        <v>0.70833333333333337</v>
      </c>
      <c r="D45" s="163" t="str">
        <f t="shared" si="26"/>
        <v>Bisonti</v>
      </c>
      <c r="E45" s="153">
        <f t="shared" si="27"/>
        <v>36</v>
      </c>
      <c r="F45" s="153">
        <f t="shared" si="28"/>
        <v>33</v>
      </c>
      <c r="G45" s="154" t="str">
        <f t="shared" si="29"/>
        <v>Cinghiali</v>
      </c>
      <c r="H45" s="156" t="str">
        <f t="shared" si="30"/>
        <v>E</v>
      </c>
      <c r="I45" s="156" t="str">
        <f t="shared" si="31"/>
        <v>Cristo Re 1</v>
      </c>
    </row>
    <row r="46" spans="1:111" ht="15.95" customHeight="1">
      <c r="A46" s="149">
        <v>42</v>
      </c>
      <c r="B46" s="150">
        <f t="shared" si="24"/>
        <v>44356</v>
      </c>
      <c r="C46" s="151">
        <f t="shared" si="25"/>
        <v>0.70833333333333337</v>
      </c>
      <c r="D46" s="163" t="str">
        <f t="shared" si="26"/>
        <v>Balene</v>
      </c>
      <c r="E46" s="153">
        <f t="shared" si="27"/>
        <v>36</v>
      </c>
      <c r="F46" s="153">
        <f t="shared" si="28"/>
        <v>35</v>
      </c>
      <c r="G46" s="154" t="str">
        <f t="shared" si="29"/>
        <v>Fenicotteri</v>
      </c>
      <c r="H46" s="156" t="str">
        <f t="shared" si="30"/>
        <v>F</v>
      </c>
      <c r="I46" s="156" t="str">
        <f t="shared" si="31"/>
        <v>Cristo Re 2</v>
      </c>
    </row>
    <row r="47" spans="1:111" ht="15.95" customHeight="1">
      <c r="A47" s="149">
        <v>43</v>
      </c>
      <c r="B47" s="150">
        <f t="shared" si="24"/>
        <v>44356</v>
      </c>
      <c r="C47" s="151">
        <f t="shared" si="25"/>
        <v>0.70833333333333337</v>
      </c>
      <c r="D47" s="163" t="str">
        <f t="shared" si="26"/>
        <v>Istrici</v>
      </c>
      <c r="E47" s="153">
        <f t="shared" si="27"/>
        <v>20</v>
      </c>
      <c r="F47" s="153">
        <f t="shared" si="28"/>
        <v>0</v>
      </c>
      <c r="G47" s="154" t="str">
        <f t="shared" si="29"/>
        <v>Orche</v>
      </c>
      <c r="H47" s="156" t="str">
        <f t="shared" si="30"/>
        <v>G</v>
      </c>
      <c r="I47" s="156" t="str">
        <f t="shared" si="31"/>
        <v>Basket Giovane</v>
      </c>
    </row>
    <row r="48" spans="1:111" ht="15.95" customHeight="1">
      <c r="A48" s="149">
        <v>44</v>
      </c>
      <c r="B48" s="150">
        <f t="shared" si="24"/>
        <v>44356</v>
      </c>
      <c r="C48" s="151">
        <f t="shared" si="25"/>
        <v>0.70833333333333337</v>
      </c>
      <c r="D48" s="163" t="str">
        <f t="shared" si="26"/>
        <v>Tonni</v>
      </c>
      <c r="E48" s="153">
        <f t="shared" si="27"/>
        <v>65</v>
      </c>
      <c r="F48" s="153">
        <f t="shared" si="28"/>
        <v>13</v>
      </c>
      <c r="G48" s="154" t="str">
        <f t="shared" si="29"/>
        <v>Scorpioni</v>
      </c>
      <c r="H48" s="156" t="str">
        <f t="shared" si="30"/>
        <v>H</v>
      </c>
      <c r="I48" s="156" t="str">
        <f t="shared" si="31"/>
        <v>Nuova Scuola</v>
      </c>
    </row>
    <row r="49" spans="1:9" ht="15.95" customHeight="1">
      <c r="A49" s="149">
        <v>45</v>
      </c>
      <c r="B49" s="150">
        <f t="shared" si="24"/>
        <v>44356</v>
      </c>
      <c r="C49" s="151">
        <f t="shared" si="25"/>
        <v>0.77083333333333337</v>
      </c>
      <c r="D49" s="163" t="str">
        <f t="shared" si="26"/>
        <v>Bufali</v>
      </c>
      <c r="E49" s="153">
        <f t="shared" si="27"/>
        <v>34</v>
      </c>
      <c r="F49" s="153">
        <f t="shared" si="28"/>
        <v>33</v>
      </c>
      <c r="G49" s="154" t="str">
        <f t="shared" si="29"/>
        <v>Cervi</v>
      </c>
      <c r="H49" s="156" t="str">
        <f t="shared" si="30"/>
        <v>E</v>
      </c>
      <c r="I49" s="156" t="str">
        <f t="shared" si="31"/>
        <v>Cristo Re 1</v>
      </c>
    </row>
    <row r="50" spans="1:9" ht="15.95" customHeight="1">
      <c r="A50" s="149">
        <v>46</v>
      </c>
      <c r="B50" s="150">
        <f t="shared" si="24"/>
        <v>44356</v>
      </c>
      <c r="C50" s="151">
        <f t="shared" si="25"/>
        <v>0.77083333333333337</v>
      </c>
      <c r="D50" s="163" t="str">
        <f t="shared" si="26"/>
        <v>Gabbiani</v>
      </c>
      <c r="E50" s="153">
        <f t="shared" si="27"/>
        <v>34</v>
      </c>
      <c r="F50" s="153">
        <f t="shared" si="28"/>
        <v>33</v>
      </c>
      <c r="G50" s="154" t="str">
        <f t="shared" si="29"/>
        <v>Delfini</v>
      </c>
      <c r="H50" s="156" t="str">
        <f t="shared" si="30"/>
        <v>F</v>
      </c>
      <c r="I50" s="156" t="str">
        <f t="shared" si="31"/>
        <v>Cristo Re 2</v>
      </c>
    </row>
    <row r="51" spans="1:9" ht="15.95" customHeight="1">
      <c r="A51" s="149">
        <v>47</v>
      </c>
      <c r="B51" s="150">
        <f t="shared" si="24"/>
        <v>44356</v>
      </c>
      <c r="C51" s="151">
        <f t="shared" si="25"/>
        <v>0.77083333333333337</v>
      </c>
      <c r="D51" s="163" t="str">
        <f t="shared" si="26"/>
        <v>Gorilla</v>
      </c>
      <c r="E51" s="153">
        <f t="shared" si="27"/>
        <v>20</v>
      </c>
      <c r="F51" s="153">
        <f t="shared" si="28"/>
        <v>0</v>
      </c>
      <c r="G51" s="154" t="str">
        <f t="shared" si="29"/>
        <v>Muli</v>
      </c>
      <c r="H51" s="156" t="str">
        <f t="shared" si="30"/>
        <v>G</v>
      </c>
      <c r="I51" s="156" t="str">
        <f t="shared" si="31"/>
        <v>Basket Giovane</v>
      </c>
    </row>
    <row r="52" spans="1:9" ht="15.95" customHeight="1">
      <c r="A52" s="149">
        <v>48</v>
      </c>
      <c r="B52" s="150">
        <f t="shared" si="24"/>
        <v>44356</v>
      </c>
      <c r="C52" s="151">
        <f t="shared" si="25"/>
        <v>0.77083333333333337</v>
      </c>
      <c r="D52" s="163" t="str">
        <f t="shared" si="26"/>
        <v>Zebre</v>
      </c>
      <c r="E52" s="153">
        <f t="shared" si="27"/>
        <v>54</v>
      </c>
      <c r="F52" s="153">
        <f t="shared" si="28"/>
        <v>48</v>
      </c>
      <c r="G52" s="154" t="str">
        <f t="shared" si="29"/>
        <v>Piranha</v>
      </c>
      <c r="H52" s="156" t="str">
        <f t="shared" si="30"/>
        <v>H</v>
      </c>
      <c r="I52" s="156" t="str">
        <f t="shared" si="31"/>
        <v>Nuova Scuola</v>
      </c>
    </row>
  </sheetData>
  <sheetProtection selectLockedCells="1" selectUnlockedCells="1"/>
  <mergeCells count="27">
    <mergeCell ref="T32:T33"/>
    <mergeCell ref="Y34:Y35"/>
    <mergeCell ref="T36:T37"/>
    <mergeCell ref="AI21:AI22"/>
    <mergeCell ref="T23:W23"/>
    <mergeCell ref="T24:T25"/>
    <mergeCell ref="Y26:Y27"/>
    <mergeCell ref="T28:T29"/>
    <mergeCell ref="AD30:AD31"/>
    <mergeCell ref="Y10:Y11"/>
    <mergeCell ref="T12:T13"/>
    <mergeCell ref="AD14:AD15"/>
    <mergeCell ref="T16:T17"/>
    <mergeCell ref="Y18:Y19"/>
    <mergeCell ref="T20:T21"/>
    <mergeCell ref="E3:F3"/>
    <mergeCell ref="T4:V5"/>
    <mergeCell ref="Y4:AA5"/>
    <mergeCell ref="AD4:AF5"/>
    <mergeCell ref="AI4:AK5"/>
    <mergeCell ref="T8:T9"/>
    <mergeCell ref="B1:I1"/>
    <mergeCell ref="K1:R1"/>
    <mergeCell ref="T1:AL1"/>
    <mergeCell ref="B2:I2"/>
    <mergeCell ref="K2:R2"/>
    <mergeCell ref="T2:AL2"/>
  </mergeCells>
  <conditionalFormatting sqref="AM25:AX25 AL29">
    <cfRule type="expression" priority="1" stopIfTrue="1">
      <formula>#N/A</formula>
    </cfRule>
  </conditionalFormatting>
  <conditionalFormatting sqref="B5:D52">
    <cfRule type="expression" priority="2" stopIfTrue="1">
      <formula>#N/A</formula>
    </cfRule>
  </conditionalFormatting>
  <conditionalFormatting sqref="G4:G52 H4 B4:D52">
    <cfRule type="expression" priority="3" stopIfTrue="1">
      <formula>#N/A</formula>
    </cfRule>
  </conditionalFormatting>
  <conditionalFormatting sqref="K23 M23:R23">
    <cfRule type="expression" priority="4" stopIfTrue="1">
      <formula>#N/A</formula>
    </cfRule>
  </conditionalFormatting>
  <conditionalFormatting sqref="CV40:DE40">
    <cfRule type="expression" priority="5" stopIfTrue="1">
      <formula>#N/A</formula>
    </cfRule>
  </conditionalFormatting>
  <conditionalFormatting sqref="CV18 CX18:DE18">
    <cfRule type="expression" priority="6" stopIfTrue="1">
      <formula>#N/A</formula>
    </cfRule>
  </conditionalFormatting>
  <conditionalFormatting sqref="CV23 CX23:DE23">
    <cfRule type="expression" priority="7" stopIfTrue="1">
      <formula>#N/A</formula>
    </cfRule>
  </conditionalFormatting>
  <conditionalFormatting sqref="G3:I3 B3:E3">
    <cfRule type="expression" priority="8" stopIfTrue="1">
      <formula>$P$4="Black and White"</formula>
    </cfRule>
  </conditionalFormatting>
  <conditionalFormatting sqref="K8:R8 K18:R18 K13:R13">
    <cfRule type="expression" priority="9" stopIfTrue="1">
      <formula>$P$4="Black and White"</formula>
    </cfRule>
  </conditionalFormatting>
  <conditionalFormatting sqref="K3:R3">
    <cfRule type="expression" priority="10" stopIfTrue="1">
      <formula>$P$4="Black and White"</formula>
    </cfRule>
  </conditionalFormatting>
  <conditionalFormatting sqref="K24:R24">
    <cfRule type="expression" priority="11" stopIfTrue="1">
      <formula>$P$4="Black and White"</formula>
    </cfRule>
  </conditionalFormatting>
  <conditionalFormatting sqref="K33">
    <cfRule type="expression" priority="12" stopIfTrue="1">
      <formula>$P$4="Black and White"</formula>
    </cfRule>
  </conditionalFormatting>
  <conditionalFormatting sqref="L33">
    <cfRule type="expression" priority="13" stopIfTrue="1">
      <formula>$P$4="Black and White"</formula>
    </cfRule>
  </conditionalFormatting>
  <conditionalFormatting sqref="M33:R33">
    <cfRule type="expression" priority="14" stopIfTrue="1">
      <formula>$P$4="Black and White"</formula>
    </cfRule>
  </conditionalFormatting>
  <conditionalFormatting sqref="K26:K27">
    <cfRule type="expression" priority="15" stopIfTrue="1">
      <formula>$P$4="Black and White"</formula>
    </cfRule>
  </conditionalFormatting>
  <conditionalFormatting sqref="K25">
    <cfRule type="expression" priority="16" stopIfTrue="1">
      <formula>$P$4="Black and White"</formula>
    </cfRule>
  </conditionalFormatting>
  <conditionalFormatting sqref="M26">
    <cfRule type="expression" priority="17" stopIfTrue="1">
      <formula>$P$4="Black and White"</formula>
    </cfRule>
  </conditionalFormatting>
  <conditionalFormatting sqref="M27">
    <cfRule type="expression" priority="18" stopIfTrue="1">
      <formula>$P$4="Black and White"</formula>
    </cfRule>
  </conditionalFormatting>
  <conditionalFormatting sqref="N26:N27">
    <cfRule type="expression" priority="19" stopIfTrue="1">
      <formula>$P$4="Black and White"</formula>
    </cfRule>
  </conditionalFormatting>
  <conditionalFormatting sqref="O26:R27">
    <cfRule type="expression" priority="20" stopIfTrue="1">
      <formula>$P$4="Black and White"</formula>
    </cfRule>
  </conditionalFormatting>
  <conditionalFormatting sqref="M25:R25">
    <cfRule type="expression" priority="21" stopIfTrue="1">
      <formula>$P$4="Black and White"</formula>
    </cfRule>
  </conditionalFormatting>
  <conditionalFormatting sqref="L27">
    <cfRule type="expression" priority="22" stopIfTrue="1">
      <formula>$P$4="Black and White"</formula>
    </cfRule>
  </conditionalFormatting>
  <conditionalFormatting sqref="L26">
    <cfRule type="expression" priority="23" stopIfTrue="1">
      <formula>$P$4="Black and White"</formula>
    </cfRule>
  </conditionalFormatting>
  <conditionalFormatting sqref="L29:R29 L34:R34 L39:R39">
    <cfRule type="expression" priority="24" stopIfTrue="1">
      <formula>$P$4="Black and White"</formula>
    </cfRule>
  </conditionalFormatting>
  <conditionalFormatting sqref="L32 L37">
    <cfRule type="expression" priority="25" stopIfTrue="1">
      <formula>$P$4="Black and White"</formula>
    </cfRule>
  </conditionalFormatting>
  <conditionalFormatting sqref="L31 L36">
    <cfRule type="expression" priority="26" stopIfTrue="1">
      <formula>$P$4="Black and White"</formula>
    </cfRule>
  </conditionalFormatting>
  <conditionalFormatting sqref="K34 K29 K39">
    <cfRule type="expression" priority="27" stopIfTrue="1">
      <formula>$P$4="Black and White"</formula>
    </cfRule>
  </conditionalFormatting>
  <conditionalFormatting sqref="K30 K35 K40">
    <cfRule type="expression" priority="28" stopIfTrue="1">
      <formula>$P$4="Black and White"</formula>
    </cfRule>
  </conditionalFormatting>
  <conditionalFormatting sqref="K31:K32 K36:K37">
    <cfRule type="expression" priority="29" stopIfTrue="1">
      <formula>$P$4="Black and White"</formula>
    </cfRule>
  </conditionalFormatting>
  <conditionalFormatting sqref="K19">
    <cfRule type="expression" priority="30" stopIfTrue="1">
      <formula>$P$4="Black and White"</formula>
    </cfRule>
  </conditionalFormatting>
  <conditionalFormatting sqref="K21:K22">
    <cfRule type="expression" priority="31" stopIfTrue="1">
      <formula>$P$4="Black and White"</formula>
    </cfRule>
  </conditionalFormatting>
  <conditionalFormatting sqref="K20">
    <cfRule type="expression" priority="32" stopIfTrue="1">
      <formula>$P$4="Black and White"</formula>
    </cfRule>
  </conditionalFormatting>
  <conditionalFormatting sqref="K14">
    <cfRule type="expression" priority="33" stopIfTrue="1">
      <formula>$P$4="Black and White"</formula>
    </cfRule>
  </conditionalFormatting>
  <conditionalFormatting sqref="K16:K17">
    <cfRule type="expression" priority="34" stopIfTrue="1">
      <formula>$P$4="Black and White"</formula>
    </cfRule>
  </conditionalFormatting>
  <conditionalFormatting sqref="K15">
    <cfRule type="expression" priority="35" stopIfTrue="1">
      <formula>$P$4="Black and White"</formula>
    </cfRule>
  </conditionalFormatting>
  <conditionalFormatting sqref="K9">
    <cfRule type="expression" priority="36" stopIfTrue="1">
      <formula>$P$4="Black and White"</formula>
    </cfRule>
  </conditionalFormatting>
  <conditionalFormatting sqref="K11:K12">
    <cfRule type="expression" priority="37" stopIfTrue="1">
      <formula>$P$4="Black and White"</formula>
    </cfRule>
  </conditionalFormatting>
  <conditionalFormatting sqref="K10">
    <cfRule type="expression" priority="38" stopIfTrue="1">
      <formula>$P$4="Black and White"</formula>
    </cfRule>
  </conditionalFormatting>
  <conditionalFormatting sqref="K4">
    <cfRule type="expression" priority="39" stopIfTrue="1">
      <formula>$P$4="Black and White"</formula>
    </cfRule>
  </conditionalFormatting>
  <conditionalFormatting sqref="K6:K7">
    <cfRule type="expression" priority="40" stopIfTrue="1">
      <formula>$P$4="Black and White"</formula>
    </cfRule>
  </conditionalFormatting>
  <conditionalFormatting sqref="K5">
    <cfRule type="expression" priority="41" stopIfTrue="1">
      <formula>$P$4="Black and White"</formula>
    </cfRule>
  </conditionalFormatting>
  <conditionalFormatting sqref="L25">
    <cfRule type="expression" priority="42" stopIfTrue="1">
      <formula>$P$4="Black and White"</formula>
    </cfRule>
  </conditionalFormatting>
  <conditionalFormatting sqref="L30:R30 L35:R35 L40:R40">
    <cfRule type="expression" priority="43" stopIfTrue="1">
      <formula>$P$4="Black and White"</formula>
    </cfRule>
  </conditionalFormatting>
  <conditionalFormatting sqref="M31:R32 M36:R37">
    <cfRule type="expression" priority="44" stopIfTrue="1">
      <formula>$P$4="Black and White"</formula>
    </cfRule>
  </conditionalFormatting>
  <conditionalFormatting sqref="L19:R19">
    <cfRule type="expression" priority="45" stopIfTrue="1">
      <formula>$P$4="Black and White"</formula>
    </cfRule>
  </conditionalFormatting>
  <conditionalFormatting sqref="M21">
    <cfRule type="expression" priority="46" stopIfTrue="1">
      <formula>$P$4="Black and White"</formula>
    </cfRule>
  </conditionalFormatting>
  <conditionalFormatting sqref="M22">
    <cfRule type="expression" priority="47" stopIfTrue="1">
      <formula>$P$4="Black and White"</formula>
    </cfRule>
  </conditionalFormatting>
  <conditionalFormatting sqref="N21:N22">
    <cfRule type="expression" priority="48" stopIfTrue="1">
      <formula>$P$4="Black and White"</formula>
    </cfRule>
  </conditionalFormatting>
  <conditionalFormatting sqref="O21:R22">
    <cfRule type="expression" priority="49" stopIfTrue="1">
      <formula>$P$4="Black and White"</formula>
    </cfRule>
  </conditionalFormatting>
  <conditionalFormatting sqref="M20:R20">
    <cfRule type="expression" priority="50" stopIfTrue="1">
      <formula>$P$4="Black and White"</formula>
    </cfRule>
  </conditionalFormatting>
  <conditionalFormatting sqref="L22">
    <cfRule type="expression" priority="51" stopIfTrue="1">
      <formula>$P$4="Black and White"</formula>
    </cfRule>
  </conditionalFormatting>
  <conditionalFormatting sqref="L21">
    <cfRule type="expression" priority="52" stopIfTrue="1">
      <formula>$P$4="Black and White"</formula>
    </cfRule>
  </conditionalFormatting>
  <conditionalFormatting sqref="L20">
    <cfRule type="expression" priority="53" stopIfTrue="1">
      <formula>$P$4="Black and White"</formula>
    </cfRule>
  </conditionalFormatting>
  <conditionalFormatting sqref="L14:R14">
    <cfRule type="expression" priority="54" stopIfTrue="1">
      <formula>$P$4="Black and White"</formula>
    </cfRule>
  </conditionalFormatting>
  <conditionalFormatting sqref="M16">
    <cfRule type="expression" priority="55" stopIfTrue="1">
      <formula>$P$4="Black and White"</formula>
    </cfRule>
  </conditionalFormatting>
  <conditionalFormatting sqref="M17">
    <cfRule type="expression" priority="56" stopIfTrue="1">
      <formula>$P$4="Black and White"</formula>
    </cfRule>
  </conditionalFormatting>
  <conditionalFormatting sqref="N16:N17">
    <cfRule type="expression" priority="57" stopIfTrue="1">
      <formula>$P$4="Black and White"</formula>
    </cfRule>
  </conditionalFormatting>
  <conditionalFormatting sqref="O16:R17">
    <cfRule type="expression" priority="58" stopIfTrue="1">
      <formula>$P$4="Black and White"</formula>
    </cfRule>
  </conditionalFormatting>
  <conditionalFormatting sqref="M15:R15">
    <cfRule type="expression" priority="59" stopIfTrue="1">
      <formula>$P$4="Black and White"</formula>
    </cfRule>
  </conditionalFormatting>
  <conditionalFormatting sqref="L17">
    <cfRule type="expression" priority="60" stopIfTrue="1">
      <formula>$P$4="Black and White"</formula>
    </cfRule>
  </conditionalFormatting>
  <conditionalFormatting sqref="L16">
    <cfRule type="expression" priority="61" stopIfTrue="1">
      <formula>$P$4="Black and White"</formula>
    </cfRule>
  </conditionalFormatting>
  <conditionalFormatting sqref="L15">
    <cfRule type="expression" priority="62" stopIfTrue="1">
      <formula>$P$4="Black and White"</formula>
    </cfRule>
  </conditionalFormatting>
  <conditionalFormatting sqref="L9:R9">
    <cfRule type="expression" priority="63" stopIfTrue="1">
      <formula>$P$4="Black and White"</formula>
    </cfRule>
  </conditionalFormatting>
  <conditionalFormatting sqref="M11">
    <cfRule type="expression" priority="64" stopIfTrue="1">
      <formula>$P$4="Black and White"</formula>
    </cfRule>
  </conditionalFormatting>
  <conditionalFormatting sqref="M12">
    <cfRule type="expression" priority="65" stopIfTrue="1">
      <formula>$P$4="Black and White"</formula>
    </cfRule>
  </conditionalFormatting>
  <conditionalFormatting sqref="N11:N12">
    <cfRule type="expression" priority="66" stopIfTrue="1">
      <formula>$P$4="Black and White"</formula>
    </cfRule>
  </conditionalFormatting>
  <conditionalFormatting sqref="O11:R12">
    <cfRule type="expression" priority="67" stopIfTrue="1">
      <formula>$P$4="Black and White"</formula>
    </cfRule>
  </conditionalFormatting>
  <conditionalFormatting sqref="M10:R10">
    <cfRule type="expression" priority="68" stopIfTrue="1">
      <formula>$P$4="Black and White"</formula>
    </cfRule>
  </conditionalFormatting>
  <conditionalFormatting sqref="L12">
    <cfRule type="expression" priority="69" stopIfTrue="1">
      <formula>$P$4="Black and White"</formula>
    </cfRule>
  </conditionalFormatting>
  <conditionalFormatting sqref="L11">
    <cfRule type="expression" priority="70" stopIfTrue="1">
      <formula>$P$4="Black and White"</formula>
    </cfRule>
  </conditionalFormatting>
  <conditionalFormatting sqref="L10">
    <cfRule type="expression" priority="71" stopIfTrue="1">
      <formula>$P$4="Black and White"</formula>
    </cfRule>
  </conditionalFormatting>
  <conditionalFormatting sqref="L4:R4">
    <cfRule type="expression" priority="72" stopIfTrue="1">
      <formula>$P$4="Black and White"</formula>
    </cfRule>
  </conditionalFormatting>
  <conditionalFormatting sqref="M6">
    <cfRule type="expression" priority="73" stopIfTrue="1">
      <formula>$P$4="Black and White"</formula>
    </cfRule>
  </conditionalFormatting>
  <conditionalFormatting sqref="M7">
    <cfRule type="expression" priority="74" stopIfTrue="1">
      <formula>$P$4="Black and White"</formula>
    </cfRule>
  </conditionalFormatting>
  <conditionalFormatting sqref="N6:N7">
    <cfRule type="expression" priority="75" stopIfTrue="1">
      <formula>$P$4="Black and White"</formula>
    </cfRule>
  </conditionalFormatting>
  <conditionalFormatting sqref="O6:R7">
    <cfRule type="expression" priority="76" stopIfTrue="1">
      <formula>$P$4="Black and White"</formula>
    </cfRule>
  </conditionalFormatting>
  <conditionalFormatting sqref="M5:R5">
    <cfRule type="expression" priority="77" stopIfTrue="1">
      <formula>$P$4="Black and White"</formula>
    </cfRule>
  </conditionalFormatting>
  <conditionalFormatting sqref="L7">
    <cfRule type="expression" priority="78" stopIfTrue="1">
      <formula>$P$4="Black and White"</formula>
    </cfRule>
  </conditionalFormatting>
  <conditionalFormatting sqref="L6">
    <cfRule type="expression" priority="79" stopIfTrue="1">
      <formula>$P$4="Black and White"</formula>
    </cfRule>
  </conditionalFormatting>
  <conditionalFormatting sqref="L5">
    <cfRule type="expression" priority="80" stopIfTrue="1">
      <formula>$P$4="Black and White"</formula>
    </cfRule>
  </conditionalFormatting>
  <conditionalFormatting sqref="K41">
    <cfRule type="expression" priority="81" stopIfTrue="1">
      <formula>$P$4="Black and White"</formula>
    </cfRule>
  </conditionalFormatting>
  <conditionalFormatting sqref="K42">
    <cfRule type="expression" priority="82" stopIfTrue="1">
      <formula>$P$4="Black and White"</formula>
    </cfRule>
  </conditionalFormatting>
  <conditionalFormatting sqref="L41">
    <cfRule type="expression" priority="83" stopIfTrue="1">
      <formula>$P$4="Black and White"</formula>
    </cfRule>
  </conditionalFormatting>
  <conditionalFormatting sqref="L42">
    <cfRule type="expression" priority="84" stopIfTrue="1">
      <formula>$P$4="Black and White"</formula>
    </cfRule>
  </conditionalFormatting>
  <conditionalFormatting sqref="M42:R42">
    <cfRule type="expression" priority="85" stopIfTrue="1">
      <formula>$P$4="Black and White"</formula>
    </cfRule>
  </conditionalFormatting>
  <conditionalFormatting sqref="M41:R41">
    <cfRule type="expression" priority="86" stopIfTrue="1">
      <formula>$P$4="Black and White"</formula>
    </cfRule>
  </conditionalFormatting>
  <conditionalFormatting sqref="U15">
    <cfRule type="expression" priority="87" stopIfTrue="1">
      <formula>#N/A</formula>
    </cfRule>
    <cfRule type="expression" priority="88" stopIfTrue="1">
      <formula>#N/A</formula>
    </cfRule>
  </conditionalFormatting>
  <conditionalFormatting sqref="U35">
    <cfRule type="expression" priority="89" stopIfTrue="1">
      <formula>#N/A</formula>
    </cfRule>
    <cfRule type="expression" priority="90" stopIfTrue="1">
      <formula>#N/A</formula>
    </cfRule>
  </conditionalFormatting>
  <conditionalFormatting sqref="U27">
    <cfRule type="expression" priority="91" stopIfTrue="1">
      <formula>#N/A</formula>
    </cfRule>
    <cfRule type="expression" priority="92" stopIfTrue="1">
      <formula>#N/A</formula>
    </cfRule>
  </conditionalFormatting>
  <conditionalFormatting sqref="U18 U14 U26 U34 U30:U31 U22">
    <cfRule type="expression" priority="93" stopIfTrue="1">
      <formula>#N/A</formula>
    </cfRule>
    <cfRule type="expression" priority="94" stopIfTrue="1">
      <formula>#N/A</formula>
    </cfRule>
  </conditionalFormatting>
  <conditionalFormatting sqref="U19">
    <cfRule type="expression" priority="95" stopIfTrue="1">
      <formula>#N/A</formula>
    </cfRule>
    <cfRule type="expression" priority="96" stopIfTrue="1">
      <formula>#N/A</formula>
    </cfRule>
  </conditionalFormatting>
  <conditionalFormatting sqref="V14 V34 V37 V26 V30 V18 V22 V10">
    <cfRule type="expression" priority="97" stopIfTrue="1">
      <formula>#N/A</formula>
    </cfRule>
  </conditionalFormatting>
  <conditionalFormatting sqref="V15 V35 V27 V31 V19 V23 V11">
    <cfRule type="expression" priority="98" stopIfTrue="1">
      <formula>#N/A</formula>
    </cfRule>
  </conditionalFormatting>
  <conditionalFormatting sqref="U10">
    <cfRule type="expression" priority="99" stopIfTrue="1">
      <formula>$P$4="Black and White"</formula>
    </cfRule>
  </conditionalFormatting>
  <conditionalFormatting sqref="U11">
    <cfRule type="expression" priority="100" stopIfTrue="1">
      <formula>$P$4="Black and White"</formula>
    </cfRule>
  </conditionalFormatting>
  <conditionalFormatting sqref="U23">
    <cfRule type="expression" priority="101" stopIfTrue="1">
      <formula>#N/A</formula>
    </cfRule>
    <cfRule type="expression" priority="102" stopIfTrue="1">
      <formula>#N/A</formula>
    </cfRule>
  </conditionalFormatting>
  <conditionalFormatting sqref="U37">
    <cfRule type="expression" priority="103" stopIfTrue="1">
      <formula>#N/A</formula>
    </cfRule>
    <cfRule type="expression" priority="104" stopIfTrue="1">
      <formula>#N/A</formula>
    </cfRule>
  </conditionalFormatting>
  <conditionalFormatting sqref="AA12">
    <cfRule type="expression" priority="105" stopIfTrue="1">
      <formula>#N/A</formula>
    </cfRule>
  </conditionalFormatting>
  <conditionalFormatting sqref="AA13">
    <cfRule type="expression" priority="106" stopIfTrue="1">
      <formula>#N/A</formula>
    </cfRule>
  </conditionalFormatting>
  <conditionalFormatting sqref="AA20">
    <cfRule type="expression" priority="107" stopIfTrue="1">
      <formula>#N/A</formula>
    </cfRule>
  </conditionalFormatting>
  <conditionalFormatting sqref="AA21">
    <cfRule type="expression" priority="108" stopIfTrue="1">
      <formula>#N/A</formula>
    </cfRule>
  </conditionalFormatting>
  <conditionalFormatting sqref="AA36">
    <cfRule type="expression" priority="109" stopIfTrue="1">
      <formula>#N/A</formula>
    </cfRule>
  </conditionalFormatting>
  <conditionalFormatting sqref="AA37">
    <cfRule type="expression" priority="110" stopIfTrue="1">
      <formula>#N/A</formula>
    </cfRule>
  </conditionalFormatting>
  <conditionalFormatting sqref="Z13">
    <cfRule type="expression" priority="111" stopIfTrue="1">
      <formula>$P$4="Black and White"</formula>
    </cfRule>
  </conditionalFormatting>
  <conditionalFormatting sqref="Z21">
    <cfRule type="expression" priority="112" stopIfTrue="1">
      <formula>$P$4="Black and White"</formula>
    </cfRule>
  </conditionalFormatting>
  <conditionalFormatting sqref="Z37">
    <cfRule type="expression" priority="113" stopIfTrue="1">
      <formula>$P$4="Black and White"</formula>
    </cfRule>
  </conditionalFormatting>
  <conditionalFormatting sqref="Z12 Z20 Z36 Z28 AE16 AE32 AJ23">
    <cfRule type="expression" priority="114" stopIfTrue="1">
      <formula>$P$4="Black and White"</formula>
    </cfRule>
  </conditionalFormatting>
  <conditionalFormatting sqref="AA28">
    <cfRule type="expression" priority="115" stopIfTrue="1">
      <formula>#N/A</formula>
    </cfRule>
  </conditionalFormatting>
  <conditionalFormatting sqref="AA29">
    <cfRule type="expression" priority="116" stopIfTrue="1">
      <formula>#N/A</formula>
    </cfRule>
  </conditionalFormatting>
  <conditionalFormatting sqref="Z29">
    <cfRule type="expression" priority="117" stopIfTrue="1">
      <formula>$P$4="Black and White"</formula>
    </cfRule>
  </conditionalFormatting>
  <conditionalFormatting sqref="AF16">
    <cfRule type="expression" priority="118" stopIfTrue="1">
      <formula>#N/A</formula>
    </cfRule>
  </conditionalFormatting>
  <conditionalFormatting sqref="AF17">
    <cfRule type="expression" priority="119" stopIfTrue="1">
      <formula>#N/A</formula>
    </cfRule>
  </conditionalFormatting>
  <conditionalFormatting sqref="AF32">
    <cfRule type="expression" priority="120" stopIfTrue="1">
      <formula>#N/A</formula>
    </cfRule>
  </conditionalFormatting>
  <conditionalFormatting sqref="AF33">
    <cfRule type="expression" priority="121" stopIfTrue="1">
      <formula>#N/A</formula>
    </cfRule>
  </conditionalFormatting>
  <conditionalFormatting sqref="AK23">
    <cfRule type="expression" priority="122" stopIfTrue="1">
      <formula>#N/A</formula>
    </cfRule>
  </conditionalFormatting>
  <conditionalFormatting sqref="AK24">
    <cfRule type="expression" priority="123" stopIfTrue="1">
      <formula>#N/A</formula>
    </cfRule>
  </conditionalFormatting>
  <conditionalFormatting sqref="AE17">
    <cfRule type="expression" priority="124" stopIfTrue="1">
      <formula>$P$4="Black and White"</formula>
    </cfRule>
  </conditionalFormatting>
  <conditionalFormatting sqref="AE33">
    <cfRule type="expression" priority="125" stopIfTrue="1">
      <formula>$P$4="Black and White"</formula>
    </cfRule>
  </conditionalFormatting>
  <conditionalFormatting sqref="AJ24">
    <cfRule type="expression" priority="126" stopIfTrue="1">
      <formula>$P$4="Black and White"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40</vt:i4>
      </vt:variant>
    </vt:vector>
  </HeadingPairs>
  <TitlesOfParts>
    <vt:vector size="43" baseType="lpstr">
      <vt:lpstr>A_INPUT</vt:lpstr>
      <vt:lpstr>B_ELABORAZIONE</vt:lpstr>
      <vt:lpstr>C_OUTPUT</vt:lpstr>
      <vt:lpstr>A_1_INPUT_DATI_TORNEO</vt:lpstr>
      <vt:lpstr>A_2_INPUT_SQUADRE</vt:lpstr>
      <vt:lpstr>A_3_INPUT_CAMPI</vt:lpstr>
      <vt:lpstr>A_4_INPUT_DATE_E_RISULTATI_GIRONI</vt:lpstr>
      <vt:lpstr>A_5_INPUT_DATE_E_RISULTATI_2A_FASE</vt:lpstr>
      <vt:lpstr>A_SQUADRE_PER_CODICE</vt:lpstr>
      <vt:lpstr>B_CLASSIFICA_GIRONE_A</vt:lpstr>
      <vt:lpstr>B_CLASSIFICA_GIRONE_B</vt:lpstr>
      <vt:lpstr>B_CLASSIFICA_GIRONE_C</vt:lpstr>
      <vt:lpstr>B_CLASSIFICA_GIRONE_D</vt:lpstr>
      <vt:lpstr>B_CLASSIFICA_GIRONE_E</vt:lpstr>
      <vt:lpstr>B_CLASSIFICA_GIRONE_F</vt:lpstr>
      <vt:lpstr>B_CLASSIFICA_GIRONE_G</vt:lpstr>
      <vt:lpstr>B_CLASSIFICA_GIRONE_H</vt:lpstr>
      <vt:lpstr>B_CLASSIFICHE_GIRONI</vt:lpstr>
      <vt:lpstr>B_COEFF_GIRONE_A</vt:lpstr>
      <vt:lpstr>B_COEFF_GIRONE_B</vt:lpstr>
      <vt:lpstr>B_COEFF_GIRONE_C</vt:lpstr>
      <vt:lpstr>B_COEFF_GIRONE_D</vt:lpstr>
      <vt:lpstr>B_COEFF_GIRONE_E</vt:lpstr>
      <vt:lpstr>B_COEFF_GIRONE_F</vt:lpstr>
      <vt:lpstr>B_COEFF_GIRONE_G</vt:lpstr>
      <vt:lpstr>B_COEFF_GIRONE_H</vt:lpstr>
      <vt:lpstr>B_DIFF_CANESTRI_SQUADRA_A_GIRONI</vt:lpstr>
      <vt:lpstr>B_DIFF_CANESTRI_SQUADRA_B_GIRONI</vt:lpstr>
      <vt:lpstr>B_FORFAIT_SQUADRA_A_GIRONI</vt:lpstr>
      <vt:lpstr>B_FORFAIT_SQUADRA_B_GIRONI</vt:lpstr>
      <vt:lpstr>B_PARTITE_2A_FASE_PER_CODICE</vt:lpstr>
      <vt:lpstr>B_PARTITE_2A_FASE_PER_NUMERO</vt:lpstr>
      <vt:lpstr>B_PARTITE_GIRONI</vt:lpstr>
      <vt:lpstr>B_PERSE_SQUADRA_A_GIRONI</vt:lpstr>
      <vt:lpstr>B_PERSE_SQUADRA_B_GIRONI</vt:lpstr>
      <vt:lpstr>B_PUNTI_FATTI_SQUADRA_A_GIRONI</vt:lpstr>
      <vt:lpstr>B_PUNTI_FATTI_SQUADRA_B_GIRONI</vt:lpstr>
      <vt:lpstr>B_PUNTI_SUBITI_SQUADRA_A_GIRONI</vt:lpstr>
      <vt:lpstr>B_PUNTI_SUBITI_SQUADRA_B_GIRONI</vt:lpstr>
      <vt:lpstr>B_SQUADRA_A_GIRONI</vt:lpstr>
      <vt:lpstr>B_SQUADRA_B_GIRONI</vt:lpstr>
      <vt:lpstr>B_VINTE_SQUADRA_A_GIRONI</vt:lpstr>
      <vt:lpstr>B_VINTE_SQUADRA_B_GIRONI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Utente Windows</cp:lastModifiedBy>
  <dcterms:created xsi:type="dcterms:W3CDTF">2020-08-01T13:17:42Z</dcterms:created>
  <dcterms:modified xsi:type="dcterms:W3CDTF">2020-08-01T13:17:42Z</dcterms:modified>
</cp:coreProperties>
</file>