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_INPUT" sheetId="1" state="visible" r:id="rId2"/>
    <sheet name="B_ELABORAZIONE" sheetId="2" state="visible" r:id="rId3"/>
    <sheet name="C_OUTPUT" sheetId="3" state="visible" r:id="rId4"/>
  </sheets>
  <definedNames>
    <definedName function="false" hidden="false" name="A_1_INPUT_DATI_TORNEO" vbProcedure="false">A_INPUT!$A$3:$B$4</definedName>
    <definedName function="false" hidden="false" name="A_2_INPUT_SQUADRE" vbProcedure="false">A_INPUT!$D$3:$I$34</definedName>
    <definedName function="false" hidden="false" name="A_3_INPUT_CAMPI" vbProcedure="false">A_INPUT!$K$3:$L$34</definedName>
    <definedName function="false" hidden="false" name="A_4_INPUT_DATE_E_RISULTATI_GIRONI" vbProcedure="false">A_INPUT!$N$3:$X$50</definedName>
    <definedName function="false" hidden="false" name="A_SQUADRE_PER_CODICE" vbProcedure="false">A_INPUT!$E$3:$I$34</definedName>
    <definedName function="false" hidden="false" name="B_CLASSIFICA_GIRONE_A" vbProcedure="false">B_ELABORAZIONE!$Y$3:$AS$6</definedName>
    <definedName function="false" hidden="false" name="B_CLASSIFICA_GIRONE_B" vbProcedure="false">B_ELABORAZIONE!$Y$7:$AS$10</definedName>
    <definedName function="false" hidden="false" name="B_CLASSIFICA_GIRONE_C" vbProcedure="false">B_ELABORAZIONE!$Y$11:$AS$14</definedName>
    <definedName function="false" hidden="false" name="B_CLASSIFICA_GIRONE_D" vbProcedure="false">B_ELABORAZIONE!$Y$15:$AS$18</definedName>
    <definedName function="false" hidden="false" name="B_CLASSIFICA_GIRONE_E" vbProcedure="false">B_ELABORAZIONE!$Y$19:$AS$22</definedName>
    <definedName function="false" hidden="false" name="B_CLASSIFICA_GIRONE_F" vbProcedure="false">B_ELABORAZIONE!$Y$23:$AS$26</definedName>
    <definedName function="false" hidden="false" name="B_CLASSIFICA_GIRONE_G" vbProcedure="false">B_ELABORAZIONE!$Y$27:$AS$30</definedName>
    <definedName function="false" hidden="false" name="B_CLASSIFICA_GIRONE_H" vbProcedure="false">B_ELABORAZIONE!$Y$31:$AS$34</definedName>
    <definedName function="false" hidden="false" name="B_COEFF_GIRONE_A" vbProcedure="false">B_ELABORAZIONE!$AS$3:$AS$6</definedName>
    <definedName function="false" hidden="false" name="B_COEFF_GIRONE_B" vbProcedure="false">B_ELABORAZIONE!$AS$7:$AS$10</definedName>
    <definedName function="false" hidden="false" name="B_COEFF_GIRONE_C" vbProcedure="false">B_ELABORAZIONE!$AS$11:$AS$14</definedName>
    <definedName function="false" hidden="false" name="B_COEFF_GIRONE_D" vbProcedure="false">B_ELABORAZIONE!$AS$15:$AS$18</definedName>
    <definedName function="false" hidden="false" name="B_COEFF_GIRONE_E" vbProcedure="false">B_ELABORAZIONE!$AS$19:$AS$22</definedName>
    <definedName function="false" hidden="false" name="B_COEFF_GIRONE_F" vbProcedure="false">B_ELABORAZIONE!$AS$23:$AS$26</definedName>
    <definedName function="false" hidden="false" name="B_COEFF_GIRONE_G" vbProcedure="false">B_ELABORAZIONE!$AS$27:$AS$30</definedName>
    <definedName function="false" hidden="false" name="B_COEFF_GIRONE_H" vbProcedure="false">B_ELABORAZIONE!$AS$31:$AS$34</definedName>
    <definedName function="false" hidden="false" name="B_DIFF_CANESTRI_SQUADRA_A_GIRONI" vbProcedure="false">B_ELABORAZIONE!$Q$3:$Q$50</definedName>
    <definedName function="false" hidden="false" name="B_DIFF_CANESTRI_SQUADRA_B_GIRONI" vbProcedure="false">B_ELABORAZIONE!$W$3:$W$50</definedName>
    <definedName function="false" hidden="false" name="B_FORFAIT_SQUADRA_A_GIRONI" vbProcedure="false">B_ELABORAZIONE!$N$3:$N$50</definedName>
    <definedName function="false" hidden="false" name="B_FORFAIT_SQUADRA_B_GIRONI" vbProcedure="false">B_ELABORAZIONE!$T$3:$T$50</definedName>
    <definedName function="false" hidden="false" name="B_PARTITE_GIRONI" vbProcedure="false">B_ELABORAZIONE!$A$3:$W$50</definedName>
    <definedName function="false" hidden="false" name="B_PERSE_SQUADRA_A_GIRONI" vbProcedure="false">B_ELABORAZIONE!$M$3:$M$50</definedName>
    <definedName function="false" hidden="false" name="B_PERSE_SQUADRA_B_GIRONI" vbProcedure="false">B_ELABORAZIONE!$S$3:$S$50</definedName>
    <definedName function="false" hidden="false" name="B_PUNTI_FATTI_SQUADRA_A_GIRONI" vbProcedure="false">B_ELABORAZIONE!$O$3:$O$50</definedName>
    <definedName function="false" hidden="false" name="B_PUNTI_FATTI_SQUADRA_B_GIRONI" vbProcedure="false">B_ELABORAZIONE!$U$3:$U$50</definedName>
    <definedName function="false" hidden="false" name="B_PUNTI_SUBITI_SQUADRA_A_GIRONI" vbProcedure="false">B_ELABORAZIONE!$P$3:$P$50</definedName>
    <definedName function="false" hidden="false" name="B_PUNTI_SUBITI_SQUADRA_B_GIRONI" vbProcedure="false">B_ELABORAZIONE!$V$3:$V$50</definedName>
    <definedName function="false" hidden="false" name="B_SQUADRA_A_GIRONI" vbProcedure="false">B_ELABORAZIONE!$F$3:$F$50</definedName>
    <definedName function="false" hidden="false" name="B_SQUADRA_B_GIRONI" vbProcedure="false">B_ELABORAZIONE!$G$3:$G$50</definedName>
    <definedName function="false" hidden="false" name="B_VINTE_SQUADRA_A_GIRONI" vbProcedure="false">B_ELABORAZIONE!$L$3:$L$50</definedName>
    <definedName function="false" hidden="false" name="B_VINTE_SQUADRA_B_GIRONI" vbProcedure="false">B_ELABORAZIONE!$R$3:$R$50</definedName>
    <definedName function="false" hidden="false" name="CLASSIFICA_GIRONE_A" vbProcedure="false">#REF!</definedName>
    <definedName function="false" hidden="false" name="CLASSIFICA_GIRONE_B" vbProcedure="false">#REF!</definedName>
    <definedName function="false" hidden="false" name="CLASSIFICA_GIRONE_C" vbProcedure="false">#REF!</definedName>
    <definedName function="false" hidden="false" name="CLASSIFICA_GIRONE_D" vbProcedure="false">#REF!</definedName>
    <definedName function="false" hidden="false" name="CLASSIFICA_GIRONE_E" vbProcedure="false">#REF!</definedName>
    <definedName function="false" hidden="false" name="CLASSIFICA_GIRONE_F" vbProcedure="false">#REF!</definedName>
    <definedName function="false" hidden="false" name="CLASSIFICA_GIRONE_G" vbProcedure="false">#REF!</definedName>
    <definedName function="false" hidden="false" name="CLASSIFICA_GIRONE_H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<sst xmlns="http://schemas.openxmlformats.org/spreadsheetml/2006/main" count="616" uniqueCount="254">
  <si>
    <t xml:space="preserve">DATI_TORNEO</t>
  </si>
  <si>
    <t xml:space="preserve">SQUADRE</t>
  </si>
  <si>
    <t xml:space="preserve">CAMPI</t>
  </si>
  <si>
    <t xml:space="preserve">DATE_E_RISULTATI_GIRONI</t>
  </si>
  <si>
    <t xml:space="preserve">ID</t>
  </si>
  <si>
    <t xml:space="preserve">Valore</t>
  </si>
  <si>
    <t xml:space="preserve">Codice</t>
  </si>
  <si>
    <t xml:space="preserve">Nome</t>
  </si>
  <si>
    <t xml:space="preserve">Note</t>
  </si>
  <si>
    <t xml:space="preserve">Girone</t>
  </si>
  <si>
    <t xml:space="preserve">ID Nel Girone</t>
  </si>
  <si>
    <t xml:space="preserve">N.
Gara</t>
  </si>
  <si>
    <t xml:space="preserve">Girone
/
Fase</t>
  </si>
  <si>
    <t xml:space="preserve">Squadra
A</t>
  </si>
  <si>
    <t xml:space="preserve">Squadra
B</t>
  </si>
  <si>
    <t xml:space="preserve">Risultato
Squadra
A</t>
  </si>
  <si>
    <t xml:space="preserve">Risultato
Squadra
B</t>
  </si>
  <si>
    <t xml:space="preserve">Data</t>
  </si>
  <si>
    <t xml:space="preserve">Ora</t>
  </si>
  <si>
    <t xml:space="preserve">ID
Campo</t>
  </si>
  <si>
    <t xml:space="preserve">Nome Campo</t>
  </si>
  <si>
    <t xml:space="preserve">NOME_TORNEO</t>
  </si>
  <si>
    <t xml:space="preserve">Torneo dell’Estate</t>
  </si>
  <si>
    <t xml:space="preserve">Leoni</t>
  </si>
  <si>
    <t xml:space="preserve">A</t>
  </si>
  <si>
    <t xml:space="preserve">Cristo Re 1</t>
  </si>
  <si>
    <t xml:space="preserve">STAGIONE</t>
  </si>
  <si>
    <t xml:space="preserve">Pantere</t>
  </si>
  <si>
    <t xml:space="preserve">Cristo Re 2</t>
  </si>
  <si>
    <t xml:space="preserve">Tigri</t>
  </si>
  <si>
    <t xml:space="preserve">Basket Giovane</t>
  </si>
  <si>
    <t xml:space="preserve">Ghepardi</t>
  </si>
  <si>
    <t xml:space="preserve">Nuova Scuola</t>
  </si>
  <si>
    <t xml:space="preserve">Giaguari</t>
  </si>
  <si>
    <t xml:space="preserve">B</t>
  </si>
  <si>
    <t xml:space="preserve">Puma</t>
  </si>
  <si>
    <t xml:space="preserve">Linci</t>
  </si>
  <si>
    <t xml:space="preserve">Serval</t>
  </si>
  <si>
    <t xml:space="preserve">Elefanti</t>
  </si>
  <si>
    <t xml:space="preserve">C</t>
  </si>
  <si>
    <t xml:space="preserve">Giraffe</t>
  </si>
  <si>
    <t xml:space="preserve">Ippopotami</t>
  </si>
  <si>
    <t xml:space="preserve">Iguane</t>
  </si>
  <si>
    <t xml:space="preserve">Coccodrilli</t>
  </si>
  <si>
    <t xml:space="preserve">D</t>
  </si>
  <si>
    <t xml:space="preserve">Pitoni</t>
  </si>
  <si>
    <t xml:space="preserve">Aquile</t>
  </si>
  <si>
    <t xml:space="preserve">Falchi</t>
  </si>
  <si>
    <t xml:space="preserve">Bisonti</t>
  </si>
  <si>
    <t xml:space="preserve">E</t>
  </si>
  <si>
    <t xml:space="preserve">Bufali</t>
  </si>
  <si>
    <t xml:space="preserve">Cervi</t>
  </si>
  <si>
    <t xml:space="preserve">Cinghiali</t>
  </si>
  <si>
    <t xml:space="preserve">Balene</t>
  </si>
  <si>
    <t xml:space="preserve">F</t>
  </si>
  <si>
    <t xml:space="preserve">Gabbiani</t>
  </si>
  <si>
    <t xml:space="preserve">Delfini</t>
  </si>
  <si>
    <t xml:space="preserve">Fenicotteri</t>
  </si>
  <si>
    <t xml:space="preserve">Istrici</t>
  </si>
  <si>
    <t xml:space="preserve">G</t>
  </si>
  <si>
    <t xml:space="preserve">Gorilla</t>
  </si>
  <si>
    <t xml:space="preserve">Muli</t>
  </si>
  <si>
    <t xml:space="preserve">Orche</t>
  </si>
  <si>
    <t xml:space="preserve">Piranha</t>
  </si>
  <si>
    <t xml:space="preserve">H</t>
  </si>
  <si>
    <t xml:space="preserve">Scorpioni</t>
  </si>
  <si>
    <t xml:space="preserve">Tonni</t>
  </si>
  <si>
    <t xml:space="preserve">Zebre</t>
  </si>
  <si>
    <t xml:space="preserve">COLORI</t>
  </si>
  <si>
    <t xml:space="preserve">ROSSO</t>
  </si>
  <si>
    <t xml:space="preserve">ff0000</t>
  </si>
  <si>
    <t xml:space="preserve">ARANCIONE</t>
  </si>
  <si>
    <t xml:space="preserve">ffa500</t>
  </si>
  <si>
    <t xml:space="preserve">GIALLO</t>
  </si>
  <si>
    <t xml:space="preserve">ffff00</t>
  </si>
  <si>
    <t xml:space="preserve">VERDE</t>
  </si>
  <si>
    <t xml:space="preserve">000800</t>
  </si>
  <si>
    <t xml:space="preserve">BLU</t>
  </si>
  <si>
    <t xml:space="preserve">0000ff</t>
  </si>
  <si>
    <t xml:space="preserve">INDACO</t>
  </si>
  <si>
    <t xml:space="preserve">4b0082</t>
  </si>
  <si>
    <t xml:space="preserve">VIOLETTO</t>
  </si>
  <si>
    <t xml:space="preserve">ee82ee</t>
  </si>
  <si>
    <t xml:space="preserve">NERO</t>
  </si>
  <si>
    <t xml:space="preserve">000000</t>
  </si>
  <si>
    <t xml:space="preserve">BLU_SCURO</t>
  </si>
  <si>
    <t xml:space="preserve">1f4e79</t>
  </si>
  <si>
    <t xml:space="preserve">VERDE_MEDIO</t>
  </si>
  <si>
    <t xml:space="preserve">a9d18e</t>
  </si>
  <si>
    <t xml:space="preserve">VERDE_CHIARO</t>
  </si>
  <si>
    <t xml:space="preserve">c5e0b4</t>
  </si>
  <si>
    <t xml:space="preserve">PARTITE_GIRONI</t>
  </si>
  <si>
    <t xml:space="preserve">Tipo
Gara</t>
  </si>
  <si>
    <t xml:space="preserve">Girone
/
Turno</t>
  </si>
  <si>
    <t xml:space="preserve">Codice
Sq.
A</t>
  </si>
  <si>
    <t xml:space="preserve">Codice
Sq.
B</t>
  </si>
  <si>
    <t xml:space="preserve">Squadra A</t>
  </si>
  <si>
    <t xml:space="preserve">Squadra B</t>
  </si>
  <si>
    <t xml:space="preserve">Squadra
Vincente</t>
  </si>
  <si>
    <t xml:space="preserve">Squadra
Perdente</t>
  </si>
  <si>
    <t xml:space="preserve">Vinta
A</t>
  </si>
  <si>
    <t xml:space="preserve">Persa
A</t>
  </si>
  <si>
    <t xml:space="preserve">Forfait
A</t>
  </si>
  <si>
    <t xml:space="preserve">P. Fatti
A</t>
  </si>
  <si>
    <t xml:space="preserve">P. Subiti
A</t>
  </si>
  <si>
    <t xml:space="preserve">Differenza
Canestri
A</t>
  </si>
  <si>
    <t xml:space="preserve">Vinta
B</t>
  </si>
  <si>
    <t xml:space="preserve">Persa
B</t>
  </si>
  <si>
    <t xml:space="preserve">Forfait
B</t>
  </si>
  <si>
    <t xml:space="preserve">P. Fatti
B</t>
  </si>
  <si>
    <t xml:space="preserve">P. Subiti
B</t>
  </si>
  <si>
    <t xml:space="preserve">Differenza
Canestri
B</t>
  </si>
  <si>
    <t xml:space="preserve">Posiz.</t>
  </si>
  <si>
    <t xml:space="preserve">Codice
Squadra</t>
  </si>
  <si>
    <t xml:space="preserve">Squadra</t>
  </si>
  <si>
    <t xml:space="preserve">Giocate</t>
  </si>
  <si>
    <t xml:space="preserve">Vinte</t>
  </si>
  <si>
    <t xml:space="preserve">Perse</t>
  </si>
  <si>
    <t xml:space="preserve">Forfait</t>
  </si>
  <si>
    <t xml:space="preserve">Punti
Class.</t>
  </si>
  <si>
    <t xml:space="preserve">Punti
Gara
Fatti
Tot.
(4)</t>
  </si>
  <si>
    <t xml:space="preserve">Punti
Gara
Subiti
Tot.</t>
  </si>
  <si>
    <t xml:space="preserve">Diff.
Punti
Gara
Tot.
(3)</t>
  </si>
  <si>
    <t xml:space="preserve">Punti
Gara
Fatti
Scontro
Dir. 1</t>
  </si>
  <si>
    <t xml:space="preserve">Punti
Gara
Fatti
Scontro
Dir. 2</t>
  </si>
  <si>
    <t xml:space="preserve">Punti
Gara
Fatti
Scontro
Dir. 3</t>
  </si>
  <si>
    <t xml:space="preserve">Punti
Gara
Tot.
Sc. Dir.
(2)</t>
  </si>
  <si>
    <t xml:space="preserve">Diff.
Punti
Gara
Scontro
Dir. 1</t>
  </si>
  <si>
    <t xml:space="preserve">Diff.
Punti
Gara
Scontro
Dir. 2</t>
  </si>
  <si>
    <t xml:space="preserve">Diff.
Punti
Gara
Scontro
Dir. 3</t>
  </si>
  <si>
    <t xml:space="preserve">Diff.
Punti
Gara
Tot. Sc.
Dir. (1)</t>
  </si>
  <si>
    <t xml:space="preserve">Coefficiente</t>
  </si>
  <si>
    <t xml:space="preserve">A1</t>
  </si>
  <si>
    <t xml:space="preserve">A2</t>
  </si>
  <si>
    <t xml:space="preserve">A3</t>
  </si>
  <si>
    <t xml:space="preserve">A4</t>
  </si>
  <si>
    <t xml:space="preserve">B1</t>
  </si>
  <si>
    <t xml:space="preserve">B2</t>
  </si>
  <si>
    <t xml:space="preserve">B3</t>
  </si>
  <si>
    <t xml:space="preserve">B4</t>
  </si>
  <si>
    <t xml:space="preserve">C1</t>
  </si>
  <si>
    <t xml:space="preserve">C2</t>
  </si>
  <si>
    <t xml:space="preserve">C3</t>
  </si>
  <si>
    <t xml:space="preserve">C4</t>
  </si>
  <si>
    <t xml:space="preserve">D1</t>
  </si>
  <si>
    <t xml:space="preserve">D2</t>
  </si>
  <si>
    <t xml:space="preserve">D3</t>
  </si>
  <si>
    <t xml:space="preserve">D4</t>
  </si>
  <si>
    <t xml:space="preserve">E1</t>
  </si>
  <si>
    <t xml:space="preserve">E2</t>
  </si>
  <si>
    <t xml:space="preserve">E3</t>
  </si>
  <si>
    <t xml:space="preserve">E4</t>
  </si>
  <si>
    <t xml:space="preserve">F1</t>
  </si>
  <si>
    <t xml:space="preserve">F2</t>
  </si>
  <si>
    <t xml:space="preserve">F3</t>
  </si>
  <si>
    <t xml:space="preserve">F4</t>
  </si>
  <si>
    <t xml:space="preserve">G1</t>
  </si>
  <si>
    <t xml:space="preserve">G2</t>
  </si>
  <si>
    <t xml:space="preserve">G3</t>
  </si>
  <si>
    <t xml:space="preserve">G4</t>
  </si>
  <si>
    <t xml:space="preserve">H1</t>
  </si>
  <si>
    <t xml:space="preserve">H2</t>
  </si>
  <si>
    <t xml:space="preserve">H3</t>
  </si>
  <si>
    <t xml:space="preserve">H4</t>
  </si>
  <si>
    <t xml:space="preserve">Fase a Gironi</t>
  </si>
  <si>
    <t xml:space="preserve">Classifiche Gironi</t>
  </si>
  <si>
    <t xml:space="preserve">Ottavi di finale</t>
  </si>
  <si>
    <t xml:space="preserve">Quarti di finale</t>
  </si>
  <si>
    <t xml:space="preserve">Semifinali</t>
  </si>
  <si>
    <t xml:space="preserve">Finale</t>
  </si>
  <si>
    <t xml:space="preserve">Risultato</t>
  </si>
  <si>
    <t xml:space="preserve">Gp</t>
  </si>
  <si>
    <t xml:space="preserve">Campo</t>
  </si>
  <si>
    <t xml:space="preserve">Girone A</t>
  </si>
  <si>
    <t xml:space="preserve">V</t>
  </si>
  <si>
    <t xml:space="preserve">P</t>
  </si>
  <si>
    <t xml:space="preserve">PC</t>
  </si>
  <si>
    <t xml:space="preserve">PGF</t>
  </si>
  <si>
    <t xml:space="preserve">PGS</t>
  </si>
  <si>
    <t xml:space="preserve">Gruppo A</t>
  </si>
  <si>
    <t xml:space="preserve">N</t>
  </si>
  <si>
    <t xml:space="preserve">GF</t>
  </si>
  <si>
    <t xml:space="preserve">GS</t>
  </si>
  <si>
    <t xml:space="preserve">DR</t>
  </si>
  <si>
    <t xml:space="preserve">P.ti</t>
  </si>
  <si>
    <t xml:space="preserve">Rank</t>
  </si>
  <si>
    <t xml:space="preserve">Francia</t>
  </si>
  <si>
    <t xml:space="preserve">gio 10 giu h. 9:00</t>
  </si>
  <si>
    <t xml:space="preserve">Albania</t>
  </si>
  <si>
    <t xml:space="preserve">1A</t>
  </si>
  <si>
    <t xml:space="preserve">Svizzera</t>
  </si>
  <si>
    <t xml:space="preserve">2C</t>
  </si>
  <si>
    <t xml:space="preserve">30 Giu  h. 21</t>
  </si>
  <si>
    <t xml:space="preserve">Romania</t>
  </si>
  <si>
    <t xml:space="preserve">Girone B</t>
  </si>
  <si>
    <t xml:space="preserve">Gruppo B</t>
  </si>
  <si>
    <t xml:space="preserve">gio 10 giu h. 11:00</t>
  </si>
  <si>
    <t xml:space="preserve">Inghilterra</t>
  </si>
  <si>
    <t xml:space="preserve">1B</t>
  </si>
  <si>
    <t xml:space="preserve">Galles</t>
  </si>
  <si>
    <t xml:space="preserve">2D</t>
  </si>
  <si>
    <t xml:space="preserve">06 Lug  h. 21</t>
  </si>
  <si>
    <t xml:space="preserve">Slovacchia</t>
  </si>
  <si>
    <t xml:space="preserve">Russia</t>
  </si>
  <si>
    <t xml:space="preserve">Girone C</t>
  </si>
  <si>
    <t xml:space="preserve">25 Giu  h. 18</t>
  </si>
  <si>
    <t xml:space="preserve">Gruppo C</t>
  </si>
  <si>
    <t xml:space="preserve">1E</t>
  </si>
  <si>
    <t xml:space="preserve">Irlanda</t>
  </si>
  <si>
    <t xml:space="preserve">2G</t>
  </si>
  <si>
    <t xml:space="preserve">01 Lug  h. 21</t>
  </si>
  <si>
    <t xml:space="preserve">Germania</t>
  </si>
  <si>
    <t xml:space="preserve">Polonia</t>
  </si>
  <si>
    <t xml:space="preserve">26 Giu  h. 21</t>
  </si>
  <si>
    <t xml:space="preserve">Ucraina</t>
  </si>
  <si>
    <t xml:space="preserve">Girone D</t>
  </si>
  <si>
    <t xml:space="preserve">1F</t>
  </si>
  <si>
    <t xml:space="preserve">10 Lug  h. 21</t>
  </si>
  <si>
    <t xml:space="preserve">Gruppo D</t>
  </si>
  <si>
    <t xml:space="preserve">2H</t>
  </si>
  <si>
    <t xml:space="preserve">Turchia</t>
  </si>
  <si>
    <t xml:space="preserve">Croazia</t>
  </si>
  <si>
    <t xml:space="preserve">26 Giu  h. 18</t>
  </si>
  <si>
    <t xml:space="preserve">Spagna</t>
  </si>
  <si>
    <t xml:space="preserve">1H</t>
  </si>
  <si>
    <t xml:space="preserve">Rep. Ceca</t>
  </si>
  <si>
    <t xml:space="preserve">Girone E</t>
  </si>
  <si>
    <t xml:space="preserve">2F</t>
  </si>
  <si>
    <t xml:space="preserve">02 Lug  h. 21</t>
  </si>
  <si>
    <t xml:space="preserve">Gruppo E</t>
  </si>
  <si>
    <t xml:space="preserve">Italia</t>
  </si>
  <si>
    <t xml:space="preserve">27 Giu  h. 18</t>
  </si>
  <si>
    <t xml:space="preserve">Belgio</t>
  </si>
  <si>
    <t xml:space="preserve">1G</t>
  </si>
  <si>
    <t xml:space="preserve">Svezia</t>
  </si>
  <si>
    <t xml:space="preserve">2E</t>
  </si>
  <si>
    <t xml:space="preserve">07 Lug  h. 21</t>
  </si>
  <si>
    <t xml:space="preserve">Rep. d'Irlanda</t>
  </si>
  <si>
    <t xml:space="preserve">Girone F</t>
  </si>
  <si>
    <t xml:space="preserve">Gruppo F</t>
  </si>
  <si>
    <t xml:space="preserve">26 Giu  h. 15</t>
  </si>
  <si>
    <t xml:space="preserve">Portogallo</t>
  </si>
  <si>
    <t xml:space="preserve">1D</t>
  </si>
  <si>
    <t xml:space="preserve">Austria</t>
  </si>
  <si>
    <t xml:space="preserve">2B</t>
  </si>
  <si>
    <t xml:space="preserve">03 Lug  h. 21</t>
  </si>
  <si>
    <t xml:space="preserve">Ungheria</t>
  </si>
  <si>
    <t xml:space="preserve">Islanda</t>
  </si>
  <si>
    <t xml:space="preserve">Girone G</t>
  </si>
  <si>
    <t xml:space="preserve">27 Giu  h. 21</t>
  </si>
  <si>
    <t xml:space="preserve">Gruppo Terze</t>
  </si>
  <si>
    <t xml:space="preserve">1C</t>
  </si>
  <si>
    <t xml:space="preserve">2A</t>
  </si>
  <si>
    <t xml:space="preserve">Girone H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</si>
</sst>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General"/>
    <numFmt numFmtId="166" formatCode="ddd\ dd/mm/yyyy"/>
    <numFmt numFmtId="167" formatCode="hh:mm"/>
    <numFmt numFmtId="168" formatCode="\+0;\-0"/>
    <numFmt numFmtId="169" formatCode="#.000000000000"/>
    <numFmt numFmtId="170" formatCode="ddd\ d\ mmm"/>
    <numFmt numFmtId="171" formatCode="0"/>
    <numFmt numFmtId="172" formatCode="@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Mangal"/>
      <family val="2"/>
    </font>
    <font>
      <b val="true"/>
      <sz val="10"/>
      <name val="Mangal"/>
      <family val="2"/>
    </font>
    <font>
      <b val="true"/>
      <sz val="16"/>
      <color rgb="FFFFFFFF"/>
      <name val="Arial"/>
      <family val="2"/>
    </font>
    <font>
      <b val="true"/>
      <sz val="10"/>
      <color rgb="FFFFFFFF"/>
      <name val="Arial"/>
      <family val="2"/>
    </font>
    <font>
      <b val="true"/>
      <i val="true"/>
      <sz val="10"/>
      <name val="Arial"/>
      <family val="2"/>
    </font>
    <font>
      <b val="true"/>
      <sz val="10"/>
      <name val="Arial"/>
      <family val="2"/>
    </font>
    <font>
      <i val="true"/>
      <sz val="10"/>
      <name val="Arial"/>
      <family val="2"/>
    </font>
    <font>
      <b val="true"/>
      <sz val="10"/>
      <color rgb="FF0000FF"/>
      <name val="Arial"/>
      <family val="2"/>
    </font>
    <font>
      <sz val="10"/>
      <color rgb="FF0000FF"/>
      <name val="Arial"/>
      <family val="2"/>
    </font>
    <font>
      <sz val="10"/>
      <color rgb="FF969696"/>
      <name val="Arial"/>
      <family val="2"/>
    </font>
    <font>
      <sz val="10"/>
      <color rgb="FF7F7F7F"/>
      <name val="Arial"/>
      <family val="2"/>
    </font>
    <font>
      <b val="true"/>
      <sz val="10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A5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80"/>
      </patternFill>
    </fill>
    <fill>
      <patternFill patternType="solid">
        <fgColor rgb="FF0000FF"/>
        <bgColor rgb="FF0000FF"/>
      </patternFill>
    </fill>
    <fill>
      <patternFill patternType="solid">
        <fgColor rgb="FF4B0082"/>
        <bgColor rgb="FF800080"/>
      </patternFill>
    </fill>
    <fill>
      <patternFill patternType="solid">
        <fgColor rgb="FFEE82EE"/>
        <bgColor rgb="FFFF8080"/>
      </patternFill>
    </fill>
    <fill>
      <patternFill patternType="solid">
        <fgColor rgb="FF000000"/>
        <bgColor rgb="FF003300"/>
      </patternFill>
    </fill>
    <fill>
      <patternFill patternType="solid">
        <fgColor rgb="FF1F4E79"/>
        <bgColor rgb="FF003366"/>
      </patternFill>
    </fill>
    <fill>
      <patternFill patternType="solid">
        <fgColor rgb="FFA9D18E"/>
        <bgColor rgb="FFC5E0B4"/>
      </patternFill>
    </fill>
    <fill>
      <patternFill patternType="solid">
        <fgColor rgb="FFC5E0B4"/>
        <bgColor rgb="FFD9D9D9"/>
      </patternFill>
    </fill>
    <fill>
      <patternFill patternType="solid">
        <fgColor rgb="FFFFF2CC"/>
        <bgColor rgb="FFFBE5D6"/>
      </patternFill>
    </fill>
    <fill>
      <patternFill patternType="solid">
        <fgColor rgb="FFF2F2F2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D9D9D9"/>
        <bgColor rgb="FFDEEBF7"/>
      </patternFill>
    </fill>
    <fill>
      <patternFill patternType="solid">
        <fgColor rgb="FFFFFF99"/>
        <bgColor rgb="FFFFE699"/>
      </patternFill>
    </fill>
    <fill>
      <patternFill patternType="solid">
        <fgColor rgb="FFFFE699"/>
        <bgColor rgb="FFFFFF99"/>
      </patternFill>
    </fill>
    <fill>
      <patternFill patternType="solid">
        <fgColor rgb="FFDEEBF7"/>
        <bgColor rgb="FFE2F0D9"/>
      </patternFill>
    </fill>
    <fill>
      <patternFill patternType="solid">
        <fgColor rgb="FF808000"/>
        <bgColor rgb="FF7F7F7F"/>
      </patternFill>
    </fill>
    <fill>
      <patternFill patternType="solid">
        <fgColor rgb="FFFBE5D6"/>
        <bgColor rgb="FFFFF2CC"/>
      </patternFill>
    </fill>
    <fill>
      <patternFill patternType="solid">
        <fgColor rgb="FF993366"/>
        <bgColor rgb="FF993366"/>
      </patternFill>
    </fill>
    <fill>
      <patternFill patternType="solid">
        <fgColor rgb="FFFF6600"/>
        <bgColor rgb="FFFF8080"/>
      </patternFill>
    </fill>
    <fill>
      <patternFill patternType="solid">
        <fgColor rgb="FF003366"/>
        <bgColor rgb="FF1F4E79"/>
      </patternFill>
    </fill>
  </fills>
  <borders count="50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dotted"/>
      <diagonal/>
    </border>
    <border diagonalUp="false" diagonalDown="false">
      <left/>
      <right style="hair"/>
      <top/>
      <bottom style="dotted"/>
      <diagonal/>
    </border>
    <border diagonalUp="false" diagonalDown="false">
      <left/>
      <right/>
      <top/>
      <bottom style="dotted"/>
      <diagonal/>
    </border>
    <border diagonalUp="false" diagonalDown="false">
      <left style="hair"/>
      <right/>
      <top style="hair"/>
      <bottom style="dotted"/>
      <diagonal/>
    </border>
    <border diagonalUp="false" diagonalDown="false">
      <left/>
      <right/>
      <top style="hair"/>
      <bottom style="dotted"/>
      <diagonal/>
    </border>
    <border diagonalUp="false" diagonalDown="false">
      <left style="hair"/>
      <right style="hair"/>
      <top style="hair"/>
      <bottom style="dotted"/>
      <diagonal/>
    </border>
    <border diagonalUp="false" diagonalDown="false">
      <left/>
      <right style="hair"/>
      <top style="hair"/>
      <bottom style="dotted"/>
      <diagonal/>
    </border>
    <border diagonalUp="false" diagonalDown="false">
      <left style="hair"/>
      <right/>
      <top style="dotted"/>
      <bottom style="hair"/>
      <diagonal/>
    </border>
    <border diagonalUp="false" diagonalDown="false">
      <left/>
      <right style="hair"/>
      <top style="dotted"/>
      <bottom style="hair"/>
      <diagonal/>
    </border>
    <border diagonalUp="false" diagonalDown="false">
      <left style="hair"/>
      <right/>
      <top style="dotted"/>
      <bottom style="dotted"/>
      <diagonal/>
    </border>
    <border diagonalUp="false" diagonalDown="false">
      <left/>
      <right/>
      <top style="dotted"/>
      <bottom style="dotted"/>
      <diagonal/>
    </border>
    <border diagonalUp="false" diagonalDown="false">
      <left/>
      <right style="hair"/>
      <top style="dotted"/>
      <bottom style="dotted"/>
      <diagonal/>
    </border>
    <border diagonalUp="false" diagonalDown="false">
      <left style="hair"/>
      <right style="hair"/>
      <top style="dotted"/>
      <bottom style="dotted"/>
      <diagonal/>
    </border>
    <border diagonalUp="false" diagonalDown="false">
      <left/>
      <right/>
      <top style="dotted"/>
      <bottom style="hair"/>
      <diagonal/>
    </border>
    <border diagonalUp="false" diagonalDown="false">
      <left style="hair"/>
      <right style="hair"/>
      <top style="dotted"/>
      <bottom style="hair"/>
      <diagonal/>
    </border>
    <border diagonalUp="false" diagonalDown="false">
      <left style="hair">
        <color rgb="FF0000FF"/>
      </left>
      <right style="hair">
        <color rgb="FF0000FF"/>
      </right>
      <top style="hair">
        <color rgb="FF0000FF"/>
      </top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 style="hair">
        <color rgb="FF0000FF"/>
      </left>
      <right style="hair">
        <color rgb="FF0000FF"/>
      </right>
      <top style="hair"/>
      <bottom style="dotted"/>
      <diagonal/>
    </border>
    <border diagonalUp="false" diagonalDown="false">
      <left style="hair">
        <color rgb="FF0000FF"/>
      </left>
      <right style="hair">
        <color rgb="FF0000FF"/>
      </right>
      <top style="dotted"/>
      <bottom style="dotted"/>
      <diagonal/>
    </border>
    <border diagonalUp="false" diagonalDown="false">
      <left style="hair"/>
      <right/>
      <top style="thin"/>
      <bottom style="dotted"/>
      <diagonal/>
    </border>
    <border diagonalUp="false" diagonalDown="false">
      <left/>
      <right/>
      <top style="thin"/>
      <bottom style="dotted"/>
      <diagonal/>
    </border>
    <border diagonalUp="false" diagonalDown="false">
      <left style="hair">
        <color rgb="FF0000FF"/>
      </left>
      <right style="hair">
        <color rgb="FF0000FF"/>
      </right>
      <top style="thin"/>
      <bottom style="dotted"/>
      <diagonal/>
    </border>
    <border diagonalUp="false" diagonalDown="false">
      <left style="hair"/>
      <right/>
      <top style="dotted"/>
      <bottom style="thin"/>
      <diagonal/>
    </border>
    <border diagonalUp="false" diagonalDown="false">
      <left/>
      <right/>
      <top style="dotted"/>
      <bottom style="thin"/>
      <diagonal/>
    </border>
    <border diagonalUp="false" diagonalDown="false">
      <left style="hair">
        <color rgb="FF0000FF"/>
      </left>
      <right style="hair">
        <color rgb="FF0000FF"/>
      </right>
      <top style="dotted"/>
      <bottom style="thin"/>
      <diagonal/>
    </border>
    <border diagonalUp="false" diagonalDown="false">
      <left style="hair">
        <color rgb="FF0000FF"/>
      </left>
      <right style="hair">
        <color rgb="FF0000FF"/>
      </right>
      <top style="dotted"/>
      <bottom style="hair">
        <color rgb="FF0000FF"/>
      </bottom>
      <diagonal/>
    </border>
    <border diagonalUp="false" diagonalDown="false"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  <border diagonalUp="false" diagonalDown="false"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>
        <color rgb="FF3366FF"/>
      </left>
      <right style="thin">
        <color rgb="FF3366FF"/>
      </right>
      <top style="thin">
        <color rgb="FF3366FF"/>
      </top>
      <bottom style="thin">
        <color rgb="FF3366FF"/>
      </bottom>
      <diagonal/>
    </border>
    <border diagonalUp="false" diagonalDown="false">
      <left/>
      <right/>
      <top style="thin">
        <color rgb="FF4472C4"/>
      </top>
      <bottom style="hair">
        <color rgb="FF4472C4"/>
      </bottom>
      <diagonal/>
    </border>
    <border diagonalUp="false" diagonalDown="false">
      <left style="hair">
        <color rgb="FF3366FF"/>
      </left>
      <right style="thin">
        <color rgb="FF3366FF"/>
      </right>
      <top style="thin">
        <color rgb="FF3366FF"/>
      </top>
      <bottom style="hair">
        <color rgb="FF3366FF"/>
      </bottom>
      <diagonal/>
    </border>
    <border diagonalUp="false" diagonalDown="false">
      <left/>
      <right/>
      <top style="hair">
        <color rgb="FF4472C4"/>
      </top>
      <bottom style="thin">
        <color rgb="FF4472C4"/>
      </bottom>
      <diagonal/>
    </border>
    <border diagonalUp="false" diagonalDown="false">
      <left style="hair">
        <color rgb="FF3366FF"/>
      </left>
      <right style="thin">
        <color rgb="FF3366FF"/>
      </right>
      <top style="hair">
        <color rgb="FF3366FF"/>
      </top>
      <bottom style="thin">
        <color rgb="FF3366FF"/>
      </bottom>
      <diagonal/>
    </border>
    <border diagonalUp="false" diagonalDown="false">
      <left/>
      <right style="thin">
        <color rgb="FF8497B0"/>
      </right>
      <top style="thin">
        <color rgb="FF8497B0"/>
      </top>
      <bottom/>
      <diagonal/>
    </border>
    <border diagonalUp="false" diagonalDown="false">
      <left/>
      <right/>
      <top/>
      <bottom style="thin">
        <color rgb="FF3366FF"/>
      </bottom>
      <diagonal/>
    </border>
    <border diagonalUp="false" diagonalDown="false">
      <left/>
      <right style="thin">
        <color rgb="FF8497B0"/>
      </right>
      <top/>
      <bottom/>
      <diagonal/>
    </border>
    <border diagonalUp="false" diagonalDown="false">
      <left style="thin">
        <color rgb="FF8497B0"/>
      </left>
      <right/>
      <top style="thin">
        <color rgb="FF8497B0"/>
      </top>
      <bottom/>
      <diagonal/>
    </border>
    <border diagonalUp="false" diagonalDown="false">
      <left style="thin">
        <color rgb="FF3366FF"/>
      </left>
      <right/>
      <top style="thin">
        <color rgb="FF3366FF"/>
      </top>
      <bottom style="hair">
        <color rgb="FF3366FF"/>
      </bottom>
      <diagonal/>
    </border>
    <border diagonalUp="false" diagonalDown="false">
      <left/>
      <right style="thin">
        <color rgb="FF8497B0"/>
      </right>
      <top/>
      <bottom style="thin">
        <color rgb="FF8497B0"/>
      </bottom>
      <diagonal/>
    </border>
    <border diagonalUp="false" diagonalDown="false">
      <left style="thin">
        <color rgb="FF3366FF"/>
      </left>
      <right/>
      <top style="hair">
        <color rgb="FF3366FF"/>
      </top>
      <bottom style="thin">
        <color rgb="FF3366FF"/>
      </bottom>
      <diagonal/>
    </border>
    <border diagonalUp="false" diagonalDown="false">
      <left style="thin">
        <color rgb="FF8497B0"/>
      </left>
      <right/>
      <top/>
      <bottom/>
      <diagonal/>
    </border>
    <border diagonalUp="false" diagonalDown="false">
      <left style="thin">
        <color rgb="FF3366FF"/>
      </left>
      <right/>
      <top style="thin">
        <color rgb="FF3366FF"/>
      </top>
      <bottom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center" vertical="bottom" textRotation="0" wrapText="false" indent="0" shrinkToFit="false"/>
    </xf>
    <xf numFmtId="164" fontId="4" fillId="3" borderId="0" applyFont="true" applyBorder="false" applyAlignment="true" applyProtection="false">
      <alignment horizontal="center" vertical="bottom" textRotation="0" wrapText="false" indent="0" shrinkToFit="false"/>
    </xf>
    <xf numFmtId="164" fontId="5" fillId="4" borderId="0" applyFont="true" applyBorder="false" applyAlignment="true" applyProtection="false">
      <alignment horizontal="center" vertical="bottom" textRotation="0" wrapText="false" indent="0" shrinkToFit="false"/>
    </xf>
    <xf numFmtId="164" fontId="4" fillId="5" borderId="0" applyFont="true" applyBorder="false" applyAlignment="true" applyProtection="false">
      <alignment horizontal="center" vertical="bottom" textRotation="0" wrapText="false" indent="0" shrinkToFit="false"/>
    </xf>
    <xf numFmtId="164" fontId="4" fillId="6" borderId="0" applyFont="true" applyBorder="false" applyAlignment="true" applyProtection="false">
      <alignment horizontal="center" vertical="bottom" textRotation="0" wrapText="false" indent="0" shrinkToFit="false"/>
    </xf>
    <xf numFmtId="164" fontId="4" fillId="7" borderId="0" applyFont="true" applyBorder="false" applyAlignment="true" applyProtection="false">
      <alignment horizontal="center" vertical="bottom" textRotation="0" wrapText="false" indent="0" shrinkToFit="false"/>
    </xf>
    <xf numFmtId="164" fontId="4" fillId="8" borderId="0" applyFont="true" applyBorder="false" applyAlignment="true" applyProtection="false">
      <alignment horizontal="center" vertical="bottom" textRotation="0" wrapText="false" indent="0" shrinkToFit="false"/>
    </xf>
    <xf numFmtId="164" fontId="4" fillId="9" borderId="0" applyFont="true" applyBorder="false" applyAlignment="true" applyProtection="false">
      <alignment horizontal="center" vertical="bottom" textRotation="0" wrapText="false" indent="0" shrinkToFit="false"/>
    </xf>
    <xf numFmtId="164" fontId="4" fillId="10" borderId="0" applyFont="true" applyBorder="false" applyAlignment="true" applyProtection="false">
      <alignment horizontal="center" vertical="center" textRotation="0" wrapText="false" indent="0" shrinkToFit="false"/>
    </xf>
    <xf numFmtId="164" fontId="6" fillId="10" borderId="0" applyFont="true" applyBorder="true" applyAlignment="true" applyProtection="true">
      <alignment horizontal="center" vertical="center" textRotation="0" wrapText="false" indent="0" shrinkToFit="false"/>
      <protection locked="true" hidden="true"/>
    </xf>
  </cellStyleXfs>
  <cellXfs count="2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0" xfId="28" applyFont="tru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20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4" xfId="21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9" fillId="4" borderId="4" xfId="22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7" fillId="5" borderId="4" xfId="23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7" fillId="6" borderId="4" xfId="24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7" fillId="7" borderId="4" xfId="25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7" fillId="8" borderId="4" xfId="26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7" fillId="9" borderId="4" xfId="27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7" fillId="10" borderId="4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3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3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3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1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13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1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1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13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1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13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13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13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13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13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13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13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13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13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0" borderId="0" xfId="29" applyFont="false" applyBorder="false" applyAlignment="false" applyProtection="false">
      <alignment horizontal="center" vertical="center" textRotation="0" wrapText="false" indent="0" shrinkToFit="false"/>
      <protection locked="true" hidden="true"/>
    </xf>
    <xf numFmtId="164" fontId="7" fillId="10" borderId="0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7" fillId="10" borderId="0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3" fillId="14" borderId="0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0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8" fillId="0" borderId="3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15" borderId="3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10" borderId="0" xfId="28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2" borderId="33" xfId="2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7" fillId="2" borderId="34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2" borderId="35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4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14" borderId="4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7" fontId="0" fillId="14" borderId="4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5" fontId="0" fillId="14" borderId="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2" fillId="13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4" borderId="2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5" fontId="0" fillId="14" borderId="4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5" fontId="0" fillId="14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1" fillId="12" borderId="8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71" fontId="11" fillId="12" borderId="9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1" fontId="11" fillId="12" borderId="1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0" fillId="14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14" borderId="0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0" fillId="14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6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5" fontId="0" fillId="14" borderId="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5" fontId="9" fillId="12" borderId="14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71" fontId="9" fillId="12" borderId="1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1" fontId="9" fillId="12" borderId="1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2" fontId="0" fillId="14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5" fontId="0" fillId="15" borderId="14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71" fontId="0" fillId="15" borderId="1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1" fontId="0" fillId="15" borderId="1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7" borderId="3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9" fillId="15" borderId="3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13" borderId="3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4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71" fontId="0" fillId="14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5" borderId="12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71" fontId="0" fillId="15" borderId="1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1" fontId="0" fillId="15" borderId="1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9" fillId="15" borderId="39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13" borderId="4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4" fillId="14" borderId="41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72" fontId="0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0" fillId="14" borderId="42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7" fillId="3" borderId="1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7" fillId="3" borderId="3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3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0" fillId="14" borderId="43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5" fontId="0" fillId="18" borderId="3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4" borderId="44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0" fillId="14" borderId="41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5" fontId="9" fillId="15" borderId="45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4" fillId="14" borderId="46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5" fontId="9" fillId="15" borderId="47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5" fontId="0" fillId="19" borderId="3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4" borderId="0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15" fillId="4" borderId="1" xfId="22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5" fillId="4" borderId="3" xfId="22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5" fillId="4" borderId="2" xfId="22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14" borderId="0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0" fillId="14" borderId="48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4" fillId="14" borderId="43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0" fillId="14" borderId="46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5" borderId="1" xfId="23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7" fillId="5" borderId="3" xfId="23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2" xfId="23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2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21" borderId="3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14" borderId="0" xfId="0" applyFont="true" applyBorder="false" applyAlignment="true" applyProtection="true">
      <alignment horizontal="right" vertical="center" textRotation="0" wrapText="false" indent="0" shrinkToFit="false"/>
      <protection locked="true" hidden="true"/>
    </xf>
    <xf numFmtId="164" fontId="7" fillId="6" borderId="1" xfId="24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7" fillId="6" borderId="3" xfId="24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2" xfId="24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2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9" fillId="15" borderId="49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7" fillId="7" borderId="1" xfId="25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7" fillId="7" borderId="3" xfId="25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7" borderId="2" xfId="25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23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8" borderId="1" xfId="26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71" fontId="7" fillId="8" borderId="3" xfId="26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1" fontId="7" fillId="8" borderId="2" xfId="26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24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3" fillId="14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9" borderId="1" xfId="27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7" fillId="9" borderId="3" xfId="27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9" borderId="2" xfId="27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4" borderId="0" xfId="0" applyFont="true" applyBorder="false" applyAlignment="true" applyProtection="true">
      <alignment horizontal="general" vertical="center" textRotation="0" wrapText="false" indent="0" shrinkToFit="true"/>
      <protection locked="true" hidden="true"/>
    </xf>
    <xf numFmtId="164" fontId="0" fillId="14" borderId="0" xfId="0" applyFont="true" applyBorder="false" applyAlignment="true" applyProtection="true">
      <alignment horizontal="center" vertical="center" textRotation="0" wrapText="false" indent="0" shrinkToFit="true"/>
      <protection locked="true" hidden="true"/>
    </xf>
    <xf numFmtId="165" fontId="0" fillId="15" borderId="1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5" borderId="13" xfId="0" applyFont="true" applyBorder="true" applyAlignment="true" applyProtection="true">
      <alignment horizontal="center" vertical="center" textRotation="0" wrapText="false" indent="0" shrinkToFit="false"/>
      <protection locked="true" hidden="tru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IRONE_A" xfId="20"/>
    <cellStyle name="GIRONE_B" xfId="21"/>
    <cellStyle name="GIRONE_C" xfId="22"/>
    <cellStyle name="GIRONE_D" xfId="23"/>
    <cellStyle name="GIRONE_E" xfId="24"/>
    <cellStyle name="GIRONE_F" xfId="25"/>
    <cellStyle name="GIRONE_G" xfId="26"/>
    <cellStyle name="GIRONE_H" xfId="27"/>
    <cellStyle name="INTESTAZIONE" xfId="28"/>
    <cellStyle name="INTESTAZIONE_GRANDE" xfId="29"/>
  </cellStyles>
  <dxfs count="8">
    <dxf>
      <font>
        <name val="Mangal"/>
        <family val="2"/>
        <b val="1"/>
        <color rgb="FFFFFFFF"/>
      </font>
      <fill>
        <patternFill>
          <bgColor rgb="FFFF0000"/>
        </patternFill>
      </fill>
      <alignment horizontal="center" vertical="bottom" textRotation="0" wrapText="false" indent="0" shrinkToFit="false"/>
    </dxf>
    <dxf>
      <font>
        <name val="Mangal"/>
        <family val="2"/>
        <b val="1"/>
        <color rgb="FFFFFFFF"/>
      </font>
      <fill>
        <patternFill>
          <bgColor rgb="FFFFA500"/>
        </patternFill>
      </fill>
      <alignment horizontal="center" vertical="bottom" textRotation="0" wrapText="false" indent="0" shrinkToFit="false"/>
    </dxf>
    <dxf>
      <font>
        <name val="Mangal"/>
        <family val="2"/>
        <b val="1"/>
      </font>
      <fill>
        <patternFill>
          <bgColor rgb="FFFFFF00"/>
        </patternFill>
      </fill>
      <alignment horizontal="center" vertical="bottom" textRotation="0" wrapText="false" indent="0" shrinkToFit="false"/>
    </dxf>
    <dxf>
      <font>
        <name val="Mangal"/>
        <family val="2"/>
        <b val="1"/>
        <color rgb="FFFFFFFF"/>
      </font>
      <fill>
        <patternFill>
          <bgColor rgb="FF008000"/>
        </patternFill>
      </fill>
      <alignment horizontal="center" vertical="bottom" textRotation="0" wrapText="false" indent="0" shrinkToFit="false"/>
    </dxf>
    <dxf>
      <font>
        <name val="Mangal"/>
        <family val="2"/>
        <b val="1"/>
        <color rgb="FFFFFFFF"/>
      </font>
      <fill>
        <patternFill>
          <bgColor rgb="FF0000FF"/>
        </patternFill>
      </fill>
      <alignment horizontal="center" vertical="bottom" textRotation="0" wrapText="false" indent="0" shrinkToFit="false"/>
    </dxf>
    <dxf>
      <font>
        <name val="Mangal"/>
        <family val="2"/>
        <b val="1"/>
        <color rgb="FFFFFFFF"/>
      </font>
      <fill>
        <patternFill>
          <bgColor rgb="FF4B0082"/>
        </patternFill>
      </fill>
      <alignment horizontal="center" vertical="bottom" textRotation="0" wrapText="false" indent="0" shrinkToFit="false"/>
    </dxf>
    <dxf>
      <font>
        <name val="Mangal"/>
        <family val="2"/>
        <b val="1"/>
        <color rgb="FFFFFFFF"/>
      </font>
      <fill>
        <patternFill>
          <bgColor rgb="FFEE82EE"/>
        </patternFill>
      </fill>
      <alignment horizontal="center" vertical="bottom" textRotation="0" wrapText="false" indent="0" shrinkToFit="false"/>
    </dxf>
    <dxf>
      <font>
        <name val="Mangal"/>
        <family val="2"/>
        <b val="1"/>
        <color rgb="FFFFFFFF"/>
      </font>
      <fill>
        <patternFill>
          <bgColor rgb="FF000000"/>
        </patternFill>
      </fill>
      <alignment horizontal="center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8497B0"/>
      <rgbColor rgb="FF993366"/>
      <rgbColor rgb="FFFFF2CC"/>
      <rgbColor rgb="FFDEEBF7"/>
      <rgbColor rgb="FF4B0082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E2F0D9"/>
      <rgbColor rgb="FFFFFF99"/>
      <rgbColor rgb="FFC5E0B4"/>
      <rgbColor rgb="FFEE82EE"/>
      <rgbColor rgb="FFFBE5D6"/>
      <rgbColor rgb="FFFFE699"/>
      <rgbColor rgb="FF3366FF"/>
      <rgbColor rgb="FF33CCCC"/>
      <rgbColor rgb="FF99CC00"/>
      <rgbColor rgb="FFFFCC00"/>
      <rgbColor rgb="FFFFA500"/>
      <rgbColor rgb="FFFF6600"/>
      <rgbColor rgb="FF4472C4"/>
      <rgbColor rgb="FF969696"/>
      <rgbColor rgb="FF003366"/>
      <rgbColor rgb="FF5B9BD5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1"/>
  <sheetViews>
    <sheetView showFormulas="false" showGridLines="true" showRowColHeaders="true" showZeros="true" rightToLeft="false" tabSelected="false" showOutlineSymbols="true" defaultGridColor="true" view="normal" topLeftCell="H19" colorId="64" zoomScale="140" zoomScaleNormal="140" zoomScalePageLayoutView="100" workbookViewId="0">
      <selection pane="topLeft" activeCell="T51" activeCellId="0" sqref="T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16.3"/>
    <col collapsed="false" customWidth="true" hidden="false" outlineLevel="0" max="4" min="4" style="0" width="3.57"/>
    <col collapsed="false" customWidth="true" hidden="false" outlineLevel="0" max="5" min="5" style="0" width="7.73"/>
    <col collapsed="false" customWidth="true" hidden="false" outlineLevel="0" max="6" min="6" style="0" width="10.62"/>
    <col collapsed="false" customWidth="true" hidden="false" outlineLevel="0" max="7" min="7" style="0" width="15.72"/>
    <col collapsed="false" customWidth="true" hidden="false" outlineLevel="0" max="8" min="8" style="0" width="7.38"/>
    <col collapsed="false" customWidth="true" hidden="false" outlineLevel="0" max="9" min="9" style="0" width="13.06"/>
    <col collapsed="false" customWidth="true" hidden="false" outlineLevel="0" max="11" min="11" style="0" width="3.57"/>
    <col collapsed="false" customWidth="true" hidden="false" outlineLevel="0" max="12" min="12" style="0" width="14.56"/>
    <col collapsed="false" customWidth="true" hidden="false" outlineLevel="0" max="14" min="14" style="0" width="5.64"/>
    <col collapsed="false" customWidth="true" hidden="false" outlineLevel="0" max="16" min="15" style="0" width="7.38"/>
    <col collapsed="false" customWidth="true" hidden="false" outlineLevel="0" max="18" min="17" style="0" width="14.21"/>
    <col collapsed="false" customWidth="true" hidden="false" outlineLevel="0" max="20" min="19" style="0" width="9.35"/>
    <col collapsed="false" customWidth="true" hidden="false" outlineLevel="0" max="21" min="21" style="0" width="14.33"/>
    <col collapsed="false" customWidth="true" hidden="false" outlineLevel="0" max="22" min="22" style="0" width="6.11"/>
    <col collapsed="false" customWidth="true" hidden="false" outlineLevel="0" max="23" min="23" style="1" width="7.85"/>
    <col collapsed="false" customWidth="true" hidden="false" outlineLevel="0" max="24" min="24" style="0" width="14.56"/>
  </cols>
  <sheetData>
    <row r="1" customFormat="false" ht="12.8" hidden="false" customHeight="false" outlineLevel="0" collapsed="false">
      <c r="A1" s="2" t="s">
        <v>0</v>
      </c>
      <c r="B1" s="2"/>
      <c r="D1" s="2" t="s">
        <v>1</v>
      </c>
      <c r="E1" s="2"/>
      <c r="F1" s="2"/>
      <c r="G1" s="2"/>
      <c r="H1" s="2"/>
      <c r="I1" s="2"/>
      <c r="K1" s="2" t="s">
        <v>2</v>
      </c>
      <c r="L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35.05" hidden="false" customHeight="false" outlineLevel="0" collapsed="false">
      <c r="A2" s="3" t="s">
        <v>4</v>
      </c>
      <c r="B2" s="4" t="s">
        <v>5</v>
      </c>
      <c r="D2" s="3" t="s">
        <v>4</v>
      </c>
      <c r="E2" s="5" t="s">
        <v>6</v>
      </c>
      <c r="F2" s="6" t="s">
        <v>7</v>
      </c>
      <c r="G2" s="6" t="s">
        <v>8</v>
      </c>
      <c r="H2" s="7" t="s">
        <v>9</v>
      </c>
      <c r="I2" s="8" t="s">
        <v>10</v>
      </c>
      <c r="K2" s="3" t="s">
        <v>4</v>
      </c>
      <c r="L2" s="4" t="s">
        <v>7</v>
      </c>
      <c r="N2" s="9" t="s">
        <v>11</v>
      </c>
      <c r="O2" s="10" t="s">
        <v>12</v>
      </c>
      <c r="P2" s="7" t="s">
        <v>9</v>
      </c>
      <c r="Q2" s="10" t="s">
        <v>13</v>
      </c>
      <c r="R2" s="10" t="s">
        <v>14</v>
      </c>
      <c r="S2" s="11" t="s">
        <v>15</v>
      </c>
      <c r="T2" s="11" t="s">
        <v>16</v>
      </c>
      <c r="U2" s="12" t="s">
        <v>17</v>
      </c>
      <c r="V2" s="12" t="s">
        <v>18</v>
      </c>
      <c r="W2" s="10" t="s">
        <v>19</v>
      </c>
      <c r="X2" s="4" t="s">
        <v>20</v>
      </c>
    </row>
    <row r="3" customFormat="false" ht="12.8" hidden="false" customHeight="false" outlineLevel="0" collapsed="false">
      <c r="A3" s="13" t="s">
        <v>21</v>
      </c>
      <c r="B3" s="14" t="s">
        <v>22</v>
      </c>
      <c r="D3" s="15" t="n">
        <v>1</v>
      </c>
      <c r="E3" s="16" t="str">
        <f aca="false">H3&amp;I3</f>
        <v>A1</v>
      </c>
      <c r="F3" s="17" t="s">
        <v>23</v>
      </c>
      <c r="G3" s="17"/>
      <c r="H3" s="18" t="s">
        <v>24</v>
      </c>
      <c r="I3" s="19" t="n">
        <v>1</v>
      </c>
      <c r="K3" s="15" t="n">
        <v>1</v>
      </c>
      <c r="L3" s="14" t="s">
        <v>25</v>
      </c>
      <c r="N3" s="20" t="n">
        <v>1</v>
      </c>
      <c r="O3" s="21" t="str">
        <f aca="false">VLOOKUP(N3,B_PARTITE_GIRONI,2,0)</f>
        <v>Girone</v>
      </c>
      <c r="P3" s="21" t="str">
        <f aca="false">VLOOKUP(N3,B_PARTITE_GIRONI,3,0)</f>
        <v>A</v>
      </c>
      <c r="Q3" s="22" t="str">
        <f aca="false">VLOOKUP(N3,B_PARTITE_GIRONI,6,0)</f>
        <v>Leoni</v>
      </c>
      <c r="R3" s="23" t="str">
        <f aca="false">VLOOKUP(N3,B_PARTITE_GIRONI,7,0)</f>
        <v>Pantere</v>
      </c>
      <c r="S3" s="24" t="n">
        <v>72</v>
      </c>
      <c r="T3" s="24" t="n">
        <v>49</v>
      </c>
      <c r="U3" s="25" t="n">
        <v>44354</v>
      </c>
      <c r="V3" s="26" t="n">
        <v>0.666666666666667</v>
      </c>
      <c r="W3" s="27" t="n">
        <v>1</v>
      </c>
      <c r="X3" s="28" t="str">
        <f aca="false">VLOOKUP(W3,A_3_INPUT_CAMPI,2,0)</f>
        <v>Cristo Re 1</v>
      </c>
    </row>
    <row r="4" customFormat="false" ht="12.8" hidden="false" customHeight="false" outlineLevel="0" collapsed="false">
      <c r="A4" s="29" t="s">
        <v>26</v>
      </c>
      <c r="B4" s="30" t="n">
        <v>2021</v>
      </c>
      <c r="D4" s="31" t="n">
        <v>2</v>
      </c>
      <c r="E4" s="16" t="str">
        <f aca="false">H4&amp;I4</f>
        <v>A2</v>
      </c>
      <c r="F4" s="32" t="s">
        <v>27</v>
      </c>
      <c r="G4" s="32"/>
      <c r="H4" s="33" t="s">
        <v>24</v>
      </c>
      <c r="I4" s="34" t="n">
        <v>2</v>
      </c>
      <c r="K4" s="31" t="n">
        <v>2</v>
      </c>
      <c r="L4" s="35" t="s">
        <v>28</v>
      </c>
      <c r="N4" s="36" t="n">
        <v>2</v>
      </c>
      <c r="O4" s="33" t="str">
        <f aca="false">VLOOKUP(N4,B_PARTITE_GIRONI,2,0)</f>
        <v>Girone</v>
      </c>
      <c r="P4" s="21" t="str">
        <f aca="false">VLOOKUP(N4,B_PARTITE_GIRONI,3,0)</f>
        <v>B</v>
      </c>
      <c r="Q4" s="37" t="str">
        <f aca="false">VLOOKUP(N4,B_PARTITE_GIRONI,6,0)</f>
        <v>Giaguari</v>
      </c>
      <c r="R4" s="37" t="str">
        <f aca="false">VLOOKUP(N4,B_PARTITE_GIRONI,7,0)</f>
        <v>Puma</v>
      </c>
      <c r="S4" s="38" t="n">
        <v>67</v>
      </c>
      <c r="T4" s="38" t="n">
        <v>51</v>
      </c>
      <c r="U4" s="39" t="n">
        <v>44354</v>
      </c>
      <c r="V4" s="40" t="n">
        <v>0.666666666666667</v>
      </c>
      <c r="W4" s="41" t="n">
        <v>2</v>
      </c>
      <c r="X4" s="42" t="str">
        <f aca="false">VLOOKUP(W4,A_3_INPUT_CAMPI,2,0)</f>
        <v>Cristo Re 2</v>
      </c>
    </row>
    <row r="5" customFormat="false" ht="12.8" hidden="false" customHeight="false" outlineLevel="0" collapsed="false">
      <c r="D5" s="31" t="n">
        <v>3</v>
      </c>
      <c r="E5" s="16" t="str">
        <f aca="false">H5&amp;I5</f>
        <v>A3</v>
      </c>
      <c r="F5" s="32" t="s">
        <v>29</v>
      </c>
      <c r="G5" s="32"/>
      <c r="H5" s="33" t="s">
        <v>24</v>
      </c>
      <c r="I5" s="34" t="n">
        <v>3</v>
      </c>
      <c r="K5" s="31" t="n">
        <v>3</v>
      </c>
      <c r="L5" s="35" t="s">
        <v>30</v>
      </c>
      <c r="N5" s="36" t="n">
        <v>3</v>
      </c>
      <c r="O5" s="33" t="str">
        <f aca="false">VLOOKUP(N5,B_PARTITE_GIRONI,2,0)</f>
        <v>Girone</v>
      </c>
      <c r="P5" s="21" t="str">
        <f aca="false">VLOOKUP(N5,B_PARTITE_GIRONI,3,0)</f>
        <v>C</v>
      </c>
      <c r="Q5" s="37" t="str">
        <f aca="false">VLOOKUP(N5,B_PARTITE_GIRONI,6,0)</f>
        <v>Elefanti</v>
      </c>
      <c r="R5" s="37" t="str">
        <f aca="false">VLOOKUP(N5,B_PARTITE_GIRONI,7,0)</f>
        <v>Giraffe</v>
      </c>
      <c r="S5" s="38" t="n">
        <v>100</v>
      </c>
      <c r="T5" s="38" t="n">
        <v>51</v>
      </c>
      <c r="U5" s="39" t="n">
        <v>44354</v>
      </c>
      <c r="V5" s="40" t="n">
        <v>0.666666666666667</v>
      </c>
      <c r="W5" s="41" t="n">
        <v>3</v>
      </c>
      <c r="X5" s="42" t="str">
        <f aca="false">VLOOKUP(W5,A_3_INPUT_CAMPI,2,0)</f>
        <v>Basket Giovane</v>
      </c>
    </row>
    <row r="6" customFormat="false" ht="12.8" hidden="false" customHeight="false" outlineLevel="0" collapsed="false">
      <c r="D6" s="31" t="n">
        <v>4</v>
      </c>
      <c r="E6" s="16" t="str">
        <f aca="false">H6&amp;I6</f>
        <v>A4</v>
      </c>
      <c r="F6" s="32" t="s">
        <v>31</v>
      </c>
      <c r="G6" s="32"/>
      <c r="H6" s="33" t="s">
        <v>24</v>
      </c>
      <c r="I6" s="34" t="n">
        <v>4</v>
      </c>
      <c r="K6" s="31" t="n">
        <v>4</v>
      </c>
      <c r="L6" s="35" t="s">
        <v>32</v>
      </c>
      <c r="N6" s="36" t="n">
        <v>4</v>
      </c>
      <c r="O6" s="33" t="str">
        <f aca="false">VLOOKUP(N6,B_PARTITE_GIRONI,2,0)</f>
        <v>Girone</v>
      </c>
      <c r="P6" s="21" t="str">
        <f aca="false">VLOOKUP(N6,B_PARTITE_GIRONI,3,0)</f>
        <v>D</v>
      </c>
      <c r="Q6" s="37" t="str">
        <f aca="false">VLOOKUP(N6,B_PARTITE_GIRONI,6,0)</f>
        <v>Coccodrilli</v>
      </c>
      <c r="R6" s="37" t="str">
        <f aca="false">VLOOKUP(N6,B_PARTITE_GIRONI,7,0)</f>
        <v>Pitoni</v>
      </c>
      <c r="S6" s="38" t="n">
        <v>96</v>
      </c>
      <c r="T6" s="38" t="n">
        <v>86</v>
      </c>
      <c r="U6" s="39" t="n">
        <v>44354</v>
      </c>
      <c r="V6" s="40" t="n">
        <v>0.666666666666667</v>
      </c>
      <c r="W6" s="41" t="n">
        <v>4</v>
      </c>
      <c r="X6" s="42" t="str">
        <f aca="false">VLOOKUP(W6,A_3_INPUT_CAMPI,2,0)</f>
        <v>Nuova Scuola</v>
      </c>
    </row>
    <row r="7" customFormat="false" ht="12.8" hidden="false" customHeight="false" outlineLevel="0" collapsed="false">
      <c r="D7" s="31" t="n">
        <v>5</v>
      </c>
      <c r="E7" s="16" t="str">
        <f aca="false">H7&amp;I7</f>
        <v>B1</v>
      </c>
      <c r="F7" s="32" t="s">
        <v>33</v>
      </c>
      <c r="G7" s="32"/>
      <c r="H7" s="33" t="s">
        <v>34</v>
      </c>
      <c r="I7" s="34" t="n">
        <v>1</v>
      </c>
      <c r="K7" s="31" t="n">
        <v>5</v>
      </c>
      <c r="L7" s="35" t="str">
        <f aca="false">"CAMPO "&amp;ROMAN(K7)</f>
        <v>CAMPO V</v>
      </c>
      <c r="N7" s="36" t="n">
        <v>5</v>
      </c>
      <c r="O7" s="33" t="str">
        <f aca="false">VLOOKUP(N7,B_PARTITE_GIRONI,2,0)</f>
        <v>Girone</v>
      </c>
      <c r="P7" s="21" t="str">
        <f aca="false">VLOOKUP(N7,B_PARTITE_GIRONI,3,0)</f>
        <v>A</v>
      </c>
      <c r="Q7" s="37" t="str">
        <f aca="false">VLOOKUP(N7,B_PARTITE_GIRONI,6,0)</f>
        <v>Tigri</v>
      </c>
      <c r="R7" s="37" t="str">
        <f aca="false">VLOOKUP(N7,B_PARTITE_GIRONI,7,0)</f>
        <v>Ghepardi</v>
      </c>
      <c r="S7" s="38" t="n">
        <v>79</v>
      </c>
      <c r="T7" s="38" t="n">
        <v>48</v>
      </c>
      <c r="U7" s="39" t="n">
        <v>44354</v>
      </c>
      <c r="V7" s="40" t="n">
        <v>0.75</v>
      </c>
      <c r="W7" s="41" t="n">
        <v>1</v>
      </c>
      <c r="X7" s="42" t="str">
        <f aca="false">VLOOKUP(W7,A_3_INPUT_CAMPI,2,0)</f>
        <v>Cristo Re 1</v>
      </c>
    </row>
    <row r="8" customFormat="false" ht="12.8" hidden="false" customHeight="false" outlineLevel="0" collapsed="false">
      <c r="D8" s="31" t="n">
        <v>6</v>
      </c>
      <c r="E8" s="16" t="str">
        <f aca="false">H8&amp;I8</f>
        <v>B2</v>
      </c>
      <c r="F8" s="32" t="s">
        <v>35</v>
      </c>
      <c r="G8" s="32"/>
      <c r="H8" s="33" t="s">
        <v>34</v>
      </c>
      <c r="I8" s="34" t="n">
        <v>2</v>
      </c>
      <c r="K8" s="31" t="n">
        <v>6</v>
      </c>
      <c r="L8" s="35" t="str">
        <f aca="false">"CAMPO "&amp;ROMAN(K8)</f>
        <v>CAMPO VI</v>
      </c>
      <c r="N8" s="36" t="n">
        <v>6</v>
      </c>
      <c r="O8" s="33" t="str">
        <f aca="false">VLOOKUP(N8,B_PARTITE_GIRONI,2,0)</f>
        <v>Girone</v>
      </c>
      <c r="P8" s="21" t="str">
        <f aca="false">VLOOKUP(N8,B_PARTITE_GIRONI,3,0)</f>
        <v>B</v>
      </c>
      <c r="Q8" s="37" t="str">
        <f aca="false">VLOOKUP(N8,B_PARTITE_GIRONI,6,0)</f>
        <v>Linci</v>
      </c>
      <c r="R8" s="37" t="str">
        <f aca="false">VLOOKUP(N8,B_PARTITE_GIRONI,7,0)</f>
        <v>Serval</v>
      </c>
      <c r="S8" s="38" t="n">
        <v>62</v>
      </c>
      <c r="T8" s="38" t="n">
        <v>44</v>
      </c>
      <c r="U8" s="39" t="n">
        <v>44354</v>
      </c>
      <c r="V8" s="40" t="n">
        <v>0.75</v>
      </c>
      <c r="W8" s="41" t="n">
        <v>2</v>
      </c>
      <c r="X8" s="42" t="str">
        <f aca="false">VLOOKUP(W8,A_3_INPUT_CAMPI,2,0)</f>
        <v>Cristo Re 2</v>
      </c>
    </row>
    <row r="9" customFormat="false" ht="12.8" hidden="false" customHeight="false" outlineLevel="0" collapsed="false">
      <c r="D9" s="31" t="n">
        <v>7</v>
      </c>
      <c r="E9" s="16" t="str">
        <f aca="false">H9&amp;I9</f>
        <v>B3</v>
      </c>
      <c r="F9" s="32" t="s">
        <v>36</v>
      </c>
      <c r="G9" s="32"/>
      <c r="H9" s="33" t="s">
        <v>34</v>
      </c>
      <c r="I9" s="34" t="n">
        <v>3</v>
      </c>
      <c r="K9" s="31" t="n">
        <v>7</v>
      </c>
      <c r="L9" s="35" t="str">
        <f aca="false">"CAMPO "&amp;ROMAN(K9)</f>
        <v>CAMPO VII</v>
      </c>
      <c r="N9" s="36" t="n">
        <v>7</v>
      </c>
      <c r="O9" s="33" t="str">
        <f aca="false">VLOOKUP(N9,B_PARTITE_GIRONI,2,0)</f>
        <v>Girone</v>
      </c>
      <c r="P9" s="21" t="str">
        <f aca="false">VLOOKUP(N9,B_PARTITE_GIRONI,3,0)</f>
        <v>C</v>
      </c>
      <c r="Q9" s="37" t="str">
        <f aca="false">VLOOKUP(N9,B_PARTITE_GIRONI,6,0)</f>
        <v>Ippopotami</v>
      </c>
      <c r="R9" s="37" t="str">
        <f aca="false">VLOOKUP(N9,B_PARTITE_GIRONI,7,0)</f>
        <v>Iguane</v>
      </c>
      <c r="S9" s="38" t="n">
        <v>96</v>
      </c>
      <c r="T9" s="38" t="n">
        <v>25</v>
      </c>
      <c r="U9" s="39" t="n">
        <v>44354</v>
      </c>
      <c r="V9" s="40" t="n">
        <v>0.75</v>
      </c>
      <c r="W9" s="41" t="n">
        <v>3</v>
      </c>
      <c r="X9" s="42" t="str">
        <f aca="false">VLOOKUP(W9,A_3_INPUT_CAMPI,2,0)</f>
        <v>Basket Giovane</v>
      </c>
    </row>
    <row r="10" customFormat="false" ht="12.8" hidden="false" customHeight="false" outlineLevel="0" collapsed="false">
      <c r="D10" s="31" t="n">
        <v>8</v>
      </c>
      <c r="E10" s="16" t="str">
        <f aca="false">H10&amp;I10</f>
        <v>B4</v>
      </c>
      <c r="F10" s="32" t="s">
        <v>37</v>
      </c>
      <c r="G10" s="32"/>
      <c r="H10" s="33" t="s">
        <v>34</v>
      </c>
      <c r="I10" s="34" t="n">
        <v>4</v>
      </c>
      <c r="K10" s="31" t="n">
        <v>8</v>
      </c>
      <c r="L10" s="35" t="str">
        <f aca="false">"CAMPO "&amp;ROMAN(K10)</f>
        <v>CAMPO VIII</v>
      </c>
      <c r="N10" s="36" t="n">
        <v>8</v>
      </c>
      <c r="O10" s="33" t="str">
        <f aca="false">VLOOKUP(N10,B_PARTITE_GIRONI,2,0)</f>
        <v>Girone</v>
      </c>
      <c r="P10" s="21" t="str">
        <f aca="false">VLOOKUP(N10,B_PARTITE_GIRONI,3,0)</f>
        <v>D</v>
      </c>
      <c r="Q10" s="37" t="str">
        <f aca="false">VLOOKUP(N10,B_PARTITE_GIRONI,6,0)</f>
        <v>Aquile</v>
      </c>
      <c r="R10" s="37" t="str">
        <f aca="false">VLOOKUP(N10,B_PARTITE_GIRONI,7,0)</f>
        <v>Falchi</v>
      </c>
      <c r="S10" s="38" t="n">
        <v>72</v>
      </c>
      <c r="T10" s="38" t="n">
        <v>52</v>
      </c>
      <c r="U10" s="39" t="n">
        <v>44354</v>
      </c>
      <c r="V10" s="40" t="n">
        <v>0.75</v>
      </c>
      <c r="W10" s="41" t="n">
        <v>4</v>
      </c>
      <c r="X10" s="42" t="str">
        <f aca="false">VLOOKUP(W10,A_3_INPUT_CAMPI,2,0)</f>
        <v>Nuova Scuola</v>
      </c>
    </row>
    <row r="11" customFormat="false" ht="12.8" hidden="false" customHeight="false" outlineLevel="0" collapsed="false">
      <c r="D11" s="31" t="n">
        <v>9</v>
      </c>
      <c r="E11" s="16" t="str">
        <f aca="false">H11&amp;I11</f>
        <v>C1</v>
      </c>
      <c r="F11" s="32" t="s">
        <v>38</v>
      </c>
      <c r="G11" s="32"/>
      <c r="H11" s="33" t="s">
        <v>39</v>
      </c>
      <c r="I11" s="34" t="n">
        <v>1</v>
      </c>
      <c r="K11" s="31" t="n">
        <v>9</v>
      </c>
      <c r="L11" s="35" t="str">
        <f aca="false">"CAMPO "&amp;ROMAN(K11)</f>
        <v>CAMPO IX</v>
      </c>
      <c r="N11" s="36" t="n">
        <v>9</v>
      </c>
      <c r="O11" s="33" t="str">
        <f aca="false">VLOOKUP(N11,B_PARTITE_GIRONI,2,0)</f>
        <v>Girone</v>
      </c>
      <c r="P11" s="21" t="str">
        <f aca="false">VLOOKUP(N11,B_PARTITE_GIRONI,3,0)</f>
        <v>A</v>
      </c>
      <c r="Q11" s="37" t="str">
        <f aca="false">VLOOKUP(N11,B_PARTITE_GIRONI,6,0)</f>
        <v>Leoni</v>
      </c>
      <c r="R11" s="37" t="str">
        <f aca="false">VLOOKUP(N11,B_PARTITE_GIRONI,7,0)</f>
        <v>Tigri</v>
      </c>
      <c r="S11" s="38" t="n">
        <v>90</v>
      </c>
      <c r="T11" s="38" t="n">
        <v>22</v>
      </c>
      <c r="U11" s="39" t="n">
        <v>44355</v>
      </c>
      <c r="V11" s="40" t="n">
        <v>0.375</v>
      </c>
      <c r="W11" s="41" t="n">
        <v>1</v>
      </c>
      <c r="X11" s="42" t="str">
        <f aca="false">VLOOKUP(W11,A_3_INPUT_CAMPI,2,0)</f>
        <v>Cristo Re 1</v>
      </c>
    </row>
    <row r="12" customFormat="false" ht="12.8" hidden="false" customHeight="false" outlineLevel="0" collapsed="false">
      <c r="D12" s="31" t="n">
        <v>10</v>
      </c>
      <c r="E12" s="16" t="str">
        <f aca="false">H12&amp;I12</f>
        <v>C2</v>
      </c>
      <c r="F12" s="32" t="s">
        <v>40</v>
      </c>
      <c r="G12" s="32"/>
      <c r="H12" s="33" t="s">
        <v>39</v>
      </c>
      <c r="I12" s="34" t="n">
        <v>2</v>
      </c>
      <c r="K12" s="31" t="n">
        <v>10</v>
      </c>
      <c r="L12" s="35" t="str">
        <f aca="false">"CAMPO "&amp;ROMAN(K12)</f>
        <v>CAMPO X</v>
      </c>
      <c r="N12" s="36" t="n">
        <v>10</v>
      </c>
      <c r="O12" s="33" t="str">
        <f aca="false">VLOOKUP(N12,B_PARTITE_GIRONI,2,0)</f>
        <v>Girone</v>
      </c>
      <c r="P12" s="21" t="str">
        <f aca="false">VLOOKUP(N12,B_PARTITE_GIRONI,3,0)</f>
        <v>B</v>
      </c>
      <c r="Q12" s="37" t="str">
        <f aca="false">VLOOKUP(N12,B_PARTITE_GIRONI,6,0)</f>
        <v>Giaguari</v>
      </c>
      <c r="R12" s="37" t="str">
        <f aca="false">VLOOKUP(N12,B_PARTITE_GIRONI,7,0)</f>
        <v>Linci</v>
      </c>
      <c r="S12" s="38" t="n">
        <v>56</v>
      </c>
      <c r="T12" s="38" t="n">
        <v>47</v>
      </c>
      <c r="U12" s="39" t="n">
        <v>44355</v>
      </c>
      <c r="V12" s="40" t="n">
        <v>0.375</v>
      </c>
      <c r="W12" s="41" t="n">
        <v>2</v>
      </c>
      <c r="X12" s="42" t="str">
        <f aca="false">VLOOKUP(W12,A_3_INPUT_CAMPI,2,0)</f>
        <v>Cristo Re 2</v>
      </c>
    </row>
    <row r="13" customFormat="false" ht="12.8" hidden="false" customHeight="false" outlineLevel="0" collapsed="false">
      <c r="D13" s="31" t="n">
        <v>11</v>
      </c>
      <c r="E13" s="16" t="str">
        <f aca="false">H13&amp;I13</f>
        <v>C3</v>
      </c>
      <c r="F13" s="32" t="s">
        <v>41</v>
      </c>
      <c r="G13" s="32"/>
      <c r="H13" s="33" t="s">
        <v>39</v>
      </c>
      <c r="I13" s="34" t="n">
        <v>3</v>
      </c>
      <c r="K13" s="31" t="n">
        <v>11</v>
      </c>
      <c r="L13" s="35" t="str">
        <f aca="false">"CAMPO "&amp;ROMAN(K13)</f>
        <v>CAMPO XI</v>
      </c>
      <c r="N13" s="36" t="n">
        <v>11</v>
      </c>
      <c r="O13" s="33" t="str">
        <f aca="false">VLOOKUP(N13,B_PARTITE_GIRONI,2,0)</f>
        <v>Girone</v>
      </c>
      <c r="P13" s="21" t="str">
        <f aca="false">VLOOKUP(N13,B_PARTITE_GIRONI,3,0)</f>
        <v>C</v>
      </c>
      <c r="Q13" s="37" t="str">
        <f aca="false">VLOOKUP(N13,B_PARTITE_GIRONI,6,0)</f>
        <v>Elefanti</v>
      </c>
      <c r="R13" s="37" t="str">
        <f aca="false">VLOOKUP(N13,B_PARTITE_GIRONI,7,0)</f>
        <v>Ippopotami</v>
      </c>
      <c r="S13" s="38" t="n">
        <v>66</v>
      </c>
      <c r="T13" s="38" t="n">
        <v>95</v>
      </c>
      <c r="U13" s="39" t="n">
        <v>44355</v>
      </c>
      <c r="V13" s="40" t="n">
        <v>0.375</v>
      </c>
      <c r="W13" s="41" t="n">
        <v>3</v>
      </c>
      <c r="X13" s="42" t="str">
        <f aca="false">VLOOKUP(W13,A_3_INPUT_CAMPI,2,0)</f>
        <v>Basket Giovane</v>
      </c>
    </row>
    <row r="14" customFormat="false" ht="12.8" hidden="false" customHeight="false" outlineLevel="0" collapsed="false">
      <c r="D14" s="31" t="n">
        <v>12</v>
      </c>
      <c r="E14" s="16" t="str">
        <f aca="false">H14&amp;I14</f>
        <v>C4</v>
      </c>
      <c r="F14" s="32" t="s">
        <v>42</v>
      </c>
      <c r="G14" s="32"/>
      <c r="H14" s="33" t="s">
        <v>39</v>
      </c>
      <c r="I14" s="34" t="n">
        <v>4</v>
      </c>
      <c r="K14" s="31" t="n">
        <v>12</v>
      </c>
      <c r="L14" s="35" t="str">
        <f aca="false">"CAMPO "&amp;ROMAN(K14)</f>
        <v>CAMPO XII</v>
      </c>
      <c r="N14" s="36" t="n">
        <v>12</v>
      </c>
      <c r="O14" s="33" t="str">
        <f aca="false">VLOOKUP(N14,B_PARTITE_GIRONI,2,0)</f>
        <v>Girone</v>
      </c>
      <c r="P14" s="21" t="str">
        <f aca="false">VLOOKUP(N14,B_PARTITE_GIRONI,3,0)</f>
        <v>D</v>
      </c>
      <c r="Q14" s="37" t="str">
        <f aca="false">VLOOKUP(N14,B_PARTITE_GIRONI,6,0)</f>
        <v>Coccodrilli</v>
      </c>
      <c r="R14" s="37" t="str">
        <f aca="false">VLOOKUP(N14,B_PARTITE_GIRONI,7,0)</f>
        <v>Aquile</v>
      </c>
      <c r="S14" s="38" t="n">
        <v>29</v>
      </c>
      <c r="T14" s="38" t="n">
        <v>39</v>
      </c>
      <c r="U14" s="39" t="n">
        <v>44355</v>
      </c>
      <c r="V14" s="40" t="n">
        <v>0.375</v>
      </c>
      <c r="W14" s="41" t="n">
        <v>4</v>
      </c>
      <c r="X14" s="42" t="str">
        <f aca="false">VLOOKUP(W14,A_3_INPUT_CAMPI,2,0)</f>
        <v>Nuova Scuola</v>
      </c>
    </row>
    <row r="15" customFormat="false" ht="12.8" hidden="false" customHeight="false" outlineLevel="0" collapsed="false">
      <c r="D15" s="31" t="n">
        <v>13</v>
      </c>
      <c r="E15" s="16" t="str">
        <f aca="false">H15&amp;I15</f>
        <v>D1</v>
      </c>
      <c r="F15" s="32" t="s">
        <v>43</v>
      </c>
      <c r="G15" s="32"/>
      <c r="H15" s="33" t="s">
        <v>44</v>
      </c>
      <c r="I15" s="34" t="n">
        <v>1</v>
      </c>
      <c r="K15" s="31" t="n">
        <v>13</v>
      </c>
      <c r="L15" s="35" t="str">
        <f aca="false">"CAMPO "&amp;ROMAN(K15)</f>
        <v>CAMPO XIII</v>
      </c>
      <c r="N15" s="36" t="n">
        <v>13</v>
      </c>
      <c r="O15" s="33" t="str">
        <f aca="false">VLOOKUP(N15,B_PARTITE_GIRONI,2,0)</f>
        <v>Girone</v>
      </c>
      <c r="P15" s="21" t="str">
        <f aca="false">VLOOKUP(N15,B_PARTITE_GIRONI,3,0)</f>
        <v>A</v>
      </c>
      <c r="Q15" s="37" t="str">
        <f aca="false">VLOOKUP(N15,B_PARTITE_GIRONI,6,0)</f>
        <v>Pantere</v>
      </c>
      <c r="R15" s="37" t="str">
        <f aca="false">VLOOKUP(N15,B_PARTITE_GIRONI,7,0)</f>
        <v>Ghepardi</v>
      </c>
      <c r="S15" s="38" t="n">
        <v>57</v>
      </c>
      <c r="T15" s="38" t="n">
        <v>21</v>
      </c>
      <c r="U15" s="39" t="n">
        <v>44355</v>
      </c>
      <c r="V15" s="40" t="n">
        <v>0.458333333333333</v>
      </c>
      <c r="W15" s="41" t="n">
        <v>1</v>
      </c>
      <c r="X15" s="42" t="str">
        <f aca="false">VLOOKUP(W15,A_3_INPUT_CAMPI,2,0)</f>
        <v>Cristo Re 1</v>
      </c>
    </row>
    <row r="16" customFormat="false" ht="12.8" hidden="false" customHeight="false" outlineLevel="0" collapsed="false">
      <c r="D16" s="31" t="n">
        <v>14</v>
      </c>
      <c r="E16" s="16" t="str">
        <f aca="false">H16&amp;I16</f>
        <v>D2</v>
      </c>
      <c r="F16" s="32" t="s">
        <v>45</v>
      </c>
      <c r="G16" s="32"/>
      <c r="H16" s="33" t="s">
        <v>44</v>
      </c>
      <c r="I16" s="34" t="n">
        <v>2</v>
      </c>
      <c r="K16" s="31" t="n">
        <v>14</v>
      </c>
      <c r="L16" s="35" t="str">
        <f aca="false">"CAMPO "&amp;ROMAN(K16)</f>
        <v>CAMPO XIV</v>
      </c>
      <c r="N16" s="36" t="n">
        <v>14</v>
      </c>
      <c r="O16" s="33" t="str">
        <f aca="false">VLOOKUP(N16,B_PARTITE_GIRONI,2,0)</f>
        <v>Girone</v>
      </c>
      <c r="P16" s="21" t="str">
        <f aca="false">VLOOKUP(N16,B_PARTITE_GIRONI,3,0)</f>
        <v>B</v>
      </c>
      <c r="Q16" s="37" t="str">
        <f aca="false">VLOOKUP(N16,B_PARTITE_GIRONI,6,0)</f>
        <v>Puma</v>
      </c>
      <c r="R16" s="37" t="str">
        <f aca="false">VLOOKUP(N16,B_PARTITE_GIRONI,7,0)</f>
        <v>Serval</v>
      </c>
      <c r="S16" s="38" t="n">
        <v>68</v>
      </c>
      <c r="T16" s="38" t="n">
        <v>45</v>
      </c>
      <c r="U16" s="39" t="n">
        <v>44355</v>
      </c>
      <c r="V16" s="40" t="n">
        <v>0.458333333333333</v>
      </c>
      <c r="W16" s="41" t="n">
        <v>2</v>
      </c>
      <c r="X16" s="42" t="str">
        <f aca="false">VLOOKUP(W16,A_3_INPUT_CAMPI,2,0)</f>
        <v>Cristo Re 2</v>
      </c>
    </row>
    <row r="17" customFormat="false" ht="12.8" hidden="false" customHeight="false" outlineLevel="0" collapsed="false">
      <c r="D17" s="31" t="n">
        <v>15</v>
      </c>
      <c r="E17" s="16" t="str">
        <f aca="false">H17&amp;I17</f>
        <v>D3</v>
      </c>
      <c r="F17" s="32" t="s">
        <v>46</v>
      </c>
      <c r="G17" s="32"/>
      <c r="H17" s="33" t="s">
        <v>44</v>
      </c>
      <c r="I17" s="34" t="n">
        <v>3</v>
      </c>
      <c r="K17" s="31" t="n">
        <v>15</v>
      </c>
      <c r="L17" s="35" t="str">
        <f aca="false">"CAMPO "&amp;ROMAN(K17)</f>
        <v>CAMPO XV</v>
      </c>
      <c r="N17" s="36" t="n">
        <v>15</v>
      </c>
      <c r="O17" s="33" t="str">
        <f aca="false">VLOOKUP(N17,B_PARTITE_GIRONI,2,0)</f>
        <v>Girone</v>
      </c>
      <c r="P17" s="21" t="str">
        <f aca="false">VLOOKUP(N17,B_PARTITE_GIRONI,3,0)</f>
        <v>C</v>
      </c>
      <c r="Q17" s="37" t="str">
        <f aca="false">VLOOKUP(N17,B_PARTITE_GIRONI,6,0)</f>
        <v>Giraffe</v>
      </c>
      <c r="R17" s="37" t="str">
        <f aca="false">VLOOKUP(N17,B_PARTITE_GIRONI,7,0)</f>
        <v>Iguane</v>
      </c>
      <c r="S17" s="38" t="n">
        <v>60</v>
      </c>
      <c r="T17" s="38" t="n">
        <v>34</v>
      </c>
      <c r="U17" s="39" t="n">
        <v>44355</v>
      </c>
      <c r="V17" s="40" t="n">
        <v>0.458333333333333</v>
      </c>
      <c r="W17" s="41" t="n">
        <v>3</v>
      </c>
      <c r="X17" s="42" t="str">
        <f aca="false">VLOOKUP(W17,A_3_INPUT_CAMPI,2,0)</f>
        <v>Basket Giovane</v>
      </c>
    </row>
    <row r="18" customFormat="false" ht="12.8" hidden="false" customHeight="false" outlineLevel="0" collapsed="false">
      <c r="D18" s="31" t="n">
        <v>16</v>
      </c>
      <c r="E18" s="16" t="str">
        <f aca="false">H18&amp;I18</f>
        <v>D4</v>
      </c>
      <c r="F18" s="32" t="s">
        <v>47</v>
      </c>
      <c r="G18" s="32"/>
      <c r="H18" s="33" t="s">
        <v>44</v>
      </c>
      <c r="I18" s="34" t="n">
        <v>4</v>
      </c>
      <c r="K18" s="31" t="n">
        <v>16</v>
      </c>
      <c r="L18" s="35" t="str">
        <f aca="false">"CAMPO "&amp;ROMAN(K18)</f>
        <v>CAMPO XVI</v>
      </c>
      <c r="N18" s="36" t="n">
        <v>16</v>
      </c>
      <c r="O18" s="33" t="str">
        <f aca="false">VLOOKUP(N18,B_PARTITE_GIRONI,2,0)</f>
        <v>Girone</v>
      </c>
      <c r="P18" s="21" t="str">
        <f aca="false">VLOOKUP(N18,B_PARTITE_GIRONI,3,0)</f>
        <v>D</v>
      </c>
      <c r="Q18" s="37" t="str">
        <f aca="false">VLOOKUP(N18,B_PARTITE_GIRONI,6,0)</f>
        <v>Pitoni</v>
      </c>
      <c r="R18" s="37" t="str">
        <f aca="false">VLOOKUP(N18,B_PARTITE_GIRONI,7,0)</f>
        <v>Falchi</v>
      </c>
      <c r="S18" s="38" t="n">
        <v>83</v>
      </c>
      <c r="T18" s="38" t="n">
        <v>57</v>
      </c>
      <c r="U18" s="39" t="n">
        <v>44355</v>
      </c>
      <c r="V18" s="40" t="n">
        <v>0.458333333333333</v>
      </c>
      <c r="W18" s="41" t="n">
        <v>4</v>
      </c>
      <c r="X18" s="42" t="str">
        <f aca="false">VLOOKUP(W18,A_3_INPUT_CAMPI,2,0)</f>
        <v>Nuova Scuola</v>
      </c>
    </row>
    <row r="19" customFormat="false" ht="12.8" hidden="false" customHeight="false" outlineLevel="0" collapsed="false">
      <c r="D19" s="31" t="n">
        <v>17</v>
      </c>
      <c r="E19" s="16" t="str">
        <f aca="false">H19&amp;I19</f>
        <v>E1</v>
      </c>
      <c r="F19" s="32" t="s">
        <v>48</v>
      </c>
      <c r="G19" s="32"/>
      <c r="H19" s="33" t="s">
        <v>49</v>
      </c>
      <c r="I19" s="34" t="n">
        <v>1</v>
      </c>
      <c r="K19" s="31" t="n">
        <v>17</v>
      </c>
      <c r="L19" s="35" t="str">
        <f aca="false">"CAMPO "&amp;ROMAN(K19)</f>
        <v>CAMPO XVII</v>
      </c>
      <c r="N19" s="36" t="n">
        <v>17</v>
      </c>
      <c r="O19" s="33" t="str">
        <f aca="false">VLOOKUP(N19,B_PARTITE_GIRONI,2,0)</f>
        <v>Girone</v>
      </c>
      <c r="P19" s="21" t="str">
        <f aca="false">VLOOKUP(N19,B_PARTITE_GIRONI,3,0)</f>
        <v>E</v>
      </c>
      <c r="Q19" s="37" t="str">
        <f aca="false">VLOOKUP(N19,B_PARTITE_GIRONI,6,0)</f>
        <v>Bisonti</v>
      </c>
      <c r="R19" s="37" t="str">
        <f aca="false">VLOOKUP(N19,B_PARTITE_GIRONI,7,0)</f>
        <v>Bufali</v>
      </c>
      <c r="S19" s="38" t="n">
        <v>34</v>
      </c>
      <c r="T19" s="38" t="n">
        <v>33</v>
      </c>
      <c r="U19" s="39" t="n">
        <v>44355</v>
      </c>
      <c r="V19" s="40" t="n">
        <v>0.645833333333333</v>
      </c>
      <c r="W19" s="41" t="n">
        <v>1</v>
      </c>
      <c r="X19" s="42" t="str">
        <f aca="false">VLOOKUP(W19,A_3_INPUT_CAMPI,2,0)</f>
        <v>Cristo Re 1</v>
      </c>
    </row>
    <row r="20" customFormat="false" ht="12.8" hidden="false" customHeight="false" outlineLevel="0" collapsed="false">
      <c r="D20" s="31" t="n">
        <v>18</v>
      </c>
      <c r="E20" s="16" t="str">
        <f aca="false">H20&amp;I20</f>
        <v>E2</v>
      </c>
      <c r="F20" s="32" t="s">
        <v>50</v>
      </c>
      <c r="G20" s="32"/>
      <c r="H20" s="33" t="s">
        <v>49</v>
      </c>
      <c r="I20" s="34" t="n">
        <v>2</v>
      </c>
      <c r="K20" s="31" t="n">
        <v>18</v>
      </c>
      <c r="L20" s="35" t="str">
        <f aca="false">"CAMPO "&amp;ROMAN(K20)</f>
        <v>CAMPO XVIII</v>
      </c>
      <c r="N20" s="36" t="n">
        <v>18</v>
      </c>
      <c r="O20" s="33" t="str">
        <f aca="false">VLOOKUP(N20,B_PARTITE_GIRONI,2,0)</f>
        <v>Girone</v>
      </c>
      <c r="P20" s="21" t="str">
        <f aca="false">VLOOKUP(N20,B_PARTITE_GIRONI,3,0)</f>
        <v>F</v>
      </c>
      <c r="Q20" s="37" t="str">
        <f aca="false">VLOOKUP(N20,B_PARTITE_GIRONI,6,0)</f>
        <v>Balene</v>
      </c>
      <c r="R20" s="37" t="str">
        <f aca="false">VLOOKUP(N20,B_PARTITE_GIRONI,7,0)</f>
        <v>Gabbiani</v>
      </c>
      <c r="S20" s="38" t="n">
        <v>34</v>
      </c>
      <c r="T20" s="38" t="n">
        <v>33</v>
      </c>
      <c r="U20" s="39" t="n">
        <v>44355</v>
      </c>
      <c r="V20" s="40" t="n">
        <v>0.645833333333333</v>
      </c>
      <c r="W20" s="41" t="n">
        <v>2</v>
      </c>
      <c r="X20" s="42" t="str">
        <f aca="false">VLOOKUP(W20,A_3_INPUT_CAMPI,2,0)</f>
        <v>Cristo Re 2</v>
      </c>
    </row>
    <row r="21" customFormat="false" ht="12.8" hidden="false" customHeight="false" outlineLevel="0" collapsed="false">
      <c r="D21" s="31" t="n">
        <v>19</v>
      </c>
      <c r="E21" s="16" t="str">
        <f aca="false">H21&amp;I21</f>
        <v>E3</v>
      </c>
      <c r="F21" s="32" t="s">
        <v>51</v>
      </c>
      <c r="G21" s="32"/>
      <c r="H21" s="33" t="s">
        <v>49</v>
      </c>
      <c r="I21" s="34" t="n">
        <v>3</v>
      </c>
      <c r="K21" s="31" t="n">
        <v>19</v>
      </c>
      <c r="L21" s="35" t="str">
        <f aca="false">"CAMPO "&amp;ROMAN(K21)</f>
        <v>CAMPO XIX</v>
      </c>
      <c r="N21" s="36" t="n">
        <v>19</v>
      </c>
      <c r="O21" s="33" t="str">
        <f aca="false">VLOOKUP(N21,B_PARTITE_GIRONI,2,0)</f>
        <v>Girone</v>
      </c>
      <c r="P21" s="21" t="str">
        <f aca="false">VLOOKUP(N21,B_PARTITE_GIRONI,3,0)</f>
        <v>G</v>
      </c>
      <c r="Q21" s="37" t="str">
        <f aca="false">VLOOKUP(N21,B_PARTITE_GIRONI,6,0)</f>
        <v>Istrici</v>
      </c>
      <c r="R21" s="37" t="str">
        <f aca="false">VLOOKUP(N21,B_PARTITE_GIRONI,7,0)</f>
        <v>Gorilla</v>
      </c>
      <c r="S21" s="38" t="n">
        <v>20</v>
      </c>
      <c r="T21" s="38" t="n">
        <v>0</v>
      </c>
      <c r="U21" s="39" t="n">
        <v>44355</v>
      </c>
      <c r="V21" s="40" t="n">
        <v>0.645833333333333</v>
      </c>
      <c r="W21" s="41" t="n">
        <v>3</v>
      </c>
      <c r="X21" s="42" t="str">
        <f aca="false">VLOOKUP(W21,A_3_INPUT_CAMPI,2,0)</f>
        <v>Basket Giovane</v>
      </c>
    </row>
    <row r="22" customFormat="false" ht="12.8" hidden="false" customHeight="false" outlineLevel="0" collapsed="false">
      <c r="D22" s="31" t="n">
        <v>20</v>
      </c>
      <c r="E22" s="16" t="str">
        <f aca="false">H22&amp;I22</f>
        <v>E4</v>
      </c>
      <c r="F22" s="32" t="s">
        <v>52</v>
      </c>
      <c r="G22" s="32"/>
      <c r="H22" s="33" t="s">
        <v>49</v>
      </c>
      <c r="I22" s="34" t="n">
        <v>4</v>
      </c>
      <c r="K22" s="31" t="n">
        <v>20</v>
      </c>
      <c r="L22" s="35" t="str">
        <f aca="false">"CAMPO "&amp;ROMAN(K22)</f>
        <v>CAMPO XX</v>
      </c>
      <c r="N22" s="36" t="n">
        <v>20</v>
      </c>
      <c r="O22" s="33" t="str">
        <f aca="false">VLOOKUP(N22,B_PARTITE_GIRONI,2,0)</f>
        <v>Girone</v>
      </c>
      <c r="P22" s="21" t="str">
        <f aca="false">VLOOKUP(N22,B_PARTITE_GIRONI,3,0)</f>
        <v>H</v>
      </c>
      <c r="Q22" s="37" t="str">
        <f aca="false">VLOOKUP(N22,B_PARTITE_GIRONI,6,0)</f>
        <v>Piranha</v>
      </c>
      <c r="R22" s="37" t="str">
        <f aca="false">VLOOKUP(N22,B_PARTITE_GIRONI,7,0)</f>
        <v>Scorpioni</v>
      </c>
      <c r="S22" s="38" t="n">
        <v>100</v>
      </c>
      <c r="T22" s="38" t="n">
        <v>83</v>
      </c>
      <c r="U22" s="39" t="n">
        <v>44355</v>
      </c>
      <c r="V22" s="40" t="n">
        <v>0.645833333333333</v>
      </c>
      <c r="W22" s="41" t="n">
        <v>4</v>
      </c>
      <c r="X22" s="42" t="str">
        <f aca="false">VLOOKUP(W22,A_3_INPUT_CAMPI,2,0)</f>
        <v>Nuova Scuola</v>
      </c>
    </row>
    <row r="23" customFormat="false" ht="12.8" hidden="false" customHeight="false" outlineLevel="0" collapsed="false">
      <c r="D23" s="31" t="n">
        <v>21</v>
      </c>
      <c r="E23" s="16" t="str">
        <f aca="false">H23&amp;I23</f>
        <v>F1</v>
      </c>
      <c r="F23" s="32" t="s">
        <v>53</v>
      </c>
      <c r="G23" s="32"/>
      <c r="H23" s="33" t="s">
        <v>54</v>
      </c>
      <c r="I23" s="34" t="n">
        <v>1</v>
      </c>
      <c r="K23" s="31" t="n">
        <v>21</v>
      </c>
      <c r="L23" s="35" t="str">
        <f aca="false">"CAMPO "&amp;ROMAN(K23)</f>
        <v>CAMPO XXI</v>
      </c>
      <c r="N23" s="36" t="n">
        <v>21</v>
      </c>
      <c r="O23" s="33" t="str">
        <f aca="false">VLOOKUP(N23,B_PARTITE_GIRONI,2,0)</f>
        <v>Girone</v>
      </c>
      <c r="P23" s="21" t="str">
        <f aca="false">VLOOKUP(N23,B_PARTITE_GIRONI,3,0)</f>
        <v>E</v>
      </c>
      <c r="Q23" s="37" t="str">
        <f aca="false">VLOOKUP(N23,B_PARTITE_GIRONI,6,0)</f>
        <v>Cervi</v>
      </c>
      <c r="R23" s="37" t="str">
        <f aca="false">VLOOKUP(N23,B_PARTITE_GIRONI,7,0)</f>
        <v>Cinghiali</v>
      </c>
      <c r="S23" s="38" t="n">
        <v>34</v>
      </c>
      <c r="T23" s="38" t="n">
        <v>33</v>
      </c>
      <c r="U23" s="39" t="n">
        <v>44355</v>
      </c>
      <c r="V23" s="40" t="n">
        <v>0.708333333333333</v>
      </c>
      <c r="W23" s="41" t="n">
        <v>1</v>
      </c>
      <c r="X23" s="42" t="str">
        <f aca="false">VLOOKUP(W23,A_3_INPUT_CAMPI,2,0)</f>
        <v>Cristo Re 1</v>
      </c>
    </row>
    <row r="24" customFormat="false" ht="12.8" hidden="false" customHeight="false" outlineLevel="0" collapsed="false">
      <c r="D24" s="31" t="n">
        <v>22</v>
      </c>
      <c r="E24" s="16" t="str">
        <f aca="false">H24&amp;I24</f>
        <v>F2</v>
      </c>
      <c r="F24" s="32" t="s">
        <v>55</v>
      </c>
      <c r="G24" s="32"/>
      <c r="H24" s="33" t="s">
        <v>54</v>
      </c>
      <c r="I24" s="34" t="n">
        <v>2</v>
      </c>
      <c r="K24" s="31" t="n">
        <v>22</v>
      </c>
      <c r="L24" s="35" t="str">
        <f aca="false">"CAMPO "&amp;ROMAN(K24)</f>
        <v>CAMPO XXII</v>
      </c>
      <c r="N24" s="36" t="n">
        <v>22</v>
      </c>
      <c r="O24" s="33" t="str">
        <f aca="false">VLOOKUP(N24,B_PARTITE_GIRONI,2,0)</f>
        <v>Girone</v>
      </c>
      <c r="P24" s="21" t="str">
        <f aca="false">VLOOKUP(N24,B_PARTITE_GIRONI,3,0)</f>
        <v>F</v>
      </c>
      <c r="Q24" s="37" t="str">
        <f aca="false">VLOOKUP(N24,B_PARTITE_GIRONI,6,0)</f>
        <v>Delfini</v>
      </c>
      <c r="R24" s="37" t="str">
        <f aca="false">VLOOKUP(N24,B_PARTITE_GIRONI,7,0)</f>
        <v>Fenicotteri</v>
      </c>
      <c r="S24" s="38" t="n">
        <v>34</v>
      </c>
      <c r="T24" s="38" t="n">
        <v>33</v>
      </c>
      <c r="U24" s="39" t="n">
        <v>44355</v>
      </c>
      <c r="V24" s="40" t="n">
        <v>0.708333333333333</v>
      </c>
      <c r="W24" s="41" t="n">
        <v>2</v>
      </c>
      <c r="X24" s="42" t="str">
        <f aca="false">VLOOKUP(W24,A_3_INPUT_CAMPI,2,0)</f>
        <v>Cristo Re 2</v>
      </c>
    </row>
    <row r="25" customFormat="false" ht="12.8" hidden="false" customHeight="false" outlineLevel="0" collapsed="false">
      <c r="D25" s="31" t="n">
        <v>23</v>
      </c>
      <c r="E25" s="16" t="str">
        <f aca="false">H25&amp;I25</f>
        <v>F3</v>
      </c>
      <c r="F25" s="32" t="s">
        <v>56</v>
      </c>
      <c r="G25" s="32"/>
      <c r="H25" s="33" t="s">
        <v>54</v>
      </c>
      <c r="I25" s="34" t="n">
        <v>3</v>
      </c>
      <c r="K25" s="31" t="n">
        <v>23</v>
      </c>
      <c r="L25" s="35" t="str">
        <f aca="false">"CAMPO "&amp;ROMAN(K25)</f>
        <v>CAMPO XXIII</v>
      </c>
      <c r="N25" s="36" t="n">
        <v>23</v>
      </c>
      <c r="O25" s="33" t="str">
        <f aca="false">VLOOKUP(N25,B_PARTITE_GIRONI,2,0)</f>
        <v>Girone</v>
      </c>
      <c r="P25" s="21" t="str">
        <f aca="false">VLOOKUP(N25,B_PARTITE_GIRONI,3,0)</f>
        <v>G</v>
      </c>
      <c r="Q25" s="37" t="str">
        <f aca="false">VLOOKUP(N25,B_PARTITE_GIRONI,6,0)</f>
        <v>Muli</v>
      </c>
      <c r="R25" s="37" t="str">
        <f aca="false">VLOOKUP(N25,B_PARTITE_GIRONI,7,0)</f>
        <v>Orche</v>
      </c>
      <c r="S25" s="38" t="n">
        <v>0</v>
      </c>
      <c r="T25" s="38" t="n">
        <v>20</v>
      </c>
      <c r="U25" s="39" t="n">
        <v>44355</v>
      </c>
      <c r="V25" s="40" t="n">
        <v>0.708333333333333</v>
      </c>
      <c r="W25" s="41" t="n">
        <v>3</v>
      </c>
      <c r="X25" s="42" t="str">
        <f aca="false">VLOOKUP(W25,A_3_INPUT_CAMPI,2,0)</f>
        <v>Basket Giovane</v>
      </c>
    </row>
    <row r="26" customFormat="false" ht="12.8" hidden="false" customHeight="false" outlineLevel="0" collapsed="false">
      <c r="D26" s="31" t="n">
        <v>24</v>
      </c>
      <c r="E26" s="16" t="str">
        <f aca="false">H26&amp;I26</f>
        <v>F4</v>
      </c>
      <c r="F26" s="32" t="s">
        <v>57</v>
      </c>
      <c r="G26" s="32"/>
      <c r="H26" s="33" t="s">
        <v>54</v>
      </c>
      <c r="I26" s="34" t="n">
        <v>4</v>
      </c>
      <c r="K26" s="31" t="n">
        <v>24</v>
      </c>
      <c r="L26" s="35" t="str">
        <f aca="false">"CAMPO "&amp;ROMAN(K26)</f>
        <v>CAMPO XXIV</v>
      </c>
      <c r="N26" s="36" t="n">
        <v>24</v>
      </c>
      <c r="O26" s="33" t="str">
        <f aca="false">VLOOKUP(N26,B_PARTITE_GIRONI,2,0)</f>
        <v>Girone</v>
      </c>
      <c r="P26" s="21" t="str">
        <f aca="false">VLOOKUP(N26,B_PARTITE_GIRONI,3,0)</f>
        <v>H</v>
      </c>
      <c r="Q26" s="37" t="str">
        <f aca="false">VLOOKUP(N26,B_PARTITE_GIRONI,6,0)</f>
        <v>Tonni</v>
      </c>
      <c r="R26" s="37" t="str">
        <f aca="false">VLOOKUP(N26,B_PARTITE_GIRONI,7,0)</f>
        <v>Zebre</v>
      </c>
      <c r="S26" s="38" t="n">
        <v>20</v>
      </c>
      <c r="T26" s="38" t="n">
        <v>0</v>
      </c>
      <c r="U26" s="39" t="n">
        <v>44355</v>
      </c>
      <c r="V26" s="40" t="n">
        <v>0.708333333333333</v>
      </c>
      <c r="W26" s="41" t="n">
        <v>4</v>
      </c>
      <c r="X26" s="42" t="str">
        <f aca="false">VLOOKUP(W26,A_3_INPUT_CAMPI,2,0)</f>
        <v>Nuova Scuola</v>
      </c>
    </row>
    <row r="27" customFormat="false" ht="12.8" hidden="false" customHeight="false" outlineLevel="0" collapsed="false">
      <c r="D27" s="31" t="n">
        <v>25</v>
      </c>
      <c r="E27" s="16" t="str">
        <f aca="false">H27&amp;I27</f>
        <v>G1</v>
      </c>
      <c r="F27" s="32" t="s">
        <v>58</v>
      </c>
      <c r="G27" s="32"/>
      <c r="H27" s="33" t="s">
        <v>59</v>
      </c>
      <c r="I27" s="34" t="n">
        <v>1</v>
      </c>
      <c r="K27" s="31" t="n">
        <v>25</v>
      </c>
      <c r="L27" s="35" t="str">
        <f aca="false">"CAMPO "&amp;ROMAN(K27)</f>
        <v>CAMPO XXV</v>
      </c>
      <c r="N27" s="36" t="n">
        <v>25</v>
      </c>
      <c r="O27" s="33" t="str">
        <f aca="false">VLOOKUP(N27,B_PARTITE_GIRONI,2,0)</f>
        <v>Girone</v>
      </c>
      <c r="P27" s="21" t="str">
        <f aca="false">VLOOKUP(N27,B_PARTITE_GIRONI,3,0)</f>
        <v>A</v>
      </c>
      <c r="Q27" s="37" t="str">
        <f aca="false">VLOOKUP(N27,B_PARTITE_GIRONI,6,0)</f>
        <v>Leoni</v>
      </c>
      <c r="R27" s="37" t="str">
        <f aca="false">VLOOKUP(N27,B_PARTITE_GIRONI,7,0)</f>
        <v>Ghepardi</v>
      </c>
      <c r="S27" s="38" t="n">
        <v>82</v>
      </c>
      <c r="T27" s="38" t="n">
        <v>25</v>
      </c>
      <c r="U27" s="39" t="n">
        <v>44355</v>
      </c>
      <c r="V27" s="40" t="n">
        <v>0.770833333333333</v>
      </c>
      <c r="W27" s="41" t="n">
        <v>1</v>
      </c>
      <c r="X27" s="42" t="str">
        <f aca="false">VLOOKUP(W27,A_3_INPUT_CAMPI,2,0)</f>
        <v>Cristo Re 1</v>
      </c>
    </row>
    <row r="28" customFormat="false" ht="12.8" hidden="false" customHeight="false" outlineLevel="0" collapsed="false">
      <c r="D28" s="31" t="n">
        <v>26</v>
      </c>
      <c r="E28" s="16" t="str">
        <f aca="false">H28&amp;I28</f>
        <v>G2</v>
      </c>
      <c r="F28" s="32" t="s">
        <v>60</v>
      </c>
      <c r="G28" s="32"/>
      <c r="H28" s="33" t="s">
        <v>59</v>
      </c>
      <c r="I28" s="34" t="n">
        <v>2</v>
      </c>
      <c r="K28" s="31" t="n">
        <v>26</v>
      </c>
      <c r="L28" s="35" t="str">
        <f aca="false">"CAMPO "&amp;ROMAN(K28)</f>
        <v>CAMPO XXVI</v>
      </c>
      <c r="N28" s="36" t="n">
        <v>26</v>
      </c>
      <c r="O28" s="33" t="str">
        <f aca="false">VLOOKUP(N28,B_PARTITE_GIRONI,2,0)</f>
        <v>Girone</v>
      </c>
      <c r="P28" s="21" t="str">
        <f aca="false">VLOOKUP(N28,B_PARTITE_GIRONI,3,0)</f>
        <v>B</v>
      </c>
      <c r="Q28" s="37" t="str">
        <f aca="false">VLOOKUP(N28,B_PARTITE_GIRONI,6,0)</f>
        <v>Giaguari</v>
      </c>
      <c r="R28" s="37" t="str">
        <f aca="false">VLOOKUP(N28,B_PARTITE_GIRONI,7,0)</f>
        <v>Serval</v>
      </c>
      <c r="S28" s="38" t="n">
        <v>76</v>
      </c>
      <c r="T28" s="38" t="n">
        <v>94</v>
      </c>
      <c r="U28" s="39" t="n">
        <v>44355</v>
      </c>
      <c r="V28" s="40" t="n">
        <v>0.770833333333333</v>
      </c>
      <c r="W28" s="41" t="n">
        <v>2</v>
      </c>
      <c r="X28" s="42" t="str">
        <f aca="false">VLOOKUP(W28,A_3_INPUT_CAMPI,2,0)</f>
        <v>Cristo Re 2</v>
      </c>
    </row>
    <row r="29" customFormat="false" ht="12.8" hidden="false" customHeight="false" outlineLevel="0" collapsed="false">
      <c r="D29" s="31" t="n">
        <v>27</v>
      </c>
      <c r="E29" s="16" t="str">
        <f aca="false">H29&amp;I29</f>
        <v>G3</v>
      </c>
      <c r="F29" s="32" t="s">
        <v>61</v>
      </c>
      <c r="G29" s="32"/>
      <c r="H29" s="33" t="s">
        <v>59</v>
      </c>
      <c r="I29" s="34" t="n">
        <v>3</v>
      </c>
      <c r="K29" s="31" t="n">
        <v>27</v>
      </c>
      <c r="L29" s="35" t="str">
        <f aca="false">"CAMPO "&amp;ROMAN(K29)</f>
        <v>CAMPO XXVII</v>
      </c>
      <c r="N29" s="36" t="n">
        <v>27</v>
      </c>
      <c r="O29" s="33" t="str">
        <f aca="false">VLOOKUP(N29,B_PARTITE_GIRONI,2,0)</f>
        <v>Girone</v>
      </c>
      <c r="P29" s="21" t="str">
        <f aca="false">VLOOKUP(N29,B_PARTITE_GIRONI,3,0)</f>
        <v>C</v>
      </c>
      <c r="Q29" s="37" t="str">
        <f aca="false">VLOOKUP(N29,B_PARTITE_GIRONI,6,0)</f>
        <v>Elefanti</v>
      </c>
      <c r="R29" s="37" t="str">
        <f aca="false">VLOOKUP(N29,B_PARTITE_GIRONI,7,0)</f>
        <v>Iguane</v>
      </c>
      <c r="S29" s="38" t="n">
        <v>57</v>
      </c>
      <c r="T29" s="38" t="n">
        <v>42</v>
      </c>
      <c r="U29" s="39" t="n">
        <v>44355</v>
      </c>
      <c r="V29" s="40" t="n">
        <v>0.770833333333333</v>
      </c>
      <c r="W29" s="41" t="n">
        <v>3</v>
      </c>
      <c r="X29" s="42" t="str">
        <f aca="false">VLOOKUP(W29,A_3_INPUT_CAMPI,2,0)</f>
        <v>Basket Giovane</v>
      </c>
    </row>
    <row r="30" customFormat="false" ht="12.8" hidden="false" customHeight="false" outlineLevel="0" collapsed="false">
      <c r="D30" s="31" t="n">
        <v>28</v>
      </c>
      <c r="E30" s="16" t="str">
        <f aca="false">H30&amp;I30</f>
        <v>G4</v>
      </c>
      <c r="F30" s="32" t="s">
        <v>62</v>
      </c>
      <c r="G30" s="32"/>
      <c r="H30" s="33" t="s">
        <v>59</v>
      </c>
      <c r="I30" s="34" t="n">
        <v>4</v>
      </c>
      <c r="K30" s="31" t="n">
        <v>28</v>
      </c>
      <c r="L30" s="35" t="str">
        <f aca="false">"CAMPO "&amp;ROMAN(K30)</f>
        <v>CAMPO XXVIII</v>
      </c>
      <c r="N30" s="36" t="n">
        <v>28</v>
      </c>
      <c r="O30" s="33" t="str">
        <f aca="false">VLOOKUP(N30,B_PARTITE_GIRONI,2,0)</f>
        <v>Girone</v>
      </c>
      <c r="P30" s="21" t="str">
        <f aca="false">VLOOKUP(N30,B_PARTITE_GIRONI,3,0)</f>
        <v>D</v>
      </c>
      <c r="Q30" s="37" t="str">
        <f aca="false">VLOOKUP(N30,B_PARTITE_GIRONI,6,0)</f>
        <v>Coccodrilli</v>
      </c>
      <c r="R30" s="37" t="str">
        <f aca="false">VLOOKUP(N30,B_PARTITE_GIRONI,7,0)</f>
        <v>Falchi</v>
      </c>
      <c r="S30" s="38" t="n">
        <v>54</v>
      </c>
      <c r="T30" s="38" t="n">
        <v>44</v>
      </c>
      <c r="U30" s="39" t="n">
        <v>44355</v>
      </c>
      <c r="V30" s="40" t="n">
        <v>0.770833333333333</v>
      </c>
      <c r="W30" s="41" t="n">
        <v>4</v>
      </c>
      <c r="X30" s="42" t="str">
        <f aca="false">VLOOKUP(W30,A_3_INPUT_CAMPI,2,0)</f>
        <v>Nuova Scuola</v>
      </c>
    </row>
    <row r="31" customFormat="false" ht="12.8" hidden="false" customHeight="false" outlineLevel="0" collapsed="false">
      <c r="D31" s="31" t="n">
        <v>29</v>
      </c>
      <c r="E31" s="16" t="str">
        <f aca="false">H31&amp;I31</f>
        <v>H1</v>
      </c>
      <c r="F31" s="32" t="s">
        <v>63</v>
      </c>
      <c r="G31" s="32"/>
      <c r="H31" s="33" t="s">
        <v>64</v>
      </c>
      <c r="I31" s="34" t="n">
        <v>1</v>
      </c>
      <c r="K31" s="31" t="n">
        <v>29</v>
      </c>
      <c r="L31" s="35" t="str">
        <f aca="false">"CAMPO "&amp;ROMAN(K31)</f>
        <v>CAMPO XXIX</v>
      </c>
      <c r="N31" s="36" t="n">
        <v>29</v>
      </c>
      <c r="O31" s="33" t="str">
        <f aca="false">VLOOKUP(N31,B_PARTITE_GIRONI,2,0)</f>
        <v>Girone</v>
      </c>
      <c r="P31" s="21" t="str">
        <f aca="false">VLOOKUP(N31,B_PARTITE_GIRONI,3,0)</f>
        <v>E</v>
      </c>
      <c r="Q31" s="37" t="str">
        <f aca="false">VLOOKUP(N31,B_PARTITE_GIRONI,6,0)</f>
        <v>Bisonti</v>
      </c>
      <c r="R31" s="37" t="str">
        <f aca="false">VLOOKUP(N31,B_PARTITE_GIRONI,7,0)</f>
        <v>Cervi</v>
      </c>
      <c r="S31" s="38" t="n">
        <v>33</v>
      </c>
      <c r="T31" s="38" t="n">
        <v>34</v>
      </c>
      <c r="U31" s="39" t="n">
        <v>44356</v>
      </c>
      <c r="V31" s="40" t="n">
        <v>0.375</v>
      </c>
      <c r="W31" s="41" t="n">
        <v>1</v>
      </c>
      <c r="X31" s="42" t="str">
        <f aca="false">VLOOKUP(W31,A_3_INPUT_CAMPI,2,0)</f>
        <v>Cristo Re 1</v>
      </c>
    </row>
    <row r="32" customFormat="false" ht="12.8" hidden="false" customHeight="false" outlineLevel="0" collapsed="false">
      <c r="D32" s="31" t="n">
        <v>30</v>
      </c>
      <c r="E32" s="16" t="str">
        <f aca="false">H32&amp;I32</f>
        <v>H2</v>
      </c>
      <c r="F32" s="32" t="s">
        <v>65</v>
      </c>
      <c r="G32" s="32"/>
      <c r="H32" s="33" t="s">
        <v>64</v>
      </c>
      <c r="I32" s="34" t="n">
        <v>2</v>
      </c>
      <c r="K32" s="31" t="n">
        <v>30</v>
      </c>
      <c r="L32" s="35" t="str">
        <f aca="false">"CAMPO "&amp;ROMAN(K32)</f>
        <v>CAMPO XXX</v>
      </c>
      <c r="N32" s="36" t="n">
        <v>30</v>
      </c>
      <c r="O32" s="33" t="str">
        <f aca="false">VLOOKUP(N32,B_PARTITE_GIRONI,2,0)</f>
        <v>Girone</v>
      </c>
      <c r="P32" s="21" t="str">
        <f aca="false">VLOOKUP(N32,B_PARTITE_GIRONI,3,0)</f>
        <v>F</v>
      </c>
      <c r="Q32" s="37" t="str">
        <f aca="false">VLOOKUP(N32,B_PARTITE_GIRONI,6,0)</f>
        <v>Balene</v>
      </c>
      <c r="R32" s="37" t="str">
        <f aca="false">VLOOKUP(N32,B_PARTITE_GIRONI,7,0)</f>
        <v>Delfini</v>
      </c>
      <c r="S32" s="38" t="n">
        <v>33</v>
      </c>
      <c r="T32" s="38" t="n">
        <v>34</v>
      </c>
      <c r="U32" s="39" t="n">
        <v>44356</v>
      </c>
      <c r="V32" s="40" t="n">
        <v>0.375</v>
      </c>
      <c r="W32" s="41" t="n">
        <v>2</v>
      </c>
      <c r="X32" s="42" t="str">
        <f aca="false">VLOOKUP(W32,A_3_INPUT_CAMPI,2,0)</f>
        <v>Cristo Re 2</v>
      </c>
    </row>
    <row r="33" customFormat="false" ht="12.8" hidden="false" customHeight="false" outlineLevel="0" collapsed="false">
      <c r="D33" s="31" t="n">
        <v>31</v>
      </c>
      <c r="E33" s="16" t="str">
        <f aca="false">H33&amp;I33</f>
        <v>H3</v>
      </c>
      <c r="F33" s="32" t="s">
        <v>66</v>
      </c>
      <c r="G33" s="32"/>
      <c r="H33" s="33" t="s">
        <v>64</v>
      </c>
      <c r="I33" s="34" t="n">
        <v>3</v>
      </c>
      <c r="K33" s="31" t="n">
        <v>31</v>
      </c>
      <c r="L33" s="35" t="str">
        <f aca="false">"CAMPO "&amp;ROMAN(K33)</f>
        <v>CAMPO XXXI</v>
      </c>
      <c r="N33" s="36" t="n">
        <v>31</v>
      </c>
      <c r="O33" s="33" t="str">
        <f aca="false">VLOOKUP(N33,B_PARTITE_GIRONI,2,0)</f>
        <v>Girone</v>
      </c>
      <c r="P33" s="21" t="str">
        <f aca="false">VLOOKUP(N33,B_PARTITE_GIRONI,3,0)</f>
        <v>G</v>
      </c>
      <c r="Q33" s="37" t="str">
        <f aca="false">VLOOKUP(N33,B_PARTITE_GIRONI,6,0)</f>
        <v>Istrici</v>
      </c>
      <c r="R33" s="37" t="str">
        <f aca="false">VLOOKUP(N33,B_PARTITE_GIRONI,7,0)</f>
        <v>Muli</v>
      </c>
      <c r="S33" s="38" t="n">
        <v>20</v>
      </c>
      <c r="T33" s="38" t="n">
        <v>0</v>
      </c>
      <c r="U33" s="39" t="n">
        <v>44356</v>
      </c>
      <c r="V33" s="40" t="n">
        <v>0.375</v>
      </c>
      <c r="W33" s="41" t="n">
        <v>3</v>
      </c>
      <c r="X33" s="42" t="str">
        <f aca="false">VLOOKUP(W33,A_3_INPUT_CAMPI,2,0)</f>
        <v>Basket Giovane</v>
      </c>
    </row>
    <row r="34" customFormat="false" ht="12.8" hidden="false" customHeight="false" outlineLevel="0" collapsed="false">
      <c r="D34" s="43" t="n">
        <v>32</v>
      </c>
      <c r="E34" s="16" t="str">
        <f aca="false">H34&amp;I34</f>
        <v>H4</v>
      </c>
      <c r="F34" s="44" t="s">
        <v>67</v>
      </c>
      <c r="G34" s="44"/>
      <c r="H34" s="45" t="s">
        <v>64</v>
      </c>
      <c r="I34" s="46" t="n">
        <v>4</v>
      </c>
      <c r="K34" s="43" t="n">
        <v>32</v>
      </c>
      <c r="L34" s="47" t="str">
        <f aca="false">"CAMPO "&amp;ROMAN(K34)</f>
        <v>CAMPO XXXII</v>
      </c>
      <c r="N34" s="36" t="n">
        <v>32</v>
      </c>
      <c r="O34" s="33" t="str">
        <f aca="false">VLOOKUP(N34,B_PARTITE_GIRONI,2,0)</f>
        <v>Girone</v>
      </c>
      <c r="P34" s="21" t="str">
        <f aca="false">VLOOKUP(N34,B_PARTITE_GIRONI,3,0)</f>
        <v>H</v>
      </c>
      <c r="Q34" s="37" t="str">
        <f aca="false">VLOOKUP(N34,B_PARTITE_GIRONI,6,0)</f>
        <v>Piranha</v>
      </c>
      <c r="R34" s="37" t="str">
        <f aca="false">VLOOKUP(N34,B_PARTITE_GIRONI,7,0)</f>
        <v>Tonni</v>
      </c>
      <c r="S34" s="38" t="n">
        <v>97</v>
      </c>
      <c r="T34" s="38" t="n">
        <v>78</v>
      </c>
      <c r="U34" s="39" t="n">
        <v>44356</v>
      </c>
      <c r="V34" s="40" t="n">
        <v>0.375</v>
      </c>
      <c r="W34" s="41" t="n">
        <v>4</v>
      </c>
      <c r="X34" s="42" t="str">
        <f aca="false">VLOOKUP(W34,A_3_INPUT_CAMPI,2,0)</f>
        <v>Nuova Scuola</v>
      </c>
    </row>
    <row r="35" customFormat="false" ht="12.8" hidden="false" customHeight="false" outlineLevel="0" collapsed="false">
      <c r="K35" s="48"/>
      <c r="N35" s="36" t="n">
        <v>33</v>
      </c>
      <c r="O35" s="33" t="str">
        <f aca="false">VLOOKUP(N35,B_PARTITE_GIRONI,2,0)</f>
        <v>Girone</v>
      </c>
      <c r="P35" s="21" t="str">
        <f aca="false">VLOOKUP(N35,B_PARTITE_GIRONI,3,0)</f>
        <v>E</v>
      </c>
      <c r="Q35" s="37" t="str">
        <f aca="false">VLOOKUP(N35,B_PARTITE_GIRONI,6,0)</f>
        <v>Bufali</v>
      </c>
      <c r="R35" s="37" t="str">
        <f aca="false">VLOOKUP(N35,B_PARTITE_GIRONI,7,0)</f>
        <v>Cinghiali</v>
      </c>
      <c r="S35" s="38" t="n">
        <v>35</v>
      </c>
      <c r="T35" s="38" t="n">
        <v>33</v>
      </c>
      <c r="U35" s="39" t="n">
        <v>44356</v>
      </c>
      <c r="V35" s="40" t="n">
        <v>0.458333333333333</v>
      </c>
      <c r="W35" s="41" t="n">
        <v>1</v>
      </c>
      <c r="X35" s="42" t="str">
        <f aca="false">VLOOKUP(W35,A_3_INPUT_CAMPI,2,0)</f>
        <v>Cristo Re 1</v>
      </c>
    </row>
    <row r="36" customFormat="false" ht="12.8" hidden="false" customHeight="false" outlineLevel="0" collapsed="false">
      <c r="N36" s="36" t="n">
        <v>34</v>
      </c>
      <c r="O36" s="33" t="str">
        <f aca="false">VLOOKUP(N36,B_PARTITE_GIRONI,2,0)</f>
        <v>Girone</v>
      </c>
      <c r="P36" s="21" t="str">
        <f aca="false">VLOOKUP(N36,B_PARTITE_GIRONI,3,0)</f>
        <v>F</v>
      </c>
      <c r="Q36" s="37" t="str">
        <f aca="false">VLOOKUP(N36,B_PARTITE_GIRONI,6,0)</f>
        <v>Gabbiani</v>
      </c>
      <c r="R36" s="37" t="str">
        <f aca="false">VLOOKUP(N36,B_PARTITE_GIRONI,7,0)</f>
        <v>Fenicotteri</v>
      </c>
      <c r="S36" s="38" t="n">
        <v>35</v>
      </c>
      <c r="T36" s="38" t="n">
        <v>34</v>
      </c>
      <c r="U36" s="39" t="n">
        <v>44356</v>
      </c>
      <c r="V36" s="40" t="n">
        <v>0.458333333333333</v>
      </c>
      <c r="W36" s="41" t="n">
        <v>2</v>
      </c>
      <c r="X36" s="42" t="str">
        <f aca="false">VLOOKUP(W36,A_3_INPUT_CAMPI,2,0)</f>
        <v>Cristo Re 2</v>
      </c>
    </row>
    <row r="37" customFormat="false" ht="12.8" hidden="false" customHeight="false" outlineLevel="0" collapsed="false">
      <c r="N37" s="36" t="n">
        <v>35</v>
      </c>
      <c r="O37" s="33" t="str">
        <f aca="false">VLOOKUP(N37,B_PARTITE_GIRONI,2,0)</f>
        <v>Girone</v>
      </c>
      <c r="P37" s="21" t="str">
        <f aca="false">VLOOKUP(N37,B_PARTITE_GIRONI,3,0)</f>
        <v>G</v>
      </c>
      <c r="Q37" s="37" t="str">
        <f aca="false">VLOOKUP(N37,B_PARTITE_GIRONI,6,0)</f>
        <v>Gorilla</v>
      </c>
      <c r="R37" s="37" t="str">
        <f aca="false">VLOOKUP(N37,B_PARTITE_GIRONI,7,0)</f>
        <v>Orche</v>
      </c>
      <c r="S37" s="38" t="n">
        <v>20</v>
      </c>
      <c r="T37" s="38" t="n">
        <v>0</v>
      </c>
      <c r="U37" s="39" t="n">
        <v>44356</v>
      </c>
      <c r="V37" s="40" t="n">
        <v>0.458333333333333</v>
      </c>
      <c r="W37" s="41" t="n">
        <v>3</v>
      </c>
      <c r="X37" s="42" t="str">
        <f aca="false">VLOOKUP(W37,A_3_INPUT_CAMPI,2,0)</f>
        <v>Basket Giovane</v>
      </c>
    </row>
    <row r="38" customFormat="false" ht="12.8" hidden="false" customHeight="false" outlineLevel="0" collapsed="false">
      <c r="N38" s="36" t="n">
        <v>36</v>
      </c>
      <c r="O38" s="33" t="str">
        <f aca="false">VLOOKUP(N38,B_PARTITE_GIRONI,2,0)</f>
        <v>Girone</v>
      </c>
      <c r="P38" s="21" t="str">
        <f aca="false">VLOOKUP(N38,B_PARTITE_GIRONI,3,0)</f>
        <v>H</v>
      </c>
      <c r="Q38" s="37" t="str">
        <f aca="false">VLOOKUP(N38,B_PARTITE_GIRONI,6,0)</f>
        <v>Scorpioni</v>
      </c>
      <c r="R38" s="37" t="str">
        <f aca="false">VLOOKUP(N38,B_PARTITE_GIRONI,7,0)</f>
        <v>Zebre</v>
      </c>
      <c r="S38" s="38" t="n">
        <v>74</v>
      </c>
      <c r="T38" s="38" t="n">
        <v>79</v>
      </c>
      <c r="U38" s="39" t="n">
        <v>44356</v>
      </c>
      <c r="V38" s="40" t="n">
        <v>0.458333333333333</v>
      </c>
      <c r="W38" s="41" t="n">
        <v>4</v>
      </c>
      <c r="X38" s="42" t="str">
        <f aca="false">VLOOKUP(W38,A_3_INPUT_CAMPI,2,0)</f>
        <v>Nuova Scuola</v>
      </c>
    </row>
    <row r="39" customFormat="false" ht="12.8" hidden="false" customHeight="false" outlineLevel="0" collapsed="false">
      <c r="N39" s="36" t="n">
        <v>37</v>
      </c>
      <c r="O39" s="33" t="str">
        <f aca="false">VLOOKUP(N39,B_PARTITE_GIRONI,2,0)</f>
        <v>Girone</v>
      </c>
      <c r="P39" s="21" t="str">
        <f aca="false">VLOOKUP(N39,B_PARTITE_GIRONI,3,0)</f>
        <v>A</v>
      </c>
      <c r="Q39" s="37" t="str">
        <f aca="false">VLOOKUP(N39,B_PARTITE_GIRONI,6,0)</f>
        <v>Pantere</v>
      </c>
      <c r="R39" s="37" t="str">
        <f aca="false">VLOOKUP(N39,B_PARTITE_GIRONI,7,0)</f>
        <v>Tigri</v>
      </c>
      <c r="S39" s="38" t="n">
        <v>93</v>
      </c>
      <c r="T39" s="38" t="n">
        <v>30</v>
      </c>
      <c r="U39" s="39" t="n">
        <v>44356</v>
      </c>
      <c r="V39" s="40" t="n">
        <v>0.645833333333333</v>
      </c>
      <c r="W39" s="41" t="n">
        <v>1</v>
      </c>
      <c r="X39" s="42" t="str">
        <f aca="false">VLOOKUP(W39,A_3_INPUT_CAMPI,2,0)</f>
        <v>Cristo Re 1</v>
      </c>
    </row>
    <row r="40" customFormat="false" ht="12.8" hidden="false" customHeight="false" outlineLevel="0" collapsed="false">
      <c r="A40" s="2" t="s">
        <v>68</v>
      </c>
      <c r="B40" s="2"/>
      <c r="N40" s="36" t="n">
        <v>38</v>
      </c>
      <c r="O40" s="33" t="str">
        <f aca="false">VLOOKUP(N40,B_PARTITE_GIRONI,2,0)</f>
        <v>Girone</v>
      </c>
      <c r="P40" s="21" t="str">
        <f aca="false">VLOOKUP(N40,B_PARTITE_GIRONI,3,0)</f>
        <v>B</v>
      </c>
      <c r="Q40" s="37" t="str">
        <f aca="false">VLOOKUP(N40,B_PARTITE_GIRONI,6,0)</f>
        <v>Puma</v>
      </c>
      <c r="R40" s="37" t="str">
        <f aca="false">VLOOKUP(N40,B_PARTITE_GIRONI,7,0)</f>
        <v>Linci</v>
      </c>
      <c r="S40" s="38" t="n">
        <v>97</v>
      </c>
      <c r="T40" s="38" t="n">
        <v>72</v>
      </c>
      <c r="U40" s="39" t="n">
        <v>44356</v>
      </c>
      <c r="V40" s="40" t="n">
        <v>0.645833333333333</v>
      </c>
      <c r="W40" s="41" t="n">
        <v>2</v>
      </c>
      <c r="X40" s="42" t="str">
        <f aca="false">VLOOKUP(W40,A_3_INPUT_CAMPI,2,0)</f>
        <v>Cristo Re 2</v>
      </c>
    </row>
    <row r="41" customFormat="false" ht="12.8" hidden="false" customHeight="false" outlineLevel="0" collapsed="false">
      <c r="A41" s="49" t="s">
        <v>69</v>
      </c>
      <c r="B41" s="50" t="s">
        <v>70</v>
      </c>
      <c r="N41" s="36" t="n">
        <v>39</v>
      </c>
      <c r="O41" s="33" t="str">
        <f aca="false">VLOOKUP(N41,B_PARTITE_GIRONI,2,0)</f>
        <v>Girone</v>
      </c>
      <c r="P41" s="21" t="str">
        <f aca="false">VLOOKUP(N41,B_PARTITE_GIRONI,3,0)</f>
        <v>C</v>
      </c>
      <c r="Q41" s="37" t="str">
        <f aca="false">VLOOKUP(N41,B_PARTITE_GIRONI,6,0)</f>
        <v>Giraffe</v>
      </c>
      <c r="R41" s="37" t="str">
        <f aca="false">VLOOKUP(N41,B_PARTITE_GIRONI,7,0)</f>
        <v>Ippopotami</v>
      </c>
      <c r="S41" s="38" t="n">
        <v>98</v>
      </c>
      <c r="T41" s="38" t="n">
        <v>49</v>
      </c>
      <c r="U41" s="39" t="n">
        <v>44356</v>
      </c>
      <c r="V41" s="40" t="n">
        <v>0.645833333333333</v>
      </c>
      <c r="W41" s="41" t="n">
        <v>3</v>
      </c>
      <c r="X41" s="42" t="str">
        <f aca="false">VLOOKUP(W41,A_3_INPUT_CAMPI,2,0)</f>
        <v>Basket Giovane</v>
      </c>
    </row>
    <row r="42" customFormat="false" ht="12.8" hidden="false" customHeight="false" outlineLevel="0" collapsed="false">
      <c r="A42" s="51" t="s">
        <v>71</v>
      </c>
      <c r="B42" s="50" t="s">
        <v>72</v>
      </c>
      <c r="N42" s="36" t="n">
        <v>40</v>
      </c>
      <c r="O42" s="33" t="str">
        <f aca="false">VLOOKUP(N42,B_PARTITE_GIRONI,2,0)</f>
        <v>Girone</v>
      </c>
      <c r="P42" s="21" t="str">
        <f aca="false">VLOOKUP(N42,B_PARTITE_GIRONI,3,0)</f>
        <v>D</v>
      </c>
      <c r="Q42" s="37" t="str">
        <f aca="false">VLOOKUP(N42,B_PARTITE_GIRONI,6,0)</f>
        <v>Pitoni</v>
      </c>
      <c r="R42" s="37" t="str">
        <f aca="false">VLOOKUP(N42,B_PARTITE_GIRONI,7,0)</f>
        <v>Aquile</v>
      </c>
      <c r="S42" s="38" t="n">
        <v>25</v>
      </c>
      <c r="T42" s="38" t="n">
        <v>15</v>
      </c>
      <c r="U42" s="39" t="n">
        <v>44356</v>
      </c>
      <c r="V42" s="40" t="n">
        <v>0.645833333333333</v>
      </c>
      <c r="W42" s="41" t="n">
        <v>4</v>
      </c>
      <c r="X42" s="42" t="str">
        <f aca="false">VLOOKUP(W42,A_3_INPUT_CAMPI,2,0)</f>
        <v>Nuova Scuola</v>
      </c>
    </row>
    <row r="43" customFormat="false" ht="12.8" hidden="false" customHeight="false" outlineLevel="0" collapsed="false">
      <c r="A43" s="52" t="s">
        <v>73</v>
      </c>
      <c r="B43" s="50" t="s">
        <v>74</v>
      </c>
      <c r="N43" s="36" t="n">
        <v>41</v>
      </c>
      <c r="O43" s="33" t="str">
        <f aca="false">VLOOKUP(N43,B_PARTITE_GIRONI,2,0)</f>
        <v>Girone</v>
      </c>
      <c r="P43" s="21" t="str">
        <f aca="false">VLOOKUP(N43,B_PARTITE_GIRONI,3,0)</f>
        <v>E</v>
      </c>
      <c r="Q43" s="37" t="str">
        <f aca="false">VLOOKUP(N43,B_PARTITE_GIRONI,6,0)</f>
        <v>Bisonti</v>
      </c>
      <c r="R43" s="37" t="str">
        <f aca="false">VLOOKUP(N43,B_PARTITE_GIRONI,7,0)</f>
        <v>Cinghiali</v>
      </c>
      <c r="S43" s="38" t="n">
        <v>36</v>
      </c>
      <c r="T43" s="38" t="n">
        <v>33</v>
      </c>
      <c r="U43" s="39" t="n">
        <v>44356</v>
      </c>
      <c r="V43" s="40" t="n">
        <v>0.708333333333333</v>
      </c>
      <c r="W43" s="41" t="n">
        <v>1</v>
      </c>
      <c r="X43" s="42" t="str">
        <f aca="false">VLOOKUP(W43,A_3_INPUT_CAMPI,2,0)</f>
        <v>Cristo Re 1</v>
      </c>
    </row>
    <row r="44" customFormat="false" ht="12.8" hidden="false" customHeight="false" outlineLevel="0" collapsed="false">
      <c r="A44" s="53" t="s">
        <v>75</v>
      </c>
      <c r="B44" s="50" t="s">
        <v>76</v>
      </c>
      <c r="N44" s="36" t="n">
        <v>42</v>
      </c>
      <c r="O44" s="33" t="str">
        <f aca="false">VLOOKUP(N44,B_PARTITE_GIRONI,2,0)</f>
        <v>Girone</v>
      </c>
      <c r="P44" s="21" t="str">
        <f aca="false">VLOOKUP(N44,B_PARTITE_GIRONI,3,0)</f>
        <v>F</v>
      </c>
      <c r="Q44" s="37" t="str">
        <f aca="false">VLOOKUP(N44,B_PARTITE_GIRONI,6,0)</f>
        <v>Balene</v>
      </c>
      <c r="R44" s="37" t="str">
        <f aca="false">VLOOKUP(N44,B_PARTITE_GIRONI,7,0)</f>
        <v>Fenicotteri</v>
      </c>
      <c r="S44" s="38" t="n">
        <v>36</v>
      </c>
      <c r="T44" s="38" t="n">
        <v>35</v>
      </c>
      <c r="U44" s="39" t="n">
        <v>44356</v>
      </c>
      <c r="V44" s="40" t="n">
        <v>0.708333333333333</v>
      </c>
      <c r="W44" s="41" t="n">
        <v>2</v>
      </c>
      <c r="X44" s="42" t="str">
        <f aca="false">VLOOKUP(W44,A_3_INPUT_CAMPI,2,0)</f>
        <v>Cristo Re 2</v>
      </c>
    </row>
    <row r="45" customFormat="false" ht="12.8" hidden="false" customHeight="false" outlineLevel="0" collapsed="false">
      <c r="A45" s="54" t="s">
        <v>77</v>
      </c>
      <c r="B45" s="50" t="s">
        <v>78</v>
      </c>
      <c r="N45" s="36" t="n">
        <v>43</v>
      </c>
      <c r="O45" s="33" t="str">
        <f aca="false">VLOOKUP(N45,B_PARTITE_GIRONI,2,0)</f>
        <v>Girone</v>
      </c>
      <c r="P45" s="21" t="str">
        <f aca="false">VLOOKUP(N45,B_PARTITE_GIRONI,3,0)</f>
        <v>G</v>
      </c>
      <c r="Q45" s="37" t="str">
        <f aca="false">VLOOKUP(N45,B_PARTITE_GIRONI,6,0)</f>
        <v>Istrici</v>
      </c>
      <c r="R45" s="37" t="str">
        <f aca="false">VLOOKUP(N45,B_PARTITE_GIRONI,7,0)</f>
        <v>Orche</v>
      </c>
      <c r="S45" s="38" t="n">
        <v>20</v>
      </c>
      <c r="T45" s="38" t="n">
        <v>0</v>
      </c>
      <c r="U45" s="39" t="n">
        <v>44356</v>
      </c>
      <c r="V45" s="40" t="n">
        <v>0.708333333333333</v>
      </c>
      <c r="W45" s="41" t="n">
        <v>3</v>
      </c>
      <c r="X45" s="42" t="str">
        <f aca="false">VLOOKUP(W45,A_3_INPUT_CAMPI,2,0)</f>
        <v>Basket Giovane</v>
      </c>
    </row>
    <row r="46" customFormat="false" ht="12.8" hidden="false" customHeight="false" outlineLevel="0" collapsed="false">
      <c r="A46" s="55" t="s">
        <v>79</v>
      </c>
      <c r="B46" s="50" t="s">
        <v>80</v>
      </c>
      <c r="N46" s="36" t="n">
        <v>44</v>
      </c>
      <c r="O46" s="33" t="str">
        <f aca="false">VLOOKUP(N46,B_PARTITE_GIRONI,2,0)</f>
        <v>Girone</v>
      </c>
      <c r="P46" s="21" t="str">
        <f aca="false">VLOOKUP(N46,B_PARTITE_GIRONI,3,0)</f>
        <v>H</v>
      </c>
      <c r="Q46" s="37" t="str">
        <f aca="false">VLOOKUP(N46,B_PARTITE_GIRONI,6,0)</f>
        <v>Piranha</v>
      </c>
      <c r="R46" s="37" t="str">
        <f aca="false">VLOOKUP(N46,B_PARTITE_GIRONI,7,0)</f>
        <v>Zebre</v>
      </c>
      <c r="S46" s="38" t="n">
        <v>65</v>
      </c>
      <c r="T46" s="38" t="n">
        <v>13</v>
      </c>
      <c r="U46" s="39" t="n">
        <v>44356</v>
      </c>
      <c r="V46" s="40" t="n">
        <v>0.708333333333333</v>
      </c>
      <c r="W46" s="41" t="n">
        <v>4</v>
      </c>
      <c r="X46" s="42" t="str">
        <f aca="false">VLOOKUP(W46,A_3_INPUT_CAMPI,2,0)</f>
        <v>Nuova Scuola</v>
      </c>
    </row>
    <row r="47" customFormat="false" ht="12.8" hidden="false" customHeight="false" outlineLevel="0" collapsed="false">
      <c r="A47" s="56" t="s">
        <v>81</v>
      </c>
      <c r="B47" s="50" t="s">
        <v>82</v>
      </c>
      <c r="N47" s="36" t="n">
        <v>45</v>
      </c>
      <c r="O47" s="33" t="str">
        <f aca="false">VLOOKUP(N47,B_PARTITE_GIRONI,2,0)</f>
        <v>Girone</v>
      </c>
      <c r="P47" s="21" t="str">
        <f aca="false">VLOOKUP(N47,B_PARTITE_GIRONI,3,0)</f>
        <v>E</v>
      </c>
      <c r="Q47" s="37" t="str">
        <f aca="false">VLOOKUP(N47,B_PARTITE_GIRONI,6,0)</f>
        <v>Bufali</v>
      </c>
      <c r="R47" s="37" t="str">
        <f aca="false">VLOOKUP(N47,B_PARTITE_GIRONI,7,0)</f>
        <v>Cervi</v>
      </c>
      <c r="S47" s="38" t="n">
        <v>34</v>
      </c>
      <c r="T47" s="38" t="n">
        <v>33</v>
      </c>
      <c r="U47" s="39" t="n">
        <v>44356</v>
      </c>
      <c r="V47" s="40" t="n">
        <v>0.770833333333333</v>
      </c>
      <c r="W47" s="41" t="n">
        <v>1</v>
      </c>
      <c r="X47" s="42" t="str">
        <f aca="false">VLOOKUP(W47,A_3_INPUT_CAMPI,2,0)</f>
        <v>Cristo Re 1</v>
      </c>
    </row>
    <row r="48" customFormat="false" ht="12.8" hidden="false" customHeight="false" outlineLevel="0" collapsed="false">
      <c r="A48" s="57" t="s">
        <v>83</v>
      </c>
      <c r="B48" s="50" t="s">
        <v>84</v>
      </c>
      <c r="N48" s="36" t="n">
        <v>46</v>
      </c>
      <c r="O48" s="33" t="str">
        <f aca="false">VLOOKUP(N48,B_PARTITE_GIRONI,2,0)</f>
        <v>Girone</v>
      </c>
      <c r="P48" s="21" t="str">
        <f aca="false">VLOOKUP(N48,B_PARTITE_GIRONI,3,0)</f>
        <v>F</v>
      </c>
      <c r="Q48" s="37" t="str">
        <f aca="false">VLOOKUP(N48,B_PARTITE_GIRONI,6,0)</f>
        <v>Gabbiani</v>
      </c>
      <c r="R48" s="37" t="str">
        <f aca="false">VLOOKUP(N48,B_PARTITE_GIRONI,7,0)</f>
        <v>Delfini</v>
      </c>
      <c r="S48" s="38" t="n">
        <v>34</v>
      </c>
      <c r="T48" s="38" t="n">
        <v>33</v>
      </c>
      <c r="U48" s="39" t="n">
        <v>44356</v>
      </c>
      <c r="V48" s="40" t="n">
        <v>0.770833333333333</v>
      </c>
      <c r="W48" s="41" t="n">
        <v>2</v>
      </c>
      <c r="X48" s="42" t="str">
        <f aca="false">VLOOKUP(W48,A_3_INPUT_CAMPI,2,0)</f>
        <v>Cristo Re 2</v>
      </c>
    </row>
    <row r="49" customFormat="false" ht="12.8" hidden="false" customHeight="false" outlineLevel="0" collapsed="false">
      <c r="A49" s="58" t="s">
        <v>85</v>
      </c>
      <c r="B49" s="50" t="s">
        <v>86</v>
      </c>
      <c r="N49" s="36" t="n">
        <v>47</v>
      </c>
      <c r="O49" s="33" t="str">
        <f aca="false">VLOOKUP(N49,B_PARTITE_GIRONI,2,0)</f>
        <v>Girone</v>
      </c>
      <c r="P49" s="21" t="str">
        <f aca="false">VLOOKUP(N49,B_PARTITE_GIRONI,3,0)</f>
        <v>G</v>
      </c>
      <c r="Q49" s="37" t="str">
        <f aca="false">VLOOKUP(N49,B_PARTITE_GIRONI,6,0)</f>
        <v>Gorilla</v>
      </c>
      <c r="R49" s="37" t="str">
        <f aca="false">VLOOKUP(N49,B_PARTITE_GIRONI,7,0)</f>
        <v>Muli</v>
      </c>
      <c r="S49" s="38" t="n">
        <v>20</v>
      </c>
      <c r="T49" s="38" t="n">
        <v>0</v>
      </c>
      <c r="U49" s="39" t="n">
        <v>44356</v>
      </c>
      <c r="V49" s="40" t="n">
        <v>0.770833333333333</v>
      </c>
      <c r="W49" s="41" t="n">
        <v>3</v>
      </c>
      <c r="X49" s="42" t="str">
        <f aca="false">VLOOKUP(W49,A_3_INPUT_CAMPI,2,0)</f>
        <v>Basket Giovane</v>
      </c>
    </row>
    <row r="50" customFormat="false" ht="12.8" hidden="false" customHeight="false" outlineLevel="0" collapsed="false">
      <c r="A50" s="59" t="s">
        <v>87</v>
      </c>
      <c r="B50" s="50" t="s">
        <v>88</v>
      </c>
      <c r="N50" s="29" t="n">
        <v>48</v>
      </c>
      <c r="O50" s="45" t="str">
        <f aca="false">VLOOKUP(N50,B_PARTITE_GIRONI,2,0)</f>
        <v>Girone</v>
      </c>
      <c r="P50" s="21" t="str">
        <f aca="false">VLOOKUP(N50,B_PARTITE_GIRONI,3,0)</f>
        <v>H</v>
      </c>
      <c r="Q50" s="60" t="str">
        <f aca="false">VLOOKUP(N50,B_PARTITE_GIRONI,6,0)</f>
        <v>Scorpioni</v>
      </c>
      <c r="R50" s="60" t="str">
        <f aca="false">VLOOKUP(N50,B_PARTITE_GIRONI,7,0)</f>
        <v>Tonni</v>
      </c>
      <c r="S50" s="61" t="n">
        <v>54</v>
      </c>
      <c r="T50" s="61" t="n">
        <v>48</v>
      </c>
      <c r="U50" s="62" t="n">
        <v>44356</v>
      </c>
      <c r="V50" s="63" t="n">
        <v>0.770833333333333</v>
      </c>
      <c r="W50" s="64" t="n">
        <v>4</v>
      </c>
      <c r="X50" s="65" t="str">
        <f aca="false">VLOOKUP(W50,A_3_INPUT_CAMPI,2,0)</f>
        <v>Nuova Scuola</v>
      </c>
    </row>
    <row r="51" customFormat="false" ht="12.8" hidden="false" customHeight="false" outlineLevel="0" collapsed="false">
      <c r="A51" s="66" t="s">
        <v>89</v>
      </c>
      <c r="B51" s="50" t="s">
        <v>90</v>
      </c>
    </row>
  </sheetData>
  <mergeCells count="5">
    <mergeCell ref="A1:B1"/>
    <mergeCell ref="D1:I1"/>
    <mergeCell ref="K1:L1"/>
    <mergeCell ref="N1:X1"/>
    <mergeCell ref="A40:B40"/>
  </mergeCells>
  <conditionalFormatting sqref="H3:H34 O3:P50">
    <cfRule type="cellIs" priority="2" operator="equal" aboveAverage="0" equalAverage="0" bottom="0" percent="0" rank="0" text="" dxfId="0">
      <formula>"A"</formula>
    </cfRule>
  </conditionalFormatting>
  <conditionalFormatting sqref="H3:H34 O3:P50">
    <cfRule type="cellIs" priority="3" operator="equal" aboveAverage="0" equalAverage="0" bottom="0" percent="0" rank="0" text="" dxfId="1">
      <formula>"B"</formula>
    </cfRule>
  </conditionalFormatting>
  <conditionalFormatting sqref="H3:H34 O3:P50">
    <cfRule type="cellIs" priority="4" operator="equal" aboveAverage="0" equalAverage="0" bottom="0" percent="0" rank="0" text="" dxfId="2">
      <formula>"C"</formula>
    </cfRule>
  </conditionalFormatting>
  <conditionalFormatting sqref="H3:H34 O3:P50">
    <cfRule type="cellIs" priority="5" operator="equal" aboveAverage="0" equalAverage="0" bottom="0" percent="0" rank="0" text="" dxfId="3">
      <formula>"D"</formula>
    </cfRule>
  </conditionalFormatting>
  <conditionalFormatting sqref="H3:H34 O3:P50">
    <cfRule type="cellIs" priority="6" operator="equal" aboveAverage="0" equalAverage="0" bottom="0" percent="0" rank="0" text="" dxfId="4">
      <formula>"E"</formula>
    </cfRule>
  </conditionalFormatting>
  <conditionalFormatting sqref="H3:H34 O3:P50">
    <cfRule type="cellIs" priority="7" operator="equal" aboveAverage="0" equalAverage="0" bottom="0" percent="0" rank="0" text="" dxfId="5">
      <formula>"F"</formula>
    </cfRule>
  </conditionalFormatting>
  <conditionalFormatting sqref="H3:H34 O3:P50">
    <cfRule type="cellIs" priority="8" operator="equal" aboveAverage="0" equalAverage="0" bottom="0" percent="0" rank="0" text="" dxfId="6">
      <formula>"G"</formula>
    </cfRule>
  </conditionalFormatting>
  <conditionalFormatting sqref="H3:H34 O3:P50">
    <cfRule type="cellIs" priority="9" operator="equal" aboveAverage="0" equalAverage="0" bottom="0" percent="0" rank="0" text="" dxfId="7">
      <formula>"H"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colBreaks count="3" manualBreakCount="3">
    <brk id="3" man="true" max="65535" min="0"/>
    <brk id="10" man="true" max="65535" min="0"/>
    <brk id="13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50"/>
  <sheetViews>
    <sheetView showFormulas="false" showGridLines="false" showRowColHeaders="true" showZeros="true" rightToLeft="false" tabSelected="true" showOutlineSymbols="true" defaultGridColor="true" view="normal" topLeftCell="S1" colorId="64" zoomScale="140" zoomScaleNormal="140" zoomScalePageLayoutView="100" workbookViewId="0">
      <selection pane="topLeft" activeCell="AB34" activeCellId="0" sqref="AB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8"/>
    <col collapsed="false" customWidth="true" hidden="false" outlineLevel="0" max="2" min="2" style="67" width="7.16"/>
    <col collapsed="false" customWidth="true" hidden="false" outlineLevel="0" max="3" min="3" style="67" width="7.56"/>
    <col collapsed="false" customWidth="true" hidden="false" outlineLevel="0" max="5" min="4" style="0" width="7.86"/>
    <col collapsed="false" customWidth="true" hidden="false" outlineLevel="0" max="7" min="6" style="0" width="11.04"/>
    <col collapsed="false" customWidth="true" hidden="false" outlineLevel="0" max="9" min="8" style="0" width="9.55"/>
    <col collapsed="false" customWidth="true" hidden="false" outlineLevel="0" max="11" min="10" style="0" width="10.93"/>
    <col collapsed="false" customWidth="true" hidden="false" outlineLevel="0" max="12" min="12" style="0" width="6.08"/>
    <col collapsed="false" customWidth="true" hidden="false" outlineLevel="0" max="13" min="13" style="0" width="6.67"/>
    <col collapsed="false" customWidth="true" hidden="false" outlineLevel="0" max="14" min="14" style="0" width="7.26"/>
    <col collapsed="false" customWidth="true" hidden="false" outlineLevel="0" max="15" min="15" style="0" width="7.66"/>
    <col collapsed="false" customWidth="true" hidden="false" outlineLevel="0" max="16" min="16" style="0" width="8.95"/>
    <col collapsed="false" customWidth="true" hidden="false" outlineLevel="0" max="17" min="17" style="0" width="10.64"/>
    <col collapsed="false" customWidth="true" hidden="false" outlineLevel="0" max="18" min="18" style="0" width="6.08"/>
    <col collapsed="false" customWidth="true" hidden="false" outlineLevel="0" max="19" min="19" style="0" width="6.67"/>
    <col collapsed="false" customWidth="true" hidden="false" outlineLevel="0" max="20" min="20" style="0" width="7.26"/>
    <col collapsed="false" customWidth="true" hidden="false" outlineLevel="0" max="21" min="21" style="0" width="7.66"/>
    <col collapsed="false" customWidth="true" hidden="false" outlineLevel="0" max="22" min="22" style="0" width="8.95"/>
    <col collapsed="false" customWidth="true" hidden="false" outlineLevel="0" max="23" min="23" style="0" width="10.64"/>
    <col collapsed="false" customWidth="true" hidden="false" outlineLevel="0" max="25" min="25" style="0" width="6.96"/>
    <col collapsed="false" customWidth="true" hidden="false" outlineLevel="0" max="26" min="26" style="0" width="7.56"/>
    <col collapsed="false" customWidth="true" hidden="false" outlineLevel="0" max="27" min="27" style="0" width="9.15"/>
    <col collapsed="false" customWidth="true" hidden="false" outlineLevel="0" max="28" min="28" style="0" width="10.93"/>
    <col collapsed="false" customWidth="true" hidden="false" outlineLevel="0" max="29" min="29" style="0" width="8.46"/>
    <col collapsed="false" customWidth="true" hidden="false" outlineLevel="0" max="30" min="30" style="0" width="5.97"/>
    <col collapsed="false" customWidth="true" hidden="false" outlineLevel="0" max="31" min="31" style="0" width="6.67"/>
    <col collapsed="false" customWidth="true" hidden="false" outlineLevel="0" max="32" min="32" style="0" width="7.26"/>
    <col collapsed="false" customWidth="true" hidden="false" outlineLevel="0" max="33" min="33" style="0" width="7.07"/>
    <col collapsed="false" customWidth="true" hidden="false" outlineLevel="0" max="34" min="34" style="0" width="6.17"/>
    <col collapsed="false" customWidth="true" hidden="false" outlineLevel="0" max="35" min="35" style="0" width="6.67"/>
    <col collapsed="false" customWidth="true" hidden="false" outlineLevel="0" max="36" min="36" style="0" width="6.17"/>
    <col collapsed="false" customWidth="true" hidden="false" outlineLevel="0" max="39" min="37" style="0" width="8.66"/>
    <col collapsed="false" customWidth="true" hidden="false" outlineLevel="0" max="40" min="40" style="0" width="7.86"/>
    <col collapsed="false" customWidth="true" hidden="false" outlineLevel="0" max="43" min="41" style="0" width="8.66"/>
    <col collapsed="false" customWidth="true" hidden="false" outlineLevel="0" max="44" min="44" style="0" width="8.26"/>
    <col collapsed="false" customWidth="true" hidden="false" outlineLevel="0" max="45" min="45" style="0" width="16.1"/>
  </cols>
  <sheetData>
    <row r="1" customFormat="false" ht="12.8" hidden="false" customHeight="false" outlineLevel="0" collapsed="false">
      <c r="A1" s="68" t="s">
        <v>91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AH1" s="48"/>
      <c r="AJ1" s="48"/>
      <c r="AN1" s="48"/>
      <c r="AR1" s="48"/>
    </row>
    <row r="2" customFormat="false" ht="57.3" hidden="false" customHeight="false" outlineLevel="0" collapsed="false">
      <c r="A2" s="9" t="s">
        <v>11</v>
      </c>
      <c r="B2" s="10" t="s">
        <v>92</v>
      </c>
      <c r="C2" s="10" t="s">
        <v>93</v>
      </c>
      <c r="D2" s="10" t="s">
        <v>94</v>
      </c>
      <c r="E2" s="10" t="s">
        <v>95</v>
      </c>
      <c r="F2" s="6" t="s">
        <v>96</v>
      </c>
      <c r="G2" s="6" t="s">
        <v>97</v>
      </c>
      <c r="H2" s="10" t="s">
        <v>15</v>
      </c>
      <c r="I2" s="10" t="s">
        <v>16</v>
      </c>
      <c r="J2" s="69" t="s">
        <v>98</v>
      </c>
      <c r="K2" s="69" t="s">
        <v>99</v>
      </c>
      <c r="L2" s="10" t="s">
        <v>100</v>
      </c>
      <c r="M2" s="10" t="s">
        <v>101</v>
      </c>
      <c r="N2" s="10" t="s">
        <v>102</v>
      </c>
      <c r="O2" s="10" t="s">
        <v>103</v>
      </c>
      <c r="P2" s="10" t="s">
        <v>104</v>
      </c>
      <c r="Q2" s="10" t="s">
        <v>105</v>
      </c>
      <c r="R2" s="10" t="s">
        <v>106</v>
      </c>
      <c r="S2" s="10" t="s">
        <v>107</v>
      </c>
      <c r="T2" s="10" t="s">
        <v>108</v>
      </c>
      <c r="U2" s="10" t="s">
        <v>109</v>
      </c>
      <c r="V2" s="10" t="s">
        <v>110</v>
      </c>
      <c r="W2" s="70" t="s">
        <v>111</v>
      </c>
      <c r="Y2" s="5" t="s">
        <v>112</v>
      </c>
      <c r="Z2" s="7" t="s">
        <v>9</v>
      </c>
      <c r="AA2" s="10" t="s">
        <v>113</v>
      </c>
      <c r="AB2" s="71" t="s">
        <v>114</v>
      </c>
      <c r="AC2" s="6" t="s">
        <v>115</v>
      </c>
      <c r="AD2" s="7" t="s">
        <v>116</v>
      </c>
      <c r="AE2" s="7" t="s">
        <v>117</v>
      </c>
      <c r="AF2" s="7" t="s">
        <v>118</v>
      </c>
      <c r="AG2" s="72" t="s">
        <v>119</v>
      </c>
      <c r="AH2" s="73" t="s">
        <v>120</v>
      </c>
      <c r="AI2" s="10" t="s">
        <v>121</v>
      </c>
      <c r="AJ2" s="73" t="s">
        <v>122</v>
      </c>
      <c r="AK2" s="10" t="s">
        <v>123</v>
      </c>
      <c r="AL2" s="10" t="s">
        <v>124</v>
      </c>
      <c r="AM2" s="10" t="s">
        <v>125</v>
      </c>
      <c r="AN2" s="10" t="s">
        <v>126</v>
      </c>
      <c r="AO2" s="10" t="s">
        <v>127</v>
      </c>
      <c r="AP2" s="10" t="s">
        <v>128</v>
      </c>
      <c r="AQ2" s="10" t="s">
        <v>129</v>
      </c>
      <c r="AR2" s="74" t="s">
        <v>130</v>
      </c>
      <c r="AS2" s="75" t="s">
        <v>131</v>
      </c>
    </row>
    <row r="3" customFormat="false" ht="12.8" hidden="false" customHeight="false" outlineLevel="0" collapsed="false">
      <c r="A3" s="76" t="n">
        <v>1</v>
      </c>
      <c r="B3" s="77" t="s">
        <v>9</v>
      </c>
      <c r="C3" s="77" t="s">
        <v>24</v>
      </c>
      <c r="D3" s="77" t="s">
        <v>132</v>
      </c>
      <c r="E3" s="77" t="s">
        <v>133</v>
      </c>
      <c r="F3" s="78" t="str">
        <f aca="false">IF(B3="Girone",VLOOKUP(D3,A_SQUADRE_PER_CODICE,2),"ERRORE!")</f>
        <v>Leoni</v>
      </c>
      <c r="G3" s="78" t="str">
        <f aca="false">IF(B3="Girone",VLOOKUP(E3,A_SQUADRE_PER_CODICE,2),"ERRORE!")</f>
        <v>Pantere</v>
      </c>
      <c r="H3" s="77" t="n">
        <f aca="false">VLOOKUP(A3,A_4_INPUT_DATE_E_RISULTATI_GIRONI,6,0)</f>
        <v>72</v>
      </c>
      <c r="I3" s="77" t="n">
        <f aca="false">VLOOKUP(A3,A_4_INPUT_DATE_E_RISULTATI_GIRONI,7,0)</f>
        <v>49</v>
      </c>
      <c r="J3" s="79" t="str">
        <f aca="false">IF(H3&gt;I3,F3,G3)</f>
        <v>Leoni</v>
      </c>
      <c r="K3" s="78" t="str">
        <f aca="false">IF(H3&lt;I3,F3,G3)</f>
        <v>Pantere</v>
      </c>
      <c r="L3" s="77" t="n">
        <f aca="false">1*(H3&gt;I3)</f>
        <v>1</v>
      </c>
      <c r="M3" s="80" t="n">
        <f aca="false">1*(H3&lt;I3)*NOT(AND(H3=0,I3=20))</f>
        <v>0</v>
      </c>
      <c r="N3" s="80" t="n">
        <f aca="false">1*AND(H3=0,I3=20)</f>
        <v>0</v>
      </c>
      <c r="O3" s="77" t="n">
        <f aca="false">H3</f>
        <v>72</v>
      </c>
      <c r="P3" s="77" t="n">
        <f aca="false">I3</f>
        <v>49</v>
      </c>
      <c r="Q3" s="81" t="n">
        <f aca="false">O3-P3</f>
        <v>23</v>
      </c>
      <c r="R3" s="77" t="n">
        <f aca="false">1*(I3&gt;H3)</f>
        <v>0</v>
      </c>
      <c r="S3" s="80" t="n">
        <f aca="false">1*(I3&lt;H3)*NOT(AND(H3=20,I3=0))</f>
        <v>1</v>
      </c>
      <c r="T3" s="80" t="n">
        <f aca="false">1*AND(H3=20,I3=0)</f>
        <v>0</v>
      </c>
      <c r="U3" s="77" t="n">
        <f aca="false">I3</f>
        <v>49</v>
      </c>
      <c r="V3" s="77" t="n">
        <f aca="false">H3</f>
        <v>72</v>
      </c>
      <c r="W3" s="82" t="n">
        <f aca="false">U3-V3</f>
        <v>-23</v>
      </c>
      <c r="Y3" s="83" t="str">
        <f aca="false">COUNTIF(B_COEFF_GIRONE_A,"&gt;="&amp;AS3)&amp;Z3</f>
        <v>1A</v>
      </c>
      <c r="Z3" s="21" t="s">
        <v>24</v>
      </c>
      <c r="AA3" s="77" t="s">
        <v>132</v>
      </c>
      <c r="AB3" s="84" t="str">
        <f aca="false">VLOOKUP(AA3,A_SQUADRE_PER_CODICE,2)</f>
        <v>Leoni</v>
      </c>
      <c r="AC3" s="77" t="n">
        <f aca="false">AD3+AE3+AF3</f>
        <v>3</v>
      </c>
      <c r="AD3" s="77" t="n">
        <f aca="false">SUMIF(B_SQUADRA_A_GIRONI,AB3,B_VINTE_SQUADRA_A_GIRONI)+SUMIF(B_SQUADRA_B_GIRONI,AB3,B_VINTE_SQUADRA_B_GIRONI)</f>
        <v>3</v>
      </c>
      <c r="AE3" s="77" t="n">
        <f aca="false">SUMIF(B_SQUADRA_A_GIRONI,AB3,B_PERSE_SQUADRA_A_GIRONI)+SUMIF(B_SQUADRA_B_GIRONI,AB3,B_PERSE_SQUADRA_B_GIRONI)</f>
        <v>0</v>
      </c>
      <c r="AF3" s="77" t="n">
        <f aca="false">SUMIF(B_SQUADRA_A_GIRONI,AB3,B_FORFAIT_SQUADRA_A_GIRONI)+SUMIF(B_SQUADRA_B_GIRONI,AB3,B_FORFAIT_SQUADRA_B_GIRONI)</f>
        <v>0</v>
      </c>
      <c r="AG3" s="85" t="n">
        <f aca="false">2*AD3+1*AE3+0*AF3</f>
        <v>6</v>
      </c>
      <c r="AH3" s="86" t="n">
        <f aca="false">SUMIF(B_SQUADRA_A_GIRONI,AB3,B_PUNTI_FATTI_SQUADRA_A_GIRONI)+SUMIF(B_SQUADRA_B_GIRONI,AB3,B_PUNTI_FATTI_SQUADRA_B_GIRONI)</f>
        <v>244</v>
      </c>
      <c r="AI3" s="77" t="n">
        <f aca="false">SUMIF(B_SQUADRA_A_GIRONI,AB3,B_PUNTI_SUBITI_SQUADRA_A_GIRONI)+SUMIF(B_SQUADRA_B_GIRONI,AB3,B_PUNTI_SUBITI_SQUADRA_B_GIRONI)</f>
        <v>96</v>
      </c>
      <c r="AJ3" s="87" t="n">
        <f aca="false">SUMIF(B_SQUADRA_A_GIRONI,AB3,B_DIFF_CANESTRI_SQUADRA_A_GIRONI)+SUMIF(B_SQUADRA_B_GIRONI,AB3,B_DIFF_CANESTRI_SQUADRA_B_GIRONI)</f>
        <v>148</v>
      </c>
      <c r="AK3" s="80" t="n">
        <f aca="true">IF(AG3=AG4,INDIRECT("O"&amp;3+6*(FIND(Z3,"ABCDEFGH")-1)),0)</f>
        <v>0</v>
      </c>
      <c r="AL3" s="80" t="n">
        <f aca="true">IF(AG3=AG5,INDIRECT("O"&amp;4+6*(FIND(Z3,"ABCDEFGH")-1)),0)</f>
        <v>0</v>
      </c>
      <c r="AM3" s="77" t="n">
        <f aca="true">IF(AG3=AG6,INDIRECT("O"&amp;5+6*(FIND(Z3,"ABCDEFGH")-1)),0)</f>
        <v>0</v>
      </c>
      <c r="AN3" s="86" t="n">
        <f aca="false">AK3+AL3+AM3</f>
        <v>0</v>
      </c>
      <c r="AO3" s="81" t="n">
        <f aca="true">IF(AG3=AG4,INDIRECT("Q"&amp;3+6*(FIND(Z3,"ABCDEFGH")-1)),0)</f>
        <v>0</v>
      </c>
      <c r="AP3" s="81" t="n">
        <f aca="true">IF(AG3=AG5,INDIRECT("Q"&amp;4+6*(FIND(Z3,"ABCDEFGH")-1)),0)</f>
        <v>0</v>
      </c>
      <c r="AQ3" s="81" t="n">
        <f aca="true">IF(AG3=AG6,INDIRECT("Q"&amp;5+6*(FIND(Z3,"ABCDEFGH")-1)),0)</f>
        <v>0</v>
      </c>
      <c r="AR3" s="87" t="n">
        <f aca="false">AO3+AP3+AQ3</f>
        <v>0</v>
      </c>
      <c r="AS3" s="88" t="n">
        <f aca="false">AG3+(500+AR3)*10^-3+AN3*10^-6+(500+AJ3)*10^-9+AH3*10^-12</f>
        <v>6.500000648244</v>
      </c>
    </row>
    <row r="4" customFormat="false" ht="12.8" hidden="false" customHeight="false" outlineLevel="0" collapsed="false">
      <c r="A4" s="31" t="n">
        <v>9</v>
      </c>
      <c r="B4" s="33" t="s">
        <v>9</v>
      </c>
      <c r="C4" s="33" t="s">
        <v>24</v>
      </c>
      <c r="D4" s="33" t="s">
        <v>132</v>
      </c>
      <c r="E4" s="33" t="s">
        <v>134</v>
      </c>
      <c r="F4" s="89" t="str">
        <f aca="false">IF(B4="Girone",VLOOKUP(D4,A_SQUADRE_PER_CODICE,2),"ERRORE!")</f>
        <v>Leoni</v>
      </c>
      <c r="G4" s="89" t="str">
        <f aca="false">IF(B4="Girone",VLOOKUP(E4,A_SQUADRE_PER_CODICE,2),"ERRORE!")</f>
        <v>Tigri</v>
      </c>
      <c r="H4" s="33" t="n">
        <f aca="false">VLOOKUP(A4,A_4_INPUT_DATE_E_RISULTATI_GIRONI,6,0)</f>
        <v>90</v>
      </c>
      <c r="I4" s="33" t="n">
        <f aca="false">VLOOKUP(A4,A_4_INPUT_DATE_E_RISULTATI_GIRONI,7,0)</f>
        <v>22</v>
      </c>
      <c r="J4" s="89" t="str">
        <f aca="false">IF(H4&gt;I4,F4,G4)</f>
        <v>Leoni</v>
      </c>
      <c r="K4" s="89" t="str">
        <f aca="false">IF(H4&lt;I4,F4,G4)</f>
        <v>Tigri</v>
      </c>
      <c r="L4" s="33" t="n">
        <f aca="false">1*(H4&gt;I4)</f>
        <v>1</v>
      </c>
      <c r="M4" s="90" t="n">
        <f aca="false">1*(H4&lt;I4)*NOT(AND(H4=0,I4=20))</f>
        <v>0</v>
      </c>
      <c r="N4" s="90" t="n">
        <f aca="false">1*AND(H4=0,I4=20)</f>
        <v>0</v>
      </c>
      <c r="O4" s="33" t="n">
        <f aca="false">H4</f>
        <v>90</v>
      </c>
      <c r="P4" s="33" t="n">
        <f aca="false">I4</f>
        <v>22</v>
      </c>
      <c r="Q4" s="91" t="n">
        <f aca="false">O4-P4</f>
        <v>68</v>
      </c>
      <c r="R4" s="33" t="n">
        <f aca="false">1*(I4&gt;H4)</f>
        <v>0</v>
      </c>
      <c r="S4" s="33" t="n">
        <f aca="false">1*(I4&lt;H4)*NOT(AND(H4=20,I4=0))</f>
        <v>1</v>
      </c>
      <c r="T4" s="33" t="n">
        <f aca="false">1*AND(H4=20,I4=0)</f>
        <v>0</v>
      </c>
      <c r="U4" s="33" t="n">
        <f aca="false">I4</f>
        <v>22</v>
      </c>
      <c r="V4" s="33" t="n">
        <f aca="false">H4</f>
        <v>90</v>
      </c>
      <c r="W4" s="92" t="n">
        <f aca="false">U4-V4</f>
        <v>-68</v>
      </c>
      <c r="Y4" s="93" t="str">
        <f aca="false">COUNTIF(B_COEFF_GIRONE_A,"&gt;="&amp;AS4)&amp;Z4</f>
        <v>2A</v>
      </c>
      <c r="Z4" s="33" t="s">
        <v>24</v>
      </c>
      <c r="AA4" s="33" t="s">
        <v>133</v>
      </c>
      <c r="AB4" s="94" t="str">
        <f aca="false">VLOOKUP(AA4,A_SQUADRE_PER_CODICE,2)</f>
        <v>Pantere</v>
      </c>
      <c r="AC4" s="33" t="n">
        <f aca="false">AD4+AE4+AF4</f>
        <v>3</v>
      </c>
      <c r="AD4" s="33" t="n">
        <f aca="false">SUMIF(B_SQUADRA_A_GIRONI,AB4,B_VINTE_SQUADRA_A_GIRONI)+SUMIF(B_SQUADRA_B_GIRONI,AB4,B_VINTE_SQUADRA_B_GIRONI)</f>
        <v>2</v>
      </c>
      <c r="AE4" s="33" t="n">
        <f aca="false">SUMIF(B_SQUADRA_A_GIRONI,AB4,B_PERSE_SQUADRA_A_GIRONI)+SUMIF(B_SQUADRA_B_GIRONI,AB4,B_PERSE_SQUADRA_B_GIRONI)</f>
        <v>1</v>
      </c>
      <c r="AF4" s="33" t="n">
        <f aca="false">SUMIF(B_SQUADRA_A_GIRONI,AB4,B_FORFAIT_SQUADRA_A_GIRONI)+SUMIF(B_SQUADRA_B_GIRONI,AB4,B_FORFAIT_SQUADRA_B_GIRONI)</f>
        <v>0</v>
      </c>
      <c r="AG4" s="95" t="n">
        <f aca="false">2*AD4+1*AE4+0*AF4</f>
        <v>5</v>
      </c>
      <c r="AH4" s="96" t="n">
        <f aca="false">SUMIF(B_SQUADRA_A_GIRONI,AB4,B_PUNTI_FATTI_SQUADRA_A_GIRONI)+SUMIF(B_SQUADRA_B_GIRONI,AB4,B_PUNTI_FATTI_SQUADRA_B_GIRONI)</f>
        <v>199</v>
      </c>
      <c r="AI4" s="33" t="n">
        <f aca="false">SUMIF(B_SQUADRA_A_GIRONI,AB4,B_PUNTI_SUBITI_SQUADRA_A_GIRONI)+SUMIF(B_SQUADRA_B_GIRONI,AB4,B_PUNTI_SUBITI_SQUADRA_B_GIRONI)</f>
        <v>123</v>
      </c>
      <c r="AJ4" s="97" t="n">
        <f aca="false">SUMIF(B_SQUADRA_A_GIRONI,AB4,B_DIFF_CANESTRI_SQUADRA_A_GIRONI)+SUMIF(B_SQUADRA_B_GIRONI,AB4,B_DIFF_CANESTRI_SQUADRA_B_GIRONI)</f>
        <v>76</v>
      </c>
      <c r="AK4" s="33" t="n">
        <f aca="true">IF(AG4=AG5,INDIRECT("O"&amp;6+6*(FIND(Z4,"ABCDEFGH")-1)),0)</f>
        <v>0</v>
      </c>
      <c r="AL4" s="33" t="n">
        <f aca="true">IF(AG4=AG6,INDIRECT("O"&amp;7+6*(FIND(Z4,"ABCDEFGH")-1)),0)</f>
        <v>0</v>
      </c>
      <c r="AM4" s="33" t="n">
        <f aca="true">IF(AG4=AG3,INDIRECT("U"&amp;3+6*(FIND(Z4,"ABCDEFGH")-1)),0)</f>
        <v>0</v>
      </c>
      <c r="AN4" s="96" t="n">
        <f aca="false">AK4+AL4+AM4</f>
        <v>0</v>
      </c>
      <c r="AO4" s="91" t="n">
        <f aca="true">IF(AG4=AG5,INDIRECT("Q"&amp;6+6*(FIND(Z4,"ABCDEFGH")-1)),0)</f>
        <v>0</v>
      </c>
      <c r="AP4" s="91" t="n">
        <f aca="true">IF(AG4=AG6,INDIRECT("Q"&amp;7+6*(FIND(Z4,"ABCDEFGH")-1)),0)</f>
        <v>0</v>
      </c>
      <c r="AQ4" s="91" t="n">
        <f aca="true">IF(AG4=AG3,INDIRECT("W"&amp;3+6*(FIND(Z4,"ABCDEFGH")-1)),0)</f>
        <v>0</v>
      </c>
      <c r="AR4" s="97" t="n">
        <f aca="false">AO4+AP4+AQ4</f>
        <v>0</v>
      </c>
      <c r="AS4" s="98" t="n">
        <f aca="false">AG4+(500+AR4)*10^-3+AN4*10^-6+(500+AJ4)*10^-9+AH4*10^-12</f>
        <v>5.500000576199</v>
      </c>
    </row>
    <row r="5" customFormat="false" ht="12.8" hidden="false" customHeight="false" outlineLevel="0" collapsed="false">
      <c r="A5" s="31" t="n">
        <v>25</v>
      </c>
      <c r="B5" s="33" t="s">
        <v>9</v>
      </c>
      <c r="C5" s="33" t="s">
        <v>24</v>
      </c>
      <c r="D5" s="33" t="s">
        <v>132</v>
      </c>
      <c r="E5" s="33" t="s">
        <v>135</v>
      </c>
      <c r="F5" s="89" t="str">
        <f aca="false">IF(B5="Girone",VLOOKUP(D5,A_SQUADRE_PER_CODICE,2),"ERRORE!")</f>
        <v>Leoni</v>
      </c>
      <c r="G5" s="89" t="str">
        <f aca="false">IF(B5="Girone",VLOOKUP(E5,A_SQUADRE_PER_CODICE,2),"ERRORE!")</f>
        <v>Ghepardi</v>
      </c>
      <c r="H5" s="33" t="n">
        <f aca="false">VLOOKUP(A5,A_4_INPUT_DATE_E_RISULTATI_GIRONI,6,0)</f>
        <v>82</v>
      </c>
      <c r="I5" s="33" t="n">
        <f aca="false">VLOOKUP(A5,A_4_INPUT_DATE_E_RISULTATI_GIRONI,7,0)</f>
        <v>25</v>
      </c>
      <c r="J5" s="89" t="str">
        <f aca="false">IF(H5&gt;I5,F5,G5)</f>
        <v>Leoni</v>
      </c>
      <c r="K5" s="89" t="str">
        <f aca="false">IF(H5&lt;I5,F5,G5)</f>
        <v>Ghepardi</v>
      </c>
      <c r="L5" s="33" t="n">
        <f aca="false">1*(H5&gt;I5)</f>
        <v>1</v>
      </c>
      <c r="M5" s="90" t="n">
        <f aca="false">1*(H5&lt;I5)*NOT(AND(H5=0,I5=20))</f>
        <v>0</v>
      </c>
      <c r="N5" s="90" t="n">
        <f aca="false">1*AND(H5=0,I5=20)</f>
        <v>0</v>
      </c>
      <c r="O5" s="33" t="n">
        <f aca="false">H5</f>
        <v>82</v>
      </c>
      <c r="P5" s="33" t="n">
        <f aca="false">I5</f>
        <v>25</v>
      </c>
      <c r="Q5" s="91" t="n">
        <f aca="false">O5-P5</f>
        <v>57</v>
      </c>
      <c r="R5" s="33" t="n">
        <f aca="false">1*(I5&gt;H5)</f>
        <v>0</v>
      </c>
      <c r="S5" s="33" t="n">
        <f aca="false">1*(I5&lt;H5)*NOT(AND(H5=20,I5=0))</f>
        <v>1</v>
      </c>
      <c r="T5" s="33" t="n">
        <f aca="false">1*AND(H5=20,I5=0)</f>
        <v>0</v>
      </c>
      <c r="U5" s="33" t="n">
        <f aca="false">I5</f>
        <v>25</v>
      </c>
      <c r="V5" s="33" t="n">
        <f aca="false">H5</f>
        <v>82</v>
      </c>
      <c r="W5" s="92" t="n">
        <f aca="false">U5-V5</f>
        <v>-57</v>
      </c>
      <c r="Y5" s="93" t="str">
        <f aca="false">COUNTIF(B_COEFF_GIRONE_A,"&gt;="&amp;AS5)&amp;Z5</f>
        <v>3A</v>
      </c>
      <c r="Z5" s="33" t="s">
        <v>24</v>
      </c>
      <c r="AA5" s="33" t="s">
        <v>134</v>
      </c>
      <c r="AB5" s="94" t="str">
        <f aca="false">VLOOKUP(AA5,A_SQUADRE_PER_CODICE,2)</f>
        <v>Tigri</v>
      </c>
      <c r="AC5" s="33" t="n">
        <f aca="false">AD5+AE5+AF5</f>
        <v>3</v>
      </c>
      <c r="AD5" s="33" t="n">
        <f aca="false">SUMIF(B_SQUADRA_A_GIRONI,AB5,B_VINTE_SQUADRA_A_GIRONI)+SUMIF(B_SQUADRA_B_GIRONI,AB5,B_VINTE_SQUADRA_B_GIRONI)</f>
        <v>1</v>
      </c>
      <c r="AE5" s="33" t="n">
        <f aca="false">SUMIF(B_SQUADRA_A_GIRONI,AB5,B_PERSE_SQUADRA_A_GIRONI)+SUMIF(B_SQUADRA_B_GIRONI,AB5,B_PERSE_SQUADRA_B_GIRONI)</f>
        <v>2</v>
      </c>
      <c r="AF5" s="33" t="n">
        <f aca="false">SUMIF(B_SQUADRA_A_GIRONI,AB5,B_FORFAIT_SQUADRA_A_GIRONI)+SUMIF(B_SQUADRA_B_GIRONI,AB5,B_FORFAIT_SQUADRA_B_GIRONI)</f>
        <v>0</v>
      </c>
      <c r="AG5" s="95" t="n">
        <f aca="false">2*AD5+1*AE5+0*AF5</f>
        <v>4</v>
      </c>
      <c r="AH5" s="96" t="n">
        <f aca="false">SUMIF(B_SQUADRA_A_GIRONI,AB5,B_PUNTI_FATTI_SQUADRA_A_GIRONI)+SUMIF(B_SQUADRA_B_GIRONI,AB5,B_PUNTI_FATTI_SQUADRA_B_GIRONI)</f>
        <v>131</v>
      </c>
      <c r="AI5" s="33" t="n">
        <f aca="false">SUMIF(B_SQUADRA_A_GIRONI,AB5,B_PUNTI_SUBITI_SQUADRA_A_GIRONI)+SUMIF(B_SQUADRA_B_GIRONI,AB5,B_PUNTI_SUBITI_SQUADRA_B_GIRONI)</f>
        <v>231</v>
      </c>
      <c r="AJ5" s="97" t="n">
        <f aca="false">SUMIF(B_SQUADRA_A_GIRONI,AB5,B_DIFF_CANESTRI_SQUADRA_A_GIRONI)+SUMIF(B_SQUADRA_B_GIRONI,AB5,B_DIFF_CANESTRI_SQUADRA_B_GIRONI)</f>
        <v>-100</v>
      </c>
      <c r="AK5" s="33" t="n">
        <f aca="true">IF(AG5=AG6,INDIRECT("O"&amp;8+6*(FIND(Z5,"ABCDEFGH")-1)),0)</f>
        <v>0</v>
      </c>
      <c r="AL5" s="33" t="n">
        <f aca="true">IF(AG5=AG3,INDIRECT("U"&amp;4+6*(FIND(Z5,"ABCDEFGH")-1)),0)</f>
        <v>0</v>
      </c>
      <c r="AM5" s="33" t="n">
        <f aca="true">IF(AG5=AG4,INDIRECT("U"&amp;6+6*(FIND(Z5,"ABCDEFGH")-1)),0)</f>
        <v>0</v>
      </c>
      <c r="AN5" s="96" t="n">
        <f aca="false">AK5+AL5+AM5</f>
        <v>0</v>
      </c>
      <c r="AO5" s="91" t="n">
        <f aca="true">IF(AG5=AG6,INDIRECT("Q"&amp;8+6*(FIND(Z5,"ABCDEFGH")-1)),0)</f>
        <v>0</v>
      </c>
      <c r="AP5" s="91" t="n">
        <f aca="true">IF(AG5=AG3,INDIRECT("W"&amp;4+6*(FIND(Z5,"ABCDEFGH")-1)),0)</f>
        <v>0</v>
      </c>
      <c r="AQ5" s="91" t="n">
        <f aca="true">IF(AG5=AG4,INDIRECT("W"&amp;6+6*(FIND(Z5,"ABCDEFGH")-1)),0)</f>
        <v>0</v>
      </c>
      <c r="AR5" s="97" t="n">
        <f aca="false">AO5+AP5+AQ5</f>
        <v>0</v>
      </c>
      <c r="AS5" s="98" t="n">
        <f aca="false">AG5+(500+AR5)*10^-3+AN5*10^-6+(500+AJ5)*10^-9+AH5*10^-12</f>
        <v>4.500000400131</v>
      </c>
    </row>
    <row r="6" customFormat="false" ht="12.8" hidden="false" customHeight="false" outlineLevel="0" collapsed="false">
      <c r="A6" s="31" t="n">
        <v>37</v>
      </c>
      <c r="B6" s="33" t="s">
        <v>9</v>
      </c>
      <c r="C6" s="33" t="s">
        <v>24</v>
      </c>
      <c r="D6" s="33" t="s">
        <v>133</v>
      </c>
      <c r="E6" s="33" t="s">
        <v>134</v>
      </c>
      <c r="F6" s="89" t="str">
        <f aca="false">IF(B6="Girone",VLOOKUP(D6,A_SQUADRE_PER_CODICE,2),"ERRORE!")</f>
        <v>Pantere</v>
      </c>
      <c r="G6" s="89" t="str">
        <f aca="false">IF(B6="Girone",VLOOKUP(E6,A_SQUADRE_PER_CODICE,2),"ERRORE!")</f>
        <v>Tigri</v>
      </c>
      <c r="H6" s="33" t="n">
        <f aca="false">VLOOKUP(A6,A_4_INPUT_DATE_E_RISULTATI_GIRONI,6,0)</f>
        <v>93</v>
      </c>
      <c r="I6" s="33" t="n">
        <f aca="false">VLOOKUP(A6,A_4_INPUT_DATE_E_RISULTATI_GIRONI,7,0)</f>
        <v>30</v>
      </c>
      <c r="J6" s="89" t="str">
        <f aca="false">IF(H6&gt;I6,F6,G6)</f>
        <v>Pantere</v>
      </c>
      <c r="K6" s="89" t="str">
        <f aca="false">IF(H6&lt;I6,F6,G6)</f>
        <v>Tigri</v>
      </c>
      <c r="L6" s="33" t="n">
        <f aca="false">1*(H6&gt;I6)</f>
        <v>1</v>
      </c>
      <c r="M6" s="90" t="n">
        <f aca="false">1*(H6&lt;I6)*NOT(AND(H6=0,I6=20))</f>
        <v>0</v>
      </c>
      <c r="N6" s="90" t="n">
        <f aca="false">1*AND(H6=0,I6=20)</f>
        <v>0</v>
      </c>
      <c r="O6" s="33" t="n">
        <f aca="false">H6</f>
        <v>93</v>
      </c>
      <c r="P6" s="33" t="n">
        <f aca="false">I6</f>
        <v>30</v>
      </c>
      <c r="Q6" s="91" t="n">
        <f aca="false">O6-P6</f>
        <v>63</v>
      </c>
      <c r="R6" s="33" t="n">
        <f aca="false">1*(I6&gt;H6)</f>
        <v>0</v>
      </c>
      <c r="S6" s="33" t="n">
        <f aca="false">1*(I6&lt;H6)*NOT(AND(H6=20,I6=0))</f>
        <v>1</v>
      </c>
      <c r="T6" s="33" t="n">
        <f aca="false">1*AND(H6=20,I6=0)</f>
        <v>0</v>
      </c>
      <c r="U6" s="33" t="n">
        <f aca="false">I6</f>
        <v>30</v>
      </c>
      <c r="V6" s="33" t="n">
        <f aca="false">H6</f>
        <v>93</v>
      </c>
      <c r="W6" s="92" t="n">
        <f aca="false">U6-V6</f>
        <v>-63</v>
      </c>
      <c r="Y6" s="93" t="str">
        <f aca="false">COUNTIF(B_COEFF_GIRONE_A,"&gt;="&amp;AS6)&amp;Z6</f>
        <v>4A</v>
      </c>
      <c r="Z6" s="33" t="s">
        <v>24</v>
      </c>
      <c r="AA6" s="33" t="s">
        <v>135</v>
      </c>
      <c r="AB6" s="94" t="str">
        <f aca="false">VLOOKUP(AA6,A_SQUADRE_PER_CODICE,2)</f>
        <v>Ghepardi</v>
      </c>
      <c r="AC6" s="33" t="n">
        <f aca="false">AD6+AE6+AF6</f>
        <v>3</v>
      </c>
      <c r="AD6" s="33" t="n">
        <f aca="false">SUMIF(B_SQUADRA_A_GIRONI,AB6,B_VINTE_SQUADRA_A_GIRONI)+SUMIF(B_SQUADRA_B_GIRONI,AB6,B_VINTE_SQUADRA_B_GIRONI)</f>
        <v>0</v>
      </c>
      <c r="AE6" s="33" t="n">
        <f aca="false">SUMIF(B_SQUADRA_A_GIRONI,AB6,B_PERSE_SQUADRA_A_GIRONI)+SUMIF(B_SQUADRA_B_GIRONI,AB6,B_PERSE_SQUADRA_B_GIRONI)</f>
        <v>3</v>
      </c>
      <c r="AF6" s="33" t="n">
        <f aca="false">SUMIF(B_SQUADRA_A_GIRONI,AB6,B_FORFAIT_SQUADRA_A_GIRONI)+SUMIF(B_SQUADRA_B_GIRONI,AB6,B_FORFAIT_SQUADRA_B_GIRONI)</f>
        <v>0</v>
      </c>
      <c r="AG6" s="95" t="n">
        <f aca="false">2*AD6+1*AE6+0*AF6</f>
        <v>3</v>
      </c>
      <c r="AH6" s="96" t="n">
        <f aca="false">SUMIF(B_SQUADRA_A_GIRONI,AB6,B_PUNTI_FATTI_SQUADRA_A_GIRONI)+SUMIF(B_SQUADRA_B_GIRONI,AB6,B_PUNTI_FATTI_SQUADRA_B_GIRONI)</f>
        <v>94</v>
      </c>
      <c r="AI6" s="33" t="n">
        <f aca="false">SUMIF(B_SQUADRA_A_GIRONI,AB6,B_PUNTI_SUBITI_SQUADRA_A_GIRONI)+SUMIF(B_SQUADRA_B_GIRONI,AB6,B_PUNTI_SUBITI_SQUADRA_B_GIRONI)</f>
        <v>218</v>
      </c>
      <c r="AJ6" s="97" t="n">
        <f aca="false">SUMIF(B_SQUADRA_A_GIRONI,AB6,B_DIFF_CANESTRI_SQUADRA_A_GIRONI)+SUMIF(B_SQUADRA_B_GIRONI,AB6,B_DIFF_CANESTRI_SQUADRA_B_GIRONI)</f>
        <v>-124</v>
      </c>
      <c r="AK6" s="33" t="n">
        <f aca="true">IF(AG6=AG3,INDIRECT("U"&amp;5+6*(FIND(Z6,"ABCDEFGH")-1)),0)</f>
        <v>0</v>
      </c>
      <c r="AL6" s="33" t="n">
        <f aca="true">IF(AG6=AG4,INDIRECT("U"&amp;7+6*(FIND(Z6,"ABCDEFGH")-1)),0)</f>
        <v>0</v>
      </c>
      <c r="AM6" s="33" t="n">
        <f aca="true">IF(AG6=AG5,INDIRECT("U"&amp;8+6*(FIND(Z6,"ABCDEFGH")-1)),0)</f>
        <v>0</v>
      </c>
      <c r="AN6" s="96" t="n">
        <f aca="false">AK6+AL6+AM6</f>
        <v>0</v>
      </c>
      <c r="AO6" s="91" t="n">
        <f aca="true">IF(AG6=AG3,INDIRECT("W"&amp;5+6*(FIND(Z6,"ABCDEFGH")-1)),0)</f>
        <v>0</v>
      </c>
      <c r="AP6" s="91" t="n">
        <f aca="true">IF(AG6=AG4,INDIRECT("W"&amp;7+6*(FIND(Z6,"ABCDEFGH")-1)),0)</f>
        <v>0</v>
      </c>
      <c r="AQ6" s="91" t="n">
        <f aca="true">IF(AG6=AG5,INDIRECT("W"&amp;8+6*(FIND(Z6,"ABCDEFGH")-1)),0)</f>
        <v>0</v>
      </c>
      <c r="AR6" s="97" t="n">
        <f aca="false">AO6+AP6+AQ6</f>
        <v>0</v>
      </c>
      <c r="AS6" s="98" t="n">
        <f aca="false">AG6+(500+AR6)*10^-3+AN6*10^-6+(500+AJ6)*10^-9+AH6*10^-12</f>
        <v>3.500000376094</v>
      </c>
    </row>
    <row r="7" customFormat="false" ht="12.8" hidden="false" customHeight="false" outlineLevel="0" collapsed="false">
      <c r="A7" s="31" t="n">
        <v>13</v>
      </c>
      <c r="B7" s="33" t="s">
        <v>9</v>
      </c>
      <c r="C7" s="33" t="s">
        <v>24</v>
      </c>
      <c r="D7" s="33" t="s">
        <v>133</v>
      </c>
      <c r="E7" s="33" t="s">
        <v>135</v>
      </c>
      <c r="F7" s="89" t="str">
        <f aca="false">IF(B7="Girone",VLOOKUP(D7,A_SQUADRE_PER_CODICE,2),"ERRORE!")</f>
        <v>Pantere</v>
      </c>
      <c r="G7" s="89" t="str">
        <f aca="false">IF(B7="Girone",VLOOKUP(E7,A_SQUADRE_PER_CODICE,2),"ERRORE!")</f>
        <v>Ghepardi</v>
      </c>
      <c r="H7" s="33" t="n">
        <f aca="false">VLOOKUP(A7,A_4_INPUT_DATE_E_RISULTATI_GIRONI,6,0)</f>
        <v>57</v>
      </c>
      <c r="I7" s="33" t="n">
        <f aca="false">VLOOKUP(A7,A_4_INPUT_DATE_E_RISULTATI_GIRONI,7,0)</f>
        <v>21</v>
      </c>
      <c r="J7" s="89" t="str">
        <f aca="false">IF(H7&gt;I7,F7,G7)</f>
        <v>Pantere</v>
      </c>
      <c r="K7" s="89" t="str">
        <f aca="false">IF(H7&lt;I7,F7,G7)</f>
        <v>Ghepardi</v>
      </c>
      <c r="L7" s="33" t="n">
        <f aca="false">1*(H7&gt;I7)</f>
        <v>1</v>
      </c>
      <c r="M7" s="90" t="n">
        <f aca="false">1*(H7&lt;I7)*NOT(AND(H7=0,I7=20))</f>
        <v>0</v>
      </c>
      <c r="N7" s="90" t="n">
        <f aca="false">1*AND(H7=0,I7=20)</f>
        <v>0</v>
      </c>
      <c r="O7" s="33" t="n">
        <f aca="false">H7</f>
        <v>57</v>
      </c>
      <c r="P7" s="33" t="n">
        <f aca="false">I7</f>
        <v>21</v>
      </c>
      <c r="Q7" s="91" t="n">
        <f aca="false">O7-P7</f>
        <v>36</v>
      </c>
      <c r="R7" s="33" t="n">
        <f aca="false">1*(I7&gt;H7)</f>
        <v>0</v>
      </c>
      <c r="S7" s="33" t="n">
        <f aca="false">1*(I7&lt;H7)*NOT(AND(H7=20,I7=0))</f>
        <v>1</v>
      </c>
      <c r="T7" s="33" t="n">
        <f aca="false">1*AND(H7=20,I7=0)</f>
        <v>0</v>
      </c>
      <c r="U7" s="33" t="n">
        <f aca="false">I7</f>
        <v>21</v>
      </c>
      <c r="V7" s="33" t="n">
        <f aca="false">H7</f>
        <v>57</v>
      </c>
      <c r="W7" s="92" t="n">
        <f aca="false">U7-V7</f>
        <v>-36</v>
      </c>
      <c r="Y7" s="99" t="str">
        <f aca="false">COUNTIF(B_COEFF_GIRONE_B,"&gt;="&amp;AS7)&amp;Z7</f>
        <v>1B</v>
      </c>
      <c r="Z7" s="100" t="s">
        <v>34</v>
      </c>
      <c r="AA7" s="100" t="s">
        <v>136</v>
      </c>
      <c r="AB7" s="101" t="str">
        <f aca="false">VLOOKUP(AA7,A_SQUADRE_PER_CODICE,2)</f>
        <v>Giaguari</v>
      </c>
      <c r="AC7" s="100" t="n">
        <f aca="false">AD7+AE7+AF7</f>
        <v>3</v>
      </c>
      <c r="AD7" s="100" t="n">
        <f aca="false">SUMIF(B_SQUADRA_A_GIRONI,AB7,B_VINTE_SQUADRA_A_GIRONI)+SUMIF(B_SQUADRA_B_GIRONI,AB7,B_VINTE_SQUADRA_B_GIRONI)</f>
        <v>2</v>
      </c>
      <c r="AE7" s="100" t="n">
        <f aca="false">SUMIF(B_SQUADRA_A_GIRONI,AB7,B_PERSE_SQUADRA_A_GIRONI)+SUMIF(B_SQUADRA_B_GIRONI,AB7,B_PERSE_SQUADRA_B_GIRONI)</f>
        <v>1</v>
      </c>
      <c r="AF7" s="100" t="n">
        <f aca="false">SUMIF(B_SQUADRA_A_GIRONI,AB7,B_FORFAIT_SQUADRA_A_GIRONI)+SUMIF(B_SQUADRA_B_GIRONI,AB7,B_FORFAIT_SQUADRA_B_GIRONI)</f>
        <v>0</v>
      </c>
      <c r="AG7" s="102" t="n">
        <f aca="false">2*AD7+1*AE7+0*AF7</f>
        <v>5</v>
      </c>
      <c r="AH7" s="103" t="n">
        <f aca="false">SUMIF(B_SQUADRA_A_GIRONI,AB7,B_PUNTI_FATTI_SQUADRA_A_GIRONI)+SUMIF(B_SQUADRA_B_GIRONI,AB7,B_PUNTI_FATTI_SQUADRA_B_GIRONI)</f>
        <v>199</v>
      </c>
      <c r="AI7" s="100" t="n">
        <f aca="false">SUMIF(B_SQUADRA_A_GIRONI,AB7,B_PUNTI_SUBITI_SQUADRA_A_GIRONI)+SUMIF(B_SQUADRA_B_GIRONI,AB7,B_PUNTI_SUBITI_SQUADRA_B_GIRONI)</f>
        <v>192</v>
      </c>
      <c r="AJ7" s="104" t="n">
        <f aca="false">SUMIF(B_SQUADRA_A_GIRONI,AB7,B_DIFF_CANESTRI_SQUADRA_A_GIRONI)+SUMIF(B_SQUADRA_B_GIRONI,AB7,B_DIFF_CANESTRI_SQUADRA_B_GIRONI)</f>
        <v>7</v>
      </c>
      <c r="AK7" s="100" t="n">
        <f aca="true">IF(AG7=AG8,INDIRECT("O"&amp;3+6*(FIND(Z7,"ABCDEFGH")-1)),0)</f>
        <v>67</v>
      </c>
      <c r="AL7" s="105" t="n">
        <f aca="true">IF(AG7=AG9,INDIRECT("O"&amp;4+6*(FIND(Z7,"ABCDEFGH")-1)),0)</f>
        <v>0</v>
      </c>
      <c r="AM7" s="100" t="n">
        <f aca="true">IF(AG7=AG10,INDIRECT("O"&amp;5+6*(FIND(Z7,"ABCDEFGH")-1)),0)</f>
        <v>0</v>
      </c>
      <c r="AN7" s="103" t="n">
        <f aca="false">AK7+AL7+AM7</f>
        <v>67</v>
      </c>
      <c r="AO7" s="106" t="n">
        <f aca="true">IF(AG7=AG8,INDIRECT("Q"&amp;3+6*(FIND(Z7,"ABCDEFGH")-1)),0)</f>
        <v>16</v>
      </c>
      <c r="AP7" s="106" t="n">
        <f aca="true">IF(AG7=AG9,INDIRECT("Q"&amp;4+6*(FIND(Z7,"ABCDEFGH")-1)),0)</f>
        <v>0</v>
      </c>
      <c r="AQ7" s="106" t="n">
        <f aca="true">IF(AG7=AG10,INDIRECT("Q"&amp;5+6*(FIND(Z7,"ABCDEFGH")-1)),0)</f>
        <v>0</v>
      </c>
      <c r="AR7" s="104" t="n">
        <f aca="false">AO7+AP7+AQ7</f>
        <v>16</v>
      </c>
      <c r="AS7" s="107" t="n">
        <f aca="false">AG7+(500+AR7)*10^-3+AN7*10^-6+(500+AJ7)*10^-9+AH7*10^-12</f>
        <v>5.516067507199</v>
      </c>
    </row>
    <row r="8" customFormat="false" ht="12.8" hidden="false" customHeight="false" outlineLevel="0" collapsed="false">
      <c r="A8" s="31" t="n">
        <v>5</v>
      </c>
      <c r="B8" s="33" t="s">
        <v>9</v>
      </c>
      <c r="C8" s="33" t="s">
        <v>24</v>
      </c>
      <c r="D8" s="33" t="s">
        <v>134</v>
      </c>
      <c r="E8" s="33" t="s">
        <v>135</v>
      </c>
      <c r="F8" s="89" t="str">
        <f aca="false">IF(B8="Girone",VLOOKUP(D8,A_SQUADRE_PER_CODICE,2),"ERRORE!")</f>
        <v>Tigri</v>
      </c>
      <c r="G8" s="89" t="str">
        <f aca="false">IF(B8="Girone",VLOOKUP(E8,A_SQUADRE_PER_CODICE,2),"ERRORE!")</f>
        <v>Ghepardi</v>
      </c>
      <c r="H8" s="33" t="n">
        <f aca="false">VLOOKUP(A8,A_4_INPUT_DATE_E_RISULTATI_GIRONI,6,0)</f>
        <v>79</v>
      </c>
      <c r="I8" s="33" t="n">
        <f aca="false">VLOOKUP(A8,A_4_INPUT_DATE_E_RISULTATI_GIRONI,7,0)</f>
        <v>48</v>
      </c>
      <c r="J8" s="89" t="str">
        <f aca="false">IF(H8&gt;I8,F8,G8)</f>
        <v>Tigri</v>
      </c>
      <c r="K8" s="89" t="str">
        <f aca="false">IF(H8&lt;I8,F8,G8)</f>
        <v>Ghepardi</v>
      </c>
      <c r="L8" s="33" t="n">
        <f aca="false">1*(H8&gt;I8)</f>
        <v>1</v>
      </c>
      <c r="M8" s="90" t="n">
        <f aca="false">1*(H8&lt;I8)*NOT(AND(H8=0,I8=20))</f>
        <v>0</v>
      </c>
      <c r="N8" s="90" t="n">
        <f aca="false">1*AND(H8=0,I8=20)</f>
        <v>0</v>
      </c>
      <c r="O8" s="33" t="n">
        <f aca="false">H8</f>
        <v>79</v>
      </c>
      <c r="P8" s="33" t="n">
        <f aca="false">I8</f>
        <v>48</v>
      </c>
      <c r="Q8" s="91" t="n">
        <f aca="false">O8-P8</f>
        <v>31</v>
      </c>
      <c r="R8" s="33" t="n">
        <f aca="false">1*(I8&gt;H8)</f>
        <v>0</v>
      </c>
      <c r="S8" s="33" t="n">
        <f aca="false">1*(I8&lt;H8)*NOT(AND(H8=20,I8=0))</f>
        <v>1</v>
      </c>
      <c r="T8" s="33" t="n">
        <f aca="false">1*AND(H8=20,I8=0)</f>
        <v>0</v>
      </c>
      <c r="U8" s="33" t="n">
        <f aca="false">I8</f>
        <v>48</v>
      </c>
      <c r="V8" s="33" t="n">
        <f aca="false">H8</f>
        <v>79</v>
      </c>
      <c r="W8" s="92" t="n">
        <f aca="false">U8-V8</f>
        <v>-31</v>
      </c>
      <c r="Y8" s="93" t="str">
        <f aca="false">COUNTIF(B_COEFF_GIRONE_B,"&gt;="&amp;AS8)&amp;Z8</f>
        <v>2B</v>
      </c>
      <c r="Z8" s="33" t="s">
        <v>34</v>
      </c>
      <c r="AA8" s="33" t="s">
        <v>137</v>
      </c>
      <c r="AB8" s="94" t="str">
        <f aca="false">VLOOKUP(AA8,A_SQUADRE_PER_CODICE,2)</f>
        <v>Puma</v>
      </c>
      <c r="AC8" s="33" t="n">
        <f aca="false">AD8+AE8+AF8</f>
        <v>3</v>
      </c>
      <c r="AD8" s="33" t="n">
        <f aca="false">SUMIF(B_SQUADRA_A_GIRONI,AB8,B_VINTE_SQUADRA_A_GIRONI)+SUMIF(B_SQUADRA_B_GIRONI,AB8,B_VINTE_SQUADRA_B_GIRONI)</f>
        <v>2</v>
      </c>
      <c r="AE8" s="33" t="n">
        <f aca="false">SUMIF(B_SQUADRA_A_GIRONI,AB8,B_PERSE_SQUADRA_A_GIRONI)+SUMIF(B_SQUADRA_B_GIRONI,AB8,B_PERSE_SQUADRA_B_GIRONI)</f>
        <v>1</v>
      </c>
      <c r="AF8" s="33" t="n">
        <f aca="false">SUMIF(B_SQUADRA_A_GIRONI,AB8,B_FORFAIT_SQUADRA_A_GIRONI)+SUMIF(B_SQUADRA_B_GIRONI,AB8,B_FORFAIT_SQUADRA_B_GIRONI)</f>
        <v>0</v>
      </c>
      <c r="AG8" s="95" t="n">
        <f aca="false">2*AD8+1*AE8+0*AF8</f>
        <v>5</v>
      </c>
      <c r="AH8" s="96" t="n">
        <f aca="false">SUMIF(B_SQUADRA_A_GIRONI,AB8,B_PUNTI_FATTI_SQUADRA_A_GIRONI)+SUMIF(B_SQUADRA_B_GIRONI,AB8,B_PUNTI_FATTI_SQUADRA_B_GIRONI)</f>
        <v>216</v>
      </c>
      <c r="AI8" s="33" t="n">
        <f aca="false">SUMIF(B_SQUADRA_A_GIRONI,AB8,B_PUNTI_SUBITI_SQUADRA_A_GIRONI)+SUMIF(B_SQUADRA_B_GIRONI,AB8,B_PUNTI_SUBITI_SQUADRA_B_GIRONI)</f>
        <v>184</v>
      </c>
      <c r="AJ8" s="97" t="n">
        <f aca="false">SUMIF(B_SQUADRA_A_GIRONI,AB8,B_DIFF_CANESTRI_SQUADRA_A_GIRONI)+SUMIF(B_SQUADRA_B_GIRONI,AB8,B_DIFF_CANESTRI_SQUADRA_B_GIRONI)</f>
        <v>32</v>
      </c>
      <c r="AK8" s="33" t="n">
        <f aca="true">IF(AG8=AG9,INDIRECT("O"&amp;6+6*(FIND(Z8,"ABCDEFGH")-1)),0)</f>
        <v>0</v>
      </c>
      <c r="AL8" s="33" t="n">
        <f aca="true">IF(AG8=AG10,INDIRECT("O"&amp;7+6*(FIND(Z8,"ABCDEFGH")-1)),0)</f>
        <v>0</v>
      </c>
      <c r="AM8" s="33" t="n">
        <f aca="true">IF(AG8=AG7,INDIRECT("U"&amp;3+6*(FIND(Z8,"ABCDEFGH")-1)),0)</f>
        <v>51</v>
      </c>
      <c r="AN8" s="96" t="n">
        <f aca="false">AK8+AL8+AM8</f>
        <v>51</v>
      </c>
      <c r="AO8" s="91" t="n">
        <f aca="true">IF(AG8=AG9,INDIRECT("Q"&amp;6+6*(FIND(Z8,"ABCDEFGH")-1)),0)</f>
        <v>0</v>
      </c>
      <c r="AP8" s="91" t="n">
        <f aca="true">IF(AG8=AG10,INDIRECT("Q"&amp;7+6*(FIND(Z8,"ABCDEFGH")-1)),0)</f>
        <v>0</v>
      </c>
      <c r="AQ8" s="91" t="n">
        <f aca="true">IF(AG8=AG7,INDIRECT("W"&amp;3+6*(FIND(Z8,"ABCDEFGH")-1)),0)</f>
        <v>-16</v>
      </c>
      <c r="AR8" s="97" t="n">
        <f aca="false">AO8+AP8+AQ8</f>
        <v>-16</v>
      </c>
      <c r="AS8" s="98" t="n">
        <f aca="false">AG8+(500+AR8)*10^-3+AN8*10^-6+(500+AJ8)*10^-9+AH8*10^-12</f>
        <v>5.484051532216</v>
      </c>
    </row>
    <row r="9" customFormat="false" ht="12.8" hidden="false" customHeight="false" outlineLevel="0" collapsed="false">
      <c r="A9" s="31" t="n">
        <v>2</v>
      </c>
      <c r="B9" s="33" t="s">
        <v>9</v>
      </c>
      <c r="C9" s="33" t="s">
        <v>34</v>
      </c>
      <c r="D9" s="33" t="s">
        <v>136</v>
      </c>
      <c r="E9" s="33" t="s">
        <v>137</v>
      </c>
      <c r="F9" s="89" t="str">
        <f aca="false">IF(B9="Girone",VLOOKUP(D9,A_SQUADRE_PER_CODICE,2),"ERRORE!")</f>
        <v>Giaguari</v>
      </c>
      <c r="G9" s="89" t="str">
        <f aca="false">IF(B9="Girone",VLOOKUP(E9,A_SQUADRE_PER_CODICE,2),"ERRORE!")</f>
        <v>Puma</v>
      </c>
      <c r="H9" s="33" t="n">
        <f aca="false">VLOOKUP(A9,A_4_INPUT_DATE_E_RISULTATI_GIRONI,6,0)</f>
        <v>67</v>
      </c>
      <c r="I9" s="33" t="n">
        <f aca="false">VLOOKUP(A9,A_4_INPUT_DATE_E_RISULTATI_GIRONI,7,0)</f>
        <v>51</v>
      </c>
      <c r="J9" s="89" t="str">
        <f aca="false">IF(H9&gt;I9,F9,G9)</f>
        <v>Giaguari</v>
      </c>
      <c r="K9" s="89" t="str">
        <f aca="false">IF(H9&lt;I9,F9,G9)</f>
        <v>Puma</v>
      </c>
      <c r="L9" s="33" t="n">
        <f aca="false">1*(H9&gt;I9)</f>
        <v>1</v>
      </c>
      <c r="M9" s="90" t="n">
        <f aca="false">1*(H9&lt;I9)*NOT(AND(H9=0,I9=20))</f>
        <v>0</v>
      </c>
      <c r="N9" s="90" t="n">
        <f aca="false">1*AND(H9=0,I9=20)</f>
        <v>0</v>
      </c>
      <c r="O9" s="33" t="n">
        <f aca="false">H9</f>
        <v>67</v>
      </c>
      <c r="P9" s="33" t="n">
        <f aca="false">I9</f>
        <v>51</v>
      </c>
      <c r="Q9" s="91" t="n">
        <f aca="false">O9-P9</f>
        <v>16</v>
      </c>
      <c r="R9" s="33" t="n">
        <f aca="false">1*(I9&gt;H9)</f>
        <v>0</v>
      </c>
      <c r="S9" s="33" t="n">
        <f aca="false">1*(I9&lt;H9)*NOT(AND(H9=20,I9=0))</f>
        <v>1</v>
      </c>
      <c r="T9" s="33" t="n">
        <f aca="false">1*AND(H9=20,I9=0)</f>
        <v>0</v>
      </c>
      <c r="U9" s="33" t="n">
        <f aca="false">I9</f>
        <v>51</v>
      </c>
      <c r="V9" s="33" t="n">
        <f aca="false">H9</f>
        <v>67</v>
      </c>
      <c r="W9" s="92" t="n">
        <f aca="false">U9-V9</f>
        <v>-16</v>
      </c>
      <c r="Y9" s="93" t="str">
        <f aca="false">COUNTIF(B_COEFF_GIRONE_B,"&gt;="&amp;AS9)&amp;Z9</f>
        <v>3B</v>
      </c>
      <c r="Z9" s="33" t="s">
        <v>34</v>
      </c>
      <c r="AA9" s="33" t="s">
        <v>138</v>
      </c>
      <c r="AB9" s="94" t="str">
        <f aca="false">VLOOKUP(AA9,A_SQUADRE_PER_CODICE,2)</f>
        <v>Linci</v>
      </c>
      <c r="AC9" s="33" t="n">
        <f aca="false">AD9+AE9+AF9</f>
        <v>3</v>
      </c>
      <c r="AD9" s="33" t="n">
        <f aca="false">SUMIF(B_SQUADRA_A_GIRONI,AB9,B_VINTE_SQUADRA_A_GIRONI)+SUMIF(B_SQUADRA_B_GIRONI,AB9,B_VINTE_SQUADRA_B_GIRONI)</f>
        <v>1</v>
      </c>
      <c r="AE9" s="33" t="n">
        <f aca="false">SUMIF(B_SQUADRA_A_GIRONI,AB9,B_PERSE_SQUADRA_A_GIRONI)+SUMIF(B_SQUADRA_B_GIRONI,AB9,B_PERSE_SQUADRA_B_GIRONI)</f>
        <v>2</v>
      </c>
      <c r="AF9" s="33" t="n">
        <f aca="false">SUMIF(B_SQUADRA_A_GIRONI,AB9,B_FORFAIT_SQUADRA_A_GIRONI)+SUMIF(B_SQUADRA_B_GIRONI,AB9,B_FORFAIT_SQUADRA_B_GIRONI)</f>
        <v>0</v>
      </c>
      <c r="AG9" s="95" t="n">
        <f aca="false">2*AD9+1*AE9+0*AF9</f>
        <v>4</v>
      </c>
      <c r="AH9" s="96" t="n">
        <f aca="false">SUMIF(B_SQUADRA_A_GIRONI,AB9,B_PUNTI_FATTI_SQUADRA_A_GIRONI)+SUMIF(B_SQUADRA_B_GIRONI,AB9,B_PUNTI_FATTI_SQUADRA_B_GIRONI)</f>
        <v>181</v>
      </c>
      <c r="AI9" s="33" t="n">
        <f aca="false">SUMIF(B_SQUADRA_A_GIRONI,AB9,B_PUNTI_SUBITI_SQUADRA_A_GIRONI)+SUMIF(B_SQUADRA_B_GIRONI,AB9,B_PUNTI_SUBITI_SQUADRA_B_GIRONI)</f>
        <v>197</v>
      </c>
      <c r="AJ9" s="97" t="n">
        <f aca="false">SUMIF(B_SQUADRA_A_GIRONI,AB9,B_DIFF_CANESTRI_SQUADRA_A_GIRONI)+SUMIF(B_SQUADRA_B_GIRONI,AB9,B_DIFF_CANESTRI_SQUADRA_B_GIRONI)</f>
        <v>-16</v>
      </c>
      <c r="AK9" s="33" t="n">
        <f aca="true">IF(AG9=AG10,INDIRECT("O"&amp;8+6*(FIND(Z9,"ABCDEFGH")-1)),0)</f>
        <v>62</v>
      </c>
      <c r="AL9" s="33" t="n">
        <f aca="true">IF(AG9=AG7,INDIRECT("U"&amp;4+6*(FIND(Z9,"ABCDEFGH")-1)),0)</f>
        <v>0</v>
      </c>
      <c r="AM9" s="33" t="n">
        <f aca="true">IF(AG9=AG8,INDIRECT("U"&amp;6+6*(FIND(Z9,"ABCDEFGH")-1)),0)</f>
        <v>0</v>
      </c>
      <c r="AN9" s="96" t="n">
        <f aca="false">AK9+AL9+AM9</f>
        <v>62</v>
      </c>
      <c r="AO9" s="91" t="n">
        <f aca="true">IF(AG9=AG10,INDIRECT("Q"&amp;8+6*(FIND(Z9,"ABCDEFGH")-1)),0)</f>
        <v>18</v>
      </c>
      <c r="AP9" s="91" t="n">
        <f aca="true">IF(AG9=AG7,INDIRECT("W"&amp;4+6*(FIND(Z9,"ABCDEFGH")-1)),0)</f>
        <v>0</v>
      </c>
      <c r="AQ9" s="91" t="n">
        <f aca="true">IF(AG9=AG8,INDIRECT("W"&amp;6+6*(FIND(Z9,"ABCDEFGH")-1)),0)</f>
        <v>0</v>
      </c>
      <c r="AR9" s="97" t="n">
        <f aca="false">AO9+AP9+AQ9</f>
        <v>18</v>
      </c>
      <c r="AS9" s="98" t="n">
        <f aca="false">AG9+(500+AR9)*10^-3+AN9*10^-6+(500+AJ9)*10^-9+AH9*10^-12</f>
        <v>4.518062484181</v>
      </c>
    </row>
    <row r="10" customFormat="false" ht="12.8" hidden="false" customHeight="false" outlineLevel="0" collapsed="false">
      <c r="A10" s="31" t="n">
        <v>10</v>
      </c>
      <c r="B10" s="33" t="s">
        <v>9</v>
      </c>
      <c r="C10" s="33" t="s">
        <v>34</v>
      </c>
      <c r="D10" s="33" t="s">
        <v>136</v>
      </c>
      <c r="E10" s="33" t="s">
        <v>138</v>
      </c>
      <c r="F10" s="89" t="str">
        <f aca="false">IF(B10="Girone",VLOOKUP(D10,A_SQUADRE_PER_CODICE,2),"ERRORE!")</f>
        <v>Giaguari</v>
      </c>
      <c r="G10" s="89" t="str">
        <f aca="false">IF(B10="Girone",VLOOKUP(E10,A_SQUADRE_PER_CODICE,2),"ERRORE!")</f>
        <v>Linci</v>
      </c>
      <c r="H10" s="33" t="n">
        <f aca="false">VLOOKUP(A10,A_4_INPUT_DATE_E_RISULTATI_GIRONI,6,0)</f>
        <v>56</v>
      </c>
      <c r="I10" s="33" t="n">
        <f aca="false">VLOOKUP(A10,A_4_INPUT_DATE_E_RISULTATI_GIRONI,7,0)</f>
        <v>47</v>
      </c>
      <c r="J10" s="89" t="str">
        <f aca="false">IF(H10&gt;I10,F10,G10)</f>
        <v>Giaguari</v>
      </c>
      <c r="K10" s="89" t="str">
        <f aca="false">IF(H10&lt;I10,F10,G10)</f>
        <v>Linci</v>
      </c>
      <c r="L10" s="33" t="n">
        <f aca="false">1*(H10&gt;I10)</f>
        <v>1</v>
      </c>
      <c r="M10" s="90" t="n">
        <f aca="false">1*(H10&lt;I10)*NOT(AND(H10=0,I10=20))</f>
        <v>0</v>
      </c>
      <c r="N10" s="90" t="n">
        <f aca="false">1*AND(H10=0,I10=20)</f>
        <v>0</v>
      </c>
      <c r="O10" s="33" t="n">
        <f aca="false">H10</f>
        <v>56</v>
      </c>
      <c r="P10" s="33" t="n">
        <f aca="false">I10</f>
        <v>47</v>
      </c>
      <c r="Q10" s="91" t="n">
        <f aca="false">O10-P10</f>
        <v>9</v>
      </c>
      <c r="R10" s="33" t="n">
        <f aca="false">1*(I10&gt;H10)</f>
        <v>0</v>
      </c>
      <c r="S10" s="33" t="n">
        <f aca="false">1*(I10&lt;H10)*NOT(AND(H10=20,I10=0))</f>
        <v>1</v>
      </c>
      <c r="T10" s="33" t="n">
        <f aca="false">1*AND(H10=20,I10=0)</f>
        <v>0</v>
      </c>
      <c r="U10" s="33" t="n">
        <f aca="false">I10</f>
        <v>47</v>
      </c>
      <c r="V10" s="33" t="n">
        <f aca="false">H10</f>
        <v>56</v>
      </c>
      <c r="W10" s="92" t="n">
        <f aca="false">U10-V10</f>
        <v>-9</v>
      </c>
      <c r="Y10" s="108" t="str">
        <f aca="false">COUNTIF(B_COEFF_GIRONE_B,"&gt;="&amp;AS10)&amp;Z10</f>
        <v>4B</v>
      </c>
      <c r="Z10" s="109" t="s">
        <v>34</v>
      </c>
      <c r="AA10" s="109" t="s">
        <v>139</v>
      </c>
      <c r="AB10" s="110" t="str">
        <f aca="false">VLOOKUP(AA10,A_SQUADRE_PER_CODICE,2)</f>
        <v>Serval</v>
      </c>
      <c r="AC10" s="109" t="n">
        <f aca="false">AD10+AE10+AF10</f>
        <v>3</v>
      </c>
      <c r="AD10" s="109" t="n">
        <f aca="false">SUMIF(B_SQUADRA_A_GIRONI,AB10,B_VINTE_SQUADRA_A_GIRONI)+SUMIF(B_SQUADRA_B_GIRONI,AB10,B_VINTE_SQUADRA_B_GIRONI)</f>
        <v>1</v>
      </c>
      <c r="AE10" s="109" t="n">
        <f aca="false">SUMIF(B_SQUADRA_A_GIRONI,AB10,B_PERSE_SQUADRA_A_GIRONI)+SUMIF(B_SQUADRA_B_GIRONI,AB10,B_PERSE_SQUADRA_B_GIRONI)</f>
        <v>2</v>
      </c>
      <c r="AF10" s="109" t="n">
        <f aca="false">SUMIF(B_SQUADRA_A_GIRONI,AB10,B_FORFAIT_SQUADRA_A_GIRONI)+SUMIF(B_SQUADRA_B_GIRONI,AB10,B_FORFAIT_SQUADRA_B_GIRONI)</f>
        <v>0</v>
      </c>
      <c r="AG10" s="111" t="n">
        <f aca="false">2*AD10+1*AE10+0*AF10</f>
        <v>4</v>
      </c>
      <c r="AH10" s="112" t="n">
        <f aca="false">SUMIF(B_SQUADRA_A_GIRONI,AB10,B_PUNTI_FATTI_SQUADRA_A_GIRONI)+SUMIF(B_SQUADRA_B_GIRONI,AB10,B_PUNTI_FATTI_SQUADRA_B_GIRONI)</f>
        <v>183</v>
      </c>
      <c r="AI10" s="109" t="n">
        <f aca="false">SUMIF(B_SQUADRA_A_GIRONI,AB10,B_PUNTI_SUBITI_SQUADRA_A_GIRONI)+SUMIF(B_SQUADRA_B_GIRONI,AB10,B_PUNTI_SUBITI_SQUADRA_B_GIRONI)</f>
        <v>206</v>
      </c>
      <c r="AJ10" s="113" t="n">
        <f aca="false">SUMIF(B_SQUADRA_A_GIRONI,AB10,B_DIFF_CANESTRI_SQUADRA_A_GIRONI)+SUMIF(B_SQUADRA_B_GIRONI,AB10,B_DIFF_CANESTRI_SQUADRA_B_GIRONI)</f>
        <v>-23</v>
      </c>
      <c r="AK10" s="109" t="n">
        <f aca="true">IF(AG10=AG7,INDIRECT("U"&amp;5+6*(FIND(Z10,"ABCDEFGH")-1)),0)</f>
        <v>0</v>
      </c>
      <c r="AL10" s="109" t="n">
        <f aca="true">IF(AG10=AG8,INDIRECT("U"&amp;7+6*(FIND(Z10,"ABCDEFGH")-1)),0)</f>
        <v>0</v>
      </c>
      <c r="AM10" s="109" t="n">
        <f aca="true">IF(AG10=AG9,INDIRECT("U"&amp;8+6*(FIND(Z10,"ABCDEFGH")-1)),0)</f>
        <v>44</v>
      </c>
      <c r="AN10" s="112" t="n">
        <f aca="false">AK10+AL10+AM10</f>
        <v>44</v>
      </c>
      <c r="AO10" s="114" t="n">
        <f aca="true">IF(AG10=AG7,INDIRECT("W"&amp;5+6*(FIND(Z10,"ABCDEFGH")-1)),0)</f>
        <v>0</v>
      </c>
      <c r="AP10" s="114" t="n">
        <f aca="true">IF(AG10=AG8,INDIRECT("W"&amp;7+6*(FIND(Z10,"ABCDEFGH")-1)),0)</f>
        <v>0</v>
      </c>
      <c r="AQ10" s="114" t="n">
        <f aca="true">IF(AG10=AG9,INDIRECT("W"&amp;8+6*(FIND(Z10,"ABCDEFGH")-1)),0)</f>
        <v>-18</v>
      </c>
      <c r="AR10" s="113" t="n">
        <f aca="false">AO10+AP10+AQ10</f>
        <v>-18</v>
      </c>
      <c r="AS10" s="115" t="n">
        <f aca="false">AG10+(500+AR10)*10^-3+AN10*10^-6+(500+AJ10)*10^-9+AH10*10^-12</f>
        <v>4.482044477183</v>
      </c>
    </row>
    <row r="11" customFormat="false" ht="12.8" hidden="false" customHeight="false" outlineLevel="0" collapsed="false">
      <c r="A11" s="31" t="n">
        <v>26</v>
      </c>
      <c r="B11" s="33" t="s">
        <v>9</v>
      </c>
      <c r="C11" s="33" t="s">
        <v>34</v>
      </c>
      <c r="D11" s="33" t="s">
        <v>136</v>
      </c>
      <c r="E11" s="33" t="s">
        <v>139</v>
      </c>
      <c r="F11" s="89" t="str">
        <f aca="false">IF(B11="Girone",VLOOKUP(D11,A_SQUADRE_PER_CODICE,2),"ERRORE!")</f>
        <v>Giaguari</v>
      </c>
      <c r="G11" s="89" t="str">
        <f aca="false">IF(B11="Girone",VLOOKUP(E11,A_SQUADRE_PER_CODICE,2),"ERRORE!")</f>
        <v>Serval</v>
      </c>
      <c r="H11" s="33" t="n">
        <f aca="false">VLOOKUP(A11,A_4_INPUT_DATE_E_RISULTATI_GIRONI,6,0)</f>
        <v>76</v>
      </c>
      <c r="I11" s="33" t="n">
        <f aca="false">VLOOKUP(A11,A_4_INPUT_DATE_E_RISULTATI_GIRONI,7,0)</f>
        <v>94</v>
      </c>
      <c r="J11" s="89" t="str">
        <f aca="false">IF(H11&gt;I11,F11,G11)</f>
        <v>Serval</v>
      </c>
      <c r="K11" s="89" t="str">
        <f aca="false">IF(H11&lt;I11,F11,G11)</f>
        <v>Giaguari</v>
      </c>
      <c r="L11" s="33" t="n">
        <f aca="false">1*(H11&gt;I11)</f>
        <v>0</v>
      </c>
      <c r="M11" s="90" t="n">
        <f aca="false">1*(H11&lt;I11)*NOT(AND(H11=0,I11=20))</f>
        <v>1</v>
      </c>
      <c r="N11" s="90" t="n">
        <f aca="false">1*AND(H11=0,I11=20)</f>
        <v>0</v>
      </c>
      <c r="O11" s="33" t="n">
        <f aca="false">H11</f>
        <v>76</v>
      </c>
      <c r="P11" s="33" t="n">
        <f aca="false">I11</f>
        <v>94</v>
      </c>
      <c r="Q11" s="91" t="n">
        <f aca="false">O11-P11</f>
        <v>-18</v>
      </c>
      <c r="R11" s="33" t="n">
        <f aca="false">1*(I11&gt;H11)</f>
        <v>1</v>
      </c>
      <c r="S11" s="33" t="n">
        <f aca="false">1*(I11&lt;H11)*NOT(AND(H11=20,I11=0))</f>
        <v>0</v>
      </c>
      <c r="T11" s="33" t="n">
        <f aca="false">1*AND(H11=20,I11=0)</f>
        <v>0</v>
      </c>
      <c r="U11" s="33" t="n">
        <f aca="false">I11</f>
        <v>94</v>
      </c>
      <c r="V11" s="33" t="n">
        <f aca="false">H11</f>
        <v>76</v>
      </c>
      <c r="W11" s="92" t="n">
        <f aca="false">U11-V11</f>
        <v>18</v>
      </c>
      <c r="Y11" s="93" t="str">
        <f aca="false">COUNTIF(B_COEFF_GIRONE_C,"&gt;="&amp;AS11)&amp;Z11</f>
        <v>1C</v>
      </c>
      <c r="Z11" s="33" t="s">
        <v>39</v>
      </c>
      <c r="AA11" s="33" t="s">
        <v>140</v>
      </c>
      <c r="AB11" s="94" t="str">
        <f aca="false">VLOOKUP(AA11,A_SQUADRE_PER_CODICE,2)</f>
        <v>Elefanti</v>
      </c>
      <c r="AC11" s="33" t="n">
        <f aca="false">AD11+AE11+AF11</f>
        <v>3</v>
      </c>
      <c r="AD11" s="33" t="n">
        <f aca="false">SUMIF(B_SQUADRA_A_GIRONI,AB11,B_VINTE_SQUADRA_A_GIRONI)+SUMIF(B_SQUADRA_B_GIRONI,AB11,B_VINTE_SQUADRA_B_GIRONI)</f>
        <v>2</v>
      </c>
      <c r="AE11" s="33" t="n">
        <f aca="false">SUMIF(B_SQUADRA_A_GIRONI,AB11,B_PERSE_SQUADRA_A_GIRONI)+SUMIF(B_SQUADRA_B_GIRONI,AB11,B_PERSE_SQUADRA_B_GIRONI)</f>
        <v>1</v>
      </c>
      <c r="AF11" s="33" t="n">
        <f aca="false">SUMIF(B_SQUADRA_A_GIRONI,AB11,B_FORFAIT_SQUADRA_A_GIRONI)+SUMIF(B_SQUADRA_B_GIRONI,AB11,B_FORFAIT_SQUADRA_B_GIRONI)</f>
        <v>0</v>
      </c>
      <c r="AG11" s="95" t="n">
        <f aca="false">2*AD11+1*AE11+0*AF11</f>
        <v>5</v>
      </c>
      <c r="AH11" s="96" t="n">
        <f aca="false">SUMIF(B_SQUADRA_A_GIRONI,AB11,B_PUNTI_FATTI_SQUADRA_A_GIRONI)+SUMIF(B_SQUADRA_B_GIRONI,AB11,B_PUNTI_FATTI_SQUADRA_B_GIRONI)</f>
        <v>223</v>
      </c>
      <c r="AI11" s="33" t="n">
        <f aca="false">SUMIF(B_SQUADRA_A_GIRONI,AB11,B_PUNTI_SUBITI_SQUADRA_A_GIRONI)+SUMIF(B_SQUADRA_B_GIRONI,AB11,B_PUNTI_SUBITI_SQUADRA_B_GIRONI)</f>
        <v>188</v>
      </c>
      <c r="AJ11" s="97" t="n">
        <f aca="false">SUMIF(B_SQUADRA_A_GIRONI,AB11,B_DIFF_CANESTRI_SQUADRA_A_GIRONI)+SUMIF(B_SQUADRA_B_GIRONI,AB11,B_DIFF_CANESTRI_SQUADRA_B_GIRONI)</f>
        <v>35</v>
      </c>
      <c r="AK11" s="33" t="n">
        <f aca="true">IF(AG11=AG12,INDIRECT("O"&amp;3+6*(FIND(Z11,"ABCDEFGH")-1)),0)</f>
        <v>100</v>
      </c>
      <c r="AL11" s="90" t="n">
        <f aca="true">IF(AG11=AG13,INDIRECT("O"&amp;4+6*(FIND(Z11,"ABCDEFGH")-1)),0)</f>
        <v>66</v>
      </c>
      <c r="AM11" s="33" t="n">
        <f aca="true">IF(AG11=AG14,INDIRECT("O"&amp;5+6*(FIND(Z11,"ABCDEFGH")-1)),0)</f>
        <v>0</v>
      </c>
      <c r="AN11" s="96" t="n">
        <f aca="false">AK11+AL11+AM11</f>
        <v>166</v>
      </c>
      <c r="AO11" s="91" t="n">
        <f aca="true">IF(AG11=AG12,INDIRECT("Q"&amp;3+6*(FIND(Z11,"ABCDEFGH")-1)),0)</f>
        <v>49</v>
      </c>
      <c r="AP11" s="91" t="n">
        <f aca="true">IF(AG11=AG13,INDIRECT("Q"&amp;4+6*(FIND(Z11,"ABCDEFGH")-1)),0)</f>
        <v>-29</v>
      </c>
      <c r="AQ11" s="91" t="n">
        <f aca="true">IF(AG11=AG14,INDIRECT("Q"&amp;5+6*(FIND(Z11,"ABCDEFGH")-1)),0)</f>
        <v>0</v>
      </c>
      <c r="AR11" s="97" t="n">
        <f aca="false">AO11+AP11+AQ11</f>
        <v>20</v>
      </c>
      <c r="AS11" s="98" t="n">
        <f aca="false">AG11+(500+AR11)*10^-3+AN11*10^-6+(500+AJ11)*10^-9+AH11*10^-12</f>
        <v>5.520166535223</v>
      </c>
    </row>
    <row r="12" customFormat="false" ht="12.8" hidden="false" customHeight="false" outlineLevel="0" collapsed="false">
      <c r="A12" s="31" t="n">
        <v>38</v>
      </c>
      <c r="B12" s="33" t="s">
        <v>9</v>
      </c>
      <c r="C12" s="33" t="s">
        <v>34</v>
      </c>
      <c r="D12" s="33" t="s">
        <v>137</v>
      </c>
      <c r="E12" s="33" t="s">
        <v>138</v>
      </c>
      <c r="F12" s="89" t="str">
        <f aca="false">IF(B12="Girone",VLOOKUP(D12,A_SQUADRE_PER_CODICE,2),"ERRORE!")</f>
        <v>Puma</v>
      </c>
      <c r="G12" s="89" t="str">
        <f aca="false">IF(B12="Girone",VLOOKUP(E12,A_SQUADRE_PER_CODICE,2),"ERRORE!")</f>
        <v>Linci</v>
      </c>
      <c r="H12" s="33" t="n">
        <f aca="false">VLOOKUP(A12,A_4_INPUT_DATE_E_RISULTATI_GIRONI,6,0)</f>
        <v>97</v>
      </c>
      <c r="I12" s="33" t="n">
        <f aca="false">VLOOKUP(A12,A_4_INPUT_DATE_E_RISULTATI_GIRONI,7,0)</f>
        <v>72</v>
      </c>
      <c r="J12" s="89" t="str">
        <f aca="false">IF(H12&gt;I12,F12,G12)</f>
        <v>Puma</v>
      </c>
      <c r="K12" s="89" t="str">
        <f aca="false">IF(H12&lt;I12,F12,G12)</f>
        <v>Linci</v>
      </c>
      <c r="L12" s="33" t="n">
        <f aca="false">1*(H12&gt;I12)</f>
        <v>1</v>
      </c>
      <c r="M12" s="90" t="n">
        <f aca="false">1*(H12&lt;I12)*NOT(AND(H12=0,I12=20))</f>
        <v>0</v>
      </c>
      <c r="N12" s="90" t="n">
        <f aca="false">1*AND(H12=0,I12=20)</f>
        <v>0</v>
      </c>
      <c r="O12" s="33" t="n">
        <f aca="false">H12</f>
        <v>97</v>
      </c>
      <c r="P12" s="33" t="n">
        <f aca="false">I12</f>
        <v>72</v>
      </c>
      <c r="Q12" s="91" t="n">
        <f aca="false">O12-P12</f>
        <v>25</v>
      </c>
      <c r="R12" s="33" t="n">
        <f aca="false">1*(I12&gt;H12)</f>
        <v>0</v>
      </c>
      <c r="S12" s="33" t="n">
        <f aca="false">1*(I12&lt;H12)*NOT(AND(H12=20,I12=0))</f>
        <v>1</v>
      </c>
      <c r="T12" s="33" t="n">
        <f aca="false">1*AND(H12=20,I12=0)</f>
        <v>0</v>
      </c>
      <c r="U12" s="33" t="n">
        <f aca="false">I12</f>
        <v>72</v>
      </c>
      <c r="V12" s="33" t="n">
        <f aca="false">H12</f>
        <v>97</v>
      </c>
      <c r="W12" s="92" t="n">
        <f aca="false">U12-V12</f>
        <v>-25</v>
      </c>
      <c r="Y12" s="93" t="str">
        <f aca="false">COUNTIF(B_COEFF_GIRONE_C,"&gt;="&amp;AS12)&amp;Z12</f>
        <v>2C</v>
      </c>
      <c r="Z12" s="33" t="s">
        <v>39</v>
      </c>
      <c r="AA12" s="33" t="s">
        <v>141</v>
      </c>
      <c r="AB12" s="94" t="str">
        <f aca="false">VLOOKUP(AA12,A_SQUADRE_PER_CODICE,2)</f>
        <v>Giraffe</v>
      </c>
      <c r="AC12" s="33" t="n">
        <f aca="false">AD12+AE12+AF12</f>
        <v>3</v>
      </c>
      <c r="AD12" s="33" t="n">
        <f aca="false">SUMIF(B_SQUADRA_A_GIRONI,AB12,B_VINTE_SQUADRA_A_GIRONI)+SUMIF(B_SQUADRA_B_GIRONI,AB12,B_VINTE_SQUADRA_B_GIRONI)</f>
        <v>2</v>
      </c>
      <c r="AE12" s="33" t="n">
        <f aca="false">SUMIF(B_SQUADRA_A_GIRONI,AB12,B_PERSE_SQUADRA_A_GIRONI)+SUMIF(B_SQUADRA_B_GIRONI,AB12,B_PERSE_SQUADRA_B_GIRONI)</f>
        <v>1</v>
      </c>
      <c r="AF12" s="33" t="n">
        <f aca="false">SUMIF(B_SQUADRA_A_GIRONI,AB12,B_FORFAIT_SQUADRA_A_GIRONI)+SUMIF(B_SQUADRA_B_GIRONI,AB12,B_FORFAIT_SQUADRA_B_GIRONI)</f>
        <v>0</v>
      </c>
      <c r="AG12" s="95" t="n">
        <f aca="false">2*AD12+1*AE12+0*AF12</f>
        <v>5</v>
      </c>
      <c r="AH12" s="96" t="n">
        <f aca="false">SUMIF(B_SQUADRA_A_GIRONI,AB12,B_PUNTI_FATTI_SQUADRA_A_GIRONI)+SUMIF(B_SQUADRA_B_GIRONI,AB12,B_PUNTI_FATTI_SQUADRA_B_GIRONI)</f>
        <v>209</v>
      </c>
      <c r="AI12" s="33" t="n">
        <f aca="false">SUMIF(B_SQUADRA_A_GIRONI,AB12,B_PUNTI_SUBITI_SQUADRA_A_GIRONI)+SUMIF(B_SQUADRA_B_GIRONI,AB12,B_PUNTI_SUBITI_SQUADRA_B_GIRONI)</f>
        <v>183</v>
      </c>
      <c r="AJ12" s="97" t="n">
        <f aca="false">SUMIF(B_SQUADRA_A_GIRONI,AB12,B_DIFF_CANESTRI_SQUADRA_A_GIRONI)+SUMIF(B_SQUADRA_B_GIRONI,AB12,B_DIFF_CANESTRI_SQUADRA_B_GIRONI)</f>
        <v>26</v>
      </c>
      <c r="AK12" s="33" t="n">
        <f aca="true">IF(AG12=AG13,INDIRECT("O"&amp;6+6*(FIND(Z12,"ABCDEFGH")-1)),0)</f>
        <v>98</v>
      </c>
      <c r="AL12" s="33" t="n">
        <f aca="true">IF(AG12=AG14,INDIRECT("O"&amp;7+6*(FIND(Z12,"ABCDEFGH")-1)),0)</f>
        <v>0</v>
      </c>
      <c r="AM12" s="33" t="n">
        <f aca="true">IF(AG12=AG11,INDIRECT("U"&amp;3+6*(FIND(Z12,"ABCDEFGH")-1)),0)</f>
        <v>51</v>
      </c>
      <c r="AN12" s="96" t="n">
        <f aca="false">AK12+AL12+AM12</f>
        <v>149</v>
      </c>
      <c r="AO12" s="91" t="n">
        <f aca="true">IF(AG12=AG13,INDIRECT("Q"&amp;6+6*(FIND(Z12,"ABCDEFGH")-1)),0)</f>
        <v>49</v>
      </c>
      <c r="AP12" s="91" t="n">
        <f aca="true">IF(AG12=AG14,INDIRECT("Q"&amp;7+6*(FIND(Z12,"ABCDEFGH")-1)),0)</f>
        <v>0</v>
      </c>
      <c r="AQ12" s="91" t="n">
        <f aca="true">IF(AG12=AG11,INDIRECT("W"&amp;3+6*(FIND(Z12,"ABCDEFGH")-1)),0)</f>
        <v>-49</v>
      </c>
      <c r="AR12" s="97" t="n">
        <f aca="false">AO12+AP12+AQ12</f>
        <v>0</v>
      </c>
      <c r="AS12" s="98" t="n">
        <f aca="false">AG12+(500+AR12)*10^-3+AN12*10^-6+(500+AJ12)*10^-9+AH12*10^-12</f>
        <v>5.500149526209</v>
      </c>
    </row>
    <row r="13" customFormat="false" ht="12.8" hidden="false" customHeight="false" outlineLevel="0" collapsed="false">
      <c r="A13" s="31" t="n">
        <v>14</v>
      </c>
      <c r="B13" s="33" t="s">
        <v>9</v>
      </c>
      <c r="C13" s="33" t="s">
        <v>34</v>
      </c>
      <c r="D13" s="33" t="s">
        <v>137</v>
      </c>
      <c r="E13" s="33" t="s">
        <v>139</v>
      </c>
      <c r="F13" s="89" t="str">
        <f aca="false">IF(B13="Girone",VLOOKUP(D13,A_SQUADRE_PER_CODICE,2),"ERRORE!")</f>
        <v>Puma</v>
      </c>
      <c r="G13" s="89" t="str">
        <f aca="false">IF(B13="Girone",VLOOKUP(E13,A_SQUADRE_PER_CODICE,2),"ERRORE!")</f>
        <v>Serval</v>
      </c>
      <c r="H13" s="33" t="n">
        <f aca="false">VLOOKUP(A13,A_4_INPUT_DATE_E_RISULTATI_GIRONI,6,0)</f>
        <v>68</v>
      </c>
      <c r="I13" s="33" t="n">
        <f aca="false">VLOOKUP(A13,A_4_INPUT_DATE_E_RISULTATI_GIRONI,7,0)</f>
        <v>45</v>
      </c>
      <c r="J13" s="89" t="str">
        <f aca="false">IF(H13&gt;I13,F13,G13)</f>
        <v>Puma</v>
      </c>
      <c r="K13" s="89" t="str">
        <f aca="false">IF(H13&lt;I13,F13,G13)</f>
        <v>Serval</v>
      </c>
      <c r="L13" s="33" t="n">
        <f aca="false">1*(H13&gt;I13)</f>
        <v>1</v>
      </c>
      <c r="M13" s="90" t="n">
        <f aca="false">1*(H13&lt;I13)*NOT(AND(H13=0,I13=20))</f>
        <v>0</v>
      </c>
      <c r="N13" s="90" t="n">
        <f aca="false">1*AND(H13=0,I13=20)</f>
        <v>0</v>
      </c>
      <c r="O13" s="33" t="n">
        <f aca="false">H13</f>
        <v>68</v>
      </c>
      <c r="P13" s="33" t="n">
        <f aca="false">I13</f>
        <v>45</v>
      </c>
      <c r="Q13" s="91" t="n">
        <f aca="false">O13-P13</f>
        <v>23</v>
      </c>
      <c r="R13" s="33" t="n">
        <f aca="false">1*(I13&gt;H13)</f>
        <v>0</v>
      </c>
      <c r="S13" s="33" t="n">
        <f aca="false">1*(I13&lt;H13)*NOT(AND(H13=20,I13=0))</f>
        <v>1</v>
      </c>
      <c r="T13" s="33" t="n">
        <f aca="false">1*AND(H13=20,I13=0)</f>
        <v>0</v>
      </c>
      <c r="U13" s="33" t="n">
        <f aca="false">I13</f>
        <v>45</v>
      </c>
      <c r="V13" s="33" t="n">
        <f aca="false">H13</f>
        <v>68</v>
      </c>
      <c r="W13" s="92" t="n">
        <f aca="false">U13-V13</f>
        <v>-23</v>
      </c>
      <c r="Y13" s="93" t="str">
        <f aca="false">COUNTIF(B_COEFF_GIRONE_C,"&gt;="&amp;AS13)&amp;Z13</f>
        <v>3C</v>
      </c>
      <c r="Z13" s="33" t="s">
        <v>39</v>
      </c>
      <c r="AA13" s="33" t="s">
        <v>142</v>
      </c>
      <c r="AB13" s="94" t="str">
        <f aca="false">VLOOKUP(AA13,A_SQUADRE_PER_CODICE,2)</f>
        <v>Ippopotami</v>
      </c>
      <c r="AC13" s="33" t="n">
        <f aca="false">AD13+AE13+AF13</f>
        <v>3</v>
      </c>
      <c r="AD13" s="33" t="n">
        <f aca="false">SUMIF(B_SQUADRA_A_GIRONI,AB13,B_VINTE_SQUADRA_A_GIRONI)+SUMIF(B_SQUADRA_B_GIRONI,AB13,B_VINTE_SQUADRA_B_GIRONI)</f>
        <v>2</v>
      </c>
      <c r="AE13" s="33" t="n">
        <f aca="false">SUMIF(B_SQUADRA_A_GIRONI,AB13,B_PERSE_SQUADRA_A_GIRONI)+SUMIF(B_SQUADRA_B_GIRONI,AB13,B_PERSE_SQUADRA_B_GIRONI)</f>
        <v>1</v>
      </c>
      <c r="AF13" s="33" t="n">
        <f aca="false">SUMIF(B_SQUADRA_A_GIRONI,AB13,B_FORFAIT_SQUADRA_A_GIRONI)+SUMIF(B_SQUADRA_B_GIRONI,AB13,B_FORFAIT_SQUADRA_B_GIRONI)</f>
        <v>0</v>
      </c>
      <c r="AG13" s="95" t="n">
        <f aca="false">2*AD13+1*AE13+0*AF13</f>
        <v>5</v>
      </c>
      <c r="AH13" s="96" t="n">
        <f aca="false">SUMIF(B_SQUADRA_A_GIRONI,AB13,B_PUNTI_FATTI_SQUADRA_A_GIRONI)+SUMIF(B_SQUADRA_B_GIRONI,AB13,B_PUNTI_FATTI_SQUADRA_B_GIRONI)</f>
        <v>240</v>
      </c>
      <c r="AI13" s="33" t="n">
        <f aca="false">SUMIF(B_SQUADRA_A_GIRONI,AB13,B_PUNTI_SUBITI_SQUADRA_A_GIRONI)+SUMIF(B_SQUADRA_B_GIRONI,AB13,B_PUNTI_SUBITI_SQUADRA_B_GIRONI)</f>
        <v>189</v>
      </c>
      <c r="AJ13" s="97" t="n">
        <f aca="false">SUMIF(B_SQUADRA_A_GIRONI,AB13,B_DIFF_CANESTRI_SQUADRA_A_GIRONI)+SUMIF(B_SQUADRA_B_GIRONI,AB13,B_DIFF_CANESTRI_SQUADRA_B_GIRONI)</f>
        <v>51</v>
      </c>
      <c r="AK13" s="33" t="n">
        <f aca="true">IF(AG13=AG14,INDIRECT("O"&amp;8+6*(FIND(Z13,"ABCDEFGH")-1)),0)</f>
        <v>0</v>
      </c>
      <c r="AL13" s="33" t="n">
        <f aca="true">IF(AG13=AG11,INDIRECT("U"&amp;4+6*(FIND(Z13,"ABCDEFGH")-1)),0)</f>
        <v>95</v>
      </c>
      <c r="AM13" s="33" t="n">
        <f aca="true">IF(AG13=AG12,INDIRECT("U"&amp;6+6*(FIND(Z13,"ABCDEFGH")-1)),0)</f>
        <v>49</v>
      </c>
      <c r="AN13" s="96" t="n">
        <f aca="false">AK13+AL13+AM13</f>
        <v>144</v>
      </c>
      <c r="AO13" s="91" t="n">
        <f aca="true">IF(AG13=AG14,INDIRECT("Q"&amp;8+6*(FIND(Z13,"ABCDEFGH")-1)),0)</f>
        <v>0</v>
      </c>
      <c r="AP13" s="91" t="n">
        <f aca="true">IF(AG13=AG11,INDIRECT("W"&amp;4+6*(FIND(Z13,"ABCDEFGH")-1)),0)</f>
        <v>29</v>
      </c>
      <c r="AQ13" s="91" t="n">
        <f aca="true">IF(AG13=AG12,INDIRECT("W"&amp;6+6*(FIND(Z13,"ABCDEFGH")-1)),0)</f>
        <v>-49</v>
      </c>
      <c r="AR13" s="97" t="n">
        <f aca="false">AO13+AP13+AQ13</f>
        <v>-20</v>
      </c>
      <c r="AS13" s="98" t="n">
        <f aca="false">AG13+(500+AR13)*10^-3+AN13*10^-6+(500+AJ13)*10^-9+AH13*10^-12</f>
        <v>5.48014455124</v>
      </c>
    </row>
    <row r="14" customFormat="false" ht="12.8" hidden="false" customHeight="false" outlineLevel="0" collapsed="false">
      <c r="A14" s="31" t="n">
        <v>6</v>
      </c>
      <c r="B14" s="33" t="s">
        <v>9</v>
      </c>
      <c r="C14" s="33" t="s">
        <v>34</v>
      </c>
      <c r="D14" s="33" t="s">
        <v>138</v>
      </c>
      <c r="E14" s="33" t="s">
        <v>139</v>
      </c>
      <c r="F14" s="89" t="str">
        <f aca="false">IF(B14="Girone",VLOOKUP(D14,A_SQUADRE_PER_CODICE,2),"ERRORE!")</f>
        <v>Linci</v>
      </c>
      <c r="G14" s="89" t="str">
        <f aca="false">IF(B14="Girone",VLOOKUP(E14,A_SQUADRE_PER_CODICE,2),"ERRORE!")</f>
        <v>Serval</v>
      </c>
      <c r="H14" s="33" t="n">
        <f aca="false">VLOOKUP(A14,A_4_INPUT_DATE_E_RISULTATI_GIRONI,6,0)</f>
        <v>62</v>
      </c>
      <c r="I14" s="33" t="n">
        <f aca="false">VLOOKUP(A14,A_4_INPUT_DATE_E_RISULTATI_GIRONI,7,0)</f>
        <v>44</v>
      </c>
      <c r="J14" s="89" t="str">
        <f aca="false">IF(H14&gt;I14,F14,G14)</f>
        <v>Linci</v>
      </c>
      <c r="K14" s="89" t="str">
        <f aca="false">IF(H14&lt;I14,F14,G14)</f>
        <v>Serval</v>
      </c>
      <c r="L14" s="33" t="n">
        <f aca="false">1*(H14&gt;I14)</f>
        <v>1</v>
      </c>
      <c r="M14" s="90" t="n">
        <f aca="false">1*(H14&lt;I14)*NOT(AND(H14=0,I14=20))</f>
        <v>0</v>
      </c>
      <c r="N14" s="90" t="n">
        <f aca="false">1*AND(H14=0,I14=20)</f>
        <v>0</v>
      </c>
      <c r="O14" s="33" t="n">
        <f aca="false">H14</f>
        <v>62</v>
      </c>
      <c r="P14" s="33" t="n">
        <f aca="false">I14</f>
        <v>44</v>
      </c>
      <c r="Q14" s="91" t="n">
        <f aca="false">O14-P14</f>
        <v>18</v>
      </c>
      <c r="R14" s="33" t="n">
        <f aca="false">1*(I14&gt;H14)</f>
        <v>0</v>
      </c>
      <c r="S14" s="33" t="n">
        <f aca="false">1*(I14&lt;H14)*NOT(AND(H14=20,I14=0))</f>
        <v>1</v>
      </c>
      <c r="T14" s="33" t="n">
        <f aca="false">1*AND(H14=20,I14=0)</f>
        <v>0</v>
      </c>
      <c r="U14" s="33" t="n">
        <f aca="false">I14</f>
        <v>44</v>
      </c>
      <c r="V14" s="33" t="n">
        <f aca="false">H14</f>
        <v>62</v>
      </c>
      <c r="W14" s="92" t="n">
        <f aca="false">U14-V14</f>
        <v>-18</v>
      </c>
      <c r="Y14" s="93" t="str">
        <f aca="false">COUNTIF(B_COEFF_GIRONE_C,"&gt;="&amp;AS14)&amp;Z14</f>
        <v>4C</v>
      </c>
      <c r="Z14" s="33" t="s">
        <v>39</v>
      </c>
      <c r="AA14" s="33" t="s">
        <v>143</v>
      </c>
      <c r="AB14" s="94" t="str">
        <f aca="false">VLOOKUP(AA14,A_SQUADRE_PER_CODICE,2)</f>
        <v>Iguane</v>
      </c>
      <c r="AC14" s="33" t="n">
        <f aca="false">AD14+AE14+AF14</f>
        <v>3</v>
      </c>
      <c r="AD14" s="33" t="n">
        <f aca="false">SUMIF(B_SQUADRA_A_GIRONI,AB14,B_VINTE_SQUADRA_A_GIRONI)+SUMIF(B_SQUADRA_B_GIRONI,AB14,B_VINTE_SQUADRA_B_GIRONI)</f>
        <v>0</v>
      </c>
      <c r="AE14" s="33" t="n">
        <f aca="false">SUMIF(B_SQUADRA_A_GIRONI,AB14,B_PERSE_SQUADRA_A_GIRONI)+SUMIF(B_SQUADRA_B_GIRONI,AB14,B_PERSE_SQUADRA_B_GIRONI)</f>
        <v>3</v>
      </c>
      <c r="AF14" s="33" t="n">
        <f aca="false">SUMIF(B_SQUADRA_A_GIRONI,AB14,B_FORFAIT_SQUADRA_A_GIRONI)+SUMIF(B_SQUADRA_B_GIRONI,AB14,B_FORFAIT_SQUADRA_B_GIRONI)</f>
        <v>0</v>
      </c>
      <c r="AG14" s="95" t="n">
        <f aca="false">2*AD14+1*AE14+0*AF14</f>
        <v>3</v>
      </c>
      <c r="AH14" s="96" t="n">
        <f aca="false">SUMIF(B_SQUADRA_A_GIRONI,AB14,B_PUNTI_FATTI_SQUADRA_A_GIRONI)+SUMIF(B_SQUADRA_B_GIRONI,AB14,B_PUNTI_FATTI_SQUADRA_B_GIRONI)</f>
        <v>101</v>
      </c>
      <c r="AI14" s="33" t="n">
        <f aca="false">SUMIF(B_SQUADRA_A_GIRONI,AB14,B_PUNTI_SUBITI_SQUADRA_A_GIRONI)+SUMIF(B_SQUADRA_B_GIRONI,AB14,B_PUNTI_SUBITI_SQUADRA_B_GIRONI)</f>
        <v>213</v>
      </c>
      <c r="AJ14" s="97" t="n">
        <f aca="false">SUMIF(B_SQUADRA_A_GIRONI,AB14,B_DIFF_CANESTRI_SQUADRA_A_GIRONI)+SUMIF(B_SQUADRA_B_GIRONI,AB14,B_DIFF_CANESTRI_SQUADRA_B_GIRONI)</f>
        <v>-112</v>
      </c>
      <c r="AK14" s="33" t="n">
        <f aca="true">IF(AG14=AG11,INDIRECT("U"&amp;5+6*(FIND(Z14,"ABCDEFGH")-1)),0)</f>
        <v>0</v>
      </c>
      <c r="AL14" s="33" t="n">
        <f aca="true">IF(AG14=AG12,INDIRECT("U"&amp;7+6*(FIND(Z14,"ABCDEFGH")-1)),0)</f>
        <v>0</v>
      </c>
      <c r="AM14" s="33" t="n">
        <f aca="true">IF(AG14=AG13,INDIRECT("U"&amp;8+6*(FIND(Z14,"ABCDEFGH")-1)),0)</f>
        <v>0</v>
      </c>
      <c r="AN14" s="96" t="n">
        <f aca="false">AK14+AL14+AM14</f>
        <v>0</v>
      </c>
      <c r="AO14" s="91" t="n">
        <f aca="true">IF(AG14=AG11,INDIRECT("W"&amp;5+6*(FIND(Z14,"ABCDEFGH")-1)),0)</f>
        <v>0</v>
      </c>
      <c r="AP14" s="91" t="n">
        <f aca="true">IF(AG14=AG12,INDIRECT("W"&amp;7+6*(FIND(Z14,"ABCDEFGH")-1)),0)</f>
        <v>0</v>
      </c>
      <c r="AQ14" s="91" t="n">
        <f aca="true">IF(AG14=AG13,INDIRECT("W"&amp;8+6*(FIND(Z14,"ABCDEFGH")-1)),0)</f>
        <v>0</v>
      </c>
      <c r="AR14" s="97" t="n">
        <f aca="false">AO14+AP14+AQ14</f>
        <v>0</v>
      </c>
      <c r="AS14" s="98" t="n">
        <f aca="false">AG14+(500+AR14)*10^-3+AN14*10^-6+(500+AJ14)*10^-9+AH14*10^-12</f>
        <v>3.500000388101</v>
      </c>
    </row>
    <row r="15" customFormat="false" ht="12.8" hidden="false" customHeight="false" outlineLevel="0" collapsed="false">
      <c r="A15" s="31" t="n">
        <v>3</v>
      </c>
      <c r="B15" s="33" t="s">
        <v>9</v>
      </c>
      <c r="C15" s="33" t="s">
        <v>39</v>
      </c>
      <c r="D15" s="33" t="s">
        <v>140</v>
      </c>
      <c r="E15" s="33" t="s">
        <v>141</v>
      </c>
      <c r="F15" s="89" t="str">
        <f aca="false">IF(B15="Girone",VLOOKUP(D15,A_SQUADRE_PER_CODICE,2),"ERRORE!")</f>
        <v>Elefanti</v>
      </c>
      <c r="G15" s="89" t="str">
        <f aca="false">IF(B15="Girone",VLOOKUP(E15,A_SQUADRE_PER_CODICE,2),"ERRORE!")</f>
        <v>Giraffe</v>
      </c>
      <c r="H15" s="33" t="n">
        <f aca="false">VLOOKUP(A15,A_4_INPUT_DATE_E_RISULTATI_GIRONI,6,0)</f>
        <v>100</v>
      </c>
      <c r="I15" s="33" t="n">
        <f aca="false">VLOOKUP(A15,A_4_INPUT_DATE_E_RISULTATI_GIRONI,7,0)</f>
        <v>51</v>
      </c>
      <c r="J15" s="89" t="str">
        <f aca="false">IF(H15&gt;I15,F15,G15)</f>
        <v>Elefanti</v>
      </c>
      <c r="K15" s="89" t="str">
        <f aca="false">IF(H15&lt;I15,F15,G15)</f>
        <v>Giraffe</v>
      </c>
      <c r="L15" s="33" t="n">
        <f aca="false">1*(H15&gt;I15)</f>
        <v>1</v>
      </c>
      <c r="M15" s="90" t="n">
        <f aca="false">1*(H15&lt;I15)*NOT(AND(H15=0,I15=20))</f>
        <v>0</v>
      </c>
      <c r="N15" s="90" t="n">
        <f aca="false">1*AND(H15=0,I15=20)</f>
        <v>0</v>
      </c>
      <c r="O15" s="33" t="n">
        <f aca="false">H15</f>
        <v>100</v>
      </c>
      <c r="P15" s="33" t="n">
        <f aca="false">I15</f>
        <v>51</v>
      </c>
      <c r="Q15" s="91" t="n">
        <f aca="false">O15-P15</f>
        <v>49</v>
      </c>
      <c r="R15" s="33" t="n">
        <f aca="false">1*(I15&gt;H15)</f>
        <v>0</v>
      </c>
      <c r="S15" s="33" t="n">
        <f aca="false">1*(I15&lt;H15)*NOT(AND(H15=20,I15=0))</f>
        <v>1</v>
      </c>
      <c r="T15" s="33" t="n">
        <f aca="false">1*AND(H15=20,I15=0)</f>
        <v>0</v>
      </c>
      <c r="U15" s="33" t="n">
        <f aca="false">I15</f>
        <v>51</v>
      </c>
      <c r="V15" s="33" t="n">
        <f aca="false">H15</f>
        <v>100</v>
      </c>
      <c r="W15" s="92" t="n">
        <f aca="false">U15-V15</f>
        <v>-49</v>
      </c>
      <c r="Y15" s="99" t="str">
        <f aca="false">COUNTIF(B_COEFF_GIRONE_D,"&gt;="&amp;AS15)&amp;Z15</f>
        <v>1D</v>
      </c>
      <c r="Z15" s="100" t="s">
        <v>44</v>
      </c>
      <c r="AA15" s="100" t="s">
        <v>144</v>
      </c>
      <c r="AB15" s="101" t="str">
        <f aca="false">VLOOKUP(AA15,A_SQUADRE_PER_CODICE,2)</f>
        <v>Coccodrilli</v>
      </c>
      <c r="AC15" s="100" t="n">
        <f aca="false">AD15+AE15+AF15</f>
        <v>3</v>
      </c>
      <c r="AD15" s="100" t="n">
        <f aca="false">SUMIF(B_SQUADRA_A_GIRONI,AB15,B_VINTE_SQUADRA_A_GIRONI)+SUMIF(B_SQUADRA_B_GIRONI,AB15,B_VINTE_SQUADRA_B_GIRONI)</f>
        <v>2</v>
      </c>
      <c r="AE15" s="100" t="n">
        <f aca="false">SUMIF(B_SQUADRA_A_GIRONI,AB15,B_PERSE_SQUADRA_A_GIRONI)+SUMIF(B_SQUADRA_B_GIRONI,AB15,B_PERSE_SQUADRA_B_GIRONI)</f>
        <v>1</v>
      </c>
      <c r="AF15" s="100" t="n">
        <f aca="false">SUMIF(B_SQUADRA_A_GIRONI,AB15,B_FORFAIT_SQUADRA_A_GIRONI)+SUMIF(B_SQUADRA_B_GIRONI,AB15,B_FORFAIT_SQUADRA_B_GIRONI)</f>
        <v>0</v>
      </c>
      <c r="AG15" s="102" t="n">
        <f aca="false">2*AD15+1*AE15+0*AF15</f>
        <v>5</v>
      </c>
      <c r="AH15" s="103" t="n">
        <f aca="false">SUMIF(B_SQUADRA_A_GIRONI,AB15,B_PUNTI_FATTI_SQUADRA_A_GIRONI)+SUMIF(B_SQUADRA_B_GIRONI,AB15,B_PUNTI_FATTI_SQUADRA_B_GIRONI)</f>
        <v>179</v>
      </c>
      <c r="AI15" s="100" t="n">
        <f aca="false">SUMIF(B_SQUADRA_A_GIRONI,AB15,B_PUNTI_SUBITI_SQUADRA_A_GIRONI)+SUMIF(B_SQUADRA_B_GIRONI,AB15,B_PUNTI_SUBITI_SQUADRA_B_GIRONI)</f>
        <v>169</v>
      </c>
      <c r="AJ15" s="104" t="n">
        <f aca="false">SUMIF(B_SQUADRA_A_GIRONI,AB15,B_DIFF_CANESTRI_SQUADRA_A_GIRONI)+SUMIF(B_SQUADRA_B_GIRONI,AB15,B_DIFF_CANESTRI_SQUADRA_B_GIRONI)</f>
        <v>10</v>
      </c>
      <c r="AK15" s="100" t="n">
        <f aca="true">IF(AG15=AG16,INDIRECT("O"&amp;3+6*(FIND(Z15,"ABCDEFGH")-1)),0)</f>
        <v>96</v>
      </c>
      <c r="AL15" s="105" t="n">
        <f aca="true">IF(AG15=AG17,INDIRECT("O"&amp;4+6*(FIND(Z15,"ABCDEFGH")-1)),0)</f>
        <v>29</v>
      </c>
      <c r="AM15" s="100" t="n">
        <f aca="true">IF(AG15=AG18,INDIRECT("O"&amp;5+6*(FIND(Z15,"ABCDEFGH")-1)),0)</f>
        <v>0</v>
      </c>
      <c r="AN15" s="103" t="n">
        <f aca="false">AK15+AL15+AM15</f>
        <v>125</v>
      </c>
      <c r="AO15" s="106" t="n">
        <f aca="true">IF(AG15=AG16,INDIRECT("Q"&amp;3+6*(FIND(Z15,"ABCDEFGH")-1)),0)</f>
        <v>10</v>
      </c>
      <c r="AP15" s="106" t="n">
        <f aca="true">IF(AG15=AG17,INDIRECT("Q"&amp;4+6*(FIND(Z15,"ABCDEFGH")-1)),0)</f>
        <v>-10</v>
      </c>
      <c r="AQ15" s="106" t="n">
        <f aca="true">IF(AG15=AG18,INDIRECT("Q"&amp;5+6*(FIND(Z15,"ABCDEFGH")-1)),0)</f>
        <v>0</v>
      </c>
      <c r="AR15" s="104" t="n">
        <f aca="false">AO15+AP15+AQ15</f>
        <v>0</v>
      </c>
      <c r="AS15" s="107" t="n">
        <f aca="false">AG15+(500+AR15)*10^-3+AN15*10^-6+(500+AJ15)*10^-9+AH15*10^-12</f>
        <v>5.500125510179</v>
      </c>
    </row>
    <row r="16" customFormat="false" ht="12.8" hidden="false" customHeight="false" outlineLevel="0" collapsed="false">
      <c r="A16" s="31" t="n">
        <v>11</v>
      </c>
      <c r="B16" s="33" t="s">
        <v>9</v>
      </c>
      <c r="C16" s="33" t="s">
        <v>39</v>
      </c>
      <c r="D16" s="33" t="s">
        <v>140</v>
      </c>
      <c r="E16" s="33" t="s">
        <v>142</v>
      </c>
      <c r="F16" s="89" t="str">
        <f aca="false">IF(B16="Girone",VLOOKUP(D16,A_SQUADRE_PER_CODICE,2),"ERRORE!")</f>
        <v>Elefanti</v>
      </c>
      <c r="G16" s="89" t="str">
        <f aca="false">IF(B16="Girone",VLOOKUP(E16,A_SQUADRE_PER_CODICE,2),"ERRORE!")</f>
        <v>Ippopotami</v>
      </c>
      <c r="H16" s="33" t="n">
        <f aca="false">VLOOKUP(A16,A_4_INPUT_DATE_E_RISULTATI_GIRONI,6,0)</f>
        <v>66</v>
      </c>
      <c r="I16" s="33" t="n">
        <f aca="false">VLOOKUP(A16,A_4_INPUT_DATE_E_RISULTATI_GIRONI,7,0)</f>
        <v>95</v>
      </c>
      <c r="J16" s="89" t="str">
        <f aca="false">IF(H16&gt;I16,F16,G16)</f>
        <v>Ippopotami</v>
      </c>
      <c r="K16" s="89" t="str">
        <f aca="false">IF(H16&lt;I16,F16,G16)</f>
        <v>Elefanti</v>
      </c>
      <c r="L16" s="33" t="n">
        <f aca="false">1*(H16&gt;I16)</f>
        <v>0</v>
      </c>
      <c r="M16" s="90" t="n">
        <f aca="false">1*(H16&lt;I16)*NOT(AND(H16=0,I16=20))</f>
        <v>1</v>
      </c>
      <c r="N16" s="90" t="n">
        <f aca="false">1*AND(H16=0,I16=20)</f>
        <v>0</v>
      </c>
      <c r="O16" s="33" t="n">
        <f aca="false">H16</f>
        <v>66</v>
      </c>
      <c r="P16" s="33" t="n">
        <f aca="false">I16</f>
        <v>95</v>
      </c>
      <c r="Q16" s="91" t="n">
        <f aca="false">O16-P16</f>
        <v>-29</v>
      </c>
      <c r="R16" s="33" t="n">
        <f aca="false">1*(I16&gt;H16)</f>
        <v>1</v>
      </c>
      <c r="S16" s="33" t="n">
        <f aca="false">1*(I16&lt;H16)*NOT(AND(H16=20,I16=0))</f>
        <v>0</v>
      </c>
      <c r="T16" s="33" t="n">
        <f aca="false">1*AND(H16=20,I16=0)</f>
        <v>0</v>
      </c>
      <c r="U16" s="33" t="n">
        <f aca="false">I16</f>
        <v>95</v>
      </c>
      <c r="V16" s="33" t="n">
        <f aca="false">H16</f>
        <v>66</v>
      </c>
      <c r="W16" s="92" t="n">
        <f aca="false">U16-V16</f>
        <v>29</v>
      </c>
      <c r="Y16" s="93" t="str">
        <f aca="false">COUNTIF(B_COEFF_GIRONE_D,"&gt;="&amp;AS16)&amp;Z16</f>
        <v>2D</v>
      </c>
      <c r="Z16" s="33" t="s">
        <v>44</v>
      </c>
      <c r="AA16" s="33" t="s">
        <v>145</v>
      </c>
      <c r="AB16" s="94" t="str">
        <f aca="false">VLOOKUP(AA16,A_SQUADRE_PER_CODICE,2)</f>
        <v>Pitoni</v>
      </c>
      <c r="AC16" s="33" t="n">
        <f aca="false">AD16+AE16+AF16</f>
        <v>3</v>
      </c>
      <c r="AD16" s="33" t="n">
        <f aca="false">SUMIF(B_SQUADRA_A_GIRONI,AB16,B_VINTE_SQUADRA_A_GIRONI)+SUMIF(B_SQUADRA_B_GIRONI,AB16,B_VINTE_SQUADRA_B_GIRONI)</f>
        <v>2</v>
      </c>
      <c r="AE16" s="33" t="n">
        <f aca="false">SUMIF(B_SQUADRA_A_GIRONI,AB16,B_PERSE_SQUADRA_A_GIRONI)+SUMIF(B_SQUADRA_B_GIRONI,AB16,B_PERSE_SQUADRA_B_GIRONI)</f>
        <v>1</v>
      </c>
      <c r="AF16" s="33" t="n">
        <f aca="false">SUMIF(B_SQUADRA_A_GIRONI,AB16,B_FORFAIT_SQUADRA_A_GIRONI)+SUMIF(B_SQUADRA_B_GIRONI,AB16,B_FORFAIT_SQUADRA_B_GIRONI)</f>
        <v>0</v>
      </c>
      <c r="AG16" s="95" t="n">
        <f aca="false">2*AD16+1*AE16+0*AF16</f>
        <v>5</v>
      </c>
      <c r="AH16" s="96" t="n">
        <f aca="false">SUMIF(B_SQUADRA_A_GIRONI,AB16,B_PUNTI_FATTI_SQUADRA_A_GIRONI)+SUMIF(B_SQUADRA_B_GIRONI,AB16,B_PUNTI_FATTI_SQUADRA_B_GIRONI)</f>
        <v>194</v>
      </c>
      <c r="AI16" s="33" t="n">
        <f aca="false">SUMIF(B_SQUADRA_A_GIRONI,AB16,B_PUNTI_SUBITI_SQUADRA_A_GIRONI)+SUMIF(B_SQUADRA_B_GIRONI,AB16,B_PUNTI_SUBITI_SQUADRA_B_GIRONI)</f>
        <v>168</v>
      </c>
      <c r="AJ16" s="97" t="n">
        <f aca="false">SUMIF(B_SQUADRA_A_GIRONI,AB16,B_DIFF_CANESTRI_SQUADRA_A_GIRONI)+SUMIF(B_SQUADRA_B_GIRONI,AB16,B_DIFF_CANESTRI_SQUADRA_B_GIRONI)</f>
        <v>26</v>
      </c>
      <c r="AK16" s="33" t="n">
        <f aca="true">IF(AG16=AG17,INDIRECT("O"&amp;6+6*(FIND(Z16,"ABCDEFGH")-1)),0)</f>
        <v>25</v>
      </c>
      <c r="AL16" s="33" t="n">
        <f aca="true">IF(AG16=AG18,INDIRECT("O"&amp;7+6*(FIND(Z16,"ABCDEFGH")-1)),0)</f>
        <v>0</v>
      </c>
      <c r="AM16" s="33" t="n">
        <f aca="true">IF(AG16=AG15,INDIRECT("U"&amp;3+6*(FIND(Z16,"ABCDEFGH")-1)),0)</f>
        <v>86</v>
      </c>
      <c r="AN16" s="96" t="n">
        <f aca="false">AK16+AL16+AM16</f>
        <v>111</v>
      </c>
      <c r="AO16" s="91" t="n">
        <f aca="true">IF(AG16=AG17,INDIRECT("Q"&amp;6+6*(FIND(Z16,"ABCDEFGH")-1)),0)</f>
        <v>10</v>
      </c>
      <c r="AP16" s="91" t="n">
        <f aca="true">IF(AG16=AG18,INDIRECT("Q"&amp;7+6*(FIND(Z16,"ABCDEFGH")-1)),0)</f>
        <v>0</v>
      </c>
      <c r="AQ16" s="91" t="n">
        <f aca="true">IF(AG16=AG15,INDIRECT("W"&amp;3+6*(FIND(Z16,"ABCDEFGH")-1)),0)</f>
        <v>-10</v>
      </c>
      <c r="AR16" s="97" t="n">
        <f aca="false">AO16+AP16+AQ16</f>
        <v>0</v>
      </c>
      <c r="AS16" s="98" t="n">
        <f aca="false">AG16+(500+AR16)*10^-3+AN16*10^-6+(500+AJ16)*10^-9+AH16*10^-12</f>
        <v>5.500111526194</v>
      </c>
    </row>
    <row r="17" customFormat="false" ht="12.8" hidden="false" customHeight="false" outlineLevel="0" collapsed="false">
      <c r="A17" s="31" t="n">
        <v>27</v>
      </c>
      <c r="B17" s="33" t="s">
        <v>9</v>
      </c>
      <c r="C17" s="33" t="s">
        <v>39</v>
      </c>
      <c r="D17" s="33" t="s">
        <v>140</v>
      </c>
      <c r="E17" s="33" t="s">
        <v>143</v>
      </c>
      <c r="F17" s="89" t="str">
        <f aca="false">IF(B17="Girone",VLOOKUP(D17,A_SQUADRE_PER_CODICE,2),"ERRORE!")</f>
        <v>Elefanti</v>
      </c>
      <c r="G17" s="89" t="str">
        <f aca="false">IF(B17="Girone",VLOOKUP(E17,A_SQUADRE_PER_CODICE,2),"ERRORE!")</f>
        <v>Iguane</v>
      </c>
      <c r="H17" s="33" t="n">
        <f aca="false">VLOOKUP(A17,A_4_INPUT_DATE_E_RISULTATI_GIRONI,6,0)</f>
        <v>57</v>
      </c>
      <c r="I17" s="33" t="n">
        <f aca="false">VLOOKUP(A17,A_4_INPUT_DATE_E_RISULTATI_GIRONI,7,0)</f>
        <v>42</v>
      </c>
      <c r="J17" s="89" t="str">
        <f aca="false">IF(H17&gt;I17,F17,G17)</f>
        <v>Elefanti</v>
      </c>
      <c r="K17" s="89" t="str">
        <f aca="false">IF(H17&lt;I17,F17,G17)</f>
        <v>Iguane</v>
      </c>
      <c r="L17" s="33" t="n">
        <f aca="false">1*(H17&gt;I17)</f>
        <v>1</v>
      </c>
      <c r="M17" s="90" t="n">
        <f aca="false">1*(H17&lt;I17)*NOT(AND(H17=0,I17=20))</f>
        <v>0</v>
      </c>
      <c r="N17" s="90" t="n">
        <f aca="false">1*AND(H17=0,I17=20)</f>
        <v>0</v>
      </c>
      <c r="O17" s="33" t="n">
        <f aca="false">H17</f>
        <v>57</v>
      </c>
      <c r="P17" s="33" t="n">
        <f aca="false">I17</f>
        <v>42</v>
      </c>
      <c r="Q17" s="91" t="n">
        <f aca="false">O17-P17</f>
        <v>15</v>
      </c>
      <c r="R17" s="33" t="n">
        <f aca="false">1*(I17&gt;H17)</f>
        <v>0</v>
      </c>
      <c r="S17" s="33" t="n">
        <f aca="false">1*(I17&lt;H17)*NOT(AND(H17=20,I17=0))</f>
        <v>1</v>
      </c>
      <c r="T17" s="33" t="n">
        <f aca="false">1*AND(H17=20,I17=0)</f>
        <v>0</v>
      </c>
      <c r="U17" s="33" t="n">
        <f aca="false">I17</f>
        <v>42</v>
      </c>
      <c r="V17" s="33" t="n">
        <f aca="false">H17</f>
        <v>57</v>
      </c>
      <c r="W17" s="92" t="n">
        <f aca="false">U17-V17</f>
        <v>-15</v>
      </c>
      <c r="Y17" s="93" t="str">
        <f aca="false">COUNTIF(B_COEFF_GIRONE_D,"&gt;="&amp;AS17)&amp;Z17</f>
        <v>3D</v>
      </c>
      <c r="Z17" s="33" t="s">
        <v>44</v>
      </c>
      <c r="AA17" s="33" t="s">
        <v>146</v>
      </c>
      <c r="AB17" s="94" t="str">
        <f aca="false">VLOOKUP(AA17,A_SQUADRE_PER_CODICE,2)</f>
        <v>Aquile</v>
      </c>
      <c r="AC17" s="33" t="n">
        <f aca="false">AD17+AE17+AF17</f>
        <v>3</v>
      </c>
      <c r="AD17" s="33" t="n">
        <f aca="false">SUMIF(B_SQUADRA_A_GIRONI,AB17,B_VINTE_SQUADRA_A_GIRONI)+SUMIF(B_SQUADRA_B_GIRONI,AB17,B_VINTE_SQUADRA_B_GIRONI)</f>
        <v>2</v>
      </c>
      <c r="AE17" s="33" t="n">
        <f aca="false">SUMIF(B_SQUADRA_A_GIRONI,AB17,B_PERSE_SQUADRA_A_GIRONI)+SUMIF(B_SQUADRA_B_GIRONI,AB17,B_PERSE_SQUADRA_B_GIRONI)</f>
        <v>1</v>
      </c>
      <c r="AF17" s="33" t="n">
        <f aca="false">SUMIF(B_SQUADRA_A_GIRONI,AB17,B_FORFAIT_SQUADRA_A_GIRONI)+SUMIF(B_SQUADRA_B_GIRONI,AB17,B_FORFAIT_SQUADRA_B_GIRONI)</f>
        <v>0</v>
      </c>
      <c r="AG17" s="95" t="n">
        <f aca="false">2*AD17+1*AE17+0*AF17</f>
        <v>5</v>
      </c>
      <c r="AH17" s="96" t="n">
        <f aca="false">SUMIF(B_SQUADRA_A_GIRONI,AB17,B_PUNTI_FATTI_SQUADRA_A_GIRONI)+SUMIF(B_SQUADRA_B_GIRONI,AB17,B_PUNTI_FATTI_SQUADRA_B_GIRONI)</f>
        <v>126</v>
      </c>
      <c r="AI17" s="33" t="n">
        <f aca="false">SUMIF(B_SQUADRA_A_GIRONI,AB17,B_PUNTI_SUBITI_SQUADRA_A_GIRONI)+SUMIF(B_SQUADRA_B_GIRONI,AB17,B_PUNTI_SUBITI_SQUADRA_B_GIRONI)</f>
        <v>106</v>
      </c>
      <c r="AJ17" s="97" t="n">
        <f aca="false">SUMIF(B_SQUADRA_A_GIRONI,AB17,B_DIFF_CANESTRI_SQUADRA_A_GIRONI)+SUMIF(B_SQUADRA_B_GIRONI,AB17,B_DIFF_CANESTRI_SQUADRA_B_GIRONI)</f>
        <v>20</v>
      </c>
      <c r="AK17" s="33" t="n">
        <f aca="true">IF(AG17=AG18,INDIRECT("O"&amp;8+6*(FIND(Z17,"ABCDEFGH")-1)),0)</f>
        <v>0</v>
      </c>
      <c r="AL17" s="33" t="n">
        <f aca="true">IF(AG17=AG15,INDIRECT("U"&amp;4+6*(FIND(Z17,"ABCDEFGH")-1)),0)</f>
        <v>39</v>
      </c>
      <c r="AM17" s="33" t="n">
        <f aca="true">IF(AG17=AG16,INDIRECT("U"&amp;6+6*(FIND(Z17,"ABCDEFGH")-1)),0)</f>
        <v>15</v>
      </c>
      <c r="AN17" s="96" t="n">
        <f aca="false">AK17+AL17+AM17</f>
        <v>54</v>
      </c>
      <c r="AO17" s="91" t="n">
        <f aca="true">IF(AG17=AG18,INDIRECT("Q"&amp;8+6*(FIND(Z17,"ABCDEFGH")-1)),0)</f>
        <v>0</v>
      </c>
      <c r="AP17" s="91" t="n">
        <f aca="true">IF(AG17=AG15,INDIRECT("W"&amp;4+6*(FIND(Z17,"ABCDEFGH")-1)),0)</f>
        <v>10</v>
      </c>
      <c r="AQ17" s="91" t="n">
        <f aca="true">IF(AG17=AG16,INDIRECT("W"&amp;6+6*(FIND(Z17,"ABCDEFGH")-1)),0)</f>
        <v>-10</v>
      </c>
      <c r="AR17" s="97" t="n">
        <f aca="false">AO17+AP17+AQ17</f>
        <v>0</v>
      </c>
      <c r="AS17" s="98" t="n">
        <f aca="false">AG17+(500+AR17)*10^-3+AN17*10^-6+(500+AJ17)*10^-9+AH17*10^-12</f>
        <v>5.500054520126</v>
      </c>
    </row>
    <row r="18" customFormat="false" ht="12.8" hidden="false" customHeight="false" outlineLevel="0" collapsed="false">
      <c r="A18" s="31" t="n">
        <v>39</v>
      </c>
      <c r="B18" s="33" t="s">
        <v>9</v>
      </c>
      <c r="C18" s="33" t="s">
        <v>39</v>
      </c>
      <c r="D18" s="33" t="s">
        <v>141</v>
      </c>
      <c r="E18" s="33" t="s">
        <v>142</v>
      </c>
      <c r="F18" s="89" t="str">
        <f aca="false">IF(B18="Girone",VLOOKUP(D18,A_SQUADRE_PER_CODICE,2),"ERRORE!")</f>
        <v>Giraffe</v>
      </c>
      <c r="G18" s="89" t="str">
        <f aca="false">IF(B18="Girone",VLOOKUP(E18,A_SQUADRE_PER_CODICE,2),"ERRORE!")</f>
        <v>Ippopotami</v>
      </c>
      <c r="H18" s="33" t="n">
        <f aca="false">VLOOKUP(A18,A_4_INPUT_DATE_E_RISULTATI_GIRONI,6,0)</f>
        <v>98</v>
      </c>
      <c r="I18" s="33" t="n">
        <f aca="false">VLOOKUP(A18,A_4_INPUT_DATE_E_RISULTATI_GIRONI,7,0)</f>
        <v>49</v>
      </c>
      <c r="J18" s="89" t="str">
        <f aca="false">IF(H18&gt;I18,F18,G18)</f>
        <v>Giraffe</v>
      </c>
      <c r="K18" s="89" t="str">
        <f aca="false">IF(H18&lt;I18,F18,G18)</f>
        <v>Ippopotami</v>
      </c>
      <c r="L18" s="33" t="n">
        <f aca="false">1*(H18&gt;I18)</f>
        <v>1</v>
      </c>
      <c r="M18" s="90" t="n">
        <f aca="false">1*(H18&lt;I18)*NOT(AND(H18=0,I18=20))</f>
        <v>0</v>
      </c>
      <c r="N18" s="90" t="n">
        <f aca="false">1*AND(H18=0,I18=20)</f>
        <v>0</v>
      </c>
      <c r="O18" s="33" t="n">
        <f aca="false">H18</f>
        <v>98</v>
      </c>
      <c r="P18" s="33" t="n">
        <f aca="false">I18</f>
        <v>49</v>
      </c>
      <c r="Q18" s="91" t="n">
        <f aca="false">O18-P18</f>
        <v>49</v>
      </c>
      <c r="R18" s="33" t="n">
        <f aca="false">1*(I18&gt;H18)</f>
        <v>0</v>
      </c>
      <c r="S18" s="33" t="n">
        <f aca="false">1*(I18&lt;H18)*NOT(AND(H18=20,I18=0))</f>
        <v>1</v>
      </c>
      <c r="T18" s="33" t="n">
        <f aca="false">1*AND(H18=20,I18=0)</f>
        <v>0</v>
      </c>
      <c r="U18" s="33" t="n">
        <f aca="false">I18</f>
        <v>49</v>
      </c>
      <c r="V18" s="33" t="n">
        <f aca="false">H18</f>
        <v>98</v>
      </c>
      <c r="W18" s="92" t="n">
        <f aca="false">U18-V18</f>
        <v>-49</v>
      </c>
      <c r="Y18" s="108" t="str">
        <f aca="false">COUNTIF(B_COEFF_GIRONE_D,"&gt;="&amp;AS18)&amp;Z18</f>
        <v>4D</v>
      </c>
      <c r="Z18" s="109" t="s">
        <v>44</v>
      </c>
      <c r="AA18" s="109" t="s">
        <v>147</v>
      </c>
      <c r="AB18" s="110" t="str">
        <f aca="false">VLOOKUP(AA18,A_SQUADRE_PER_CODICE,2)</f>
        <v>Falchi</v>
      </c>
      <c r="AC18" s="109" t="n">
        <f aca="false">AD18+AE18+AF18</f>
        <v>3</v>
      </c>
      <c r="AD18" s="109" t="n">
        <f aca="false">SUMIF(B_SQUADRA_A_GIRONI,AB18,B_VINTE_SQUADRA_A_GIRONI)+SUMIF(B_SQUADRA_B_GIRONI,AB18,B_VINTE_SQUADRA_B_GIRONI)</f>
        <v>0</v>
      </c>
      <c r="AE18" s="109" t="n">
        <f aca="false">SUMIF(B_SQUADRA_A_GIRONI,AB18,B_PERSE_SQUADRA_A_GIRONI)+SUMIF(B_SQUADRA_B_GIRONI,AB18,B_PERSE_SQUADRA_B_GIRONI)</f>
        <v>3</v>
      </c>
      <c r="AF18" s="109" t="n">
        <f aca="false">SUMIF(B_SQUADRA_A_GIRONI,AB18,B_FORFAIT_SQUADRA_A_GIRONI)+SUMIF(B_SQUADRA_B_GIRONI,AB18,B_FORFAIT_SQUADRA_B_GIRONI)</f>
        <v>0</v>
      </c>
      <c r="AG18" s="111" t="n">
        <f aca="false">2*AD18+1*AE18+0*AF18</f>
        <v>3</v>
      </c>
      <c r="AH18" s="112" t="n">
        <f aca="false">SUMIF(B_SQUADRA_A_GIRONI,AB18,B_PUNTI_FATTI_SQUADRA_A_GIRONI)+SUMIF(B_SQUADRA_B_GIRONI,AB18,B_PUNTI_FATTI_SQUADRA_B_GIRONI)</f>
        <v>153</v>
      </c>
      <c r="AI18" s="109" t="n">
        <f aca="false">SUMIF(B_SQUADRA_A_GIRONI,AB18,B_PUNTI_SUBITI_SQUADRA_A_GIRONI)+SUMIF(B_SQUADRA_B_GIRONI,AB18,B_PUNTI_SUBITI_SQUADRA_B_GIRONI)</f>
        <v>209</v>
      </c>
      <c r="AJ18" s="113" t="n">
        <f aca="false">SUMIF(B_SQUADRA_A_GIRONI,AB18,B_DIFF_CANESTRI_SQUADRA_A_GIRONI)+SUMIF(B_SQUADRA_B_GIRONI,AB18,B_DIFF_CANESTRI_SQUADRA_B_GIRONI)</f>
        <v>-56</v>
      </c>
      <c r="AK18" s="109" t="n">
        <f aca="true">IF(AG18=AG15,INDIRECT("U"&amp;5+6*(FIND(Z18,"ABCDEFGH")-1)),0)</f>
        <v>0</v>
      </c>
      <c r="AL18" s="109" t="n">
        <f aca="true">IF(AG18=AG16,INDIRECT("U"&amp;7+6*(FIND(Z18,"ABCDEFGH")-1)),0)</f>
        <v>0</v>
      </c>
      <c r="AM18" s="109" t="n">
        <f aca="true">IF(AG18=AG17,INDIRECT("U"&amp;8+6*(FIND(Z18,"ABCDEFGH")-1)),0)</f>
        <v>0</v>
      </c>
      <c r="AN18" s="112" t="n">
        <f aca="false">AK18+AL18+AM18</f>
        <v>0</v>
      </c>
      <c r="AO18" s="114" t="n">
        <f aca="true">IF(AG18=AG15,INDIRECT("W"&amp;5+6*(FIND(Z18,"ABCDEFGH")-1)),0)</f>
        <v>0</v>
      </c>
      <c r="AP18" s="114" t="n">
        <f aca="true">IF(AG18=AG16,INDIRECT("W"&amp;7+6*(FIND(Z18,"ABCDEFGH")-1)),0)</f>
        <v>0</v>
      </c>
      <c r="AQ18" s="114" t="n">
        <f aca="true">IF(AG18=AG17,INDIRECT("W"&amp;8+6*(FIND(Z18,"ABCDEFGH")-1)),0)</f>
        <v>0</v>
      </c>
      <c r="AR18" s="113" t="n">
        <f aca="false">AO18+AP18+AQ18</f>
        <v>0</v>
      </c>
      <c r="AS18" s="115" t="n">
        <f aca="false">AG18+(500+AR18)*10^-3+AN18*10^-6+(500+AJ18)*10^-9+AH18*10^-12</f>
        <v>3.500000444153</v>
      </c>
    </row>
    <row r="19" customFormat="false" ht="12.8" hidden="false" customHeight="false" outlineLevel="0" collapsed="false">
      <c r="A19" s="31" t="n">
        <v>15</v>
      </c>
      <c r="B19" s="33" t="s">
        <v>9</v>
      </c>
      <c r="C19" s="33" t="s">
        <v>39</v>
      </c>
      <c r="D19" s="33" t="s">
        <v>141</v>
      </c>
      <c r="E19" s="33" t="s">
        <v>143</v>
      </c>
      <c r="F19" s="89" t="str">
        <f aca="false">IF(B19="Girone",VLOOKUP(D19,A_SQUADRE_PER_CODICE,2),"ERRORE!")</f>
        <v>Giraffe</v>
      </c>
      <c r="G19" s="89" t="str">
        <f aca="false">IF(B19="Girone",VLOOKUP(E19,A_SQUADRE_PER_CODICE,2),"ERRORE!")</f>
        <v>Iguane</v>
      </c>
      <c r="H19" s="33" t="n">
        <f aca="false">VLOOKUP(A19,A_4_INPUT_DATE_E_RISULTATI_GIRONI,6,0)</f>
        <v>60</v>
      </c>
      <c r="I19" s="33" t="n">
        <f aca="false">VLOOKUP(A19,A_4_INPUT_DATE_E_RISULTATI_GIRONI,7,0)</f>
        <v>34</v>
      </c>
      <c r="J19" s="89" t="str">
        <f aca="false">IF(H19&gt;I19,F19,G19)</f>
        <v>Giraffe</v>
      </c>
      <c r="K19" s="89" t="str">
        <f aca="false">IF(H19&lt;I19,F19,G19)</f>
        <v>Iguane</v>
      </c>
      <c r="L19" s="33" t="n">
        <f aca="false">1*(H19&gt;I19)</f>
        <v>1</v>
      </c>
      <c r="M19" s="90" t="n">
        <f aca="false">1*(H19&lt;I19)*NOT(AND(H19=0,I19=20))</f>
        <v>0</v>
      </c>
      <c r="N19" s="90" t="n">
        <f aca="false">1*AND(H19=0,I19=20)</f>
        <v>0</v>
      </c>
      <c r="O19" s="33" t="n">
        <f aca="false">H19</f>
        <v>60</v>
      </c>
      <c r="P19" s="33" t="n">
        <f aca="false">I19</f>
        <v>34</v>
      </c>
      <c r="Q19" s="91" t="n">
        <f aca="false">O19-P19</f>
        <v>26</v>
      </c>
      <c r="R19" s="33" t="n">
        <f aca="false">1*(I19&gt;H19)</f>
        <v>0</v>
      </c>
      <c r="S19" s="33" t="n">
        <f aca="false">1*(I19&lt;H19)*NOT(AND(H19=20,I19=0))</f>
        <v>1</v>
      </c>
      <c r="T19" s="33" t="n">
        <f aca="false">1*AND(H19=20,I19=0)</f>
        <v>0</v>
      </c>
      <c r="U19" s="33" t="n">
        <f aca="false">I19</f>
        <v>34</v>
      </c>
      <c r="V19" s="33" t="n">
        <f aca="false">H19</f>
        <v>60</v>
      </c>
      <c r="W19" s="92" t="n">
        <f aca="false">U19-V19</f>
        <v>-26</v>
      </c>
      <c r="Y19" s="93" t="str">
        <f aca="false">COUNTIF(B_COEFF_GIRONE_E,"&gt;="&amp;AS19)&amp;Z19</f>
        <v>1E</v>
      </c>
      <c r="Z19" s="33" t="s">
        <v>49</v>
      </c>
      <c r="AA19" s="33" t="s">
        <v>148</v>
      </c>
      <c r="AB19" s="94" t="str">
        <f aca="false">VLOOKUP(AA19,A_SQUADRE_PER_CODICE,2)</f>
        <v>Bisonti</v>
      </c>
      <c r="AC19" s="33" t="n">
        <f aca="false">AD19+AE19+AF19</f>
        <v>3</v>
      </c>
      <c r="AD19" s="33" t="n">
        <f aca="false">SUMIF(B_SQUADRA_A_GIRONI,AB19,B_VINTE_SQUADRA_A_GIRONI)+SUMIF(B_SQUADRA_B_GIRONI,AB19,B_VINTE_SQUADRA_B_GIRONI)</f>
        <v>2</v>
      </c>
      <c r="AE19" s="33" t="n">
        <f aca="false">SUMIF(B_SQUADRA_A_GIRONI,AB19,B_PERSE_SQUADRA_A_GIRONI)+SUMIF(B_SQUADRA_B_GIRONI,AB19,B_PERSE_SQUADRA_B_GIRONI)</f>
        <v>1</v>
      </c>
      <c r="AF19" s="33" t="n">
        <f aca="false">SUMIF(B_SQUADRA_A_GIRONI,AB19,B_FORFAIT_SQUADRA_A_GIRONI)+SUMIF(B_SQUADRA_B_GIRONI,AB19,B_FORFAIT_SQUADRA_B_GIRONI)</f>
        <v>0</v>
      </c>
      <c r="AG19" s="95" t="n">
        <f aca="false">2*AD19+1*AE19+0*AF19</f>
        <v>5</v>
      </c>
      <c r="AH19" s="96" t="n">
        <f aca="false">SUMIF(B_SQUADRA_A_GIRONI,AB19,B_PUNTI_FATTI_SQUADRA_A_GIRONI)+SUMIF(B_SQUADRA_B_GIRONI,AB19,B_PUNTI_FATTI_SQUADRA_B_GIRONI)</f>
        <v>103</v>
      </c>
      <c r="AI19" s="33" t="n">
        <f aca="false">SUMIF(B_SQUADRA_A_GIRONI,AB19,B_PUNTI_SUBITI_SQUADRA_A_GIRONI)+SUMIF(B_SQUADRA_B_GIRONI,AB19,B_PUNTI_SUBITI_SQUADRA_B_GIRONI)</f>
        <v>100</v>
      </c>
      <c r="AJ19" s="97" t="n">
        <f aca="false">SUMIF(B_SQUADRA_A_GIRONI,AB19,B_DIFF_CANESTRI_SQUADRA_A_GIRONI)+SUMIF(B_SQUADRA_B_GIRONI,AB19,B_DIFF_CANESTRI_SQUADRA_B_GIRONI)</f>
        <v>3</v>
      </c>
      <c r="AK19" s="33" t="n">
        <f aca="true">IF(AG19=AG20,INDIRECT("O"&amp;3+6*(FIND(Z19,"ABCDEFGH")-1)),0)</f>
        <v>34</v>
      </c>
      <c r="AL19" s="90" t="n">
        <f aca="true">IF(AG19=AG21,INDIRECT("O"&amp;4+6*(FIND(Z19,"ABCDEFGH")-1)),0)</f>
        <v>33</v>
      </c>
      <c r="AM19" s="33" t="n">
        <f aca="true">IF(AG19=AG22,INDIRECT("O"&amp;5+6*(FIND(Z19,"ABCDEFGH")-1)),0)</f>
        <v>0</v>
      </c>
      <c r="AN19" s="96" t="n">
        <f aca="false">AK19+AL19+AM19</f>
        <v>67</v>
      </c>
      <c r="AO19" s="91" t="n">
        <f aca="true">IF(AG19=AG20,INDIRECT("Q"&amp;3+6*(FIND(Z19,"ABCDEFGH")-1)),0)</f>
        <v>1</v>
      </c>
      <c r="AP19" s="91" t="n">
        <f aca="true">IF(AG19=AG21,INDIRECT("Q"&amp;4+6*(FIND(Z19,"ABCDEFGH")-1)),0)</f>
        <v>-1</v>
      </c>
      <c r="AQ19" s="91" t="n">
        <f aca="true">IF(AG19=AG22,INDIRECT("Q"&amp;5+6*(FIND(Z19,"ABCDEFGH")-1)),0)</f>
        <v>0</v>
      </c>
      <c r="AR19" s="97" t="n">
        <f aca="false">AO19+AP19+AQ19</f>
        <v>0</v>
      </c>
      <c r="AS19" s="98" t="n">
        <f aca="false">AG19+(500+AR19)*10^-3+AN19*10^-6+(500+AJ19)*10^-9+AH19*10^-12</f>
        <v>5.500067503103</v>
      </c>
    </row>
    <row r="20" customFormat="false" ht="12.8" hidden="false" customHeight="false" outlineLevel="0" collapsed="false">
      <c r="A20" s="31" t="n">
        <v>7</v>
      </c>
      <c r="B20" s="33" t="s">
        <v>9</v>
      </c>
      <c r="C20" s="33" t="s">
        <v>39</v>
      </c>
      <c r="D20" s="33" t="s">
        <v>142</v>
      </c>
      <c r="E20" s="33" t="s">
        <v>143</v>
      </c>
      <c r="F20" s="89" t="str">
        <f aca="false">IF(B20="Girone",VLOOKUP(D20,A_SQUADRE_PER_CODICE,2),"ERRORE!")</f>
        <v>Ippopotami</v>
      </c>
      <c r="G20" s="89" t="str">
        <f aca="false">IF(B20="Girone",VLOOKUP(E20,A_SQUADRE_PER_CODICE,2),"ERRORE!")</f>
        <v>Iguane</v>
      </c>
      <c r="H20" s="33" t="n">
        <f aca="false">VLOOKUP(A20,A_4_INPUT_DATE_E_RISULTATI_GIRONI,6,0)</f>
        <v>96</v>
      </c>
      <c r="I20" s="33" t="n">
        <f aca="false">VLOOKUP(A20,A_4_INPUT_DATE_E_RISULTATI_GIRONI,7,0)</f>
        <v>25</v>
      </c>
      <c r="J20" s="89" t="str">
        <f aca="false">IF(H20&gt;I20,F20,G20)</f>
        <v>Ippopotami</v>
      </c>
      <c r="K20" s="89" t="str">
        <f aca="false">IF(H20&lt;I20,F20,G20)</f>
        <v>Iguane</v>
      </c>
      <c r="L20" s="33" t="n">
        <f aca="false">1*(H20&gt;I20)</f>
        <v>1</v>
      </c>
      <c r="M20" s="90" t="n">
        <f aca="false">1*(H20&lt;I20)*NOT(AND(H20=0,I20=20))</f>
        <v>0</v>
      </c>
      <c r="N20" s="90" t="n">
        <f aca="false">1*AND(H20=0,I20=20)</f>
        <v>0</v>
      </c>
      <c r="O20" s="33" t="n">
        <f aca="false">H20</f>
        <v>96</v>
      </c>
      <c r="P20" s="33" t="n">
        <f aca="false">I20</f>
        <v>25</v>
      </c>
      <c r="Q20" s="91" t="n">
        <f aca="false">O20-P20</f>
        <v>71</v>
      </c>
      <c r="R20" s="33" t="n">
        <f aca="false">1*(I20&gt;H20)</f>
        <v>0</v>
      </c>
      <c r="S20" s="33" t="n">
        <f aca="false">1*(I20&lt;H20)*NOT(AND(H20=20,I20=0))</f>
        <v>1</v>
      </c>
      <c r="T20" s="33" t="n">
        <f aca="false">1*AND(H20=20,I20=0)</f>
        <v>0</v>
      </c>
      <c r="U20" s="33" t="n">
        <f aca="false">I20</f>
        <v>25</v>
      </c>
      <c r="V20" s="33" t="n">
        <f aca="false">H20</f>
        <v>96</v>
      </c>
      <c r="W20" s="92" t="n">
        <f aca="false">U20-V20</f>
        <v>-71</v>
      </c>
      <c r="Y20" s="93" t="str">
        <f aca="false">COUNTIF(B_COEFF_GIRONE_E,"&gt;="&amp;AS20)&amp;Z20</f>
        <v>2E</v>
      </c>
      <c r="Z20" s="33" t="s">
        <v>49</v>
      </c>
      <c r="AA20" s="33" t="s">
        <v>149</v>
      </c>
      <c r="AB20" s="94" t="str">
        <f aca="false">VLOOKUP(AA20,A_SQUADRE_PER_CODICE,2)</f>
        <v>Bufali</v>
      </c>
      <c r="AC20" s="33" t="n">
        <f aca="false">AD20+AE20+AF20</f>
        <v>3</v>
      </c>
      <c r="AD20" s="33" t="n">
        <f aca="false">SUMIF(B_SQUADRA_A_GIRONI,AB20,B_VINTE_SQUADRA_A_GIRONI)+SUMIF(B_SQUADRA_B_GIRONI,AB20,B_VINTE_SQUADRA_B_GIRONI)</f>
        <v>2</v>
      </c>
      <c r="AE20" s="33" t="n">
        <f aca="false">SUMIF(B_SQUADRA_A_GIRONI,AB20,B_PERSE_SQUADRA_A_GIRONI)+SUMIF(B_SQUADRA_B_GIRONI,AB20,B_PERSE_SQUADRA_B_GIRONI)</f>
        <v>1</v>
      </c>
      <c r="AF20" s="33" t="n">
        <f aca="false">SUMIF(B_SQUADRA_A_GIRONI,AB20,B_FORFAIT_SQUADRA_A_GIRONI)+SUMIF(B_SQUADRA_B_GIRONI,AB20,B_FORFAIT_SQUADRA_B_GIRONI)</f>
        <v>0</v>
      </c>
      <c r="AG20" s="95" t="n">
        <f aca="false">2*AD20+1*AE20+0*AF20</f>
        <v>5</v>
      </c>
      <c r="AH20" s="96" t="n">
        <f aca="false">SUMIF(B_SQUADRA_A_GIRONI,AB20,B_PUNTI_FATTI_SQUADRA_A_GIRONI)+SUMIF(B_SQUADRA_B_GIRONI,AB20,B_PUNTI_FATTI_SQUADRA_B_GIRONI)</f>
        <v>102</v>
      </c>
      <c r="AI20" s="33" t="n">
        <f aca="false">SUMIF(B_SQUADRA_A_GIRONI,AB20,B_PUNTI_SUBITI_SQUADRA_A_GIRONI)+SUMIF(B_SQUADRA_B_GIRONI,AB20,B_PUNTI_SUBITI_SQUADRA_B_GIRONI)</f>
        <v>100</v>
      </c>
      <c r="AJ20" s="97" t="n">
        <f aca="false">SUMIF(B_SQUADRA_A_GIRONI,AB20,B_DIFF_CANESTRI_SQUADRA_A_GIRONI)+SUMIF(B_SQUADRA_B_GIRONI,AB20,B_DIFF_CANESTRI_SQUADRA_B_GIRONI)</f>
        <v>2</v>
      </c>
      <c r="AK20" s="33" t="n">
        <f aca="true">IF(AG20=AG21,INDIRECT("O"&amp;6+6*(FIND(Z20,"ABCDEFGH")-1)),0)</f>
        <v>34</v>
      </c>
      <c r="AL20" s="33" t="n">
        <f aca="true">IF(AG20=AG22,INDIRECT("O"&amp;7+6*(FIND(Z20,"ABCDEFGH")-1)),0)</f>
        <v>0</v>
      </c>
      <c r="AM20" s="33" t="n">
        <f aca="true">IF(AG20=AG19,INDIRECT("U"&amp;3+6*(FIND(Z20,"ABCDEFGH")-1)),0)</f>
        <v>33</v>
      </c>
      <c r="AN20" s="96" t="n">
        <f aca="false">AK20+AL20+AM20</f>
        <v>67</v>
      </c>
      <c r="AO20" s="91" t="n">
        <f aca="true">IF(AG20=AG21,INDIRECT("Q"&amp;6+6*(FIND(Z20,"ABCDEFGH")-1)),0)</f>
        <v>1</v>
      </c>
      <c r="AP20" s="91" t="n">
        <f aca="true">IF(AG20=AG22,INDIRECT("Q"&amp;7+6*(FIND(Z20,"ABCDEFGH")-1)),0)</f>
        <v>0</v>
      </c>
      <c r="AQ20" s="91" t="n">
        <f aca="true">IF(AG20=AG19,INDIRECT("W"&amp;3+6*(FIND(Z20,"ABCDEFGH")-1)),0)</f>
        <v>-1</v>
      </c>
      <c r="AR20" s="97" t="n">
        <f aca="false">AO20+AP20+AQ20</f>
        <v>0</v>
      </c>
      <c r="AS20" s="98" t="n">
        <f aca="false">AG20+(500+AR20)*10^-3+AN20*10^-6+(500+AJ20)*10^-9+AH20*10^-12</f>
        <v>5.500067502102</v>
      </c>
    </row>
    <row r="21" customFormat="false" ht="12.8" hidden="false" customHeight="false" outlineLevel="0" collapsed="false">
      <c r="A21" s="31" t="n">
        <v>4</v>
      </c>
      <c r="B21" s="33" t="s">
        <v>9</v>
      </c>
      <c r="C21" s="33" t="s">
        <v>44</v>
      </c>
      <c r="D21" s="33" t="s">
        <v>144</v>
      </c>
      <c r="E21" s="33" t="s">
        <v>145</v>
      </c>
      <c r="F21" s="89" t="str">
        <f aca="false">IF(B21="Girone",VLOOKUP(D21,A_SQUADRE_PER_CODICE,2),"ERRORE!")</f>
        <v>Coccodrilli</v>
      </c>
      <c r="G21" s="89" t="str">
        <f aca="false">IF(B21="Girone",VLOOKUP(E21,A_SQUADRE_PER_CODICE,2),"ERRORE!")</f>
        <v>Pitoni</v>
      </c>
      <c r="H21" s="33" t="n">
        <f aca="false">VLOOKUP(A21,A_4_INPUT_DATE_E_RISULTATI_GIRONI,6,0)</f>
        <v>96</v>
      </c>
      <c r="I21" s="33" t="n">
        <f aca="false">VLOOKUP(A21,A_4_INPUT_DATE_E_RISULTATI_GIRONI,7,0)</f>
        <v>86</v>
      </c>
      <c r="J21" s="89" t="str">
        <f aca="false">IF(H21&gt;I21,F21,G21)</f>
        <v>Coccodrilli</v>
      </c>
      <c r="K21" s="89" t="str">
        <f aca="false">IF(H21&lt;I21,F21,G21)</f>
        <v>Pitoni</v>
      </c>
      <c r="L21" s="33" t="n">
        <f aca="false">1*(H21&gt;I21)</f>
        <v>1</v>
      </c>
      <c r="M21" s="90" t="n">
        <f aca="false">1*(H21&lt;I21)*NOT(AND(H21=0,I21=20))</f>
        <v>0</v>
      </c>
      <c r="N21" s="90" t="n">
        <f aca="false">1*AND(H21=0,I21=20)</f>
        <v>0</v>
      </c>
      <c r="O21" s="33" t="n">
        <f aca="false">H21</f>
        <v>96</v>
      </c>
      <c r="P21" s="33" t="n">
        <f aca="false">I21</f>
        <v>86</v>
      </c>
      <c r="Q21" s="91" t="n">
        <f aca="false">O21-P21</f>
        <v>10</v>
      </c>
      <c r="R21" s="33" t="n">
        <f aca="false">1*(I21&gt;H21)</f>
        <v>0</v>
      </c>
      <c r="S21" s="33" t="n">
        <f aca="false">1*(I21&lt;H21)*NOT(AND(H21=20,I21=0))</f>
        <v>1</v>
      </c>
      <c r="T21" s="33" t="n">
        <f aca="false">1*AND(H21=20,I21=0)</f>
        <v>0</v>
      </c>
      <c r="U21" s="33" t="n">
        <f aca="false">I21</f>
        <v>86</v>
      </c>
      <c r="V21" s="33" t="n">
        <f aca="false">H21</f>
        <v>96</v>
      </c>
      <c r="W21" s="92" t="n">
        <f aca="false">U21-V21</f>
        <v>-10</v>
      </c>
      <c r="Y21" s="93" t="str">
        <f aca="false">COUNTIF(B_COEFF_GIRONE_E,"&gt;="&amp;AS21)&amp;Z21</f>
        <v>3E</v>
      </c>
      <c r="Z21" s="33" t="s">
        <v>49</v>
      </c>
      <c r="AA21" s="33" t="s">
        <v>150</v>
      </c>
      <c r="AB21" s="94" t="str">
        <f aca="false">VLOOKUP(AA21,A_SQUADRE_PER_CODICE,2)</f>
        <v>Cervi</v>
      </c>
      <c r="AC21" s="33" t="n">
        <f aca="false">AD21+AE21+AF21</f>
        <v>3</v>
      </c>
      <c r="AD21" s="33" t="n">
        <f aca="false">SUMIF(B_SQUADRA_A_GIRONI,AB21,B_VINTE_SQUADRA_A_GIRONI)+SUMIF(B_SQUADRA_B_GIRONI,AB21,B_VINTE_SQUADRA_B_GIRONI)</f>
        <v>2</v>
      </c>
      <c r="AE21" s="33" t="n">
        <f aca="false">SUMIF(B_SQUADRA_A_GIRONI,AB21,B_PERSE_SQUADRA_A_GIRONI)+SUMIF(B_SQUADRA_B_GIRONI,AB21,B_PERSE_SQUADRA_B_GIRONI)</f>
        <v>1</v>
      </c>
      <c r="AF21" s="33" t="n">
        <f aca="false">SUMIF(B_SQUADRA_A_GIRONI,AB21,B_FORFAIT_SQUADRA_A_GIRONI)+SUMIF(B_SQUADRA_B_GIRONI,AB21,B_FORFAIT_SQUADRA_B_GIRONI)</f>
        <v>0</v>
      </c>
      <c r="AG21" s="95" t="n">
        <f aca="false">2*AD21+1*AE21+0*AF21</f>
        <v>5</v>
      </c>
      <c r="AH21" s="96" t="n">
        <f aca="false">SUMIF(B_SQUADRA_A_GIRONI,AB21,B_PUNTI_FATTI_SQUADRA_A_GIRONI)+SUMIF(B_SQUADRA_B_GIRONI,AB21,B_PUNTI_FATTI_SQUADRA_B_GIRONI)</f>
        <v>101</v>
      </c>
      <c r="AI21" s="33" t="n">
        <f aca="false">SUMIF(B_SQUADRA_A_GIRONI,AB21,B_PUNTI_SUBITI_SQUADRA_A_GIRONI)+SUMIF(B_SQUADRA_B_GIRONI,AB21,B_PUNTI_SUBITI_SQUADRA_B_GIRONI)</f>
        <v>100</v>
      </c>
      <c r="AJ21" s="97" t="n">
        <f aca="false">SUMIF(B_SQUADRA_A_GIRONI,AB21,B_DIFF_CANESTRI_SQUADRA_A_GIRONI)+SUMIF(B_SQUADRA_B_GIRONI,AB21,B_DIFF_CANESTRI_SQUADRA_B_GIRONI)</f>
        <v>1</v>
      </c>
      <c r="AK21" s="33" t="n">
        <f aca="true">IF(AG21=AG22,INDIRECT("O"&amp;8+6*(FIND(Z21,"ABCDEFGH")-1)),0)</f>
        <v>0</v>
      </c>
      <c r="AL21" s="33" t="n">
        <f aca="true">IF(AG21=AG19,INDIRECT("U"&amp;4+6*(FIND(Z21,"ABCDEFGH")-1)),0)</f>
        <v>34</v>
      </c>
      <c r="AM21" s="33" t="n">
        <f aca="true">IF(AG21=AG20,INDIRECT("U"&amp;6+6*(FIND(Z21,"ABCDEFGH")-1)),0)</f>
        <v>33</v>
      </c>
      <c r="AN21" s="96" t="n">
        <f aca="false">AK21+AL21+AM21</f>
        <v>67</v>
      </c>
      <c r="AO21" s="91" t="n">
        <f aca="true">IF(AG21=AG22,INDIRECT("Q"&amp;8+6*(FIND(Z21,"ABCDEFGH")-1)),0)</f>
        <v>0</v>
      </c>
      <c r="AP21" s="91" t="n">
        <f aca="true">IF(AG21=AG19,INDIRECT("W"&amp;4+6*(FIND(Z21,"ABCDEFGH")-1)),0)</f>
        <v>1</v>
      </c>
      <c r="AQ21" s="91" t="n">
        <f aca="true">IF(AG21=AG20,INDIRECT("W"&amp;6+6*(FIND(Z21,"ABCDEFGH")-1)),0)</f>
        <v>-1</v>
      </c>
      <c r="AR21" s="97" t="n">
        <f aca="false">AO21+AP21+AQ21</f>
        <v>0</v>
      </c>
      <c r="AS21" s="98" t="n">
        <f aca="false">AG21+(500+AR21)*10^-3+AN21*10^-6+(500+AJ21)*10^-9+AH21*10^-12</f>
        <v>5.500067501101</v>
      </c>
    </row>
    <row r="22" customFormat="false" ht="12.8" hidden="false" customHeight="false" outlineLevel="0" collapsed="false">
      <c r="A22" s="31" t="n">
        <v>12</v>
      </c>
      <c r="B22" s="33" t="s">
        <v>9</v>
      </c>
      <c r="C22" s="33" t="s">
        <v>44</v>
      </c>
      <c r="D22" s="33" t="s">
        <v>144</v>
      </c>
      <c r="E22" s="33" t="s">
        <v>146</v>
      </c>
      <c r="F22" s="89" t="str">
        <f aca="false">IF(B22="Girone",VLOOKUP(D22,A_SQUADRE_PER_CODICE,2),"ERRORE!")</f>
        <v>Coccodrilli</v>
      </c>
      <c r="G22" s="89" t="str">
        <f aca="false">IF(B22="Girone",VLOOKUP(E22,A_SQUADRE_PER_CODICE,2),"ERRORE!")</f>
        <v>Aquile</v>
      </c>
      <c r="H22" s="33" t="n">
        <f aca="false">VLOOKUP(A22,A_4_INPUT_DATE_E_RISULTATI_GIRONI,6,0)</f>
        <v>29</v>
      </c>
      <c r="I22" s="33" t="n">
        <f aca="false">VLOOKUP(A22,A_4_INPUT_DATE_E_RISULTATI_GIRONI,7,0)</f>
        <v>39</v>
      </c>
      <c r="J22" s="89" t="str">
        <f aca="false">IF(H22&gt;I22,F22,G22)</f>
        <v>Aquile</v>
      </c>
      <c r="K22" s="89" t="str">
        <f aca="false">IF(H22&lt;I22,F22,G22)</f>
        <v>Coccodrilli</v>
      </c>
      <c r="L22" s="33" t="n">
        <f aca="false">1*(H22&gt;I22)</f>
        <v>0</v>
      </c>
      <c r="M22" s="90" t="n">
        <f aca="false">1*(H22&lt;I22)*NOT(AND(H22=0,I22=20))</f>
        <v>1</v>
      </c>
      <c r="N22" s="90" t="n">
        <f aca="false">1*AND(H22=0,I22=20)</f>
        <v>0</v>
      </c>
      <c r="O22" s="33" t="n">
        <f aca="false">H22</f>
        <v>29</v>
      </c>
      <c r="P22" s="33" t="n">
        <f aca="false">I22</f>
        <v>39</v>
      </c>
      <c r="Q22" s="91" t="n">
        <f aca="false">O22-P22</f>
        <v>-10</v>
      </c>
      <c r="R22" s="33" t="n">
        <f aca="false">1*(I22&gt;H22)</f>
        <v>1</v>
      </c>
      <c r="S22" s="33" t="n">
        <f aca="false">1*(I22&lt;H22)*NOT(AND(H22=20,I22=0))</f>
        <v>0</v>
      </c>
      <c r="T22" s="33" t="n">
        <f aca="false">1*AND(H22=20,I22=0)</f>
        <v>0</v>
      </c>
      <c r="U22" s="33" t="n">
        <f aca="false">I22</f>
        <v>39</v>
      </c>
      <c r="V22" s="33" t="n">
        <f aca="false">H22</f>
        <v>29</v>
      </c>
      <c r="W22" s="92" t="n">
        <f aca="false">U22-V22</f>
        <v>10</v>
      </c>
      <c r="Y22" s="93" t="str">
        <f aca="false">COUNTIF(B_COEFF_GIRONE_E,"&gt;="&amp;AS22)&amp;Z22</f>
        <v>4E</v>
      </c>
      <c r="Z22" s="33" t="s">
        <v>49</v>
      </c>
      <c r="AA22" s="33" t="s">
        <v>151</v>
      </c>
      <c r="AB22" s="94" t="str">
        <f aca="false">VLOOKUP(AA22,A_SQUADRE_PER_CODICE,2)</f>
        <v>Cinghiali</v>
      </c>
      <c r="AC22" s="33" t="n">
        <f aca="false">AD22+AE22+AF22</f>
        <v>3</v>
      </c>
      <c r="AD22" s="33" t="n">
        <f aca="false">SUMIF(B_SQUADRA_A_GIRONI,AB22,B_VINTE_SQUADRA_A_GIRONI)+SUMIF(B_SQUADRA_B_GIRONI,AB22,B_VINTE_SQUADRA_B_GIRONI)</f>
        <v>0</v>
      </c>
      <c r="AE22" s="33" t="n">
        <f aca="false">SUMIF(B_SQUADRA_A_GIRONI,AB22,B_PERSE_SQUADRA_A_GIRONI)+SUMIF(B_SQUADRA_B_GIRONI,AB22,B_PERSE_SQUADRA_B_GIRONI)</f>
        <v>3</v>
      </c>
      <c r="AF22" s="33" t="n">
        <f aca="false">SUMIF(B_SQUADRA_A_GIRONI,AB22,B_FORFAIT_SQUADRA_A_GIRONI)+SUMIF(B_SQUADRA_B_GIRONI,AB22,B_FORFAIT_SQUADRA_B_GIRONI)</f>
        <v>0</v>
      </c>
      <c r="AG22" s="95" t="n">
        <f aca="false">2*AD22+1*AE22+0*AF22</f>
        <v>3</v>
      </c>
      <c r="AH22" s="96" t="n">
        <f aca="false">SUMIF(B_SQUADRA_A_GIRONI,AB22,B_PUNTI_FATTI_SQUADRA_A_GIRONI)+SUMIF(B_SQUADRA_B_GIRONI,AB22,B_PUNTI_FATTI_SQUADRA_B_GIRONI)</f>
        <v>99</v>
      </c>
      <c r="AI22" s="33" t="n">
        <f aca="false">SUMIF(B_SQUADRA_A_GIRONI,AB22,B_PUNTI_SUBITI_SQUADRA_A_GIRONI)+SUMIF(B_SQUADRA_B_GIRONI,AB22,B_PUNTI_SUBITI_SQUADRA_B_GIRONI)</f>
        <v>105</v>
      </c>
      <c r="AJ22" s="97" t="n">
        <f aca="false">SUMIF(B_SQUADRA_A_GIRONI,AB22,B_DIFF_CANESTRI_SQUADRA_A_GIRONI)+SUMIF(B_SQUADRA_B_GIRONI,AB22,B_DIFF_CANESTRI_SQUADRA_B_GIRONI)</f>
        <v>-6</v>
      </c>
      <c r="AK22" s="33" t="n">
        <f aca="true">IF(AG22=AG19,INDIRECT("U"&amp;5+6*(FIND(Z22,"ABCDEFGH")-1)),0)</f>
        <v>0</v>
      </c>
      <c r="AL22" s="33" t="n">
        <f aca="true">IF(AG22=AG20,INDIRECT("U"&amp;7+6*(FIND(Z22,"ABCDEFGH")-1)),0)</f>
        <v>0</v>
      </c>
      <c r="AM22" s="33" t="n">
        <f aca="true">IF(AG22=AG21,INDIRECT("U"&amp;8+6*(FIND(Z22,"ABCDEFGH")-1)),0)</f>
        <v>0</v>
      </c>
      <c r="AN22" s="96" t="n">
        <f aca="false">AK22+AL22+AM22</f>
        <v>0</v>
      </c>
      <c r="AO22" s="91" t="n">
        <f aca="true">IF(AG22=AG19,INDIRECT("W"&amp;5+6*(FIND(Z22,"ABCDEFGH")-1)),0)</f>
        <v>0</v>
      </c>
      <c r="AP22" s="91" t="n">
        <f aca="true">IF(AG22=AG20,INDIRECT("W"&amp;7+6*(FIND(Z22,"ABCDEFGH")-1)),0)</f>
        <v>0</v>
      </c>
      <c r="AQ22" s="91" t="n">
        <f aca="true">IF(AG22=AG21,INDIRECT("W"&amp;8+6*(FIND(Z22,"ABCDEFGH")-1)),0)</f>
        <v>0</v>
      </c>
      <c r="AR22" s="97" t="n">
        <f aca="false">AO22+AP22+AQ22</f>
        <v>0</v>
      </c>
      <c r="AS22" s="98" t="n">
        <f aca="false">AG22+(500+AR22)*10^-3+AN22*10^-6+(500+AJ22)*10^-9+AH22*10^-12</f>
        <v>3.500000494099</v>
      </c>
    </row>
    <row r="23" customFormat="false" ht="12.8" hidden="false" customHeight="false" outlineLevel="0" collapsed="false">
      <c r="A23" s="31" t="n">
        <v>28</v>
      </c>
      <c r="B23" s="33" t="s">
        <v>9</v>
      </c>
      <c r="C23" s="33" t="s">
        <v>44</v>
      </c>
      <c r="D23" s="33" t="s">
        <v>144</v>
      </c>
      <c r="E23" s="33" t="s">
        <v>147</v>
      </c>
      <c r="F23" s="89" t="str">
        <f aca="false">IF(B23="Girone",VLOOKUP(D23,A_SQUADRE_PER_CODICE,2),"ERRORE!")</f>
        <v>Coccodrilli</v>
      </c>
      <c r="G23" s="89" t="str">
        <f aca="false">IF(B23="Girone",VLOOKUP(E23,A_SQUADRE_PER_CODICE,2),"ERRORE!")</f>
        <v>Falchi</v>
      </c>
      <c r="H23" s="33" t="n">
        <f aca="false">VLOOKUP(A23,A_4_INPUT_DATE_E_RISULTATI_GIRONI,6,0)</f>
        <v>54</v>
      </c>
      <c r="I23" s="33" t="n">
        <f aca="false">VLOOKUP(A23,A_4_INPUT_DATE_E_RISULTATI_GIRONI,7,0)</f>
        <v>44</v>
      </c>
      <c r="J23" s="89" t="str">
        <f aca="false">IF(H23&gt;I23,F23,G23)</f>
        <v>Coccodrilli</v>
      </c>
      <c r="K23" s="89" t="str">
        <f aca="false">IF(H23&lt;I23,F23,G23)</f>
        <v>Falchi</v>
      </c>
      <c r="L23" s="33" t="n">
        <f aca="false">1*(H23&gt;I23)</f>
        <v>1</v>
      </c>
      <c r="M23" s="90" t="n">
        <f aca="false">1*(H23&lt;I23)*NOT(AND(H23=0,I23=20))</f>
        <v>0</v>
      </c>
      <c r="N23" s="90" t="n">
        <f aca="false">1*AND(H23=0,I23=20)</f>
        <v>0</v>
      </c>
      <c r="O23" s="33" t="n">
        <f aca="false">H23</f>
        <v>54</v>
      </c>
      <c r="P23" s="33" t="n">
        <f aca="false">I23</f>
        <v>44</v>
      </c>
      <c r="Q23" s="91" t="n">
        <f aca="false">O23-P23</f>
        <v>10</v>
      </c>
      <c r="R23" s="33" t="n">
        <f aca="false">1*(I23&gt;H23)</f>
        <v>0</v>
      </c>
      <c r="S23" s="33" t="n">
        <f aca="false">1*(I23&lt;H23)*NOT(AND(H23=20,I23=0))</f>
        <v>1</v>
      </c>
      <c r="T23" s="33" t="n">
        <f aca="false">1*AND(H23=20,I23=0)</f>
        <v>0</v>
      </c>
      <c r="U23" s="33" t="n">
        <f aca="false">I23</f>
        <v>44</v>
      </c>
      <c r="V23" s="33" t="n">
        <f aca="false">H23</f>
        <v>54</v>
      </c>
      <c r="W23" s="92" t="n">
        <f aca="false">U23-V23</f>
        <v>-10</v>
      </c>
      <c r="Y23" s="99" t="str">
        <f aca="false">COUNTIF(B_COEFF_GIRONE_F,"&gt;="&amp;AS23)&amp;Z23</f>
        <v>1F</v>
      </c>
      <c r="Z23" s="100" t="s">
        <v>54</v>
      </c>
      <c r="AA23" s="100" t="s">
        <v>152</v>
      </c>
      <c r="AB23" s="101" t="str">
        <f aca="false">VLOOKUP(AA23,A_SQUADRE_PER_CODICE,2)</f>
        <v>Balene</v>
      </c>
      <c r="AC23" s="100" t="n">
        <f aca="false">AD23+AE23+AF23</f>
        <v>3</v>
      </c>
      <c r="AD23" s="100" t="n">
        <f aca="false">SUMIF(B_SQUADRA_A_GIRONI,AB23,B_VINTE_SQUADRA_A_GIRONI)+SUMIF(B_SQUADRA_B_GIRONI,AB23,B_VINTE_SQUADRA_B_GIRONI)</f>
        <v>2</v>
      </c>
      <c r="AE23" s="100" t="n">
        <f aca="false">SUMIF(B_SQUADRA_A_GIRONI,AB23,B_PERSE_SQUADRA_A_GIRONI)+SUMIF(B_SQUADRA_B_GIRONI,AB23,B_PERSE_SQUADRA_B_GIRONI)</f>
        <v>1</v>
      </c>
      <c r="AF23" s="100" t="n">
        <f aca="false">SUMIF(B_SQUADRA_A_GIRONI,AB23,B_FORFAIT_SQUADRA_A_GIRONI)+SUMIF(B_SQUADRA_B_GIRONI,AB23,B_FORFAIT_SQUADRA_B_GIRONI)</f>
        <v>0</v>
      </c>
      <c r="AG23" s="102" t="n">
        <f aca="false">2*AD23+1*AE23+0*AF23</f>
        <v>5</v>
      </c>
      <c r="AH23" s="103" t="n">
        <f aca="false">SUMIF(B_SQUADRA_A_GIRONI,AB23,B_PUNTI_FATTI_SQUADRA_A_GIRONI)+SUMIF(B_SQUADRA_B_GIRONI,AB23,B_PUNTI_FATTI_SQUADRA_B_GIRONI)</f>
        <v>103</v>
      </c>
      <c r="AI23" s="100" t="n">
        <f aca="false">SUMIF(B_SQUADRA_A_GIRONI,AB23,B_PUNTI_SUBITI_SQUADRA_A_GIRONI)+SUMIF(B_SQUADRA_B_GIRONI,AB23,B_PUNTI_SUBITI_SQUADRA_B_GIRONI)</f>
        <v>102</v>
      </c>
      <c r="AJ23" s="104" t="n">
        <f aca="false">SUMIF(B_SQUADRA_A_GIRONI,AB23,B_DIFF_CANESTRI_SQUADRA_A_GIRONI)+SUMIF(B_SQUADRA_B_GIRONI,AB23,B_DIFF_CANESTRI_SQUADRA_B_GIRONI)</f>
        <v>1</v>
      </c>
      <c r="AK23" s="100" t="n">
        <f aca="true">IF(AG23=AG24,INDIRECT("O"&amp;3+6*(FIND(Z23,"ABCDEFGH")-1)),0)</f>
        <v>34</v>
      </c>
      <c r="AL23" s="105" t="n">
        <f aca="true">IF(AG23=AG25,INDIRECT("O"&amp;4+6*(FIND(Z23,"ABCDEFGH")-1)),0)</f>
        <v>33</v>
      </c>
      <c r="AM23" s="100" t="n">
        <f aca="true">IF(AG23=AG26,INDIRECT("O"&amp;5+6*(FIND(Z23,"ABCDEFGH")-1)),0)</f>
        <v>0</v>
      </c>
      <c r="AN23" s="103" t="n">
        <f aca="false">AK23+AL23+AM23</f>
        <v>67</v>
      </c>
      <c r="AO23" s="106" t="n">
        <f aca="true">IF(AG23=AG24,INDIRECT("Q"&amp;3+6*(FIND(Z23,"ABCDEFGH")-1)),0)</f>
        <v>1</v>
      </c>
      <c r="AP23" s="106" t="n">
        <f aca="true">IF(AG23=AG25,INDIRECT("Q"&amp;4+6*(FIND(Z23,"ABCDEFGH")-1)),0)</f>
        <v>-1</v>
      </c>
      <c r="AQ23" s="106" t="n">
        <f aca="true">IF(AG23=AG26,INDIRECT("Q"&amp;5+6*(FIND(Z23,"ABCDEFGH")-1)),0)</f>
        <v>0</v>
      </c>
      <c r="AR23" s="104" t="n">
        <f aca="false">AO23+AP23+AQ23</f>
        <v>0</v>
      </c>
      <c r="AS23" s="107" t="n">
        <f aca="false">AG23+(500+AR23)*10^-3+AN23*10^-6+(500+AJ23)*10^-9+AH23*10^-12</f>
        <v>5.500067501103</v>
      </c>
    </row>
    <row r="24" customFormat="false" ht="12.8" hidden="false" customHeight="false" outlineLevel="0" collapsed="false">
      <c r="A24" s="31" t="n">
        <v>40</v>
      </c>
      <c r="B24" s="33" t="s">
        <v>9</v>
      </c>
      <c r="C24" s="33" t="s">
        <v>44</v>
      </c>
      <c r="D24" s="33" t="s">
        <v>145</v>
      </c>
      <c r="E24" s="33" t="s">
        <v>146</v>
      </c>
      <c r="F24" s="89" t="str">
        <f aca="false">IF(B24="Girone",VLOOKUP(D24,A_SQUADRE_PER_CODICE,2),"ERRORE!")</f>
        <v>Pitoni</v>
      </c>
      <c r="G24" s="89" t="str">
        <f aca="false">IF(B24="Girone",VLOOKUP(E24,A_SQUADRE_PER_CODICE,2),"ERRORE!")</f>
        <v>Aquile</v>
      </c>
      <c r="H24" s="33" t="n">
        <f aca="false">VLOOKUP(A24,A_4_INPUT_DATE_E_RISULTATI_GIRONI,6,0)</f>
        <v>25</v>
      </c>
      <c r="I24" s="33" t="n">
        <f aca="false">VLOOKUP(A24,A_4_INPUT_DATE_E_RISULTATI_GIRONI,7,0)</f>
        <v>15</v>
      </c>
      <c r="J24" s="89" t="str">
        <f aca="false">IF(H24&gt;I24,F24,G24)</f>
        <v>Pitoni</v>
      </c>
      <c r="K24" s="89" t="str">
        <f aca="false">IF(H24&lt;I24,F24,G24)</f>
        <v>Aquile</v>
      </c>
      <c r="L24" s="33" t="n">
        <f aca="false">1*(H24&gt;I24)</f>
        <v>1</v>
      </c>
      <c r="M24" s="90" t="n">
        <f aca="false">1*(H24&lt;I24)*NOT(AND(H24=0,I24=20))</f>
        <v>0</v>
      </c>
      <c r="N24" s="90" t="n">
        <f aca="false">1*AND(H24=0,I24=20)</f>
        <v>0</v>
      </c>
      <c r="O24" s="33" t="n">
        <f aca="false">H24</f>
        <v>25</v>
      </c>
      <c r="P24" s="33" t="n">
        <f aca="false">I24</f>
        <v>15</v>
      </c>
      <c r="Q24" s="91" t="n">
        <f aca="false">O24-P24</f>
        <v>10</v>
      </c>
      <c r="R24" s="33" t="n">
        <f aca="false">1*(I24&gt;H24)</f>
        <v>0</v>
      </c>
      <c r="S24" s="33" t="n">
        <f aca="false">1*(I24&lt;H24)*NOT(AND(H24=20,I24=0))</f>
        <v>1</v>
      </c>
      <c r="T24" s="33" t="n">
        <f aca="false">1*AND(H24=20,I24=0)</f>
        <v>0</v>
      </c>
      <c r="U24" s="33" t="n">
        <f aca="false">I24</f>
        <v>15</v>
      </c>
      <c r="V24" s="33" t="n">
        <f aca="false">H24</f>
        <v>25</v>
      </c>
      <c r="W24" s="92" t="n">
        <f aca="false">U24-V24</f>
        <v>-10</v>
      </c>
      <c r="Y24" s="93" t="str">
        <f aca="false">COUNTIF(B_COEFF_GIRONE_F,"&gt;="&amp;AS24)&amp;Z24</f>
        <v>2F</v>
      </c>
      <c r="Z24" s="33" t="s">
        <v>54</v>
      </c>
      <c r="AA24" s="33" t="s">
        <v>153</v>
      </c>
      <c r="AB24" s="94" t="str">
        <f aca="false">VLOOKUP(AA24,A_SQUADRE_PER_CODICE,2)</f>
        <v>Gabbiani</v>
      </c>
      <c r="AC24" s="33" t="n">
        <f aca="false">AD24+AE24+AF24</f>
        <v>3</v>
      </c>
      <c r="AD24" s="33" t="n">
        <f aca="false">SUMIF(B_SQUADRA_A_GIRONI,AB24,B_VINTE_SQUADRA_A_GIRONI)+SUMIF(B_SQUADRA_B_GIRONI,AB24,B_VINTE_SQUADRA_B_GIRONI)</f>
        <v>2</v>
      </c>
      <c r="AE24" s="33" t="n">
        <f aca="false">SUMIF(B_SQUADRA_A_GIRONI,AB24,B_PERSE_SQUADRA_A_GIRONI)+SUMIF(B_SQUADRA_B_GIRONI,AB24,B_PERSE_SQUADRA_B_GIRONI)</f>
        <v>1</v>
      </c>
      <c r="AF24" s="33" t="n">
        <f aca="false">SUMIF(B_SQUADRA_A_GIRONI,AB24,B_FORFAIT_SQUADRA_A_GIRONI)+SUMIF(B_SQUADRA_B_GIRONI,AB24,B_FORFAIT_SQUADRA_B_GIRONI)</f>
        <v>0</v>
      </c>
      <c r="AG24" s="95" t="n">
        <f aca="false">2*AD24+1*AE24+0*AF24</f>
        <v>5</v>
      </c>
      <c r="AH24" s="96" t="n">
        <f aca="false">SUMIF(B_SQUADRA_A_GIRONI,AB24,B_PUNTI_FATTI_SQUADRA_A_GIRONI)+SUMIF(B_SQUADRA_B_GIRONI,AB24,B_PUNTI_FATTI_SQUADRA_B_GIRONI)</f>
        <v>102</v>
      </c>
      <c r="AI24" s="33" t="n">
        <f aca="false">SUMIF(B_SQUADRA_A_GIRONI,AB24,B_PUNTI_SUBITI_SQUADRA_A_GIRONI)+SUMIF(B_SQUADRA_B_GIRONI,AB24,B_PUNTI_SUBITI_SQUADRA_B_GIRONI)</f>
        <v>101</v>
      </c>
      <c r="AJ24" s="97" t="n">
        <f aca="false">SUMIF(B_SQUADRA_A_GIRONI,AB24,B_DIFF_CANESTRI_SQUADRA_A_GIRONI)+SUMIF(B_SQUADRA_B_GIRONI,AB24,B_DIFF_CANESTRI_SQUADRA_B_GIRONI)</f>
        <v>1</v>
      </c>
      <c r="AK24" s="33" t="n">
        <f aca="true">IF(AG24=AG25,INDIRECT("O"&amp;6+6*(FIND(Z24,"ABCDEFGH")-1)),0)</f>
        <v>34</v>
      </c>
      <c r="AL24" s="33" t="n">
        <f aca="true">IF(AG24=AG26,INDIRECT("O"&amp;7+6*(FIND(Z24,"ABCDEFGH")-1)),0)</f>
        <v>0</v>
      </c>
      <c r="AM24" s="33" t="n">
        <f aca="true">IF(AG24=AG23,INDIRECT("U"&amp;3+6*(FIND(Z24,"ABCDEFGH")-1)),0)</f>
        <v>33</v>
      </c>
      <c r="AN24" s="96" t="n">
        <f aca="false">AK24+AL24+AM24</f>
        <v>67</v>
      </c>
      <c r="AO24" s="91" t="n">
        <f aca="true">IF(AG24=AG25,INDIRECT("Q"&amp;6+6*(FIND(Z24,"ABCDEFGH")-1)),0)</f>
        <v>1</v>
      </c>
      <c r="AP24" s="91" t="n">
        <f aca="true">IF(AG24=AG26,INDIRECT("Q"&amp;7+6*(FIND(Z24,"ABCDEFGH")-1)),0)</f>
        <v>0</v>
      </c>
      <c r="AQ24" s="91" t="n">
        <f aca="true">IF(AG24=AG23,INDIRECT("W"&amp;3+6*(FIND(Z24,"ABCDEFGH")-1)),0)</f>
        <v>-1</v>
      </c>
      <c r="AR24" s="97" t="n">
        <f aca="false">AO24+AP24+AQ24</f>
        <v>0</v>
      </c>
      <c r="AS24" s="98" t="n">
        <f aca="false">AG24+(500+AR24)*10^-3+AN24*10^-6+(500+AJ24)*10^-9+AH24*10^-12</f>
        <v>5.500067501102</v>
      </c>
    </row>
    <row r="25" customFormat="false" ht="12.8" hidden="false" customHeight="false" outlineLevel="0" collapsed="false">
      <c r="A25" s="31" t="n">
        <v>16</v>
      </c>
      <c r="B25" s="33" t="s">
        <v>9</v>
      </c>
      <c r="C25" s="33" t="s">
        <v>44</v>
      </c>
      <c r="D25" s="33" t="s">
        <v>145</v>
      </c>
      <c r="E25" s="33" t="s">
        <v>147</v>
      </c>
      <c r="F25" s="89" t="str">
        <f aca="false">IF(B25="Girone",VLOOKUP(D25,A_SQUADRE_PER_CODICE,2),"ERRORE!")</f>
        <v>Pitoni</v>
      </c>
      <c r="G25" s="89" t="str">
        <f aca="false">IF(B25="Girone",VLOOKUP(E25,A_SQUADRE_PER_CODICE,2),"ERRORE!")</f>
        <v>Falchi</v>
      </c>
      <c r="H25" s="33" t="n">
        <f aca="false">VLOOKUP(A25,A_4_INPUT_DATE_E_RISULTATI_GIRONI,6,0)</f>
        <v>83</v>
      </c>
      <c r="I25" s="33" t="n">
        <f aca="false">VLOOKUP(A25,A_4_INPUT_DATE_E_RISULTATI_GIRONI,7,0)</f>
        <v>57</v>
      </c>
      <c r="J25" s="89" t="str">
        <f aca="false">IF(H25&gt;I25,F25,G25)</f>
        <v>Pitoni</v>
      </c>
      <c r="K25" s="89" t="str">
        <f aca="false">IF(H25&lt;I25,F25,G25)</f>
        <v>Falchi</v>
      </c>
      <c r="L25" s="33" t="n">
        <f aca="false">1*(H25&gt;I25)</f>
        <v>1</v>
      </c>
      <c r="M25" s="90" t="n">
        <f aca="false">1*(H25&lt;I25)*NOT(AND(H25=0,I25=20))</f>
        <v>0</v>
      </c>
      <c r="N25" s="90" t="n">
        <f aca="false">1*AND(H25=0,I25=20)</f>
        <v>0</v>
      </c>
      <c r="O25" s="33" t="n">
        <f aca="false">H25</f>
        <v>83</v>
      </c>
      <c r="P25" s="33" t="n">
        <f aca="false">I25</f>
        <v>57</v>
      </c>
      <c r="Q25" s="91" t="n">
        <f aca="false">O25-P25</f>
        <v>26</v>
      </c>
      <c r="R25" s="33" t="n">
        <f aca="false">1*(I25&gt;H25)</f>
        <v>0</v>
      </c>
      <c r="S25" s="33" t="n">
        <f aca="false">1*(I25&lt;H25)*NOT(AND(H25=20,I25=0))</f>
        <v>1</v>
      </c>
      <c r="T25" s="33" t="n">
        <f aca="false">1*AND(H25=20,I25=0)</f>
        <v>0</v>
      </c>
      <c r="U25" s="33" t="n">
        <f aca="false">I25</f>
        <v>57</v>
      </c>
      <c r="V25" s="33" t="n">
        <f aca="false">H25</f>
        <v>83</v>
      </c>
      <c r="W25" s="92" t="n">
        <f aca="false">U25-V25</f>
        <v>-26</v>
      </c>
      <c r="Y25" s="93" t="str">
        <f aca="false">COUNTIF(B_COEFF_GIRONE_F,"&gt;="&amp;AS25)&amp;Z25</f>
        <v>3F</v>
      </c>
      <c r="Z25" s="33" t="s">
        <v>54</v>
      </c>
      <c r="AA25" s="33" t="s">
        <v>154</v>
      </c>
      <c r="AB25" s="94" t="str">
        <f aca="false">VLOOKUP(AA25,A_SQUADRE_PER_CODICE,2)</f>
        <v>Delfini</v>
      </c>
      <c r="AC25" s="33" t="n">
        <f aca="false">AD25+AE25+AF25</f>
        <v>3</v>
      </c>
      <c r="AD25" s="33" t="n">
        <f aca="false">SUMIF(B_SQUADRA_A_GIRONI,AB25,B_VINTE_SQUADRA_A_GIRONI)+SUMIF(B_SQUADRA_B_GIRONI,AB25,B_VINTE_SQUADRA_B_GIRONI)</f>
        <v>2</v>
      </c>
      <c r="AE25" s="33" t="n">
        <f aca="false">SUMIF(B_SQUADRA_A_GIRONI,AB25,B_PERSE_SQUADRA_A_GIRONI)+SUMIF(B_SQUADRA_B_GIRONI,AB25,B_PERSE_SQUADRA_B_GIRONI)</f>
        <v>1</v>
      </c>
      <c r="AF25" s="33" t="n">
        <f aca="false">SUMIF(B_SQUADRA_A_GIRONI,AB25,B_FORFAIT_SQUADRA_A_GIRONI)+SUMIF(B_SQUADRA_B_GIRONI,AB25,B_FORFAIT_SQUADRA_B_GIRONI)</f>
        <v>0</v>
      </c>
      <c r="AG25" s="95" t="n">
        <f aca="false">2*AD25+1*AE25+0*AF25</f>
        <v>5</v>
      </c>
      <c r="AH25" s="96" t="n">
        <f aca="false">SUMIF(B_SQUADRA_A_GIRONI,AB25,B_PUNTI_FATTI_SQUADRA_A_GIRONI)+SUMIF(B_SQUADRA_B_GIRONI,AB25,B_PUNTI_FATTI_SQUADRA_B_GIRONI)</f>
        <v>101</v>
      </c>
      <c r="AI25" s="33" t="n">
        <f aca="false">SUMIF(B_SQUADRA_A_GIRONI,AB25,B_PUNTI_SUBITI_SQUADRA_A_GIRONI)+SUMIF(B_SQUADRA_B_GIRONI,AB25,B_PUNTI_SUBITI_SQUADRA_B_GIRONI)</f>
        <v>100</v>
      </c>
      <c r="AJ25" s="97" t="n">
        <f aca="false">SUMIF(B_SQUADRA_A_GIRONI,AB25,B_DIFF_CANESTRI_SQUADRA_A_GIRONI)+SUMIF(B_SQUADRA_B_GIRONI,AB25,B_DIFF_CANESTRI_SQUADRA_B_GIRONI)</f>
        <v>1</v>
      </c>
      <c r="AK25" s="33" t="n">
        <f aca="true">IF(AG25=AG26,INDIRECT("O"&amp;8+6*(FIND(Z25,"ABCDEFGH")-1)),0)</f>
        <v>0</v>
      </c>
      <c r="AL25" s="33" t="n">
        <f aca="true">IF(AG25=AG23,INDIRECT("U"&amp;4+6*(FIND(Z25,"ABCDEFGH")-1)),0)</f>
        <v>34</v>
      </c>
      <c r="AM25" s="33" t="n">
        <f aca="true">IF(AG25=AG24,INDIRECT("U"&amp;6+6*(FIND(Z25,"ABCDEFGH")-1)),0)</f>
        <v>33</v>
      </c>
      <c r="AN25" s="96" t="n">
        <f aca="false">AK25+AL25+AM25</f>
        <v>67</v>
      </c>
      <c r="AO25" s="91" t="n">
        <f aca="true">IF(AG25=AG26,INDIRECT("Q"&amp;8+6*(FIND(Z25,"ABCDEFGH")-1)),0)</f>
        <v>0</v>
      </c>
      <c r="AP25" s="91" t="n">
        <f aca="true">IF(AG25=AG23,INDIRECT("W"&amp;4+6*(FIND(Z25,"ABCDEFGH")-1)),0)</f>
        <v>1</v>
      </c>
      <c r="AQ25" s="91" t="n">
        <f aca="true">IF(AG25=AG24,INDIRECT("W"&amp;6+6*(FIND(Z25,"ABCDEFGH")-1)),0)</f>
        <v>-1</v>
      </c>
      <c r="AR25" s="97" t="n">
        <f aca="false">AO25+AP25+AQ25</f>
        <v>0</v>
      </c>
      <c r="AS25" s="98" t="n">
        <f aca="false">AG25+(500+AR25)*10^-3+AN25*10^-6+(500+AJ25)*10^-9+AH25*10^-12</f>
        <v>5.500067501101</v>
      </c>
    </row>
    <row r="26" customFormat="false" ht="12.8" hidden="false" customHeight="false" outlineLevel="0" collapsed="false">
      <c r="A26" s="31" t="n">
        <v>8</v>
      </c>
      <c r="B26" s="33" t="s">
        <v>9</v>
      </c>
      <c r="C26" s="33" t="s">
        <v>44</v>
      </c>
      <c r="D26" s="33" t="s">
        <v>146</v>
      </c>
      <c r="E26" s="33" t="s">
        <v>147</v>
      </c>
      <c r="F26" s="89" t="str">
        <f aca="false">IF(B26="Girone",VLOOKUP(D26,A_SQUADRE_PER_CODICE,2),"ERRORE!")</f>
        <v>Aquile</v>
      </c>
      <c r="G26" s="89" t="str">
        <f aca="false">IF(B26="Girone",VLOOKUP(E26,A_SQUADRE_PER_CODICE,2),"ERRORE!")</f>
        <v>Falchi</v>
      </c>
      <c r="H26" s="33" t="n">
        <f aca="false">VLOOKUP(A26,A_4_INPUT_DATE_E_RISULTATI_GIRONI,6,0)</f>
        <v>72</v>
      </c>
      <c r="I26" s="33" t="n">
        <f aca="false">VLOOKUP(A26,A_4_INPUT_DATE_E_RISULTATI_GIRONI,7,0)</f>
        <v>52</v>
      </c>
      <c r="J26" s="89" t="str">
        <f aca="false">IF(H26&gt;I26,F26,G26)</f>
        <v>Aquile</v>
      </c>
      <c r="K26" s="89" t="str">
        <f aca="false">IF(H26&lt;I26,F26,G26)</f>
        <v>Falchi</v>
      </c>
      <c r="L26" s="33" t="n">
        <f aca="false">1*(H26&gt;I26)</f>
        <v>1</v>
      </c>
      <c r="M26" s="90" t="n">
        <f aca="false">1*(H26&lt;I26)*NOT(AND(H26=0,I26=20))</f>
        <v>0</v>
      </c>
      <c r="N26" s="90" t="n">
        <f aca="false">1*AND(H26=0,I26=20)</f>
        <v>0</v>
      </c>
      <c r="O26" s="33" t="n">
        <f aca="false">H26</f>
        <v>72</v>
      </c>
      <c r="P26" s="33" t="n">
        <f aca="false">I26</f>
        <v>52</v>
      </c>
      <c r="Q26" s="91" t="n">
        <f aca="false">O26-P26</f>
        <v>20</v>
      </c>
      <c r="R26" s="33" t="n">
        <f aca="false">1*(I26&gt;H26)</f>
        <v>0</v>
      </c>
      <c r="S26" s="33" t="n">
        <f aca="false">1*(I26&lt;H26)*NOT(AND(H26=20,I26=0))</f>
        <v>1</v>
      </c>
      <c r="T26" s="33" t="n">
        <f aca="false">1*AND(H26=20,I26=0)</f>
        <v>0</v>
      </c>
      <c r="U26" s="33" t="n">
        <f aca="false">I26</f>
        <v>52</v>
      </c>
      <c r="V26" s="33" t="n">
        <f aca="false">H26</f>
        <v>72</v>
      </c>
      <c r="W26" s="92" t="n">
        <f aca="false">U26-V26</f>
        <v>-20</v>
      </c>
      <c r="Y26" s="108" t="str">
        <f aca="false">COUNTIF(B_COEFF_GIRONE_F,"&gt;="&amp;AS26)&amp;Z26</f>
        <v>4F</v>
      </c>
      <c r="Z26" s="109" t="s">
        <v>54</v>
      </c>
      <c r="AA26" s="109" t="s">
        <v>155</v>
      </c>
      <c r="AB26" s="110" t="str">
        <f aca="false">VLOOKUP(AA26,A_SQUADRE_PER_CODICE,2)</f>
        <v>Fenicotteri</v>
      </c>
      <c r="AC26" s="109" t="n">
        <f aca="false">AD26+AE26+AF26</f>
        <v>3</v>
      </c>
      <c r="AD26" s="109" t="n">
        <f aca="false">SUMIF(B_SQUADRA_A_GIRONI,AB26,B_VINTE_SQUADRA_A_GIRONI)+SUMIF(B_SQUADRA_B_GIRONI,AB26,B_VINTE_SQUADRA_B_GIRONI)</f>
        <v>0</v>
      </c>
      <c r="AE26" s="109" t="n">
        <f aca="false">SUMIF(B_SQUADRA_A_GIRONI,AB26,B_PERSE_SQUADRA_A_GIRONI)+SUMIF(B_SQUADRA_B_GIRONI,AB26,B_PERSE_SQUADRA_B_GIRONI)</f>
        <v>3</v>
      </c>
      <c r="AF26" s="109" t="n">
        <f aca="false">SUMIF(B_SQUADRA_A_GIRONI,AB26,B_FORFAIT_SQUADRA_A_GIRONI)+SUMIF(B_SQUADRA_B_GIRONI,AB26,B_FORFAIT_SQUADRA_B_GIRONI)</f>
        <v>0</v>
      </c>
      <c r="AG26" s="111" t="n">
        <f aca="false">2*AD26+1*AE26+0*AF26</f>
        <v>3</v>
      </c>
      <c r="AH26" s="112" t="n">
        <f aca="false">SUMIF(B_SQUADRA_A_GIRONI,AB26,B_PUNTI_FATTI_SQUADRA_A_GIRONI)+SUMIF(B_SQUADRA_B_GIRONI,AB26,B_PUNTI_FATTI_SQUADRA_B_GIRONI)</f>
        <v>102</v>
      </c>
      <c r="AI26" s="109" t="n">
        <f aca="false">SUMIF(B_SQUADRA_A_GIRONI,AB26,B_PUNTI_SUBITI_SQUADRA_A_GIRONI)+SUMIF(B_SQUADRA_B_GIRONI,AB26,B_PUNTI_SUBITI_SQUADRA_B_GIRONI)</f>
        <v>105</v>
      </c>
      <c r="AJ26" s="113" t="n">
        <f aca="false">SUMIF(B_SQUADRA_A_GIRONI,AB26,B_DIFF_CANESTRI_SQUADRA_A_GIRONI)+SUMIF(B_SQUADRA_B_GIRONI,AB26,B_DIFF_CANESTRI_SQUADRA_B_GIRONI)</f>
        <v>-3</v>
      </c>
      <c r="AK26" s="109" t="n">
        <f aca="true">IF(AG26=AG23,INDIRECT("U"&amp;5+6*(FIND(Z26,"ABCDEFGH")-1)),0)</f>
        <v>0</v>
      </c>
      <c r="AL26" s="109" t="n">
        <f aca="true">IF(AG26=AG24,INDIRECT("U"&amp;7+6*(FIND(Z26,"ABCDEFGH")-1)),0)</f>
        <v>0</v>
      </c>
      <c r="AM26" s="109" t="n">
        <f aca="true">IF(AG26=AG25,INDIRECT("U"&amp;8+6*(FIND(Z26,"ABCDEFGH")-1)),0)</f>
        <v>0</v>
      </c>
      <c r="AN26" s="112" t="n">
        <f aca="false">AK26+AL26+AM26</f>
        <v>0</v>
      </c>
      <c r="AO26" s="114" t="n">
        <f aca="true">IF(AG26=AG23,INDIRECT("W"&amp;5+6*(FIND(Z26,"ABCDEFGH")-1)),0)</f>
        <v>0</v>
      </c>
      <c r="AP26" s="114" t="n">
        <f aca="true">IF(AG26=AG24,INDIRECT("W"&amp;7+6*(FIND(Z26,"ABCDEFGH")-1)),0)</f>
        <v>0</v>
      </c>
      <c r="AQ26" s="114" t="n">
        <f aca="true">IF(AG26=AG25,INDIRECT("W"&amp;8+6*(FIND(Z26,"ABCDEFGH")-1)),0)</f>
        <v>0</v>
      </c>
      <c r="AR26" s="113" t="n">
        <f aca="false">AO26+AP26+AQ26</f>
        <v>0</v>
      </c>
      <c r="AS26" s="115" t="n">
        <f aca="false">AG26+(500+AR26)*10^-3+AN26*10^-6+(500+AJ26)*10^-9+AH26*10^-12</f>
        <v>3.500000497102</v>
      </c>
    </row>
    <row r="27" customFormat="false" ht="12.8" hidden="false" customHeight="false" outlineLevel="0" collapsed="false">
      <c r="A27" s="31" t="n">
        <v>17</v>
      </c>
      <c r="B27" s="33" t="s">
        <v>9</v>
      </c>
      <c r="C27" s="33" t="s">
        <v>49</v>
      </c>
      <c r="D27" s="33" t="s">
        <v>148</v>
      </c>
      <c r="E27" s="33" t="s">
        <v>149</v>
      </c>
      <c r="F27" s="89" t="str">
        <f aca="false">IF(B27="Girone",VLOOKUP(D27,A_SQUADRE_PER_CODICE,2),"ERRORE!")</f>
        <v>Bisonti</v>
      </c>
      <c r="G27" s="89" t="str">
        <f aca="false">IF(B27="Girone",VLOOKUP(E27,A_SQUADRE_PER_CODICE,2),"ERRORE!")</f>
        <v>Bufali</v>
      </c>
      <c r="H27" s="33" t="n">
        <f aca="false">VLOOKUP(A27,A_4_INPUT_DATE_E_RISULTATI_GIRONI,6,0)</f>
        <v>34</v>
      </c>
      <c r="I27" s="33" t="n">
        <f aca="false">VLOOKUP(A27,A_4_INPUT_DATE_E_RISULTATI_GIRONI,7,0)</f>
        <v>33</v>
      </c>
      <c r="J27" s="89" t="str">
        <f aca="false">IF(H27&gt;I27,F27,G27)</f>
        <v>Bisonti</v>
      </c>
      <c r="K27" s="89" t="str">
        <f aca="false">IF(H27&lt;I27,F27,G27)</f>
        <v>Bufali</v>
      </c>
      <c r="L27" s="33" t="n">
        <f aca="false">1*(H27&gt;I27)</f>
        <v>1</v>
      </c>
      <c r="M27" s="90" t="n">
        <f aca="false">1*(H27&lt;I27)*NOT(AND(H27=0,I27=20))</f>
        <v>0</v>
      </c>
      <c r="N27" s="90" t="n">
        <f aca="false">1*AND(H27=0,I27=20)</f>
        <v>0</v>
      </c>
      <c r="O27" s="33" t="n">
        <f aca="false">H27</f>
        <v>34</v>
      </c>
      <c r="P27" s="33" t="n">
        <f aca="false">I27</f>
        <v>33</v>
      </c>
      <c r="Q27" s="91" t="n">
        <f aca="false">O27-P27</f>
        <v>1</v>
      </c>
      <c r="R27" s="33" t="n">
        <f aca="false">1*(I27&gt;H27)</f>
        <v>0</v>
      </c>
      <c r="S27" s="33" t="n">
        <f aca="false">1*(I27&lt;H27)*NOT(AND(H27=20,I27=0))</f>
        <v>1</v>
      </c>
      <c r="T27" s="33" t="n">
        <f aca="false">1*AND(H27=20,I27=0)</f>
        <v>0</v>
      </c>
      <c r="U27" s="33" t="n">
        <f aca="false">I27</f>
        <v>33</v>
      </c>
      <c r="V27" s="33" t="n">
        <f aca="false">H27</f>
        <v>34</v>
      </c>
      <c r="W27" s="92" t="n">
        <f aca="false">U27-V27</f>
        <v>-1</v>
      </c>
      <c r="Y27" s="93" t="str">
        <f aca="false">COUNTIF(B_COEFF_GIRONE_G,"&gt;="&amp;AS27)&amp;Z27</f>
        <v>1G</v>
      </c>
      <c r="Z27" s="33" t="s">
        <v>59</v>
      </c>
      <c r="AA27" s="33" t="s">
        <v>156</v>
      </c>
      <c r="AB27" s="94" t="str">
        <f aca="false">VLOOKUP(AA27,A_SQUADRE_PER_CODICE,2)</f>
        <v>Istrici</v>
      </c>
      <c r="AC27" s="33" t="n">
        <f aca="false">AD27+AE27+AF27</f>
        <v>3</v>
      </c>
      <c r="AD27" s="33" t="n">
        <f aca="false">SUMIF(B_SQUADRA_A_GIRONI,AB27,B_VINTE_SQUADRA_A_GIRONI)+SUMIF(B_SQUADRA_B_GIRONI,AB27,B_VINTE_SQUADRA_B_GIRONI)</f>
        <v>3</v>
      </c>
      <c r="AE27" s="33" t="n">
        <f aca="false">SUMIF(B_SQUADRA_A_GIRONI,AB27,B_PERSE_SQUADRA_A_GIRONI)+SUMIF(B_SQUADRA_B_GIRONI,AB27,B_PERSE_SQUADRA_B_GIRONI)</f>
        <v>0</v>
      </c>
      <c r="AF27" s="33" t="n">
        <f aca="false">SUMIF(B_SQUADRA_A_GIRONI,AB27,B_FORFAIT_SQUADRA_A_GIRONI)+SUMIF(B_SQUADRA_B_GIRONI,AB27,B_FORFAIT_SQUADRA_B_GIRONI)</f>
        <v>0</v>
      </c>
      <c r="AG27" s="95" t="n">
        <f aca="false">2*AD27+1*AE27+0*AF27</f>
        <v>6</v>
      </c>
      <c r="AH27" s="96" t="n">
        <f aca="false">SUMIF(B_SQUADRA_A_GIRONI,AB27,B_PUNTI_FATTI_SQUADRA_A_GIRONI)+SUMIF(B_SQUADRA_B_GIRONI,AB27,B_PUNTI_FATTI_SQUADRA_B_GIRONI)</f>
        <v>60</v>
      </c>
      <c r="AI27" s="33" t="n">
        <f aca="false">SUMIF(B_SQUADRA_A_GIRONI,AB27,B_PUNTI_SUBITI_SQUADRA_A_GIRONI)+SUMIF(B_SQUADRA_B_GIRONI,AB27,B_PUNTI_SUBITI_SQUADRA_B_GIRONI)</f>
        <v>0</v>
      </c>
      <c r="AJ27" s="97" t="n">
        <f aca="false">SUMIF(B_SQUADRA_A_GIRONI,AB27,B_DIFF_CANESTRI_SQUADRA_A_GIRONI)+SUMIF(B_SQUADRA_B_GIRONI,AB27,B_DIFF_CANESTRI_SQUADRA_B_GIRONI)</f>
        <v>60</v>
      </c>
      <c r="AK27" s="33" t="n">
        <f aca="true">IF(AG27=AG28,INDIRECT("O"&amp;3+6*(FIND(Z27,"ABCDEFGH")-1)),0)</f>
        <v>0</v>
      </c>
      <c r="AL27" s="90" t="n">
        <f aca="true">IF(AG27=AG29,INDIRECT("O"&amp;4+6*(FIND(Z27,"ABCDEFGH")-1)),0)</f>
        <v>0</v>
      </c>
      <c r="AM27" s="33" t="n">
        <f aca="true">IF(AG27=AG30,INDIRECT("O"&amp;5+6*(FIND(Z27,"ABCDEFGH")-1)),0)</f>
        <v>0</v>
      </c>
      <c r="AN27" s="96" t="n">
        <f aca="false">AK27+AL27+AM27</f>
        <v>0</v>
      </c>
      <c r="AO27" s="91" t="n">
        <f aca="true">IF(AG27=AG28,INDIRECT("Q"&amp;3+6*(FIND(Z27,"ABCDEFGH")-1)),0)</f>
        <v>0</v>
      </c>
      <c r="AP27" s="91" t="n">
        <f aca="true">IF(AG27=AG29,INDIRECT("Q"&amp;4+6*(FIND(Z27,"ABCDEFGH")-1)),0)</f>
        <v>0</v>
      </c>
      <c r="AQ27" s="91" t="n">
        <f aca="true">IF(AG27=AG30,INDIRECT("Q"&amp;5+6*(FIND(Z27,"ABCDEFGH")-1)),0)</f>
        <v>0</v>
      </c>
      <c r="AR27" s="97" t="n">
        <f aca="false">AO27+AP27+AQ27</f>
        <v>0</v>
      </c>
      <c r="AS27" s="98" t="n">
        <f aca="false">AG27+(500+AR27)*10^-3+AN27*10^-6+(500+AJ27)*10^-9+AH27*10^-12</f>
        <v>6.50000056006</v>
      </c>
    </row>
    <row r="28" customFormat="false" ht="12.8" hidden="false" customHeight="false" outlineLevel="0" collapsed="false">
      <c r="A28" s="31" t="n">
        <v>29</v>
      </c>
      <c r="B28" s="33" t="s">
        <v>9</v>
      </c>
      <c r="C28" s="33" t="s">
        <v>49</v>
      </c>
      <c r="D28" s="33" t="s">
        <v>148</v>
      </c>
      <c r="E28" s="33" t="s">
        <v>150</v>
      </c>
      <c r="F28" s="89" t="str">
        <f aca="false">IF(B28="Girone",VLOOKUP(D28,A_SQUADRE_PER_CODICE,2),"ERRORE!")</f>
        <v>Bisonti</v>
      </c>
      <c r="G28" s="89" t="str">
        <f aca="false">IF(B28="Girone",VLOOKUP(E28,A_SQUADRE_PER_CODICE,2),"ERRORE!")</f>
        <v>Cervi</v>
      </c>
      <c r="H28" s="33" t="n">
        <f aca="false">VLOOKUP(A28,A_4_INPUT_DATE_E_RISULTATI_GIRONI,6,0)</f>
        <v>33</v>
      </c>
      <c r="I28" s="33" t="n">
        <f aca="false">VLOOKUP(A28,A_4_INPUT_DATE_E_RISULTATI_GIRONI,7,0)</f>
        <v>34</v>
      </c>
      <c r="J28" s="89" t="str">
        <f aca="false">IF(H28&gt;I28,F28,G28)</f>
        <v>Cervi</v>
      </c>
      <c r="K28" s="89" t="str">
        <f aca="false">IF(H28&lt;I28,F28,G28)</f>
        <v>Bisonti</v>
      </c>
      <c r="L28" s="33" t="n">
        <f aca="false">1*(H28&gt;I28)</f>
        <v>0</v>
      </c>
      <c r="M28" s="90" t="n">
        <f aca="false">1*(H28&lt;I28)*NOT(AND(H28=0,I28=20))</f>
        <v>1</v>
      </c>
      <c r="N28" s="90" t="n">
        <f aca="false">1*AND(H28=0,I28=20)</f>
        <v>0</v>
      </c>
      <c r="O28" s="33" t="n">
        <f aca="false">H28</f>
        <v>33</v>
      </c>
      <c r="P28" s="33" t="n">
        <f aca="false">I28</f>
        <v>34</v>
      </c>
      <c r="Q28" s="91" t="n">
        <f aca="false">O28-P28</f>
        <v>-1</v>
      </c>
      <c r="R28" s="33" t="n">
        <f aca="false">1*(I28&gt;H28)</f>
        <v>1</v>
      </c>
      <c r="S28" s="33" t="n">
        <f aca="false">1*(I28&lt;H28)*NOT(AND(H28=20,I28=0))</f>
        <v>0</v>
      </c>
      <c r="T28" s="33" t="n">
        <f aca="false">1*AND(H28=20,I28=0)</f>
        <v>0</v>
      </c>
      <c r="U28" s="33" t="n">
        <f aca="false">I28</f>
        <v>34</v>
      </c>
      <c r="V28" s="33" t="n">
        <f aca="false">H28</f>
        <v>33</v>
      </c>
      <c r="W28" s="92" t="n">
        <f aca="false">U28-V28</f>
        <v>1</v>
      </c>
      <c r="Y28" s="93" t="str">
        <f aca="false">COUNTIF(B_COEFF_GIRONE_G,"&gt;="&amp;AS28)&amp;Z28</f>
        <v>2G</v>
      </c>
      <c r="Z28" s="33" t="s">
        <v>59</v>
      </c>
      <c r="AA28" s="33" t="s">
        <v>157</v>
      </c>
      <c r="AB28" s="94" t="str">
        <f aca="false">VLOOKUP(AA28,A_SQUADRE_PER_CODICE,2)</f>
        <v>Gorilla</v>
      </c>
      <c r="AC28" s="33" t="n">
        <f aca="false">AD28+AE28+AF28</f>
        <v>3</v>
      </c>
      <c r="AD28" s="33" t="n">
        <f aca="false">SUMIF(B_SQUADRA_A_GIRONI,AB28,B_VINTE_SQUADRA_A_GIRONI)+SUMIF(B_SQUADRA_B_GIRONI,AB28,B_VINTE_SQUADRA_B_GIRONI)</f>
        <v>2</v>
      </c>
      <c r="AE28" s="33" t="n">
        <f aca="false">SUMIF(B_SQUADRA_A_GIRONI,AB28,B_PERSE_SQUADRA_A_GIRONI)+SUMIF(B_SQUADRA_B_GIRONI,AB28,B_PERSE_SQUADRA_B_GIRONI)</f>
        <v>0</v>
      </c>
      <c r="AF28" s="33" t="n">
        <f aca="false">SUMIF(B_SQUADRA_A_GIRONI,AB28,B_FORFAIT_SQUADRA_A_GIRONI)+SUMIF(B_SQUADRA_B_GIRONI,AB28,B_FORFAIT_SQUADRA_B_GIRONI)</f>
        <v>1</v>
      </c>
      <c r="AG28" s="95" t="n">
        <f aca="false">2*AD28+1*AE28+0*AF28</f>
        <v>4</v>
      </c>
      <c r="AH28" s="96" t="n">
        <f aca="false">SUMIF(B_SQUADRA_A_GIRONI,AB28,B_PUNTI_FATTI_SQUADRA_A_GIRONI)+SUMIF(B_SQUADRA_B_GIRONI,AB28,B_PUNTI_FATTI_SQUADRA_B_GIRONI)</f>
        <v>40</v>
      </c>
      <c r="AI28" s="33" t="n">
        <f aca="false">SUMIF(B_SQUADRA_A_GIRONI,AB28,B_PUNTI_SUBITI_SQUADRA_A_GIRONI)+SUMIF(B_SQUADRA_B_GIRONI,AB28,B_PUNTI_SUBITI_SQUADRA_B_GIRONI)</f>
        <v>20</v>
      </c>
      <c r="AJ28" s="97" t="n">
        <f aca="false">SUMIF(B_SQUADRA_A_GIRONI,AB28,B_DIFF_CANESTRI_SQUADRA_A_GIRONI)+SUMIF(B_SQUADRA_B_GIRONI,AB28,B_DIFF_CANESTRI_SQUADRA_B_GIRONI)</f>
        <v>20</v>
      </c>
      <c r="AK28" s="33" t="n">
        <f aca="true">IF(AG28=AG29,INDIRECT("O"&amp;6+6*(FIND(Z28,"ABCDEFGH")-1)),0)</f>
        <v>0</v>
      </c>
      <c r="AL28" s="33" t="n">
        <f aca="true">IF(AG28=AG30,INDIRECT("O"&amp;7+6*(FIND(Z28,"ABCDEFGH")-1)),0)</f>
        <v>0</v>
      </c>
      <c r="AM28" s="33" t="n">
        <f aca="true">IF(AG28=AG27,INDIRECT("U"&amp;3+6*(FIND(Z28,"ABCDEFGH")-1)),0)</f>
        <v>0</v>
      </c>
      <c r="AN28" s="96" t="n">
        <f aca="false">AK28+AL28+AM28</f>
        <v>0</v>
      </c>
      <c r="AO28" s="91" t="n">
        <f aca="true">IF(AG28=AG29,INDIRECT("Q"&amp;6+6*(FIND(Z28,"ABCDEFGH")-1)),0)</f>
        <v>0</v>
      </c>
      <c r="AP28" s="91" t="n">
        <f aca="true">IF(AG28=AG30,INDIRECT("Q"&amp;7+6*(FIND(Z28,"ABCDEFGH")-1)),0)</f>
        <v>0</v>
      </c>
      <c r="AQ28" s="91" t="n">
        <f aca="true">IF(AG28=AG27,INDIRECT("W"&amp;3+6*(FIND(Z28,"ABCDEFGH")-1)),0)</f>
        <v>0</v>
      </c>
      <c r="AR28" s="97" t="n">
        <f aca="false">AO28+AP28+AQ28</f>
        <v>0</v>
      </c>
      <c r="AS28" s="98" t="n">
        <f aca="false">AG28+(500+AR28)*10^-3+AN28*10^-6+(500+AJ28)*10^-9+AH28*10^-12</f>
        <v>4.50000052004</v>
      </c>
    </row>
    <row r="29" customFormat="false" ht="12.8" hidden="false" customHeight="false" outlineLevel="0" collapsed="false">
      <c r="A29" s="31" t="n">
        <v>41</v>
      </c>
      <c r="B29" s="33" t="s">
        <v>9</v>
      </c>
      <c r="C29" s="33" t="s">
        <v>49</v>
      </c>
      <c r="D29" s="33" t="s">
        <v>148</v>
      </c>
      <c r="E29" s="33" t="s">
        <v>151</v>
      </c>
      <c r="F29" s="89" t="str">
        <f aca="false">IF(B29="Girone",VLOOKUP(D29,A_SQUADRE_PER_CODICE,2),"ERRORE!")</f>
        <v>Bisonti</v>
      </c>
      <c r="G29" s="89" t="str">
        <f aca="false">IF(B29="Girone",VLOOKUP(E29,A_SQUADRE_PER_CODICE,2),"ERRORE!")</f>
        <v>Cinghiali</v>
      </c>
      <c r="H29" s="33" t="n">
        <f aca="false">VLOOKUP(A29,A_4_INPUT_DATE_E_RISULTATI_GIRONI,6,0)</f>
        <v>36</v>
      </c>
      <c r="I29" s="33" t="n">
        <f aca="false">VLOOKUP(A29,A_4_INPUT_DATE_E_RISULTATI_GIRONI,7,0)</f>
        <v>33</v>
      </c>
      <c r="J29" s="89" t="str">
        <f aca="false">IF(H29&gt;I29,F29,G29)</f>
        <v>Bisonti</v>
      </c>
      <c r="K29" s="89" t="str">
        <f aca="false">IF(H29&lt;I29,F29,G29)</f>
        <v>Cinghiali</v>
      </c>
      <c r="L29" s="33" t="n">
        <f aca="false">1*(H29&gt;I29)</f>
        <v>1</v>
      </c>
      <c r="M29" s="90" t="n">
        <f aca="false">1*(H29&lt;I29)*NOT(AND(H29=0,I29=20))</f>
        <v>0</v>
      </c>
      <c r="N29" s="90" t="n">
        <f aca="false">1*AND(H29=0,I29=20)</f>
        <v>0</v>
      </c>
      <c r="O29" s="33" t="n">
        <f aca="false">H29</f>
        <v>36</v>
      </c>
      <c r="P29" s="33" t="n">
        <f aca="false">I29</f>
        <v>33</v>
      </c>
      <c r="Q29" s="91" t="n">
        <f aca="false">O29-P29</f>
        <v>3</v>
      </c>
      <c r="R29" s="33" t="n">
        <f aca="false">1*(I29&gt;H29)</f>
        <v>0</v>
      </c>
      <c r="S29" s="33" t="n">
        <f aca="false">1*(I29&lt;H29)*NOT(AND(H29=20,I29=0))</f>
        <v>1</v>
      </c>
      <c r="T29" s="33" t="n">
        <f aca="false">1*AND(H29=20,I29=0)</f>
        <v>0</v>
      </c>
      <c r="U29" s="33" t="n">
        <f aca="false">I29</f>
        <v>33</v>
      </c>
      <c r="V29" s="33" t="n">
        <f aca="false">H29</f>
        <v>36</v>
      </c>
      <c r="W29" s="92" t="n">
        <f aca="false">U29-V29</f>
        <v>-3</v>
      </c>
      <c r="Y29" s="93" t="str">
        <f aca="false">COUNTIF(B_COEFF_GIRONE_G,"&gt;="&amp;AS29)&amp;Z29</f>
        <v>4G</v>
      </c>
      <c r="Z29" s="33" t="s">
        <v>59</v>
      </c>
      <c r="AA29" s="33" t="s">
        <v>158</v>
      </c>
      <c r="AB29" s="94" t="str">
        <f aca="false">VLOOKUP(AA29,A_SQUADRE_PER_CODICE,2)</f>
        <v>Muli</v>
      </c>
      <c r="AC29" s="33" t="n">
        <f aca="false">AD29+AE29+AF29</f>
        <v>3</v>
      </c>
      <c r="AD29" s="33" t="n">
        <f aca="false">SUMIF(B_SQUADRA_A_GIRONI,AB29,B_VINTE_SQUADRA_A_GIRONI)+SUMIF(B_SQUADRA_B_GIRONI,AB29,B_VINTE_SQUADRA_B_GIRONI)</f>
        <v>0</v>
      </c>
      <c r="AE29" s="33" t="n">
        <f aca="false">SUMIF(B_SQUADRA_A_GIRONI,AB29,B_PERSE_SQUADRA_A_GIRONI)+SUMIF(B_SQUADRA_B_GIRONI,AB29,B_PERSE_SQUADRA_B_GIRONI)</f>
        <v>0</v>
      </c>
      <c r="AF29" s="33" t="n">
        <f aca="false">SUMIF(B_SQUADRA_A_GIRONI,AB29,B_FORFAIT_SQUADRA_A_GIRONI)+SUMIF(B_SQUADRA_B_GIRONI,AB29,B_FORFAIT_SQUADRA_B_GIRONI)</f>
        <v>3</v>
      </c>
      <c r="AG29" s="95" t="n">
        <f aca="false">2*AD29+1*AE29+0*AF29</f>
        <v>0</v>
      </c>
      <c r="AH29" s="96" t="n">
        <f aca="false">SUMIF(B_SQUADRA_A_GIRONI,AB29,B_PUNTI_FATTI_SQUADRA_A_GIRONI)+SUMIF(B_SQUADRA_B_GIRONI,AB29,B_PUNTI_FATTI_SQUADRA_B_GIRONI)</f>
        <v>0</v>
      </c>
      <c r="AI29" s="33" t="n">
        <f aca="false">SUMIF(B_SQUADRA_A_GIRONI,AB29,B_PUNTI_SUBITI_SQUADRA_A_GIRONI)+SUMIF(B_SQUADRA_B_GIRONI,AB29,B_PUNTI_SUBITI_SQUADRA_B_GIRONI)</f>
        <v>60</v>
      </c>
      <c r="AJ29" s="97" t="n">
        <f aca="false">SUMIF(B_SQUADRA_A_GIRONI,AB29,B_DIFF_CANESTRI_SQUADRA_A_GIRONI)+SUMIF(B_SQUADRA_B_GIRONI,AB29,B_DIFF_CANESTRI_SQUADRA_B_GIRONI)</f>
        <v>-60</v>
      </c>
      <c r="AK29" s="33" t="n">
        <f aca="true">IF(AG29=AG30,INDIRECT("O"&amp;8+6*(FIND(Z29,"ABCDEFGH")-1)),0)</f>
        <v>0</v>
      </c>
      <c r="AL29" s="33" t="n">
        <f aca="true">IF(AG29=AG27,INDIRECT("U"&amp;4+6*(FIND(Z29,"ABCDEFGH")-1)),0)</f>
        <v>0</v>
      </c>
      <c r="AM29" s="33" t="n">
        <f aca="true">IF(AG29=AG28,INDIRECT("U"&amp;6+6*(FIND(Z29,"ABCDEFGH")-1)),0)</f>
        <v>0</v>
      </c>
      <c r="AN29" s="96" t="n">
        <f aca="false">AK29+AL29+AM29</f>
        <v>0</v>
      </c>
      <c r="AO29" s="91" t="n">
        <f aca="true">IF(AG29=AG30,INDIRECT("Q"&amp;8+6*(FIND(Z29,"ABCDEFGH")-1)),0)</f>
        <v>0</v>
      </c>
      <c r="AP29" s="91" t="n">
        <f aca="true">IF(AG29=AG27,INDIRECT("W"&amp;4+6*(FIND(Z29,"ABCDEFGH")-1)),0)</f>
        <v>0</v>
      </c>
      <c r="AQ29" s="91" t="n">
        <f aca="true">IF(AG29=AG28,INDIRECT("W"&amp;6+6*(FIND(Z29,"ABCDEFGH")-1)),0)</f>
        <v>0</v>
      </c>
      <c r="AR29" s="97" t="n">
        <f aca="false">AO29+AP29+AQ29</f>
        <v>0</v>
      </c>
      <c r="AS29" s="98" t="n">
        <f aca="false">AG29+(500+AR29)*10^-3+AN29*10^-6+(500+AJ29)*10^-9+AH29*10^-12</f>
        <v>0.50000044</v>
      </c>
    </row>
    <row r="30" customFormat="false" ht="12.8" hidden="false" customHeight="false" outlineLevel="0" collapsed="false">
      <c r="A30" s="31" t="n">
        <v>45</v>
      </c>
      <c r="B30" s="33" t="s">
        <v>9</v>
      </c>
      <c r="C30" s="33" t="s">
        <v>49</v>
      </c>
      <c r="D30" s="33" t="s">
        <v>149</v>
      </c>
      <c r="E30" s="33" t="s">
        <v>150</v>
      </c>
      <c r="F30" s="89" t="str">
        <f aca="false">IF(B30="Girone",VLOOKUP(D30,A_SQUADRE_PER_CODICE,2),"ERRORE!")</f>
        <v>Bufali</v>
      </c>
      <c r="G30" s="89" t="str">
        <f aca="false">IF(B30="Girone",VLOOKUP(E30,A_SQUADRE_PER_CODICE,2),"ERRORE!")</f>
        <v>Cervi</v>
      </c>
      <c r="H30" s="33" t="n">
        <f aca="false">VLOOKUP(A30,A_4_INPUT_DATE_E_RISULTATI_GIRONI,6,0)</f>
        <v>34</v>
      </c>
      <c r="I30" s="33" t="n">
        <f aca="false">VLOOKUP(A30,A_4_INPUT_DATE_E_RISULTATI_GIRONI,7,0)</f>
        <v>33</v>
      </c>
      <c r="J30" s="89" t="str">
        <f aca="false">IF(H30&gt;I30,F30,G30)</f>
        <v>Bufali</v>
      </c>
      <c r="K30" s="89" t="str">
        <f aca="false">IF(H30&lt;I30,F30,G30)</f>
        <v>Cervi</v>
      </c>
      <c r="L30" s="33" t="n">
        <f aca="false">1*(H30&gt;I30)</f>
        <v>1</v>
      </c>
      <c r="M30" s="90" t="n">
        <f aca="false">1*(H30&lt;I30)*NOT(AND(H30=0,I30=20))</f>
        <v>0</v>
      </c>
      <c r="N30" s="90" t="n">
        <f aca="false">1*AND(H30=0,I30=20)</f>
        <v>0</v>
      </c>
      <c r="O30" s="33" t="n">
        <f aca="false">H30</f>
        <v>34</v>
      </c>
      <c r="P30" s="33" t="n">
        <f aca="false">I30</f>
        <v>33</v>
      </c>
      <c r="Q30" s="91" t="n">
        <f aca="false">O30-P30</f>
        <v>1</v>
      </c>
      <c r="R30" s="33" t="n">
        <f aca="false">1*(I30&gt;H30)</f>
        <v>0</v>
      </c>
      <c r="S30" s="33" t="n">
        <f aca="false">1*(I30&lt;H30)*NOT(AND(H30=20,I30=0))</f>
        <v>1</v>
      </c>
      <c r="T30" s="33" t="n">
        <f aca="false">1*AND(H30=20,I30=0)</f>
        <v>0</v>
      </c>
      <c r="U30" s="33" t="n">
        <f aca="false">I30</f>
        <v>33</v>
      </c>
      <c r="V30" s="33" t="n">
        <f aca="false">H30</f>
        <v>34</v>
      </c>
      <c r="W30" s="92" t="n">
        <f aca="false">U30-V30</f>
        <v>-1</v>
      </c>
      <c r="Y30" s="93" t="str">
        <f aca="false">COUNTIF(B_COEFF_GIRONE_G,"&gt;="&amp;AS30)&amp;Z30</f>
        <v>3G</v>
      </c>
      <c r="Z30" s="33" t="s">
        <v>59</v>
      </c>
      <c r="AA30" s="33" t="s">
        <v>159</v>
      </c>
      <c r="AB30" s="94" t="str">
        <f aca="false">VLOOKUP(AA30,A_SQUADRE_PER_CODICE,2)</f>
        <v>Orche</v>
      </c>
      <c r="AC30" s="33" t="n">
        <f aca="false">AD30+AE30+AF30</f>
        <v>3</v>
      </c>
      <c r="AD30" s="33" t="n">
        <f aca="false">SUMIF(B_SQUADRA_A_GIRONI,AB30,B_VINTE_SQUADRA_A_GIRONI)+SUMIF(B_SQUADRA_B_GIRONI,AB30,B_VINTE_SQUADRA_B_GIRONI)</f>
        <v>1</v>
      </c>
      <c r="AE30" s="33" t="n">
        <f aca="false">SUMIF(B_SQUADRA_A_GIRONI,AB30,B_PERSE_SQUADRA_A_GIRONI)+SUMIF(B_SQUADRA_B_GIRONI,AB30,B_PERSE_SQUADRA_B_GIRONI)</f>
        <v>0</v>
      </c>
      <c r="AF30" s="33" t="n">
        <f aca="false">SUMIF(B_SQUADRA_A_GIRONI,AB30,B_FORFAIT_SQUADRA_A_GIRONI)+SUMIF(B_SQUADRA_B_GIRONI,AB30,B_FORFAIT_SQUADRA_B_GIRONI)</f>
        <v>2</v>
      </c>
      <c r="AG30" s="95" t="n">
        <f aca="false">2*AD30+1*AE30+0*AF30</f>
        <v>2</v>
      </c>
      <c r="AH30" s="96" t="n">
        <f aca="false">SUMIF(B_SQUADRA_A_GIRONI,AB30,B_PUNTI_FATTI_SQUADRA_A_GIRONI)+SUMIF(B_SQUADRA_B_GIRONI,AB30,B_PUNTI_FATTI_SQUADRA_B_GIRONI)</f>
        <v>20</v>
      </c>
      <c r="AI30" s="33" t="n">
        <f aca="false">SUMIF(B_SQUADRA_A_GIRONI,AB30,B_PUNTI_SUBITI_SQUADRA_A_GIRONI)+SUMIF(B_SQUADRA_B_GIRONI,AB30,B_PUNTI_SUBITI_SQUADRA_B_GIRONI)</f>
        <v>40</v>
      </c>
      <c r="AJ30" s="97" t="n">
        <f aca="false">SUMIF(B_SQUADRA_A_GIRONI,AB30,B_DIFF_CANESTRI_SQUADRA_A_GIRONI)+SUMIF(B_SQUADRA_B_GIRONI,AB30,B_DIFF_CANESTRI_SQUADRA_B_GIRONI)</f>
        <v>-20</v>
      </c>
      <c r="AK30" s="33" t="n">
        <f aca="true">IF(AG30=AG27,INDIRECT("U"&amp;5+6*(FIND(Z30,"ABCDEFGH")-1)),0)</f>
        <v>0</v>
      </c>
      <c r="AL30" s="33" t="n">
        <f aca="true">IF(AG30=AG28,INDIRECT("U"&amp;7+6*(FIND(Z30,"ABCDEFGH")-1)),0)</f>
        <v>0</v>
      </c>
      <c r="AM30" s="33" t="n">
        <f aca="true">IF(AG30=AG29,INDIRECT("U"&amp;8+6*(FIND(Z30,"ABCDEFGH")-1)),0)</f>
        <v>0</v>
      </c>
      <c r="AN30" s="96" t="n">
        <f aca="false">AK30+AL30+AM30</f>
        <v>0</v>
      </c>
      <c r="AO30" s="91" t="n">
        <f aca="true">IF(AG30=AG27,INDIRECT("W"&amp;5+6*(FIND(Z30,"ABCDEFGH")-1)),0)</f>
        <v>0</v>
      </c>
      <c r="AP30" s="91" t="n">
        <f aca="true">IF(AG30=AG28,INDIRECT("W"&amp;7+6*(FIND(Z30,"ABCDEFGH")-1)),0)</f>
        <v>0</v>
      </c>
      <c r="AQ30" s="91" t="n">
        <f aca="true">IF(AG30=AG29,INDIRECT("W"&amp;8+6*(FIND(Z30,"ABCDEFGH")-1)),0)</f>
        <v>0</v>
      </c>
      <c r="AR30" s="97" t="n">
        <f aca="false">AO30+AP30+AQ30</f>
        <v>0</v>
      </c>
      <c r="AS30" s="98" t="n">
        <f aca="false">AG30+(500+AR30)*10^-3+AN30*10^-6+(500+AJ30)*10^-9+AH30*10^-12</f>
        <v>2.50000048002</v>
      </c>
    </row>
    <row r="31" customFormat="false" ht="12.8" hidden="false" customHeight="false" outlineLevel="0" collapsed="false">
      <c r="A31" s="31" t="n">
        <v>33</v>
      </c>
      <c r="B31" s="33" t="s">
        <v>9</v>
      </c>
      <c r="C31" s="33" t="s">
        <v>49</v>
      </c>
      <c r="D31" s="33" t="s">
        <v>149</v>
      </c>
      <c r="E31" s="33" t="s">
        <v>151</v>
      </c>
      <c r="F31" s="89" t="str">
        <f aca="false">IF(B31="Girone",VLOOKUP(D31,A_SQUADRE_PER_CODICE,2),"ERRORE!")</f>
        <v>Bufali</v>
      </c>
      <c r="G31" s="89" t="str">
        <f aca="false">IF(B31="Girone",VLOOKUP(E31,A_SQUADRE_PER_CODICE,2),"ERRORE!")</f>
        <v>Cinghiali</v>
      </c>
      <c r="H31" s="33" t="n">
        <f aca="false">VLOOKUP(A31,A_4_INPUT_DATE_E_RISULTATI_GIRONI,6,0)</f>
        <v>35</v>
      </c>
      <c r="I31" s="33" t="n">
        <f aca="false">VLOOKUP(A31,A_4_INPUT_DATE_E_RISULTATI_GIRONI,7,0)</f>
        <v>33</v>
      </c>
      <c r="J31" s="89" t="str">
        <f aca="false">IF(H31&gt;I31,F31,G31)</f>
        <v>Bufali</v>
      </c>
      <c r="K31" s="89" t="str">
        <f aca="false">IF(H31&lt;I31,F31,G31)</f>
        <v>Cinghiali</v>
      </c>
      <c r="L31" s="33" t="n">
        <f aca="false">1*(H31&gt;I31)</f>
        <v>1</v>
      </c>
      <c r="M31" s="90" t="n">
        <f aca="false">1*(H31&lt;I31)*NOT(AND(H31=0,I31=20))</f>
        <v>0</v>
      </c>
      <c r="N31" s="90" t="n">
        <f aca="false">1*AND(H31=0,I31=20)</f>
        <v>0</v>
      </c>
      <c r="O31" s="33" t="n">
        <f aca="false">H31</f>
        <v>35</v>
      </c>
      <c r="P31" s="33" t="n">
        <f aca="false">I31</f>
        <v>33</v>
      </c>
      <c r="Q31" s="91" t="n">
        <f aca="false">O31-P31</f>
        <v>2</v>
      </c>
      <c r="R31" s="33" t="n">
        <f aca="false">1*(I31&gt;H31)</f>
        <v>0</v>
      </c>
      <c r="S31" s="33" t="n">
        <f aca="false">1*(I31&lt;H31)*NOT(AND(H31=20,I31=0))</f>
        <v>1</v>
      </c>
      <c r="T31" s="33" t="n">
        <f aca="false">1*AND(H31=20,I31=0)</f>
        <v>0</v>
      </c>
      <c r="U31" s="33" t="n">
        <f aca="false">I31</f>
        <v>33</v>
      </c>
      <c r="V31" s="33" t="n">
        <f aca="false">H31</f>
        <v>35</v>
      </c>
      <c r="W31" s="92" t="n">
        <f aca="false">U31-V31</f>
        <v>-2</v>
      </c>
      <c r="Y31" s="99" t="str">
        <f aca="false">COUNTIF(B_COEFF_GIRONE_H,"&gt;="&amp;AS31)&amp;Z31</f>
        <v>1H</v>
      </c>
      <c r="Z31" s="100" t="s">
        <v>64</v>
      </c>
      <c r="AA31" s="100" t="s">
        <v>160</v>
      </c>
      <c r="AB31" s="101" t="str">
        <f aca="false">VLOOKUP(AA31,A_SQUADRE_PER_CODICE,2)</f>
        <v>Piranha</v>
      </c>
      <c r="AC31" s="100" t="n">
        <f aca="false">AD31+AE31+AF31</f>
        <v>3</v>
      </c>
      <c r="AD31" s="100" t="n">
        <f aca="false">SUMIF(B_SQUADRA_A_GIRONI,AB31,B_VINTE_SQUADRA_A_GIRONI)+SUMIF(B_SQUADRA_B_GIRONI,AB31,B_VINTE_SQUADRA_B_GIRONI)</f>
        <v>3</v>
      </c>
      <c r="AE31" s="100" t="n">
        <f aca="false">SUMIF(B_SQUADRA_A_GIRONI,AB31,B_PERSE_SQUADRA_A_GIRONI)+SUMIF(B_SQUADRA_B_GIRONI,AB31,B_PERSE_SQUADRA_B_GIRONI)</f>
        <v>0</v>
      </c>
      <c r="AF31" s="100" t="n">
        <f aca="false">SUMIF(B_SQUADRA_A_GIRONI,AB31,B_FORFAIT_SQUADRA_A_GIRONI)+SUMIF(B_SQUADRA_B_GIRONI,AB31,B_FORFAIT_SQUADRA_B_GIRONI)</f>
        <v>0</v>
      </c>
      <c r="AG31" s="102" t="n">
        <f aca="false">2*AD31+1*AE31+0*AF31</f>
        <v>6</v>
      </c>
      <c r="AH31" s="103" t="n">
        <f aca="false">SUMIF(B_SQUADRA_A_GIRONI,AB31,B_PUNTI_FATTI_SQUADRA_A_GIRONI)+SUMIF(B_SQUADRA_B_GIRONI,AB31,B_PUNTI_FATTI_SQUADRA_B_GIRONI)</f>
        <v>262</v>
      </c>
      <c r="AI31" s="100" t="n">
        <f aca="false">SUMIF(B_SQUADRA_A_GIRONI,AB31,B_PUNTI_SUBITI_SQUADRA_A_GIRONI)+SUMIF(B_SQUADRA_B_GIRONI,AB31,B_PUNTI_SUBITI_SQUADRA_B_GIRONI)</f>
        <v>174</v>
      </c>
      <c r="AJ31" s="104" t="n">
        <f aca="false">SUMIF(B_SQUADRA_A_GIRONI,AB31,B_DIFF_CANESTRI_SQUADRA_A_GIRONI)+SUMIF(B_SQUADRA_B_GIRONI,AB31,B_DIFF_CANESTRI_SQUADRA_B_GIRONI)</f>
        <v>88</v>
      </c>
      <c r="AK31" s="100" t="n">
        <f aca="true">IF(AG31=AG32,INDIRECT("O"&amp;3+6*(FIND(Z31,"ABCDEFGH")-1)),0)</f>
        <v>0</v>
      </c>
      <c r="AL31" s="105" t="n">
        <f aca="true">IF(AG31=AG33,INDIRECT("O"&amp;4+6*(FIND(Z31,"ABCDEFGH")-1)),0)</f>
        <v>0</v>
      </c>
      <c r="AM31" s="100" t="n">
        <f aca="true">IF(AG31=AG34,INDIRECT("O"&amp;5+6*(FIND(Z31,"ABCDEFGH")-1)),0)</f>
        <v>0</v>
      </c>
      <c r="AN31" s="103" t="n">
        <f aca="false">AK31+AL31+AM31</f>
        <v>0</v>
      </c>
      <c r="AO31" s="106" t="n">
        <f aca="true">IF(AG31=AG32,INDIRECT("Q"&amp;3+6*(FIND(Z31,"ABCDEFGH")-1)),0)</f>
        <v>0</v>
      </c>
      <c r="AP31" s="106" t="n">
        <f aca="true">IF(AG31=AG33,INDIRECT("Q"&amp;4+6*(FIND(Z31,"ABCDEFGH")-1)),0)</f>
        <v>0</v>
      </c>
      <c r="AQ31" s="106" t="n">
        <f aca="true">IF(AG31=AG34,INDIRECT("Q"&amp;5+6*(FIND(Z31,"ABCDEFGH")-1)),0)</f>
        <v>0</v>
      </c>
      <c r="AR31" s="104" t="n">
        <f aca="false">AO31+AP31+AQ31</f>
        <v>0</v>
      </c>
      <c r="AS31" s="107" t="n">
        <f aca="false">AG31+(500+AR31)*10^-3+AN31*10^-6+(500+AJ31)*10^-9+AH31*10^-12</f>
        <v>6.500000588262</v>
      </c>
    </row>
    <row r="32" customFormat="false" ht="12.8" hidden="false" customHeight="false" outlineLevel="0" collapsed="false">
      <c r="A32" s="31" t="n">
        <v>21</v>
      </c>
      <c r="B32" s="33" t="s">
        <v>9</v>
      </c>
      <c r="C32" s="33" t="s">
        <v>49</v>
      </c>
      <c r="D32" s="33" t="s">
        <v>150</v>
      </c>
      <c r="E32" s="33" t="s">
        <v>151</v>
      </c>
      <c r="F32" s="89" t="str">
        <f aca="false">IF(B32="Girone",VLOOKUP(D32,A_SQUADRE_PER_CODICE,2),"ERRORE!")</f>
        <v>Cervi</v>
      </c>
      <c r="G32" s="89" t="str">
        <f aca="false">IF(B32="Girone",VLOOKUP(E32,A_SQUADRE_PER_CODICE,2),"ERRORE!")</f>
        <v>Cinghiali</v>
      </c>
      <c r="H32" s="33" t="n">
        <f aca="false">VLOOKUP(A32,A_4_INPUT_DATE_E_RISULTATI_GIRONI,6,0)</f>
        <v>34</v>
      </c>
      <c r="I32" s="33" t="n">
        <f aca="false">VLOOKUP(A32,A_4_INPUT_DATE_E_RISULTATI_GIRONI,7,0)</f>
        <v>33</v>
      </c>
      <c r="J32" s="89" t="str">
        <f aca="false">IF(H32&gt;I32,F32,G32)</f>
        <v>Cervi</v>
      </c>
      <c r="K32" s="89" t="str">
        <f aca="false">IF(H32&lt;I32,F32,G32)</f>
        <v>Cinghiali</v>
      </c>
      <c r="L32" s="33" t="n">
        <f aca="false">1*(H32&gt;I32)</f>
        <v>1</v>
      </c>
      <c r="M32" s="90" t="n">
        <f aca="false">1*(H32&lt;I32)*NOT(AND(H32=0,I32=20))</f>
        <v>0</v>
      </c>
      <c r="N32" s="90" t="n">
        <f aca="false">1*AND(H32=0,I32=20)</f>
        <v>0</v>
      </c>
      <c r="O32" s="33" t="n">
        <f aca="false">H32</f>
        <v>34</v>
      </c>
      <c r="P32" s="33" t="n">
        <f aca="false">I32</f>
        <v>33</v>
      </c>
      <c r="Q32" s="91" t="n">
        <f aca="false">O32-P32</f>
        <v>1</v>
      </c>
      <c r="R32" s="33" t="n">
        <f aca="false">1*(I32&gt;H32)</f>
        <v>0</v>
      </c>
      <c r="S32" s="33" t="n">
        <f aca="false">1*(I32&lt;H32)*NOT(AND(H32=20,I32=0))</f>
        <v>1</v>
      </c>
      <c r="T32" s="33" t="n">
        <f aca="false">1*AND(H32=20,I32=0)</f>
        <v>0</v>
      </c>
      <c r="U32" s="33" t="n">
        <f aca="false">I32</f>
        <v>33</v>
      </c>
      <c r="V32" s="33" t="n">
        <f aca="false">H32</f>
        <v>34</v>
      </c>
      <c r="W32" s="92" t="n">
        <f aca="false">U32-V32</f>
        <v>-1</v>
      </c>
      <c r="Y32" s="93" t="str">
        <f aca="false">COUNTIF(B_COEFF_GIRONE_H,"&gt;="&amp;AS32)&amp;Z32</f>
        <v>2H</v>
      </c>
      <c r="Z32" s="33" t="s">
        <v>64</v>
      </c>
      <c r="AA32" s="33" t="s">
        <v>161</v>
      </c>
      <c r="AB32" s="94" t="str">
        <f aca="false">VLOOKUP(AA32,A_SQUADRE_PER_CODICE,2)</f>
        <v>Scorpioni</v>
      </c>
      <c r="AC32" s="33" t="n">
        <f aca="false">AD32+AE32+AF32</f>
        <v>3</v>
      </c>
      <c r="AD32" s="33" t="n">
        <f aca="false">SUMIF(B_SQUADRA_A_GIRONI,AB32,B_VINTE_SQUADRA_A_GIRONI)+SUMIF(B_SQUADRA_B_GIRONI,AB32,B_VINTE_SQUADRA_B_GIRONI)</f>
        <v>1</v>
      </c>
      <c r="AE32" s="33" t="n">
        <f aca="false">SUMIF(B_SQUADRA_A_GIRONI,AB32,B_PERSE_SQUADRA_A_GIRONI)+SUMIF(B_SQUADRA_B_GIRONI,AB32,B_PERSE_SQUADRA_B_GIRONI)</f>
        <v>2</v>
      </c>
      <c r="AF32" s="33" t="n">
        <f aca="false">SUMIF(B_SQUADRA_A_GIRONI,AB32,B_FORFAIT_SQUADRA_A_GIRONI)+SUMIF(B_SQUADRA_B_GIRONI,AB32,B_FORFAIT_SQUADRA_B_GIRONI)</f>
        <v>0</v>
      </c>
      <c r="AG32" s="95" t="n">
        <f aca="false">2*AD32+1*AE32+0*AF32</f>
        <v>4</v>
      </c>
      <c r="AH32" s="96" t="n">
        <f aca="false">SUMIF(B_SQUADRA_A_GIRONI,AB32,B_PUNTI_FATTI_SQUADRA_A_GIRONI)+SUMIF(B_SQUADRA_B_GIRONI,AB32,B_PUNTI_FATTI_SQUADRA_B_GIRONI)</f>
        <v>211</v>
      </c>
      <c r="AI32" s="33" t="n">
        <f aca="false">SUMIF(B_SQUADRA_A_GIRONI,AB32,B_PUNTI_SUBITI_SQUADRA_A_GIRONI)+SUMIF(B_SQUADRA_B_GIRONI,AB32,B_PUNTI_SUBITI_SQUADRA_B_GIRONI)</f>
        <v>227</v>
      </c>
      <c r="AJ32" s="97" t="n">
        <f aca="false">SUMIF(B_SQUADRA_A_GIRONI,AB32,B_DIFF_CANESTRI_SQUADRA_A_GIRONI)+SUMIF(B_SQUADRA_B_GIRONI,AB32,B_DIFF_CANESTRI_SQUADRA_B_GIRONI)</f>
        <v>-16</v>
      </c>
      <c r="AK32" s="33" t="n">
        <f aca="true">IF(AG32=AG33,INDIRECT("O"&amp;6+6*(FIND(Z32,"ABCDEFGH")-1)),0)</f>
        <v>54</v>
      </c>
      <c r="AL32" s="33" t="n">
        <f aca="true">IF(AG32=AG34,INDIRECT("O"&amp;7+6*(FIND(Z32,"ABCDEFGH")-1)),0)</f>
        <v>0</v>
      </c>
      <c r="AM32" s="33" t="n">
        <f aca="true">IF(AG32=AG31,INDIRECT("U"&amp;3+6*(FIND(Z32,"ABCDEFGH")-1)),0)</f>
        <v>0</v>
      </c>
      <c r="AN32" s="96" t="n">
        <f aca="false">AK32+AL32+AM32</f>
        <v>54</v>
      </c>
      <c r="AO32" s="91" t="n">
        <f aca="true">IF(AG32=AG33,INDIRECT("Q"&amp;6+6*(FIND(Z32,"ABCDEFGH")-1)),0)</f>
        <v>6</v>
      </c>
      <c r="AP32" s="91" t="n">
        <f aca="true">IF(AG32=AG34,INDIRECT("Q"&amp;7+6*(FIND(Z32,"ABCDEFGH")-1)),0)</f>
        <v>0</v>
      </c>
      <c r="AQ32" s="91" t="n">
        <f aca="true">IF(AG32=AG31,INDIRECT("W"&amp;3+6*(FIND(Z32,"ABCDEFGH")-1)),0)</f>
        <v>0</v>
      </c>
      <c r="AR32" s="97" t="n">
        <f aca="false">AO32+AP32+AQ32</f>
        <v>6</v>
      </c>
      <c r="AS32" s="98" t="n">
        <f aca="false">AG32+(500+AR32)*10^-3+AN32*10^-6+(500+AJ32)*10^-9+AH32*10^-12</f>
        <v>4.506054484211</v>
      </c>
    </row>
    <row r="33" customFormat="false" ht="12.8" hidden="false" customHeight="false" outlineLevel="0" collapsed="false">
      <c r="A33" s="31" t="n">
        <v>18</v>
      </c>
      <c r="B33" s="33" t="s">
        <v>9</v>
      </c>
      <c r="C33" s="33" t="s">
        <v>54</v>
      </c>
      <c r="D33" s="33" t="s">
        <v>152</v>
      </c>
      <c r="E33" s="33" t="s">
        <v>153</v>
      </c>
      <c r="F33" s="89" t="str">
        <f aca="false">IF(B33="Girone",VLOOKUP(D33,A_SQUADRE_PER_CODICE,2),"ERRORE!")</f>
        <v>Balene</v>
      </c>
      <c r="G33" s="89" t="str">
        <f aca="false">IF(B33="Girone",VLOOKUP(E33,A_SQUADRE_PER_CODICE,2),"ERRORE!")</f>
        <v>Gabbiani</v>
      </c>
      <c r="H33" s="33" t="n">
        <f aca="false">VLOOKUP(A33,A_4_INPUT_DATE_E_RISULTATI_GIRONI,6,0)</f>
        <v>34</v>
      </c>
      <c r="I33" s="33" t="n">
        <f aca="false">VLOOKUP(A33,A_4_INPUT_DATE_E_RISULTATI_GIRONI,7,0)</f>
        <v>33</v>
      </c>
      <c r="J33" s="89" t="str">
        <f aca="false">IF(H33&gt;I33,F33,G33)</f>
        <v>Balene</v>
      </c>
      <c r="K33" s="89" t="str">
        <f aca="false">IF(H33&lt;I33,F33,G33)</f>
        <v>Gabbiani</v>
      </c>
      <c r="L33" s="33" t="n">
        <f aca="false">1*(H33&gt;I33)</f>
        <v>1</v>
      </c>
      <c r="M33" s="90" t="n">
        <f aca="false">1*(H33&lt;I33)*NOT(AND(H33=0,I33=20))</f>
        <v>0</v>
      </c>
      <c r="N33" s="90" t="n">
        <f aca="false">1*AND(H33=0,I33=20)</f>
        <v>0</v>
      </c>
      <c r="O33" s="33" t="n">
        <f aca="false">H33</f>
        <v>34</v>
      </c>
      <c r="P33" s="33" t="n">
        <f aca="false">I33</f>
        <v>33</v>
      </c>
      <c r="Q33" s="91" t="n">
        <f aca="false">O33-P33</f>
        <v>1</v>
      </c>
      <c r="R33" s="33" t="n">
        <f aca="false">1*(I33&gt;H33)</f>
        <v>0</v>
      </c>
      <c r="S33" s="33" t="n">
        <f aca="false">1*(I33&lt;H33)*NOT(AND(H33=20,I33=0))</f>
        <v>1</v>
      </c>
      <c r="T33" s="33" t="n">
        <f aca="false">1*AND(H33=20,I33=0)</f>
        <v>0</v>
      </c>
      <c r="U33" s="33" t="n">
        <f aca="false">I33</f>
        <v>33</v>
      </c>
      <c r="V33" s="33" t="n">
        <f aca="false">H33</f>
        <v>34</v>
      </c>
      <c r="W33" s="92" t="n">
        <f aca="false">U33-V33</f>
        <v>-1</v>
      </c>
      <c r="Y33" s="93" t="str">
        <f aca="false">COUNTIF(B_COEFF_GIRONE_H,"&gt;="&amp;AS33)&amp;Z33</f>
        <v>3H</v>
      </c>
      <c r="Z33" s="33" t="s">
        <v>64</v>
      </c>
      <c r="AA33" s="33" t="s">
        <v>162</v>
      </c>
      <c r="AB33" s="94" t="str">
        <f aca="false">VLOOKUP(AA33,A_SQUADRE_PER_CODICE,2)</f>
        <v>Tonni</v>
      </c>
      <c r="AC33" s="33" t="n">
        <f aca="false">AD33+AE33+AF33</f>
        <v>3</v>
      </c>
      <c r="AD33" s="33" t="n">
        <f aca="false">SUMIF(B_SQUADRA_A_GIRONI,AB33,B_VINTE_SQUADRA_A_GIRONI)+SUMIF(B_SQUADRA_B_GIRONI,AB33,B_VINTE_SQUADRA_B_GIRONI)</f>
        <v>1</v>
      </c>
      <c r="AE33" s="33" t="n">
        <f aca="false">SUMIF(B_SQUADRA_A_GIRONI,AB33,B_PERSE_SQUADRA_A_GIRONI)+SUMIF(B_SQUADRA_B_GIRONI,AB33,B_PERSE_SQUADRA_B_GIRONI)</f>
        <v>2</v>
      </c>
      <c r="AF33" s="33" t="n">
        <f aca="false">SUMIF(B_SQUADRA_A_GIRONI,AB33,B_FORFAIT_SQUADRA_A_GIRONI)+SUMIF(B_SQUADRA_B_GIRONI,AB33,B_FORFAIT_SQUADRA_B_GIRONI)</f>
        <v>0</v>
      </c>
      <c r="AG33" s="95" t="n">
        <f aca="false">2*AD33+1*AE33+0*AF33</f>
        <v>4</v>
      </c>
      <c r="AH33" s="96" t="n">
        <f aca="false">SUMIF(B_SQUADRA_A_GIRONI,AB33,B_PUNTI_FATTI_SQUADRA_A_GIRONI)+SUMIF(B_SQUADRA_B_GIRONI,AB33,B_PUNTI_FATTI_SQUADRA_B_GIRONI)</f>
        <v>146</v>
      </c>
      <c r="AI33" s="33" t="n">
        <f aca="false">SUMIF(B_SQUADRA_A_GIRONI,AB33,B_PUNTI_SUBITI_SQUADRA_A_GIRONI)+SUMIF(B_SQUADRA_B_GIRONI,AB33,B_PUNTI_SUBITI_SQUADRA_B_GIRONI)</f>
        <v>151</v>
      </c>
      <c r="AJ33" s="97" t="n">
        <f aca="false">SUMIF(B_SQUADRA_A_GIRONI,AB33,B_DIFF_CANESTRI_SQUADRA_A_GIRONI)+SUMIF(B_SQUADRA_B_GIRONI,AB33,B_DIFF_CANESTRI_SQUADRA_B_GIRONI)</f>
        <v>-5</v>
      </c>
      <c r="AK33" s="33" t="n">
        <f aca="true">IF(AG33=AG34,INDIRECT("O"&amp;8+6*(FIND(Z33,"ABCDEFGH")-1)),0)</f>
        <v>0</v>
      </c>
      <c r="AL33" s="33" t="n">
        <f aca="true">IF(AG33=AG31,INDIRECT("U"&amp;4+6*(FIND(Z33,"ABCDEFGH")-1)),0)</f>
        <v>0</v>
      </c>
      <c r="AM33" s="33" t="n">
        <f aca="true">IF(AG33=AG32,INDIRECT("U"&amp;6+6*(FIND(Z33,"ABCDEFGH")-1)),0)</f>
        <v>48</v>
      </c>
      <c r="AN33" s="96" t="n">
        <f aca="false">AK33+AL33+AM33</f>
        <v>48</v>
      </c>
      <c r="AO33" s="91" t="n">
        <f aca="true">IF(AG33=AG34,INDIRECT("Q"&amp;8+6*(FIND(Z33,"ABCDEFGH")-1)),0)</f>
        <v>0</v>
      </c>
      <c r="AP33" s="91" t="n">
        <f aca="true">IF(AG33=AG31,INDIRECT("W"&amp;4+6*(FIND(Z33,"ABCDEFGH")-1)),0)</f>
        <v>0</v>
      </c>
      <c r="AQ33" s="91" t="n">
        <f aca="true">IF(AG33=AG32,INDIRECT("W"&amp;6+6*(FIND(Z33,"ABCDEFGH")-1)),0)</f>
        <v>-6</v>
      </c>
      <c r="AR33" s="97" t="n">
        <f aca="false">AO33+AP33+AQ33</f>
        <v>-6</v>
      </c>
      <c r="AS33" s="98" t="n">
        <f aca="false">AG33+(500+AR33)*10^-3+AN33*10^-6+(500+AJ33)*10^-9+AH33*10^-12</f>
        <v>4.494048495146</v>
      </c>
    </row>
    <row r="34" customFormat="false" ht="12.8" hidden="false" customHeight="false" outlineLevel="0" collapsed="false">
      <c r="A34" s="31" t="n">
        <v>30</v>
      </c>
      <c r="B34" s="33" t="s">
        <v>9</v>
      </c>
      <c r="C34" s="33" t="s">
        <v>54</v>
      </c>
      <c r="D34" s="33" t="s">
        <v>152</v>
      </c>
      <c r="E34" s="33" t="s">
        <v>154</v>
      </c>
      <c r="F34" s="89" t="str">
        <f aca="false">IF(B34="Girone",VLOOKUP(D34,A_SQUADRE_PER_CODICE,2),"ERRORE!")</f>
        <v>Balene</v>
      </c>
      <c r="G34" s="89" t="str">
        <f aca="false">IF(B34="Girone",VLOOKUP(E34,A_SQUADRE_PER_CODICE,2),"ERRORE!")</f>
        <v>Delfini</v>
      </c>
      <c r="H34" s="33" t="n">
        <f aca="false">VLOOKUP(A34,A_4_INPUT_DATE_E_RISULTATI_GIRONI,6,0)</f>
        <v>33</v>
      </c>
      <c r="I34" s="33" t="n">
        <f aca="false">VLOOKUP(A34,A_4_INPUT_DATE_E_RISULTATI_GIRONI,7,0)</f>
        <v>34</v>
      </c>
      <c r="J34" s="89" t="str">
        <f aca="false">IF(H34&gt;I34,F34,G34)</f>
        <v>Delfini</v>
      </c>
      <c r="K34" s="89" t="str">
        <f aca="false">IF(H34&lt;I34,F34,G34)</f>
        <v>Balene</v>
      </c>
      <c r="L34" s="33" t="n">
        <f aca="false">1*(H34&gt;I34)</f>
        <v>0</v>
      </c>
      <c r="M34" s="90" t="n">
        <f aca="false">1*(H34&lt;I34)*NOT(AND(H34=0,I34=20))</f>
        <v>1</v>
      </c>
      <c r="N34" s="90" t="n">
        <f aca="false">1*AND(H34=0,I34=20)</f>
        <v>0</v>
      </c>
      <c r="O34" s="33" t="n">
        <f aca="false">H34</f>
        <v>33</v>
      </c>
      <c r="P34" s="33" t="n">
        <f aca="false">I34</f>
        <v>34</v>
      </c>
      <c r="Q34" s="91" t="n">
        <f aca="false">O34-P34</f>
        <v>-1</v>
      </c>
      <c r="R34" s="33" t="n">
        <f aca="false">1*(I34&gt;H34)</f>
        <v>1</v>
      </c>
      <c r="S34" s="33" t="n">
        <f aca="false">1*(I34&lt;H34)*NOT(AND(H34=20,I34=0))</f>
        <v>0</v>
      </c>
      <c r="T34" s="33" t="n">
        <f aca="false">1*AND(H34=20,I34=0)</f>
        <v>0</v>
      </c>
      <c r="U34" s="33" t="n">
        <f aca="false">I34</f>
        <v>34</v>
      </c>
      <c r="V34" s="33" t="n">
        <f aca="false">H34</f>
        <v>33</v>
      </c>
      <c r="W34" s="92" t="n">
        <f aca="false">U34-V34</f>
        <v>1</v>
      </c>
      <c r="Y34" s="116" t="str">
        <f aca="false">COUNTIF(B_COEFF_GIRONE_H,"&gt;="&amp;AS34)&amp;Z34</f>
        <v>4H</v>
      </c>
      <c r="Z34" s="45" t="s">
        <v>64</v>
      </c>
      <c r="AA34" s="45" t="s">
        <v>163</v>
      </c>
      <c r="AB34" s="117" t="str">
        <f aca="false">VLOOKUP(AA34,A_SQUADRE_PER_CODICE,2)</f>
        <v>Zebre</v>
      </c>
      <c r="AC34" s="45" t="n">
        <f aca="false">AD34+AE34+AF34</f>
        <v>3</v>
      </c>
      <c r="AD34" s="45" t="n">
        <f aca="false">SUMIF(B_SQUADRA_A_GIRONI,AB34,B_VINTE_SQUADRA_A_GIRONI)+SUMIF(B_SQUADRA_B_GIRONI,AB34,B_VINTE_SQUADRA_B_GIRONI)</f>
        <v>1</v>
      </c>
      <c r="AE34" s="45" t="n">
        <f aca="false">SUMIF(B_SQUADRA_A_GIRONI,AB34,B_PERSE_SQUADRA_A_GIRONI)+SUMIF(B_SQUADRA_B_GIRONI,AB34,B_PERSE_SQUADRA_B_GIRONI)</f>
        <v>1</v>
      </c>
      <c r="AF34" s="45" t="n">
        <f aca="false">SUMIF(B_SQUADRA_A_GIRONI,AB34,B_FORFAIT_SQUADRA_A_GIRONI)+SUMIF(B_SQUADRA_B_GIRONI,AB34,B_FORFAIT_SQUADRA_B_GIRONI)</f>
        <v>1</v>
      </c>
      <c r="AG34" s="118" t="n">
        <f aca="false">2*AD34+1*AE34+0*AF34</f>
        <v>3</v>
      </c>
      <c r="AH34" s="119" t="n">
        <f aca="false">SUMIF(B_SQUADRA_A_GIRONI,AB34,B_PUNTI_FATTI_SQUADRA_A_GIRONI)+SUMIF(B_SQUADRA_B_GIRONI,AB34,B_PUNTI_FATTI_SQUADRA_B_GIRONI)</f>
        <v>92</v>
      </c>
      <c r="AI34" s="45" t="n">
        <f aca="false">SUMIF(B_SQUADRA_A_GIRONI,AB34,B_PUNTI_SUBITI_SQUADRA_A_GIRONI)+SUMIF(B_SQUADRA_B_GIRONI,AB34,B_PUNTI_SUBITI_SQUADRA_B_GIRONI)</f>
        <v>159</v>
      </c>
      <c r="AJ34" s="120" t="n">
        <f aca="false">SUMIF(B_SQUADRA_A_GIRONI,AB34,B_DIFF_CANESTRI_SQUADRA_A_GIRONI)+SUMIF(B_SQUADRA_B_GIRONI,AB34,B_DIFF_CANESTRI_SQUADRA_B_GIRONI)</f>
        <v>-67</v>
      </c>
      <c r="AK34" s="45" t="n">
        <f aca="true">IF(AG34=AG31,INDIRECT("U"&amp;5+6*(FIND(Z34,"ABCDEFGH")-1)),0)</f>
        <v>0</v>
      </c>
      <c r="AL34" s="45" t="n">
        <f aca="true">IF(AG34=AG32,INDIRECT("U"&amp;7+6*(FIND(Z34,"ABCDEFGH")-1)),0)</f>
        <v>0</v>
      </c>
      <c r="AM34" s="45" t="n">
        <f aca="true">IF(AG34=AG33,INDIRECT("U"&amp;8+6*(FIND(Z34,"ABCDEFGH")-1)),0)</f>
        <v>0</v>
      </c>
      <c r="AN34" s="119" t="n">
        <f aca="false">AK34+AL34+AM34</f>
        <v>0</v>
      </c>
      <c r="AO34" s="121" t="n">
        <f aca="true">IF(AG34=AG31,INDIRECT("W"&amp;5+6*(FIND(Z34,"ABCDEFGH")-1)),0)</f>
        <v>0</v>
      </c>
      <c r="AP34" s="121" t="n">
        <f aca="true">IF(AG34=AG32,INDIRECT("W"&amp;7+6*(FIND(Z34,"ABCDEFGH")-1)),0)</f>
        <v>0</v>
      </c>
      <c r="AQ34" s="121" t="n">
        <f aca="true">IF(AG34=AG33,INDIRECT("W"&amp;8+6*(FIND(Z34,"ABCDEFGH")-1)),0)</f>
        <v>0</v>
      </c>
      <c r="AR34" s="120" t="n">
        <f aca="false">AO34+AP34+AQ34</f>
        <v>0</v>
      </c>
      <c r="AS34" s="122" t="n">
        <f aca="false">AG34+(500+AR34)*10^-3+AN34*10^-6+(500+AJ34)*10^-9+AH34*10^-12</f>
        <v>3.500000433092</v>
      </c>
    </row>
    <row r="35" customFormat="false" ht="12.8" hidden="false" customHeight="false" outlineLevel="0" collapsed="false">
      <c r="A35" s="31" t="n">
        <v>42</v>
      </c>
      <c r="B35" s="33" t="s">
        <v>9</v>
      </c>
      <c r="C35" s="33" t="s">
        <v>54</v>
      </c>
      <c r="D35" s="33" t="s">
        <v>152</v>
      </c>
      <c r="E35" s="33" t="s">
        <v>155</v>
      </c>
      <c r="F35" s="89" t="str">
        <f aca="false">IF(B35="Girone",VLOOKUP(D35,A_SQUADRE_PER_CODICE,2),"ERRORE!")</f>
        <v>Balene</v>
      </c>
      <c r="G35" s="89" t="str">
        <f aca="false">IF(B35="Girone",VLOOKUP(E35,A_SQUADRE_PER_CODICE,2),"ERRORE!")</f>
        <v>Fenicotteri</v>
      </c>
      <c r="H35" s="33" t="n">
        <f aca="false">VLOOKUP(A35,A_4_INPUT_DATE_E_RISULTATI_GIRONI,6,0)</f>
        <v>36</v>
      </c>
      <c r="I35" s="33" t="n">
        <f aca="false">VLOOKUP(A35,A_4_INPUT_DATE_E_RISULTATI_GIRONI,7,0)</f>
        <v>35</v>
      </c>
      <c r="J35" s="89" t="str">
        <f aca="false">IF(H35&gt;I35,F35,G35)</f>
        <v>Balene</v>
      </c>
      <c r="K35" s="89" t="str">
        <f aca="false">IF(H35&lt;I35,F35,G35)</f>
        <v>Fenicotteri</v>
      </c>
      <c r="L35" s="33" t="n">
        <f aca="false">1*(H35&gt;I35)</f>
        <v>1</v>
      </c>
      <c r="M35" s="90" t="n">
        <f aca="false">1*(H35&lt;I35)*NOT(AND(H35=0,I35=20))</f>
        <v>0</v>
      </c>
      <c r="N35" s="90" t="n">
        <f aca="false">1*AND(H35=0,I35=20)</f>
        <v>0</v>
      </c>
      <c r="O35" s="33" t="n">
        <f aca="false">H35</f>
        <v>36</v>
      </c>
      <c r="P35" s="33" t="n">
        <f aca="false">I35</f>
        <v>35</v>
      </c>
      <c r="Q35" s="91" t="n">
        <f aca="false">O35-P35</f>
        <v>1</v>
      </c>
      <c r="R35" s="33" t="n">
        <f aca="false">1*(I35&gt;H35)</f>
        <v>0</v>
      </c>
      <c r="S35" s="33" t="n">
        <f aca="false">1*(I35&lt;H35)*NOT(AND(H35=20,I35=0))</f>
        <v>1</v>
      </c>
      <c r="T35" s="33" t="n">
        <f aca="false">1*AND(H35=20,I35=0)</f>
        <v>0</v>
      </c>
      <c r="U35" s="33" t="n">
        <f aca="false">I35</f>
        <v>35</v>
      </c>
      <c r="V35" s="33" t="n">
        <f aca="false">H35</f>
        <v>36</v>
      </c>
      <c r="W35" s="92" t="n">
        <f aca="false">U35-V35</f>
        <v>-1</v>
      </c>
    </row>
    <row r="36" customFormat="false" ht="12.8" hidden="false" customHeight="false" outlineLevel="0" collapsed="false">
      <c r="A36" s="31" t="n">
        <v>46</v>
      </c>
      <c r="B36" s="33" t="s">
        <v>9</v>
      </c>
      <c r="C36" s="33" t="s">
        <v>54</v>
      </c>
      <c r="D36" s="33" t="s">
        <v>153</v>
      </c>
      <c r="E36" s="33" t="s">
        <v>154</v>
      </c>
      <c r="F36" s="89" t="str">
        <f aca="false">IF(B36="Girone",VLOOKUP(D36,A_SQUADRE_PER_CODICE,2),"ERRORE!")</f>
        <v>Gabbiani</v>
      </c>
      <c r="G36" s="89" t="str">
        <f aca="false">IF(B36="Girone",VLOOKUP(E36,A_SQUADRE_PER_CODICE,2),"ERRORE!")</f>
        <v>Delfini</v>
      </c>
      <c r="H36" s="33" t="n">
        <f aca="false">VLOOKUP(A36,A_4_INPUT_DATE_E_RISULTATI_GIRONI,6,0)</f>
        <v>34</v>
      </c>
      <c r="I36" s="33" t="n">
        <f aca="false">VLOOKUP(A36,A_4_INPUT_DATE_E_RISULTATI_GIRONI,7,0)</f>
        <v>33</v>
      </c>
      <c r="J36" s="89" t="str">
        <f aca="false">IF(H36&gt;I36,F36,G36)</f>
        <v>Gabbiani</v>
      </c>
      <c r="K36" s="89" t="str">
        <f aca="false">IF(H36&lt;I36,F36,G36)</f>
        <v>Delfini</v>
      </c>
      <c r="L36" s="33" t="n">
        <f aca="false">1*(H36&gt;I36)</f>
        <v>1</v>
      </c>
      <c r="M36" s="90" t="n">
        <f aca="false">1*(H36&lt;I36)*NOT(AND(H36=0,I36=20))</f>
        <v>0</v>
      </c>
      <c r="N36" s="90" t="n">
        <f aca="false">1*AND(H36=0,I36=20)</f>
        <v>0</v>
      </c>
      <c r="O36" s="33" t="n">
        <f aca="false">H36</f>
        <v>34</v>
      </c>
      <c r="P36" s="33" t="n">
        <f aca="false">I36</f>
        <v>33</v>
      </c>
      <c r="Q36" s="91" t="n">
        <f aca="false">O36-P36</f>
        <v>1</v>
      </c>
      <c r="R36" s="33" t="n">
        <f aca="false">1*(I36&gt;H36)</f>
        <v>0</v>
      </c>
      <c r="S36" s="33" t="n">
        <f aca="false">1*(I36&lt;H36)*NOT(AND(H36=20,I36=0))</f>
        <v>1</v>
      </c>
      <c r="T36" s="33" t="n">
        <f aca="false">1*AND(H36=20,I36=0)</f>
        <v>0</v>
      </c>
      <c r="U36" s="33" t="n">
        <f aca="false">I36</f>
        <v>33</v>
      </c>
      <c r="V36" s="33" t="n">
        <f aca="false">H36</f>
        <v>34</v>
      </c>
      <c r="W36" s="92" t="n">
        <f aca="false">U36-V36</f>
        <v>-1</v>
      </c>
    </row>
    <row r="37" customFormat="false" ht="12.8" hidden="false" customHeight="false" outlineLevel="0" collapsed="false">
      <c r="A37" s="31" t="n">
        <v>34</v>
      </c>
      <c r="B37" s="33" t="s">
        <v>9</v>
      </c>
      <c r="C37" s="33" t="s">
        <v>54</v>
      </c>
      <c r="D37" s="33" t="s">
        <v>153</v>
      </c>
      <c r="E37" s="33" t="s">
        <v>155</v>
      </c>
      <c r="F37" s="89" t="str">
        <f aca="false">IF(B37="Girone",VLOOKUP(D37,A_SQUADRE_PER_CODICE,2),"ERRORE!")</f>
        <v>Gabbiani</v>
      </c>
      <c r="G37" s="89" t="str">
        <f aca="false">IF(B37="Girone",VLOOKUP(E37,A_SQUADRE_PER_CODICE,2),"ERRORE!")</f>
        <v>Fenicotteri</v>
      </c>
      <c r="H37" s="33" t="n">
        <f aca="false">VLOOKUP(A37,A_4_INPUT_DATE_E_RISULTATI_GIRONI,6,0)</f>
        <v>35</v>
      </c>
      <c r="I37" s="33" t="n">
        <f aca="false">VLOOKUP(A37,A_4_INPUT_DATE_E_RISULTATI_GIRONI,7,0)</f>
        <v>34</v>
      </c>
      <c r="J37" s="89" t="str">
        <f aca="false">IF(H37&gt;I37,F37,G37)</f>
        <v>Gabbiani</v>
      </c>
      <c r="K37" s="89" t="str">
        <f aca="false">IF(H37&lt;I37,F37,G37)</f>
        <v>Fenicotteri</v>
      </c>
      <c r="L37" s="33" t="n">
        <f aca="false">1*(H37&gt;I37)</f>
        <v>1</v>
      </c>
      <c r="M37" s="90" t="n">
        <f aca="false">1*(H37&lt;I37)*NOT(AND(H37=0,I37=20))</f>
        <v>0</v>
      </c>
      <c r="N37" s="90" t="n">
        <f aca="false">1*AND(H37=0,I37=20)</f>
        <v>0</v>
      </c>
      <c r="O37" s="33" t="n">
        <f aca="false">H37</f>
        <v>35</v>
      </c>
      <c r="P37" s="33" t="n">
        <f aca="false">I37</f>
        <v>34</v>
      </c>
      <c r="Q37" s="91" t="n">
        <f aca="false">O37-P37</f>
        <v>1</v>
      </c>
      <c r="R37" s="33" t="n">
        <f aca="false">1*(I37&gt;H37)</f>
        <v>0</v>
      </c>
      <c r="S37" s="33" t="n">
        <f aca="false">1*(I37&lt;H37)*NOT(AND(H37=20,I37=0))</f>
        <v>1</v>
      </c>
      <c r="T37" s="33" t="n">
        <f aca="false">1*AND(H37=20,I37=0)</f>
        <v>0</v>
      </c>
      <c r="U37" s="33" t="n">
        <f aca="false">I37</f>
        <v>34</v>
      </c>
      <c r="V37" s="33" t="n">
        <f aca="false">H37</f>
        <v>35</v>
      </c>
      <c r="W37" s="92" t="n">
        <f aca="false">U37-V37</f>
        <v>-1</v>
      </c>
    </row>
    <row r="38" customFormat="false" ht="12.8" hidden="false" customHeight="false" outlineLevel="0" collapsed="false">
      <c r="A38" s="31" t="n">
        <v>22</v>
      </c>
      <c r="B38" s="33" t="s">
        <v>9</v>
      </c>
      <c r="C38" s="33" t="s">
        <v>54</v>
      </c>
      <c r="D38" s="33" t="s">
        <v>154</v>
      </c>
      <c r="E38" s="33" t="s">
        <v>155</v>
      </c>
      <c r="F38" s="89" t="str">
        <f aca="false">IF(B38="Girone",VLOOKUP(D38,A_SQUADRE_PER_CODICE,2),"ERRORE!")</f>
        <v>Delfini</v>
      </c>
      <c r="G38" s="89" t="str">
        <f aca="false">IF(B38="Girone",VLOOKUP(E38,A_SQUADRE_PER_CODICE,2),"ERRORE!")</f>
        <v>Fenicotteri</v>
      </c>
      <c r="H38" s="33" t="n">
        <f aca="false">VLOOKUP(A38,A_4_INPUT_DATE_E_RISULTATI_GIRONI,6,0)</f>
        <v>34</v>
      </c>
      <c r="I38" s="33" t="n">
        <f aca="false">VLOOKUP(A38,A_4_INPUT_DATE_E_RISULTATI_GIRONI,7,0)</f>
        <v>33</v>
      </c>
      <c r="J38" s="89" t="str">
        <f aca="false">IF(H38&gt;I38,F38,G38)</f>
        <v>Delfini</v>
      </c>
      <c r="K38" s="89" t="str">
        <f aca="false">IF(H38&lt;I38,F38,G38)</f>
        <v>Fenicotteri</v>
      </c>
      <c r="L38" s="33" t="n">
        <f aca="false">1*(H38&gt;I38)</f>
        <v>1</v>
      </c>
      <c r="M38" s="90" t="n">
        <f aca="false">1*(H38&lt;I38)*NOT(AND(H38=0,I38=20))</f>
        <v>0</v>
      </c>
      <c r="N38" s="90" t="n">
        <f aca="false">1*AND(H38=0,I38=20)</f>
        <v>0</v>
      </c>
      <c r="O38" s="33" t="n">
        <f aca="false">H38</f>
        <v>34</v>
      </c>
      <c r="P38" s="33" t="n">
        <f aca="false">I38</f>
        <v>33</v>
      </c>
      <c r="Q38" s="91" t="n">
        <f aca="false">O38-P38</f>
        <v>1</v>
      </c>
      <c r="R38" s="33" t="n">
        <f aca="false">1*(I38&gt;H38)</f>
        <v>0</v>
      </c>
      <c r="S38" s="33" t="n">
        <f aca="false">1*(I38&lt;H38)*NOT(AND(H38=20,I38=0))</f>
        <v>1</v>
      </c>
      <c r="T38" s="33" t="n">
        <f aca="false">1*AND(H38=20,I38=0)</f>
        <v>0</v>
      </c>
      <c r="U38" s="33" t="n">
        <f aca="false">I38</f>
        <v>33</v>
      </c>
      <c r="V38" s="33" t="n">
        <f aca="false">H38</f>
        <v>34</v>
      </c>
      <c r="W38" s="92" t="n">
        <f aca="false">U38-V38</f>
        <v>-1</v>
      </c>
    </row>
    <row r="39" customFormat="false" ht="12.8" hidden="false" customHeight="false" outlineLevel="0" collapsed="false">
      <c r="A39" s="31" t="n">
        <v>19</v>
      </c>
      <c r="B39" s="33" t="s">
        <v>9</v>
      </c>
      <c r="C39" s="33" t="s">
        <v>59</v>
      </c>
      <c r="D39" s="33" t="s">
        <v>156</v>
      </c>
      <c r="E39" s="33" t="s">
        <v>157</v>
      </c>
      <c r="F39" s="89" t="str">
        <f aca="false">IF(B39="Girone",VLOOKUP(D39,A_SQUADRE_PER_CODICE,2),"ERRORE!")</f>
        <v>Istrici</v>
      </c>
      <c r="G39" s="89" t="str">
        <f aca="false">IF(B39="Girone",VLOOKUP(E39,A_SQUADRE_PER_CODICE,2),"ERRORE!")</f>
        <v>Gorilla</v>
      </c>
      <c r="H39" s="33" t="n">
        <f aca="false">VLOOKUP(A39,A_4_INPUT_DATE_E_RISULTATI_GIRONI,6,0)</f>
        <v>20</v>
      </c>
      <c r="I39" s="33" t="n">
        <f aca="false">VLOOKUP(A39,A_4_INPUT_DATE_E_RISULTATI_GIRONI,7,0)</f>
        <v>0</v>
      </c>
      <c r="J39" s="89" t="str">
        <f aca="false">IF(H39&gt;I39,F39,G39)</f>
        <v>Istrici</v>
      </c>
      <c r="K39" s="89" t="str">
        <f aca="false">IF(H39&lt;I39,F39,G39)</f>
        <v>Gorilla</v>
      </c>
      <c r="L39" s="33" t="n">
        <f aca="false">1*(H39&gt;I39)</f>
        <v>1</v>
      </c>
      <c r="M39" s="90" t="n">
        <f aca="false">1*(H39&lt;I39)*NOT(AND(H39=0,I39=20))</f>
        <v>0</v>
      </c>
      <c r="N39" s="90" t="n">
        <f aca="false">1*AND(H39=0,I39=20)</f>
        <v>0</v>
      </c>
      <c r="O39" s="33" t="n">
        <f aca="false">H39</f>
        <v>20</v>
      </c>
      <c r="P39" s="33" t="n">
        <f aca="false">I39</f>
        <v>0</v>
      </c>
      <c r="Q39" s="91" t="n">
        <f aca="false">O39-P39</f>
        <v>20</v>
      </c>
      <c r="R39" s="33" t="n">
        <f aca="false">1*(I39&gt;H39)</f>
        <v>0</v>
      </c>
      <c r="S39" s="33" t="n">
        <f aca="false">1*(I39&lt;H39)*NOT(AND(H39=20,I39=0))</f>
        <v>0</v>
      </c>
      <c r="T39" s="33" t="n">
        <f aca="false">1*AND(H39=20,I39=0)</f>
        <v>1</v>
      </c>
      <c r="U39" s="33" t="n">
        <f aca="false">I39</f>
        <v>0</v>
      </c>
      <c r="V39" s="33" t="n">
        <f aca="false">H39</f>
        <v>20</v>
      </c>
      <c r="W39" s="92" t="n">
        <f aca="false">U39-V39</f>
        <v>-20</v>
      </c>
    </row>
    <row r="40" customFormat="false" ht="12.8" hidden="false" customHeight="false" outlineLevel="0" collapsed="false">
      <c r="A40" s="31" t="n">
        <v>31</v>
      </c>
      <c r="B40" s="33" t="s">
        <v>9</v>
      </c>
      <c r="C40" s="33" t="s">
        <v>59</v>
      </c>
      <c r="D40" s="33" t="s">
        <v>156</v>
      </c>
      <c r="E40" s="33" t="s">
        <v>158</v>
      </c>
      <c r="F40" s="89" t="str">
        <f aca="false">IF(B40="Girone",VLOOKUP(D40,A_SQUADRE_PER_CODICE,2),"ERRORE!")</f>
        <v>Istrici</v>
      </c>
      <c r="G40" s="89" t="str">
        <f aca="false">IF(B40="Girone",VLOOKUP(E40,A_SQUADRE_PER_CODICE,2),"ERRORE!")</f>
        <v>Muli</v>
      </c>
      <c r="H40" s="33" t="n">
        <f aca="false">VLOOKUP(A40,A_4_INPUT_DATE_E_RISULTATI_GIRONI,6,0)</f>
        <v>20</v>
      </c>
      <c r="I40" s="33" t="n">
        <f aca="false">VLOOKUP(A40,A_4_INPUT_DATE_E_RISULTATI_GIRONI,7,0)</f>
        <v>0</v>
      </c>
      <c r="J40" s="89" t="str">
        <f aca="false">IF(H40&gt;I40,F40,G40)</f>
        <v>Istrici</v>
      </c>
      <c r="K40" s="89" t="str">
        <f aca="false">IF(H40&lt;I40,F40,G40)</f>
        <v>Muli</v>
      </c>
      <c r="L40" s="33" t="n">
        <f aca="false">1*(H40&gt;I40)</f>
        <v>1</v>
      </c>
      <c r="M40" s="90" t="n">
        <f aca="false">1*(H40&lt;I40)*NOT(AND(H40=0,I40=20))</f>
        <v>0</v>
      </c>
      <c r="N40" s="90" t="n">
        <f aca="false">1*AND(H40=0,I40=20)</f>
        <v>0</v>
      </c>
      <c r="O40" s="33" t="n">
        <f aca="false">H40</f>
        <v>20</v>
      </c>
      <c r="P40" s="33" t="n">
        <f aca="false">I40</f>
        <v>0</v>
      </c>
      <c r="Q40" s="91" t="n">
        <f aca="false">O40-P40</f>
        <v>20</v>
      </c>
      <c r="R40" s="33" t="n">
        <f aca="false">1*(I40&gt;H40)</f>
        <v>0</v>
      </c>
      <c r="S40" s="33" t="n">
        <f aca="false">1*(I40&lt;H40)*NOT(AND(H40=20,I40=0))</f>
        <v>0</v>
      </c>
      <c r="T40" s="33" t="n">
        <f aca="false">1*AND(H40=20,I40=0)</f>
        <v>1</v>
      </c>
      <c r="U40" s="33" t="n">
        <f aca="false">I40</f>
        <v>0</v>
      </c>
      <c r="V40" s="33" t="n">
        <f aca="false">H40</f>
        <v>20</v>
      </c>
      <c r="W40" s="92" t="n">
        <f aca="false">U40-V40</f>
        <v>-20</v>
      </c>
    </row>
    <row r="41" customFormat="false" ht="12.8" hidden="false" customHeight="false" outlineLevel="0" collapsed="false">
      <c r="A41" s="31" t="n">
        <v>43</v>
      </c>
      <c r="B41" s="33" t="s">
        <v>9</v>
      </c>
      <c r="C41" s="33" t="s">
        <v>59</v>
      </c>
      <c r="D41" s="33" t="s">
        <v>156</v>
      </c>
      <c r="E41" s="33" t="s">
        <v>159</v>
      </c>
      <c r="F41" s="89" t="str">
        <f aca="false">IF(B41="Girone",VLOOKUP(D41,A_SQUADRE_PER_CODICE,2),"ERRORE!")</f>
        <v>Istrici</v>
      </c>
      <c r="G41" s="89" t="str">
        <f aca="false">IF(B41="Girone",VLOOKUP(E41,A_SQUADRE_PER_CODICE,2),"ERRORE!")</f>
        <v>Orche</v>
      </c>
      <c r="H41" s="33" t="n">
        <f aca="false">VLOOKUP(A41,A_4_INPUT_DATE_E_RISULTATI_GIRONI,6,0)</f>
        <v>20</v>
      </c>
      <c r="I41" s="33" t="n">
        <f aca="false">VLOOKUP(A41,A_4_INPUT_DATE_E_RISULTATI_GIRONI,7,0)</f>
        <v>0</v>
      </c>
      <c r="J41" s="89" t="str">
        <f aca="false">IF(H41&gt;I41,F41,G41)</f>
        <v>Istrici</v>
      </c>
      <c r="K41" s="89" t="str">
        <f aca="false">IF(H41&lt;I41,F41,G41)</f>
        <v>Orche</v>
      </c>
      <c r="L41" s="33" t="n">
        <f aca="false">1*(H41&gt;I41)</f>
        <v>1</v>
      </c>
      <c r="M41" s="90" t="n">
        <f aca="false">1*(H41&lt;I41)*NOT(AND(H41=0,I41=20))</f>
        <v>0</v>
      </c>
      <c r="N41" s="90" t="n">
        <f aca="false">1*AND(H41=0,I41=20)</f>
        <v>0</v>
      </c>
      <c r="O41" s="33" t="n">
        <f aca="false">H41</f>
        <v>20</v>
      </c>
      <c r="P41" s="33" t="n">
        <f aca="false">I41</f>
        <v>0</v>
      </c>
      <c r="Q41" s="91" t="n">
        <f aca="false">O41-P41</f>
        <v>20</v>
      </c>
      <c r="R41" s="33" t="n">
        <f aca="false">1*(I41&gt;H41)</f>
        <v>0</v>
      </c>
      <c r="S41" s="33" t="n">
        <f aca="false">1*(I41&lt;H41)*NOT(AND(H41=20,I41=0))</f>
        <v>0</v>
      </c>
      <c r="T41" s="33" t="n">
        <f aca="false">1*AND(H41=20,I41=0)</f>
        <v>1</v>
      </c>
      <c r="U41" s="33" t="n">
        <f aca="false">I41</f>
        <v>0</v>
      </c>
      <c r="V41" s="33" t="n">
        <f aca="false">H41</f>
        <v>20</v>
      </c>
      <c r="W41" s="92" t="n">
        <f aca="false">U41-V41</f>
        <v>-20</v>
      </c>
    </row>
    <row r="42" customFormat="false" ht="12.8" hidden="false" customHeight="false" outlineLevel="0" collapsed="false">
      <c r="A42" s="31" t="n">
        <v>47</v>
      </c>
      <c r="B42" s="33" t="s">
        <v>9</v>
      </c>
      <c r="C42" s="33" t="s">
        <v>59</v>
      </c>
      <c r="D42" s="33" t="s">
        <v>157</v>
      </c>
      <c r="E42" s="33" t="s">
        <v>158</v>
      </c>
      <c r="F42" s="89" t="str">
        <f aca="false">IF(B42="Girone",VLOOKUP(D42,A_SQUADRE_PER_CODICE,2),"ERRORE!")</f>
        <v>Gorilla</v>
      </c>
      <c r="G42" s="89" t="str">
        <f aca="false">IF(B42="Girone",VLOOKUP(E42,A_SQUADRE_PER_CODICE,2),"ERRORE!")</f>
        <v>Muli</v>
      </c>
      <c r="H42" s="33" t="n">
        <f aca="false">VLOOKUP(A42,A_4_INPUT_DATE_E_RISULTATI_GIRONI,6,0)</f>
        <v>20</v>
      </c>
      <c r="I42" s="33" t="n">
        <f aca="false">VLOOKUP(A42,A_4_INPUT_DATE_E_RISULTATI_GIRONI,7,0)</f>
        <v>0</v>
      </c>
      <c r="J42" s="89" t="str">
        <f aca="false">IF(H42&gt;I42,F42,G42)</f>
        <v>Gorilla</v>
      </c>
      <c r="K42" s="89" t="str">
        <f aca="false">IF(H42&lt;I42,F42,G42)</f>
        <v>Muli</v>
      </c>
      <c r="L42" s="33" t="n">
        <f aca="false">1*(H42&gt;I42)</f>
        <v>1</v>
      </c>
      <c r="M42" s="90" t="n">
        <f aca="false">1*(H42&lt;I42)*NOT(AND(H42=0,I42=20))</f>
        <v>0</v>
      </c>
      <c r="N42" s="90" t="n">
        <f aca="false">1*AND(H42=0,I42=20)</f>
        <v>0</v>
      </c>
      <c r="O42" s="33" t="n">
        <f aca="false">H42</f>
        <v>20</v>
      </c>
      <c r="P42" s="33" t="n">
        <f aca="false">I42</f>
        <v>0</v>
      </c>
      <c r="Q42" s="91" t="n">
        <f aca="false">O42-P42</f>
        <v>20</v>
      </c>
      <c r="R42" s="33" t="n">
        <f aca="false">1*(I42&gt;H42)</f>
        <v>0</v>
      </c>
      <c r="S42" s="33" t="n">
        <f aca="false">1*(I42&lt;H42)*NOT(AND(H42=20,I42=0))</f>
        <v>0</v>
      </c>
      <c r="T42" s="33" t="n">
        <f aca="false">1*AND(H42=20,I42=0)</f>
        <v>1</v>
      </c>
      <c r="U42" s="33" t="n">
        <f aca="false">I42</f>
        <v>0</v>
      </c>
      <c r="V42" s="33" t="n">
        <f aca="false">H42</f>
        <v>20</v>
      </c>
      <c r="W42" s="92" t="n">
        <f aca="false">U42-V42</f>
        <v>-20</v>
      </c>
    </row>
    <row r="43" customFormat="false" ht="12.8" hidden="false" customHeight="false" outlineLevel="0" collapsed="false">
      <c r="A43" s="31" t="n">
        <v>35</v>
      </c>
      <c r="B43" s="33" t="s">
        <v>9</v>
      </c>
      <c r="C43" s="33" t="s">
        <v>59</v>
      </c>
      <c r="D43" s="33" t="s">
        <v>157</v>
      </c>
      <c r="E43" s="33" t="s">
        <v>159</v>
      </c>
      <c r="F43" s="89" t="str">
        <f aca="false">IF(B43="Girone",VLOOKUP(D43,A_SQUADRE_PER_CODICE,2),"ERRORE!")</f>
        <v>Gorilla</v>
      </c>
      <c r="G43" s="89" t="str">
        <f aca="false">IF(B43="Girone",VLOOKUP(E43,A_SQUADRE_PER_CODICE,2),"ERRORE!")</f>
        <v>Orche</v>
      </c>
      <c r="H43" s="33" t="n">
        <f aca="false">VLOOKUP(A43,A_4_INPUT_DATE_E_RISULTATI_GIRONI,6,0)</f>
        <v>20</v>
      </c>
      <c r="I43" s="33" t="n">
        <f aca="false">VLOOKUP(A43,A_4_INPUT_DATE_E_RISULTATI_GIRONI,7,0)</f>
        <v>0</v>
      </c>
      <c r="J43" s="89" t="str">
        <f aca="false">IF(H43&gt;I43,F43,G43)</f>
        <v>Gorilla</v>
      </c>
      <c r="K43" s="89" t="str">
        <f aca="false">IF(H43&lt;I43,F43,G43)</f>
        <v>Orche</v>
      </c>
      <c r="L43" s="33" t="n">
        <f aca="false">1*(H43&gt;I43)</f>
        <v>1</v>
      </c>
      <c r="M43" s="90" t="n">
        <f aca="false">1*(H43&lt;I43)*NOT(AND(H43=0,I43=20))</f>
        <v>0</v>
      </c>
      <c r="N43" s="90" t="n">
        <f aca="false">1*AND(H43=0,I43=20)</f>
        <v>0</v>
      </c>
      <c r="O43" s="33" t="n">
        <f aca="false">H43</f>
        <v>20</v>
      </c>
      <c r="P43" s="33" t="n">
        <f aca="false">I43</f>
        <v>0</v>
      </c>
      <c r="Q43" s="91" t="n">
        <f aca="false">O43-P43</f>
        <v>20</v>
      </c>
      <c r="R43" s="33" t="n">
        <f aca="false">1*(I43&gt;H43)</f>
        <v>0</v>
      </c>
      <c r="S43" s="33" t="n">
        <f aca="false">1*(I43&lt;H43)*NOT(AND(H43=20,I43=0))</f>
        <v>0</v>
      </c>
      <c r="T43" s="33" t="n">
        <f aca="false">1*AND(H43=20,I43=0)</f>
        <v>1</v>
      </c>
      <c r="U43" s="33" t="n">
        <f aca="false">I43</f>
        <v>0</v>
      </c>
      <c r="V43" s="33" t="n">
        <f aca="false">H43</f>
        <v>20</v>
      </c>
      <c r="W43" s="92" t="n">
        <f aca="false">U43-V43</f>
        <v>-20</v>
      </c>
    </row>
    <row r="44" customFormat="false" ht="12.8" hidden="false" customHeight="false" outlineLevel="0" collapsed="false">
      <c r="A44" s="31" t="n">
        <v>23</v>
      </c>
      <c r="B44" s="33" t="s">
        <v>9</v>
      </c>
      <c r="C44" s="33" t="s">
        <v>59</v>
      </c>
      <c r="D44" s="33" t="s">
        <v>158</v>
      </c>
      <c r="E44" s="33" t="s">
        <v>159</v>
      </c>
      <c r="F44" s="89" t="str">
        <f aca="false">IF(B44="Girone",VLOOKUP(D44,A_SQUADRE_PER_CODICE,2),"ERRORE!")</f>
        <v>Muli</v>
      </c>
      <c r="G44" s="89" t="str">
        <f aca="false">IF(B44="Girone",VLOOKUP(E44,A_SQUADRE_PER_CODICE,2),"ERRORE!")</f>
        <v>Orche</v>
      </c>
      <c r="H44" s="33" t="n">
        <f aca="false">VLOOKUP(A44,A_4_INPUT_DATE_E_RISULTATI_GIRONI,6,0)</f>
        <v>0</v>
      </c>
      <c r="I44" s="33" t="n">
        <f aca="false">VLOOKUP(A44,A_4_INPUT_DATE_E_RISULTATI_GIRONI,7,0)</f>
        <v>20</v>
      </c>
      <c r="J44" s="89" t="str">
        <f aca="false">IF(H44&gt;I44,F44,G44)</f>
        <v>Orche</v>
      </c>
      <c r="K44" s="89" t="str">
        <f aca="false">IF(H44&lt;I44,F44,G44)</f>
        <v>Muli</v>
      </c>
      <c r="L44" s="33" t="n">
        <f aca="false">1*(H44&gt;I44)</f>
        <v>0</v>
      </c>
      <c r="M44" s="90" t="n">
        <f aca="false">1*(H44&lt;I44)*NOT(AND(H44=0,I44=20))</f>
        <v>0</v>
      </c>
      <c r="N44" s="90" t="n">
        <f aca="false">1*AND(H44=0,I44=20)</f>
        <v>1</v>
      </c>
      <c r="O44" s="33" t="n">
        <f aca="false">H44</f>
        <v>0</v>
      </c>
      <c r="P44" s="33" t="n">
        <f aca="false">I44</f>
        <v>20</v>
      </c>
      <c r="Q44" s="91" t="n">
        <f aca="false">O44-P44</f>
        <v>-20</v>
      </c>
      <c r="R44" s="33" t="n">
        <f aca="false">1*(I44&gt;H44)</f>
        <v>1</v>
      </c>
      <c r="S44" s="33" t="n">
        <f aca="false">1*(I44&lt;H44)*NOT(AND(H44=20,I44=0))</f>
        <v>0</v>
      </c>
      <c r="T44" s="33" t="n">
        <f aca="false">1*AND(H44=20,I44=0)</f>
        <v>0</v>
      </c>
      <c r="U44" s="33" t="n">
        <f aca="false">I44</f>
        <v>20</v>
      </c>
      <c r="V44" s="33" t="n">
        <f aca="false">H44</f>
        <v>0</v>
      </c>
      <c r="W44" s="92" t="n">
        <f aca="false">U44-V44</f>
        <v>20</v>
      </c>
    </row>
    <row r="45" customFormat="false" ht="12.8" hidden="false" customHeight="false" outlineLevel="0" collapsed="false">
      <c r="A45" s="31" t="n">
        <v>20</v>
      </c>
      <c r="B45" s="33" t="s">
        <v>9</v>
      </c>
      <c r="C45" s="33" t="s">
        <v>64</v>
      </c>
      <c r="D45" s="33" t="s">
        <v>160</v>
      </c>
      <c r="E45" s="33" t="s">
        <v>161</v>
      </c>
      <c r="F45" s="89" t="str">
        <f aca="false">IF(B45="Girone",VLOOKUP(D45,A_SQUADRE_PER_CODICE,2),"ERRORE!")</f>
        <v>Piranha</v>
      </c>
      <c r="G45" s="89" t="str">
        <f aca="false">IF(B45="Girone",VLOOKUP(E45,A_SQUADRE_PER_CODICE,2),"ERRORE!")</f>
        <v>Scorpioni</v>
      </c>
      <c r="H45" s="33" t="n">
        <f aca="false">VLOOKUP(A45,A_4_INPUT_DATE_E_RISULTATI_GIRONI,6,0)</f>
        <v>100</v>
      </c>
      <c r="I45" s="33" t="n">
        <f aca="false">VLOOKUP(A45,A_4_INPUT_DATE_E_RISULTATI_GIRONI,7,0)</f>
        <v>83</v>
      </c>
      <c r="J45" s="89" t="str">
        <f aca="false">IF(H45&gt;I45,F45,G45)</f>
        <v>Piranha</v>
      </c>
      <c r="K45" s="89" t="str">
        <f aca="false">IF(H45&lt;I45,F45,G45)</f>
        <v>Scorpioni</v>
      </c>
      <c r="L45" s="33" t="n">
        <f aca="false">1*(H45&gt;I45)</f>
        <v>1</v>
      </c>
      <c r="M45" s="90" t="n">
        <f aca="false">1*(H45&lt;I45)*NOT(AND(H45=0,I45=20))</f>
        <v>0</v>
      </c>
      <c r="N45" s="90" t="n">
        <f aca="false">1*AND(H45=0,I45=20)</f>
        <v>0</v>
      </c>
      <c r="O45" s="33" t="n">
        <f aca="false">H45</f>
        <v>100</v>
      </c>
      <c r="P45" s="33" t="n">
        <f aca="false">I45</f>
        <v>83</v>
      </c>
      <c r="Q45" s="91" t="n">
        <f aca="false">O45-P45</f>
        <v>17</v>
      </c>
      <c r="R45" s="33" t="n">
        <f aca="false">1*(I45&gt;H45)</f>
        <v>0</v>
      </c>
      <c r="S45" s="33" t="n">
        <f aca="false">1*(I45&lt;H45)*NOT(AND(H45=20,I45=0))</f>
        <v>1</v>
      </c>
      <c r="T45" s="33" t="n">
        <f aca="false">1*AND(H45=20,I45=0)</f>
        <v>0</v>
      </c>
      <c r="U45" s="33" t="n">
        <f aca="false">I45</f>
        <v>83</v>
      </c>
      <c r="V45" s="33" t="n">
        <f aca="false">H45</f>
        <v>100</v>
      </c>
      <c r="W45" s="92" t="n">
        <f aca="false">U45-V45</f>
        <v>-17</v>
      </c>
    </row>
    <row r="46" customFormat="false" ht="12.8" hidden="false" customHeight="false" outlineLevel="0" collapsed="false">
      <c r="A46" s="31" t="n">
        <v>32</v>
      </c>
      <c r="B46" s="33" t="s">
        <v>9</v>
      </c>
      <c r="C46" s="33" t="s">
        <v>64</v>
      </c>
      <c r="D46" s="33" t="s">
        <v>160</v>
      </c>
      <c r="E46" s="33" t="s">
        <v>162</v>
      </c>
      <c r="F46" s="89" t="str">
        <f aca="false">IF(B46="Girone",VLOOKUP(D46,A_SQUADRE_PER_CODICE,2),"ERRORE!")</f>
        <v>Piranha</v>
      </c>
      <c r="G46" s="89" t="str">
        <f aca="false">IF(B46="Girone",VLOOKUP(E46,A_SQUADRE_PER_CODICE,2),"ERRORE!")</f>
        <v>Tonni</v>
      </c>
      <c r="H46" s="33" t="n">
        <f aca="false">VLOOKUP(A46,A_4_INPUT_DATE_E_RISULTATI_GIRONI,6,0)</f>
        <v>97</v>
      </c>
      <c r="I46" s="33" t="n">
        <f aca="false">VLOOKUP(A46,A_4_INPUT_DATE_E_RISULTATI_GIRONI,7,0)</f>
        <v>78</v>
      </c>
      <c r="J46" s="89" t="str">
        <f aca="false">IF(H46&gt;I46,F46,G46)</f>
        <v>Piranha</v>
      </c>
      <c r="K46" s="89" t="str">
        <f aca="false">IF(H46&lt;I46,F46,G46)</f>
        <v>Tonni</v>
      </c>
      <c r="L46" s="33" t="n">
        <f aca="false">1*(H46&gt;I46)</f>
        <v>1</v>
      </c>
      <c r="M46" s="90" t="n">
        <f aca="false">1*(H46&lt;I46)*NOT(AND(H46=0,I46=20))</f>
        <v>0</v>
      </c>
      <c r="N46" s="90" t="n">
        <f aca="false">1*AND(H46=0,I46=20)</f>
        <v>0</v>
      </c>
      <c r="O46" s="33" t="n">
        <f aca="false">H46</f>
        <v>97</v>
      </c>
      <c r="P46" s="33" t="n">
        <f aca="false">I46</f>
        <v>78</v>
      </c>
      <c r="Q46" s="91" t="n">
        <f aca="false">O46-P46</f>
        <v>19</v>
      </c>
      <c r="R46" s="33" t="n">
        <f aca="false">1*(I46&gt;H46)</f>
        <v>0</v>
      </c>
      <c r="S46" s="33" t="n">
        <f aca="false">1*(I46&lt;H46)*NOT(AND(H46=20,I46=0))</f>
        <v>1</v>
      </c>
      <c r="T46" s="33" t="n">
        <f aca="false">1*AND(H46=20,I46=0)</f>
        <v>0</v>
      </c>
      <c r="U46" s="33" t="n">
        <f aca="false">I46</f>
        <v>78</v>
      </c>
      <c r="V46" s="33" t="n">
        <f aca="false">H46</f>
        <v>97</v>
      </c>
      <c r="W46" s="92" t="n">
        <f aca="false">U46-V46</f>
        <v>-19</v>
      </c>
    </row>
    <row r="47" customFormat="false" ht="12.8" hidden="false" customHeight="false" outlineLevel="0" collapsed="false">
      <c r="A47" s="31" t="n">
        <v>44</v>
      </c>
      <c r="B47" s="33" t="s">
        <v>9</v>
      </c>
      <c r="C47" s="33" t="s">
        <v>64</v>
      </c>
      <c r="D47" s="33" t="s">
        <v>160</v>
      </c>
      <c r="E47" s="33" t="s">
        <v>163</v>
      </c>
      <c r="F47" s="89" t="str">
        <f aca="false">IF(B47="Girone",VLOOKUP(D47,A_SQUADRE_PER_CODICE,2),"ERRORE!")</f>
        <v>Piranha</v>
      </c>
      <c r="G47" s="89" t="str">
        <f aca="false">IF(B47="Girone",VLOOKUP(E47,A_SQUADRE_PER_CODICE,2),"ERRORE!")</f>
        <v>Zebre</v>
      </c>
      <c r="H47" s="33" t="n">
        <f aca="false">VLOOKUP(A47,A_4_INPUT_DATE_E_RISULTATI_GIRONI,6,0)</f>
        <v>65</v>
      </c>
      <c r="I47" s="33" t="n">
        <f aca="false">VLOOKUP(A47,A_4_INPUT_DATE_E_RISULTATI_GIRONI,7,0)</f>
        <v>13</v>
      </c>
      <c r="J47" s="89" t="str">
        <f aca="false">IF(H47&gt;I47,F47,G47)</f>
        <v>Piranha</v>
      </c>
      <c r="K47" s="89" t="str">
        <f aca="false">IF(H47&lt;I47,F47,G47)</f>
        <v>Zebre</v>
      </c>
      <c r="L47" s="33" t="n">
        <f aca="false">1*(H47&gt;I47)</f>
        <v>1</v>
      </c>
      <c r="M47" s="90" t="n">
        <f aca="false">1*(H47&lt;I47)*NOT(AND(H47=0,I47=20))</f>
        <v>0</v>
      </c>
      <c r="N47" s="90" t="n">
        <f aca="false">1*AND(H47=0,I47=20)</f>
        <v>0</v>
      </c>
      <c r="O47" s="33" t="n">
        <f aca="false">H47</f>
        <v>65</v>
      </c>
      <c r="P47" s="33" t="n">
        <f aca="false">I47</f>
        <v>13</v>
      </c>
      <c r="Q47" s="91" t="n">
        <f aca="false">O47-P47</f>
        <v>52</v>
      </c>
      <c r="R47" s="33" t="n">
        <f aca="false">1*(I47&gt;H47)</f>
        <v>0</v>
      </c>
      <c r="S47" s="33" t="n">
        <f aca="false">1*(I47&lt;H47)*NOT(AND(H47=20,I47=0))</f>
        <v>1</v>
      </c>
      <c r="T47" s="33" t="n">
        <f aca="false">1*AND(H47=20,I47=0)</f>
        <v>0</v>
      </c>
      <c r="U47" s="33" t="n">
        <f aca="false">I47</f>
        <v>13</v>
      </c>
      <c r="V47" s="33" t="n">
        <f aca="false">H47</f>
        <v>65</v>
      </c>
      <c r="W47" s="92" t="n">
        <f aca="false">U47-V47</f>
        <v>-52</v>
      </c>
    </row>
    <row r="48" customFormat="false" ht="12.8" hidden="false" customHeight="false" outlineLevel="0" collapsed="false">
      <c r="A48" s="31" t="n">
        <v>48</v>
      </c>
      <c r="B48" s="33" t="s">
        <v>9</v>
      </c>
      <c r="C48" s="33" t="s">
        <v>64</v>
      </c>
      <c r="D48" s="33" t="s">
        <v>161</v>
      </c>
      <c r="E48" s="33" t="s">
        <v>162</v>
      </c>
      <c r="F48" s="89" t="str">
        <f aca="false">IF(B48="Girone",VLOOKUP(D48,A_SQUADRE_PER_CODICE,2),"ERRORE!")</f>
        <v>Scorpioni</v>
      </c>
      <c r="G48" s="89" t="str">
        <f aca="false">IF(B48="Girone",VLOOKUP(E48,A_SQUADRE_PER_CODICE,2),"ERRORE!")</f>
        <v>Tonni</v>
      </c>
      <c r="H48" s="33" t="n">
        <f aca="false">VLOOKUP(A48,A_4_INPUT_DATE_E_RISULTATI_GIRONI,6,0)</f>
        <v>54</v>
      </c>
      <c r="I48" s="33" t="n">
        <f aca="false">VLOOKUP(A48,A_4_INPUT_DATE_E_RISULTATI_GIRONI,7,0)</f>
        <v>48</v>
      </c>
      <c r="J48" s="89" t="str">
        <f aca="false">IF(H48&gt;I48,F48,G48)</f>
        <v>Scorpioni</v>
      </c>
      <c r="K48" s="89" t="str">
        <f aca="false">IF(H48&lt;I48,F48,G48)</f>
        <v>Tonni</v>
      </c>
      <c r="L48" s="33" t="n">
        <f aca="false">1*(H48&gt;I48)</f>
        <v>1</v>
      </c>
      <c r="M48" s="90" t="n">
        <f aca="false">1*(H48&lt;I48)*NOT(AND(H48=0,I48=20))</f>
        <v>0</v>
      </c>
      <c r="N48" s="90" t="n">
        <f aca="false">1*AND(H48=0,I48=20)</f>
        <v>0</v>
      </c>
      <c r="O48" s="33" t="n">
        <f aca="false">H48</f>
        <v>54</v>
      </c>
      <c r="P48" s="33" t="n">
        <f aca="false">I48</f>
        <v>48</v>
      </c>
      <c r="Q48" s="91" t="n">
        <f aca="false">O48-P48</f>
        <v>6</v>
      </c>
      <c r="R48" s="33" t="n">
        <f aca="false">1*(I48&gt;H48)</f>
        <v>0</v>
      </c>
      <c r="S48" s="33" t="n">
        <f aca="false">1*(I48&lt;H48)*NOT(AND(H48=20,I48=0))</f>
        <v>1</v>
      </c>
      <c r="T48" s="33" t="n">
        <f aca="false">1*AND(H48=20,I48=0)</f>
        <v>0</v>
      </c>
      <c r="U48" s="33" t="n">
        <f aca="false">I48</f>
        <v>48</v>
      </c>
      <c r="V48" s="33" t="n">
        <f aca="false">H48</f>
        <v>54</v>
      </c>
      <c r="W48" s="92" t="n">
        <f aca="false">U48-V48</f>
        <v>-6</v>
      </c>
    </row>
    <row r="49" customFormat="false" ht="12.8" hidden="false" customHeight="false" outlineLevel="0" collapsed="false">
      <c r="A49" s="31" t="n">
        <v>36</v>
      </c>
      <c r="B49" s="33" t="s">
        <v>9</v>
      </c>
      <c r="C49" s="33" t="s">
        <v>64</v>
      </c>
      <c r="D49" s="33" t="s">
        <v>161</v>
      </c>
      <c r="E49" s="33" t="s">
        <v>163</v>
      </c>
      <c r="F49" s="89" t="str">
        <f aca="false">IF(B49="Girone",VLOOKUP(D49,A_SQUADRE_PER_CODICE,2),"ERRORE!")</f>
        <v>Scorpioni</v>
      </c>
      <c r="G49" s="89" t="str">
        <f aca="false">IF(B49="Girone",VLOOKUP(E49,A_SQUADRE_PER_CODICE,2),"ERRORE!")</f>
        <v>Zebre</v>
      </c>
      <c r="H49" s="33" t="n">
        <f aca="false">VLOOKUP(A49,A_4_INPUT_DATE_E_RISULTATI_GIRONI,6,0)</f>
        <v>74</v>
      </c>
      <c r="I49" s="33" t="n">
        <f aca="false">VLOOKUP(A49,A_4_INPUT_DATE_E_RISULTATI_GIRONI,7,0)</f>
        <v>79</v>
      </c>
      <c r="J49" s="89" t="str">
        <f aca="false">IF(H49&gt;I49,F49,G49)</f>
        <v>Zebre</v>
      </c>
      <c r="K49" s="89" t="str">
        <f aca="false">IF(H49&lt;I49,F49,G49)</f>
        <v>Scorpioni</v>
      </c>
      <c r="L49" s="33" t="n">
        <f aca="false">1*(H49&gt;I49)</f>
        <v>0</v>
      </c>
      <c r="M49" s="90" t="n">
        <f aca="false">1*(H49&lt;I49)*NOT(AND(H49=0,I49=20))</f>
        <v>1</v>
      </c>
      <c r="N49" s="90" t="n">
        <f aca="false">1*AND(H49=0,I49=20)</f>
        <v>0</v>
      </c>
      <c r="O49" s="33" t="n">
        <f aca="false">H49</f>
        <v>74</v>
      </c>
      <c r="P49" s="33" t="n">
        <f aca="false">I49</f>
        <v>79</v>
      </c>
      <c r="Q49" s="91" t="n">
        <f aca="false">O49-P49</f>
        <v>-5</v>
      </c>
      <c r="R49" s="33" t="n">
        <f aca="false">1*(I49&gt;H49)</f>
        <v>1</v>
      </c>
      <c r="S49" s="33" t="n">
        <f aca="false">1*(I49&lt;H49)*NOT(AND(H49=20,I49=0))</f>
        <v>0</v>
      </c>
      <c r="T49" s="33" t="n">
        <f aca="false">1*AND(H49=20,I49=0)</f>
        <v>0</v>
      </c>
      <c r="U49" s="33" t="n">
        <f aca="false">I49</f>
        <v>79</v>
      </c>
      <c r="V49" s="33" t="n">
        <f aca="false">H49</f>
        <v>74</v>
      </c>
      <c r="W49" s="92" t="n">
        <f aca="false">U49-V49</f>
        <v>5</v>
      </c>
    </row>
    <row r="50" customFormat="false" ht="12.8" hidden="false" customHeight="false" outlineLevel="0" collapsed="false">
      <c r="A50" s="43" t="n">
        <v>24</v>
      </c>
      <c r="B50" s="45" t="s">
        <v>9</v>
      </c>
      <c r="C50" s="45" t="s">
        <v>64</v>
      </c>
      <c r="D50" s="45" t="s">
        <v>162</v>
      </c>
      <c r="E50" s="45" t="s">
        <v>163</v>
      </c>
      <c r="F50" s="123" t="str">
        <f aca="false">IF(B50="Girone",VLOOKUP(D50,A_SQUADRE_PER_CODICE,2),"ERRORE!")</f>
        <v>Tonni</v>
      </c>
      <c r="G50" s="123" t="str">
        <f aca="false">IF(B50="Girone",VLOOKUP(E50,A_SQUADRE_PER_CODICE,2),"ERRORE!")</f>
        <v>Zebre</v>
      </c>
      <c r="H50" s="45" t="n">
        <f aca="false">VLOOKUP(A50,A_4_INPUT_DATE_E_RISULTATI_GIRONI,6,0)</f>
        <v>20</v>
      </c>
      <c r="I50" s="45" t="n">
        <f aca="false">VLOOKUP(A50,A_4_INPUT_DATE_E_RISULTATI_GIRONI,7,0)</f>
        <v>0</v>
      </c>
      <c r="J50" s="123" t="str">
        <f aca="false">IF(H50&gt;I50,F50,G50)</f>
        <v>Tonni</v>
      </c>
      <c r="K50" s="123" t="str">
        <f aca="false">IF(H50&lt;I50,F50,G50)</f>
        <v>Zebre</v>
      </c>
      <c r="L50" s="45" t="n">
        <f aca="false">1*(H50&gt;I50)</f>
        <v>1</v>
      </c>
      <c r="M50" s="124" t="n">
        <f aca="false">1*(H50&lt;I50)*NOT(AND(H50=0,I50=20))</f>
        <v>0</v>
      </c>
      <c r="N50" s="124" t="n">
        <f aca="false">1*AND(H50=0,I50=20)</f>
        <v>0</v>
      </c>
      <c r="O50" s="45" t="n">
        <f aca="false">H50</f>
        <v>20</v>
      </c>
      <c r="P50" s="45" t="n">
        <f aca="false">I50</f>
        <v>0</v>
      </c>
      <c r="Q50" s="121" t="n">
        <f aca="false">O50-P50</f>
        <v>20</v>
      </c>
      <c r="R50" s="45" t="n">
        <f aca="false">1*(I50&gt;H50)</f>
        <v>0</v>
      </c>
      <c r="S50" s="45" t="n">
        <f aca="false">1*(I50&lt;H50)*NOT(AND(H50=20,I50=0))</f>
        <v>0</v>
      </c>
      <c r="T50" s="45" t="n">
        <f aca="false">1*AND(H50=20,I50=0)</f>
        <v>1</v>
      </c>
      <c r="U50" s="45" t="n">
        <f aca="false">I50</f>
        <v>0</v>
      </c>
      <c r="V50" s="45" t="n">
        <f aca="false">H50</f>
        <v>20</v>
      </c>
      <c r="W50" s="125" t="n">
        <f aca="false">U50-V50</f>
        <v>-20</v>
      </c>
    </row>
  </sheetData>
  <mergeCells count="1">
    <mergeCell ref="A1:W1"/>
  </mergeCells>
  <conditionalFormatting sqref="C3:C50 Z3:Z34">
    <cfRule type="cellIs" priority="2" operator="equal" aboveAverage="0" equalAverage="0" bottom="0" percent="0" rank="0" text="" dxfId="0">
      <formula>"A"</formula>
    </cfRule>
  </conditionalFormatting>
  <conditionalFormatting sqref="C3:C50 Z3:Z34">
    <cfRule type="cellIs" priority="3" operator="equal" aboveAverage="0" equalAverage="0" bottom="0" percent="0" rank="0" text="" dxfId="1">
      <formula>"B"</formula>
    </cfRule>
  </conditionalFormatting>
  <conditionalFormatting sqref="C3:C50 Z3:Z34">
    <cfRule type="cellIs" priority="4" operator="equal" aboveAverage="0" equalAverage="0" bottom="0" percent="0" rank="0" text="" dxfId="2">
      <formula>"C"</formula>
    </cfRule>
  </conditionalFormatting>
  <conditionalFormatting sqref="C3:C50 Z3:Z34">
    <cfRule type="cellIs" priority="5" operator="equal" aboveAverage="0" equalAverage="0" bottom="0" percent="0" rank="0" text="" dxfId="3">
      <formula>"D"</formula>
    </cfRule>
  </conditionalFormatting>
  <conditionalFormatting sqref="C3:C50 Z3:Z34">
    <cfRule type="cellIs" priority="6" operator="equal" aboveAverage="0" equalAverage="0" bottom="0" percent="0" rank="0" text="" dxfId="4">
      <formula>"E"</formula>
    </cfRule>
  </conditionalFormatting>
  <conditionalFormatting sqref="C3:C50 Z3:Z34">
    <cfRule type="cellIs" priority="7" operator="equal" aboveAverage="0" equalAverage="0" bottom="0" percent="0" rank="0" text="" dxfId="5">
      <formula>"F"</formula>
    </cfRule>
  </conditionalFormatting>
  <conditionalFormatting sqref="C3:C50 Z3:Z34">
    <cfRule type="cellIs" priority="8" operator="equal" aboveAverage="0" equalAverage="0" bottom="0" percent="0" rank="0" text="" dxfId="6">
      <formula>"G"</formula>
    </cfRule>
  </conditionalFormatting>
  <conditionalFormatting sqref="C3:C50 Z3:Z34">
    <cfRule type="cellIs" priority="9" operator="equal" aboveAverage="0" equalAverage="0" bottom="0" percent="0" rank="0" text="" dxfId="7">
      <formula>"H"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G52"/>
  <sheetViews>
    <sheetView showFormulas="false" showGridLines="true" showRowColHeaders="true" showZeros="true" rightToLeft="false" tabSelected="false" showOutlineSymbols="true" defaultGridColor="true" view="normal" topLeftCell="B1" colorId="64" zoomScale="140" zoomScaleNormal="14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true" outlineLevel="0" max="1" min="1" style="67" width="5.53"/>
    <col collapsed="false" customWidth="true" hidden="false" outlineLevel="0" max="2" min="2" style="0" width="9.12"/>
    <col collapsed="false" customWidth="true" hidden="false" outlineLevel="0" max="3" min="3" style="0" width="6.11"/>
    <col collapsed="false" customWidth="true" hidden="false" outlineLevel="0" max="4" min="4" style="0" width="14.21"/>
    <col collapsed="false" customWidth="true" hidden="false" outlineLevel="0" max="6" min="5" style="0" width="4.6"/>
    <col collapsed="false" customWidth="true" hidden="false" outlineLevel="0" max="7" min="7" style="0" width="14.21"/>
    <col collapsed="false" customWidth="true" hidden="false" outlineLevel="0" max="8" min="8" style="0" width="4.02"/>
    <col collapsed="false" customWidth="true" hidden="false" outlineLevel="0" max="9" min="9" style="0" width="14.56"/>
    <col collapsed="false" customWidth="true" hidden="false" outlineLevel="0" max="11" min="11" style="0" width="11.43"/>
    <col collapsed="false" customWidth="true" hidden="false" outlineLevel="0" max="12" min="12" style="0" width="2.86"/>
    <col collapsed="false" customWidth="true" hidden="false" outlineLevel="0" max="14" min="13" style="0" width="2.74"/>
    <col collapsed="false" customWidth="true" hidden="false" outlineLevel="0" max="15" min="15" style="0" width="2.64"/>
    <col collapsed="false" customWidth="true" hidden="false" outlineLevel="0" max="16" min="16" style="0" width="4.14"/>
    <col collapsed="false" customWidth="true" hidden="false" outlineLevel="0" max="17" min="17" style="0" width="5.3"/>
    <col collapsed="false" customWidth="true" hidden="false" outlineLevel="0" max="18" min="18" style="0" width="5.41"/>
    <col collapsed="false" customWidth="true" hidden="false" outlineLevel="0" max="20" min="20" style="0" width="11.9"/>
    <col collapsed="false" customWidth="true" hidden="false" outlineLevel="0" max="21" min="21" style="0" width="7.61"/>
    <col collapsed="false" customWidth="true" hidden="false" outlineLevel="0" max="23" min="23" style="0" width="3.91"/>
    <col collapsed="false" customWidth="true" hidden="false" outlineLevel="0" max="25" min="25" style="0" width="12.13"/>
    <col collapsed="false" customWidth="true" hidden="false" outlineLevel="0" max="26" min="26" style="0" width="11.66"/>
    <col collapsed="false" customWidth="true" hidden="false" outlineLevel="0" max="30" min="30" style="0" width="12.13"/>
    <col collapsed="false" customWidth="true" hidden="false" outlineLevel="0" max="31" min="31" style="0" width="11.66"/>
    <col collapsed="false" customWidth="true" hidden="false" outlineLevel="0" max="35" min="35" style="0" width="12.13"/>
    <col collapsed="false" customWidth="true" hidden="false" outlineLevel="0" max="36" min="36" style="0" width="11.66"/>
    <col collapsed="false" customWidth="true" hidden="false" outlineLevel="0" max="100" min="100" style="0" width="13.4"/>
    <col collapsed="false" customWidth="true" hidden="false" outlineLevel="0" max="101" min="101" style="0" width="2.86"/>
    <col collapsed="false" customWidth="true" hidden="false" outlineLevel="0" max="102" min="102" style="0" width="2.74"/>
    <col collapsed="false" customWidth="true" hidden="false" outlineLevel="0" max="103" min="103" style="0" width="2.86"/>
    <col collapsed="false" customWidth="true" hidden="false" outlineLevel="0" max="104" min="104" style="0" width="2.74"/>
    <col collapsed="false" customWidth="true" hidden="false" outlineLevel="0" max="105" min="105" style="0" width="4.02"/>
    <col collapsed="false" customWidth="true" hidden="false" outlineLevel="0" max="106" min="106" style="0" width="4.14"/>
    <col collapsed="false" customWidth="true" hidden="false" outlineLevel="0" max="107" min="107" style="0" width="4.26"/>
    <col collapsed="false" customWidth="true" hidden="false" outlineLevel="0" max="108" min="108" style="0" width="7.73"/>
    <col collapsed="false" customWidth="true" hidden="false" outlineLevel="0" max="110" min="110" style="0" width="6.69"/>
    <col collapsed="false" customWidth="true" hidden="false" outlineLevel="0" max="111" min="111" style="0" width="2.52"/>
  </cols>
  <sheetData>
    <row r="1" customFormat="false" ht="19.7" hidden="false" customHeight="false" outlineLevel="0" collapsed="false">
      <c r="A1" s="126"/>
      <c r="B1" s="127" t="str">
        <f aca="false">VLOOKUP("NOME_TORNEO",A_1_INPUT_DATI_TORNEO,2,0)</f>
        <v>Torneo dell’Estate</v>
      </c>
      <c r="C1" s="127"/>
      <c r="D1" s="127"/>
      <c r="E1" s="127"/>
      <c r="F1" s="127"/>
      <c r="G1" s="127"/>
      <c r="H1" s="127"/>
      <c r="I1" s="127"/>
      <c r="K1" s="127" t="str">
        <f aca="false">VLOOKUP("NOME_TORNEO",A_1_INPUT_DATI_TORNEO,2,0)</f>
        <v>Torneo dell’Estate</v>
      </c>
      <c r="L1" s="127"/>
      <c r="M1" s="127"/>
      <c r="N1" s="127"/>
      <c r="O1" s="127"/>
      <c r="P1" s="127"/>
      <c r="Q1" s="127"/>
      <c r="R1" s="127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9"/>
      <c r="AF1" s="129"/>
      <c r="AG1" s="129"/>
      <c r="AH1" s="129"/>
      <c r="AI1" s="129"/>
      <c r="AJ1" s="129"/>
      <c r="AK1" s="129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/>
      <c r="AY1" s="131"/>
      <c r="AZ1" s="131"/>
      <c r="BA1" s="131"/>
      <c r="BB1" s="131"/>
      <c r="BC1" s="131"/>
      <c r="BD1" s="131"/>
      <c r="BE1" s="131"/>
      <c r="BF1" s="131"/>
      <c r="BG1" s="131"/>
      <c r="BH1" s="131"/>
      <c r="BI1" s="131"/>
      <c r="BJ1" s="131"/>
      <c r="BK1" s="131"/>
      <c r="BL1" s="131"/>
      <c r="BM1" s="131"/>
      <c r="BN1" s="131"/>
      <c r="BO1" s="131"/>
      <c r="BP1" s="131"/>
      <c r="BQ1" s="131"/>
      <c r="BR1" s="131"/>
      <c r="BS1" s="131"/>
      <c r="BT1" s="131"/>
      <c r="BU1" s="131"/>
      <c r="BV1" s="131"/>
      <c r="BW1" s="131"/>
      <c r="BX1" s="131"/>
      <c r="BY1" s="131"/>
      <c r="BZ1" s="131"/>
      <c r="CA1" s="131"/>
      <c r="CB1" s="131"/>
      <c r="CC1" s="131"/>
      <c r="CD1" s="131"/>
      <c r="CE1" s="131"/>
      <c r="CF1" s="131"/>
      <c r="CG1" s="131"/>
      <c r="CH1" s="131"/>
      <c r="CI1" s="131"/>
      <c r="CJ1" s="131"/>
      <c r="CK1" s="131"/>
      <c r="CL1" s="131"/>
      <c r="CM1" s="131"/>
      <c r="CN1" s="131"/>
      <c r="CO1" s="131"/>
      <c r="CP1" s="131"/>
      <c r="CQ1" s="131"/>
      <c r="CR1" s="131"/>
      <c r="CS1" s="131"/>
      <c r="CT1" s="131"/>
      <c r="CU1" s="131"/>
      <c r="CV1" s="130"/>
      <c r="CW1" s="130"/>
      <c r="CX1" s="130"/>
      <c r="CY1" s="130"/>
      <c r="CZ1" s="130"/>
      <c r="DA1" s="130"/>
      <c r="DB1" s="130"/>
      <c r="DC1" s="130"/>
      <c r="DD1" s="130"/>
      <c r="DE1" s="130"/>
      <c r="DF1" s="131"/>
      <c r="DG1" s="131"/>
    </row>
    <row r="2" customFormat="false" ht="15.75" hidden="false" customHeight="true" outlineLevel="0" collapsed="false">
      <c r="A2" s="126"/>
      <c r="B2" s="132" t="s">
        <v>164</v>
      </c>
      <c r="C2" s="132"/>
      <c r="D2" s="132"/>
      <c r="E2" s="132"/>
      <c r="F2" s="132"/>
      <c r="G2" s="132"/>
      <c r="H2" s="132"/>
      <c r="I2" s="132"/>
      <c r="K2" s="132" t="s">
        <v>165</v>
      </c>
      <c r="L2" s="132"/>
      <c r="M2" s="132"/>
      <c r="N2" s="132"/>
      <c r="O2" s="132"/>
      <c r="P2" s="132"/>
      <c r="Q2" s="132"/>
      <c r="R2" s="132"/>
      <c r="T2" s="133" t="s">
        <v>166</v>
      </c>
      <c r="U2" s="133"/>
      <c r="V2" s="133"/>
      <c r="W2" s="130"/>
      <c r="X2" s="131"/>
      <c r="Y2" s="133" t="s">
        <v>167</v>
      </c>
      <c r="Z2" s="133"/>
      <c r="AA2" s="133"/>
      <c r="AB2" s="131"/>
      <c r="AC2" s="131"/>
      <c r="AD2" s="133" t="s">
        <v>168</v>
      </c>
      <c r="AE2" s="133"/>
      <c r="AF2" s="133"/>
      <c r="AG2" s="131"/>
      <c r="AH2" s="131"/>
      <c r="AI2" s="133" t="s">
        <v>169</v>
      </c>
      <c r="AJ2" s="133"/>
      <c r="AK2" s="133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1"/>
      <c r="BL2" s="131"/>
      <c r="BM2" s="131"/>
      <c r="BN2" s="131"/>
      <c r="BO2" s="131"/>
      <c r="BP2" s="131"/>
      <c r="BQ2" s="131"/>
      <c r="BR2" s="131"/>
      <c r="BS2" s="131"/>
      <c r="BT2" s="131"/>
      <c r="BU2" s="131"/>
      <c r="BV2" s="131"/>
      <c r="BW2" s="131"/>
      <c r="BX2" s="131"/>
      <c r="BY2" s="131"/>
      <c r="BZ2" s="131"/>
      <c r="CA2" s="131"/>
      <c r="CB2" s="131"/>
      <c r="CC2" s="131"/>
      <c r="CD2" s="131"/>
      <c r="CE2" s="131"/>
      <c r="CF2" s="131"/>
      <c r="CG2" s="131"/>
      <c r="CH2" s="131"/>
      <c r="CI2" s="131"/>
      <c r="CJ2" s="131"/>
      <c r="CK2" s="131"/>
      <c r="CL2" s="131"/>
      <c r="CM2" s="131"/>
      <c r="CN2" s="131"/>
      <c r="CO2" s="131"/>
      <c r="CP2" s="131"/>
      <c r="CQ2" s="131"/>
      <c r="CR2" s="131"/>
      <c r="CS2" s="131"/>
      <c r="CT2" s="131"/>
      <c r="CU2" s="131"/>
      <c r="CV2" s="131"/>
      <c r="CW2" s="131"/>
      <c r="CX2" s="131"/>
      <c r="CY2" s="131"/>
      <c r="CZ2" s="131"/>
      <c r="DA2" s="131"/>
      <c r="DB2" s="131"/>
      <c r="DC2" s="131"/>
      <c r="DD2" s="131"/>
      <c r="DE2" s="131"/>
      <c r="DF2" s="131"/>
      <c r="DG2" s="131"/>
    </row>
    <row r="3" customFormat="false" ht="15.95" hidden="false" customHeight="true" outlineLevel="0" collapsed="false">
      <c r="A3" s="126"/>
      <c r="B3" s="134" t="s">
        <v>17</v>
      </c>
      <c r="C3" s="134" t="s">
        <v>18</v>
      </c>
      <c r="D3" s="134" t="s">
        <v>96</v>
      </c>
      <c r="E3" s="134" t="s">
        <v>170</v>
      </c>
      <c r="F3" s="134"/>
      <c r="G3" s="134" t="s">
        <v>97</v>
      </c>
      <c r="H3" s="134" t="s">
        <v>171</v>
      </c>
      <c r="I3" s="134" t="s">
        <v>172</v>
      </c>
      <c r="K3" s="135" t="s">
        <v>173</v>
      </c>
      <c r="L3" s="136" t="s">
        <v>59</v>
      </c>
      <c r="M3" s="136" t="s">
        <v>174</v>
      </c>
      <c r="N3" s="136" t="s">
        <v>175</v>
      </c>
      <c r="O3" s="136" t="s">
        <v>54</v>
      </c>
      <c r="P3" s="136" t="s">
        <v>176</v>
      </c>
      <c r="Q3" s="136" t="s">
        <v>177</v>
      </c>
      <c r="R3" s="137" t="s">
        <v>178</v>
      </c>
      <c r="T3" s="133"/>
      <c r="U3" s="133"/>
      <c r="V3" s="133"/>
      <c r="W3" s="130"/>
      <c r="X3" s="131"/>
      <c r="Y3" s="133"/>
      <c r="Z3" s="133"/>
      <c r="AA3" s="133"/>
      <c r="AB3" s="131"/>
      <c r="AC3" s="131"/>
      <c r="AD3" s="133"/>
      <c r="AE3" s="133"/>
      <c r="AF3" s="133"/>
      <c r="AG3" s="131"/>
      <c r="AH3" s="131"/>
      <c r="AI3" s="133"/>
      <c r="AJ3" s="133"/>
      <c r="AK3" s="133"/>
      <c r="AL3" s="130"/>
      <c r="AM3" s="130"/>
      <c r="AN3" s="130"/>
      <c r="AO3" s="130"/>
      <c r="AP3" s="130"/>
      <c r="AQ3" s="130"/>
      <c r="AR3" s="130"/>
      <c r="AS3" s="130"/>
      <c r="AT3" s="130"/>
      <c r="AU3" s="130"/>
      <c r="AV3" s="130"/>
      <c r="AW3" s="130"/>
      <c r="AX3" s="130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/>
      <c r="CT3" s="131"/>
      <c r="CU3" s="131"/>
      <c r="CV3" s="138" t="s">
        <v>179</v>
      </c>
      <c r="CW3" s="138" t="s">
        <v>59</v>
      </c>
      <c r="CX3" s="138" t="s">
        <v>174</v>
      </c>
      <c r="CY3" s="138" t="s">
        <v>180</v>
      </c>
      <c r="CZ3" s="138" t="s">
        <v>175</v>
      </c>
      <c r="DA3" s="138" t="s">
        <v>181</v>
      </c>
      <c r="DB3" s="138" t="s">
        <v>182</v>
      </c>
      <c r="DC3" s="138" t="s">
        <v>183</v>
      </c>
      <c r="DD3" s="138" t="s">
        <v>184</v>
      </c>
      <c r="DE3" s="138"/>
      <c r="DF3" s="138" t="s">
        <v>185</v>
      </c>
      <c r="DG3" s="131"/>
    </row>
    <row r="4" customFormat="false" ht="15.95" hidden="false" customHeight="true" outlineLevel="0" collapsed="false">
      <c r="A4" s="139" t="n">
        <v>1</v>
      </c>
      <c r="B4" s="140" t="n">
        <f aca="false">VLOOKUP(A4,A_4_INPUT_DATE_E_RISULTATI_GIRONI,8,0)</f>
        <v>44354</v>
      </c>
      <c r="C4" s="141" t="n">
        <f aca="false">VLOOKUP(A4,A_4_INPUT_DATE_E_RISULTATI_GIRONI,9,0)</f>
        <v>0.666666666666667</v>
      </c>
      <c r="D4" s="142" t="str">
        <f aca="false">VLOOKUP(A4,A_4_INPUT_DATE_E_RISULTATI_GIRONI,4,0)</f>
        <v>Leoni</v>
      </c>
      <c r="E4" s="143"/>
      <c r="F4" s="143"/>
      <c r="G4" s="144" t="str">
        <f aca="false">VLOOKUP(A4,A_4_INPUT_DATE_E_RISULTATI_GIRONI,5,0)</f>
        <v>Pantere</v>
      </c>
      <c r="H4" s="145" t="str">
        <f aca="false">VLOOKUP(A4,A_4_INPUT_DATE_E_RISULTATI_GIRONI,3,0)</f>
        <v>A</v>
      </c>
      <c r="I4" s="146" t="str">
        <f aca="false">VLOOKUP(A4,A_4_INPUT_DATE_E_RISULTATI_GIRONI,11,0)</f>
        <v>Cristo Re 1</v>
      </c>
      <c r="K4" s="147" t="str">
        <f aca="false">VLOOKUP(ROW()-3&amp;RIGHT(K$3,1),B_CLASSIFICA_GIRONE_A,4,0)</f>
        <v>Leoni</v>
      </c>
      <c r="L4" s="148" t="n">
        <f aca="false">VLOOKUP(ROW()-3&amp;RIGHT(K$3,1),B_CLASSIFICA_GIRONE_A,5,0)</f>
        <v>3</v>
      </c>
      <c r="M4" s="148" t="n">
        <f aca="false">VLOOKUP(ROW()-3&amp;RIGHT(K$3,1),B_CLASSIFICA_GIRONE_A,6,0)</f>
        <v>3</v>
      </c>
      <c r="N4" s="148" t="n">
        <f aca="false">VLOOKUP(ROW()-3&amp;RIGHT(K$3,1),B_CLASSIFICA_GIRONE_A,7,0)</f>
        <v>0</v>
      </c>
      <c r="O4" s="148" t="n">
        <f aca="false">VLOOKUP(ROW()-3&amp;RIGHT(K$3,1),B_CLASSIFICA_GIRONE_A,8,0)</f>
        <v>0</v>
      </c>
      <c r="P4" s="148" t="n">
        <f aca="false">VLOOKUP(ROW()-3&amp;RIGHT(K$3,1),B_CLASSIFICA_GIRONE_A,9,0)</f>
        <v>6</v>
      </c>
      <c r="Q4" s="148" t="n">
        <f aca="false">VLOOKUP(ROW()-3&amp;RIGHT(K$3,1),B_CLASSIFICA_GIRONE_A,10,0)</f>
        <v>244</v>
      </c>
      <c r="R4" s="149" t="n">
        <f aca="false">VLOOKUP(ROW()-3&amp;RIGHT(K$3,1),B_CLASSIFICA_GIRONE_A,11,0)</f>
        <v>96</v>
      </c>
      <c r="T4" s="150"/>
      <c r="U4" s="151"/>
      <c r="V4" s="131"/>
      <c r="W4" s="130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30"/>
      <c r="AY4" s="131"/>
      <c r="AZ4" s="131"/>
      <c r="BA4" s="131"/>
      <c r="BB4" s="131"/>
      <c r="BC4" s="131"/>
      <c r="BD4" s="131"/>
      <c r="BE4" s="131"/>
      <c r="BF4" s="131"/>
      <c r="BG4" s="131"/>
      <c r="BH4" s="131"/>
      <c r="BI4" s="131"/>
      <c r="BJ4" s="131"/>
      <c r="BK4" s="131"/>
      <c r="BL4" s="131"/>
      <c r="BM4" s="131"/>
      <c r="BN4" s="131"/>
      <c r="BO4" s="131"/>
      <c r="BP4" s="131"/>
      <c r="BQ4" s="131"/>
      <c r="BR4" s="131"/>
      <c r="BS4" s="131"/>
      <c r="BT4" s="131"/>
      <c r="BU4" s="131"/>
      <c r="BV4" s="131"/>
      <c r="BW4" s="131"/>
      <c r="BX4" s="131"/>
      <c r="BY4" s="131"/>
      <c r="BZ4" s="131"/>
      <c r="CA4" s="131"/>
      <c r="CB4" s="131"/>
      <c r="CC4" s="131"/>
      <c r="CD4" s="131"/>
      <c r="CE4" s="131"/>
      <c r="CF4" s="131"/>
      <c r="CG4" s="131"/>
      <c r="CH4" s="131"/>
      <c r="CI4" s="131"/>
      <c r="CJ4" s="131"/>
      <c r="CK4" s="131"/>
      <c r="CL4" s="131"/>
      <c r="CM4" s="131"/>
      <c r="CN4" s="131"/>
      <c r="CO4" s="131"/>
      <c r="CP4" s="131"/>
      <c r="CQ4" s="131"/>
      <c r="CR4" s="131"/>
      <c r="CS4" s="131"/>
      <c r="CT4" s="131"/>
      <c r="CU4" s="131"/>
      <c r="CV4" s="152" t="s">
        <v>186</v>
      </c>
      <c r="CW4" s="153" t="n">
        <v>3</v>
      </c>
      <c r="CX4" s="153" t="n">
        <v>2</v>
      </c>
      <c r="CY4" s="153" t="n">
        <v>1</v>
      </c>
      <c r="CZ4" s="153" t="n">
        <v>0</v>
      </c>
      <c r="DA4" s="153" t="n">
        <v>4</v>
      </c>
      <c r="DB4" s="153" t="n">
        <v>1</v>
      </c>
      <c r="DC4" s="153" t="n">
        <v>3</v>
      </c>
      <c r="DD4" s="153" t="n">
        <v>7.0003</v>
      </c>
      <c r="DE4" s="153"/>
      <c r="DF4" s="154" t="n">
        <v>70307</v>
      </c>
      <c r="DG4" s="131" t="n">
        <v>1</v>
      </c>
    </row>
    <row r="5" customFormat="false" ht="15.95" hidden="false" customHeight="true" outlineLevel="0" collapsed="false">
      <c r="A5" s="139" t="n">
        <v>2</v>
      </c>
      <c r="B5" s="140" t="n">
        <f aca="false">VLOOKUP(A5,A_4_INPUT_DATE_E_RISULTATI_GIRONI,8,0)</f>
        <v>44354</v>
      </c>
      <c r="C5" s="141" t="n">
        <f aca="false">VLOOKUP(A5,A_4_INPUT_DATE_E_RISULTATI_GIRONI,9,0)</f>
        <v>0.666666666666667</v>
      </c>
      <c r="D5" s="155" t="str">
        <f aca="false">VLOOKUP(A5,A_4_INPUT_DATE_E_RISULTATI_GIRONI,4,0)</f>
        <v>Giaguari</v>
      </c>
      <c r="E5" s="143"/>
      <c r="F5" s="143"/>
      <c r="G5" s="144" t="str">
        <f aca="false">VLOOKUP(A5,A_4_INPUT_DATE_E_RISULTATI_GIRONI,5,0)</f>
        <v>Puma</v>
      </c>
      <c r="H5" s="146" t="str">
        <f aca="false">VLOOKUP(A5,A_4_INPUT_DATE_E_RISULTATI_GIRONI,3,0)</f>
        <v>B</v>
      </c>
      <c r="I5" s="146" t="str">
        <f aca="false">VLOOKUP(A5,A_4_INPUT_DATE_E_RISULTATI_GIRONI,11,0)</f>
        <v>Cristo Re 2</v>
      </c>
      <c r="K5" s="156" t="str">
        <f aca="false">VLOOKUP(ROW()-3&amp;RIGHT(K$3,1),B_CLASSIFICA_GIRONE_A,4,0)</f>
        <v>Pantere</v>
      </c>
      <c r="L5" s="157" t="n">
        <f aca="false">VLOOKUP(ROW()-3&amp;RIGHT(K$3,1),B_CLASSIFICA_GIRONE_A,5,0)</f>
        <v>3</v>
      </c>
      <c r="M5" s="157" t="n">
        <f aca="false">VLOOKUP(ROW()-3&amp;RIGHT(K$3,1),B_CLASSIFICA_GIRONE_A,6,0)</f>
        <v>2</v>
      </c>
      <c r="N5" s="157" t="n">
        <f aca="false">VLOOKUP(ROW()-3&amp;RIGHT(K$3,1),B_CLASSIFICA_GIRONE_A,7,0)</f>
        <v>1</v>
      </c>
      <c r="O5" s="157" t="n">
        <f aca="false">VLOOKUP(ROW()-3&amp;RIGHT(K$3,1),B_CLASSIFICA_GIRONE_A,8,0)</f>
        <v>0</v>
      </c>
      <c r="P5" s="157" t="n">
        <f aca="false">VLOOKUP(ROW()-3&amp;RIGHT(K$3,1),B_CLASSIFICA_GIRONE_A,9,0)</f>
        <v>5</v>
      </c>
      <c r="Q5" s="157" t="n">
        <f aca="false">VLOOKUP(ROW()-3&amp;RIGHT(K$3,1),B_CLASSIFICA_GIRONE_A,10,0)</f>
        <v>199</v>
      </c>
      <c r="R5" s="158" t="n">
        <f aca="false">VLOOKUP(ROW()-3&amp;RIGHT(K$3,1),B_CLASSIFICA_GIRONE_A,11,0)</f>
        <v>123</v>
      </c>
      <c r="T5" s="159" t="s">
        <v>187</v>
      </c>
      <c r="U5" s="159"/>
      <c r="V5" s="159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/>
      <c r="AL5" s="130"/>
      <c r="AM5" s="130"/>
      <c r="AN5" s="130"/>
      <c r="AO5" s="130"/>
      <c r="AP5" s="130"/>
      <c r="AQ5" s="130"/>
      <c r="AR5" s="130"/>
      <c r="AS5" s="130"/>
      <c r="AT5" s="130"/>
      <c r="AU5" s="130"/>
      <c r="AV5" s="130"/>
      <c r="AW5" s="130"/>
      <c r="AX5" s="130"/>
      <c r="AY5" s="131"/>
      <c r="AZ5" s="131"/>
      <c r="BA5" s="131"/>
      <c r="BB5" s="131"/>
      <c r="BC5" s="131"/>
      <c r="BD5" s="131"/>
      <c r="BE5" s="131"/>
      <c r="BF5" s="131"/>
      <c r="BG5" s="131"/>
      <c r="BH5" s="131"/>
      <c r="BI5" s="131"/>
      <c r="BJ5" s="131"/>
      <c r="BK5" s="131"/>
      <c r="BL5" s="131"/>
      <c r="BM5" s="131"/>
      <c r="BN5" s="131"/>
      <c r="BO5" s="131"/>
      <c r="BP5" s="131"/>
      <c r="BQ5" s="131"/>
      <c r="BR5" s="131"/>
      <c r="BS5" s="131"/>
      <c r="BT5" s="131"/>
      <c r="BU5" s="131"/>
      <c r="BV5" s="131"/>
      <c r="BW5" s="131"/>
      <c r="BX5" s="131"/>
      <c r="BY5" s="131"/>
      <c r="BZ5" s="131"/>
      <c r="CA5" s="131"/>
      <c r="CB5" s="131"/>
      <c r="CC5" s="131"/>
      <c r="CD5" s="131"/>
      <c r="CE5" s="131"/>
      <c r="CF5" s="131"/>
      <c r="CG5" s="131"/>
      <c r="CH5" s="131"/>
      <c r="CI5" s="131"/>
      <c r="CJ5" s="131"/>
      <c r="CK5" s="131"/>
      <c r="CL5" s="131"/>
      <c r="CM5" s="131"/>
      <c r="CN5" s="131"/>
      <c r="CO5" s="131"/>
      <c r="CP5" s="131"/>
      <c r="CQ5" s="131"/>
      <c r="CR5" s="131"/>
      <c r="CS5" s="131"/>
      <c r="CT5" s="131"/>
      <c r="CU5" s="131"/>
      <c r="CV5" s="152" t="s">
        <v>188</v>
      </c>
      <c r="CW5" s="153" t="n">
        <v>3</v>
      </c>
      <c r="CX5" s="153" t="n">
        <v>1</v>
      </c>
      <c r="CY5" s="153" t="n">
        <v>0</v>
      </c>
      <c r="CZ5" s="153" t="n">
        <v>2</v>
      </c>
      <c r="DA5" s="153" t="n">
        <v>1</v>
      </c>
      <c r="DB5" s="153" t="n">
        <v>3</v>
      </c>
      <c r="DC5" s="153" t="n">
        <v>-2</v>
      </c>
      <c r="DD5" s="153" t="n">
        <v>2.9998</v>
      </c>
      <c r="DE5" s="153"/>
      <c r="DF5" s="154" t="n">
        <v>29799</v>
      </c>
      <c r="DG5" s="131" t="n">
        <v>2</v>
      </c>
    </row>
    <row r="6" customFormat="false" ht="15.95" hidden="false" customHeight="true" outlineLevel="0" collapsed="false">
      <c r="A6" s="139" t="n">
        <v>3</v>
      </c>
      <c r="B6" s="140" t="n">
        <f aca="false">VLOOKUP(A6,A_4_INPUT_DATE_E_RISULTATI_GIRONI,8,0)</f>
        <v>44354</v>
      </c>
      <c r="C6" s="141" t="n">
        <f aca="false">VLOOKUP(A6,A_4_INPUT_DATE_E_RISULTATI_GIRONI,9,0)</f>
        <v>0.666666666666667</v>
      </c>
      <c r="D6" s="155" t="str">
        <f aca="false">VLOOKUP(A6,A_4_INPUT_DATE_E_RISULTATI_GIRONI,4,0)</f>
        <v>Elefanti</v>
      </c>
      <c r="E6" s="143"/>
      <c r="F6" s="143"/>
      <c r="G6" s="144" t="str">
        <f aca="false">VLOOKUP(A6,A_4_INPUT_DATE_E_RISULTATI_GIRONI,5,0)</f>
        <v>Giraffe</v>
      </c>
      <c r="H6" s="146" t="str">
        <f aca="false">VLOOKUP(A6,A_4_INPUT_DATE_E_RISULTATI_GIRONI,3,0)</f>
        <v>C</v>
      </c>
      <c r="I6" s="146" t="str">
        <f aca="false">VLOOKUP(A6,A_4_INPUT_DATE_E_RISULTATI_GIRONI,11,0)</f>
        <v>Basket Giovane</v>
      </c>
      <c r="K6" s="160" t="str">
        <f aca="false">VLOOKUP(ROW()-3&amp;RIGHT(K$3,1),B_CLASSIFICA_GIRONE_A,4,0)</f>
        <v>Tigri</v>
      </c>
      <c r="L6" s="161" t="n">
        <f aca="false">VLOOKUP(ROW()-3&amp;RIGHT(K$3,1),B_CLASSIFICA_GIRONE_A,5,0)</f>
        <v>3</v>
      </c>
      <c r="M6" s="161" t="n">
        <f aca="false">VLOOKUP(ROW()-3&amp;RIGHT(K$3,1),B_CLASSIFICA_GIRONE_A,6,0)</f>
        <v>1</v>
      </c>
      <c r="N6" s="161" t="n">
        <f aca="false">VLOOKUP(ROW()-3&amp;RIGHT(K$3,1),B_CLASSIFICA_GIRONE_A,7,0)</f>
        <v>2</v>
      </c>
      <c r="O6" s="161" t="n">
        <f aca="false">VLOOKUP(ROW()-3&amp;RIGHT(K$3,1),B_CLASSIFICA_GIRONE_A,8,0)</f>
        <v>0</v>
      </c>
      <c r="P6" s="161" t="n">
        <f aca="false">VLOOKUP(ROW()-3&amp;RIGHT(K$3,1),B_CLASSIFICA_GIRONE_A,9,0)</f>
        <v>4</v>
      </c>
      <c r="Q6" s="161" t="n">
        <f aca="false">VLOOKUP(ROW()-3&amp;RIGHT(K$3,1),B_CLASSIFICA_GIRONE_A,10,0)</f>
        <v>131</v>
      </c>
      <c r="R6" s="162" t="n">
        <f aca="false">VLOOKUP(ROW()-3&amp;RIGHT(K$3,1),B_CLASSIFICA_GIRONE_A,11,0)</f>
        <v>231</v>
      </c>
      <c r="T6" s="163" t="n">
        <v>49</v>
      </c>
      <c r="U6" s="164" t="str">
        <f aca="false">K4</f>
        <v>Leoni</v>
      </c>
      <c r="V6" s="165"/>
      <c r="W6" s="166" t="s">
        <v>189</v>
      </c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30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31"/>
      <c r="BT6" s="131"/>
      <c r="BU6" s="131"/>
      <c r="BV6" s="131"/>
      <c r="BW6" s="131"/>
      <c r="BX6" s="131"/>
      <c r="BY6" s="131"/>
      <c r="BZ6" s="131"/>
      <c r="CA6" s="131"/>
      <c r="CB6" s="131"/>
      <c r="CC6" s="131"/>
      <c r="CD6" s="131"/>
      <c r="CE6" s="131"/>
      <c r="CF6" s="13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31"/>
      <c r="CR6" s="131"/>
      <c r="CS6" s="131"/>
      <c r="CT6" s="131"/>
      <c r="CU6" s="131"/>
      <c r="CV6" s="152" t="s">
        <v>190</v>
      </c>
      <c r="CW6" s="153" t="n">
        <v>3</v>
      </c>
      <c r="CX6" s="167" t="n">
        <v>1</v>
      </c>
      <c r="CY6" s="167" t="n">
        <v>2</v>
      </c>
      <c r="CZ6" s="167" t="n">
        <v>0</v>
      </c>
      <c r="DA6" s="167" t="n">
        <v>2</v>
      </c>
      <c r="DB6" s="167" t="n">
        <v>1</v>
      </c>
      <c r="DC6" s="153" t="n">
        <v>1</v>
      </c>
      <c r="DD6" s="167" t="n">
        <v>5.0001</v>
      </c>
      <c r="DE6" s="167"/>
      <c r="DF6" s="154" t="n">
        <v>50103</v>
      </c>
      <c r="DG6" s="131" t="n">
        <v>2</v>
      </c>
    </row>
    <row r="7" customFormat="false" ht="15.95" hidden="false" customHeight="true" outlineLevel="0" collapsed="false">
      <c r="A7" s="139" t="n">
        <v>4</v>
      </c>
      <c r="B7" s="140" t="n">
        <f aca="false">VLOOKUP(A7,A_4_INPUT_DATE_E_RISULTATI_GIRONI,8,0)</f>
        <v>44354</v>
      </c>
      <c r="C7" s="141" t="n">
        <f aca="false">VLOOKUP(A7,A_4_INPUT_DATE_E_RISULTATI_GIRONI,9,0)</f>
        <v>0.666666666666667</v>
      </c>
      <c r="D7" s="155" t="str">
        <f aca="false">VLOOKUP(A7,A_4_INPUT_DATE_E_RISULTATI_GIRONI,4,0)</f>
        <v>Coccodrilli</v>
      </c>
      <c r="E7" s="143"/>
      <c r="F7" s="143"/>
      <c r="G7" s="144" t="str">
        <f aca="false">VLOOKUP(A7,A_4_INPUT_DATE_E_RISULTATI_GIRONI,5,0)</f>
        <v>Pitoni</v>
      </c>
      <c r="H7" s="146" t="str">
        <f aca="false">VLOOKUP(A7,A_4_INPUT_DATE_E_RISULTATI_GIRONI,3,0)</f>
        <v>D</v>
      </c>
      <c r="I7" s="146" t="str">
        <f aca="false">VLOOKUP(A7,A_4_INPUT_DATE_E_RISULTATI_GIRONI,11,0)</f>
        <v>Nuova Scuola</v>
      </c>
      <c r="K7" s="168" t="str">
        <f aca="false">VLOOKUP(ROW()-3&amp;RIGHT(K$3,1),B_CLASSIFICA_GIRONE_A,4,0)</f>
        <v>Ghepardi</v>
      </c>
      <c r="L7" s="169" t="n">
        <f aca="false">VLOOKUP(ROW()-3&amp;RIGHT(K$3,1),B_CLASSIFICA_GIRONE_A,5,0)</f>
        <v>3</v>
      </c>
      <c r="M7" s="169" t="n">
        <f aca="false">VLOOKUP(ROW()-3&amp;RIGHT(K$3,1),B_CLASSIFICA_GIRONE_A,6,0)</f>
        <v>0</v>
      </c>
      <c r="N7" s="169" t="n">
        <f aca="false">VLOOKUP(ROW()-3&amp;RIGHT(K$3,1),B_CLASSIFICA_GIRONE_A,7,0)</f>
        <v>3</v>
      </c>
      <c r="O7" s="169" t="n">
        <f aca="false">VLOOKUP(ROW()-3&amp;RIGHT(K$3,1),B_CLASSIFICA_GIRONE_A,8,0)</f>
        <v>0</v>
      </c>
      <c r="P7" s="169" t="n">
        <f aca="false">VLOOKUP(ROW()-3&amp;RIGHT(K$3,1),B_CLASSIFICA_GIRONE_A,9,0)</f>
        <v>3</v>
      </c>
      <c r="Q7" s="169" t="n">
        <f aca="false">VLOOKUP(ROW()-3&amp;RIGHT(K$3,1),B_CLASSIFICA_GIRONE_A,10,0)</f>
        <v>94</v>
      </c>
      <c r="R7" s="170" t="n">
        <f aca="false">VLOOKUP(ROW()-3&amp;RIGHT(K$3,1),B_CLASSIFICA_GIRONE_A,11,0)</f>
        <v>218</v>
      </c>
      <c r="T7" s="163"/>
      <c r="U7" s="171" t="str">
        <f aca="false">K15</f>
        <v>Giraffe</v>
      </c>
      <c r="V7" s="172"/>
      <c r="W7" s="173" t="s">
        <v>191</v>
      </c>
      <c r="X7" s="131"/>
      <c r="Y7" s="174" t="s">
        <v>192</v>
      </c>
      <c r="Z7" s="131"/>
      <c r="AA7" s="175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1"/>
      <c r="AZ7" s="131"/>
      <c r="BA7" s="131"/>
      <c r="BB7" s="131"/>
      <c r="BC7" s="131"/>
      <c r="BD7" s="131"/>
      <c r="BE7" s="131"/>
      <c r="BF7" s="131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31"/>
      <c r="BT7" s="131"/>
      <c r="BU7" s="131"/>
      <c r="BV7" s="131"/>
      <c r="BW7" s="131"/>
      <c r="BX7" s="131"/>
      <c r="BY7" s="131"/>
      <c r="BZ7" s="131"/>
      <c r="CA7" s="131"/>
      <c r="CB7" s="131"/>
      <c r="CC7" s="131"/>
      <c r="CD7" s="131"/>
      <c r="CE7" s="131"/>
      <c r="CF7" s="131"/>
      <c r="CG7" s="131"/>
      <c r="CH7" s="131"/>
      <c r="CI7" s="131"/>
      <c r="CJ7" s="131"/>
      <c r="CK7" s="131"/>
      <c r="CL7" s="131"/>
      <c r="CM7" s="131"/>
      <c r="CN7" s="131"/>
      <c r="CO7" s="131"/>
      <c r="CP7" s="131"/>
      <c r="CQ7" s="131"/>
      <c r="CR7" s="131"/>
      <c r="CS7" s="131"/>
      <c r="CT7" s="131"/>
      <c r="CU7" s="131"/>
      <c r="CV7" s="152" t="s">
        <v>193</v>
      </c>
      <c r="CW7" s="153" t="n">
        <v>3</v>
      </c>
      <c r="CX7" s="153" t="n">
        <v>0</v>
      </c>
      <c r="CY7" s="153" t="n">
        <v>1</v>
      </c>
      <c r="CZ7" s="153" t="n">
        <v>2</v>
      </c>
      <c r="DA7" s="153" t="n">
        <v>2</v>
      </c>
      <c r="DB7" s="153" t="n">
        <v>4</v>
      </c>
      <c r="DC7" s="153" t="n">
        <v>-2</v>
      </c>
      <c r="DD7" s="153" t="n">
        <v>0.9998</v>
      </c>
      <c r="DE7" s="153"/>
      <c r="DF7" s="154" t="n">
        <v>9800</v>
      </c>
      <c r="DG7" s="131" t="n">
        <v>3</v>
      </c>
    </row>
    <row r="8" customFormat="false" ht="15.95" hidden="false" customHeight="true" outlineLevel="0" collapsed="false">
      <c r="A8" s="139" t="n">
        <v>5</v>
      </c>
      <c r="B8" s="140" t="n">
        <f aca="false">VLOOKUP(A8,A_4_INPUT_DATE_E_RISULTATI_GIRONI,8,0)</f>
        <v>44354</v>
      </c>
      <c r="C8" s="141" t="n">
        <f aca="false">VLOOKUP(A8,A_4_INPUT_DATE_E_RISULTATI_GIRONI,9,0)</f>
        <v>0.75</v>
      </c>
      <c r="D8" s="155" t="str">
        <f aca="false">VLOOKUP(A8,A_4_INPUT_DATE_E_RISULTATI_GIRONI,4,0)</f>
        <v>Tigri</v>
      </c>
      <c r="E8" s="143"/>
      <c r="F8" s="143"/>
      <c r="G8" s="144" t="str">
        <f aca="false">VLOOKUP(A8,A_4_INPUT_DATE_E_RISULTATI_GIRONI,5,0)</f>
        <v>Ghepardi</v>
      </c>
      <c r="H8" s="146" t="str">
        <f aca="false">VLOOKUP(A8,A_4_INPUT_DATE_E_RISULTATI_GIRONI,3,0)</f>
        <v>A</v>
      </c>
      <c r="I8" s="146" t="str">
        <f aca="false">VLOOKUP(A8,A_4_INPUT_DATE_E_RISULTATI_GIRONI,11,0)</f>
        <v>Cristo Re 1</v>
      </c>
      <c r="K8" s="176" t="s">
        <v>194</v>
      </c>
      <c r="L8" s="177" t="s">
        <v>59</v>
      </c>
      <c r="M8" s="177" t="s">
        <v>174</v>
      </c>
      <c r="N8" s="177" t="s">
        <v>175</v>
      </c>
      <c r="O8" s="177" t="s">
        <v>54</v>
      </c>
      <c r="P8" s="177" t="s">
        <v>176</v>
      </c>
      <c r="Q8" s="177" t="s">
        <v>177</v>
      </c>
      <c r="R8" s="178" t="s">
        <v>178</v>
      </c>
      <c r="T8" s="150"/>
      <c r="U8" s="151"/>
      <c r="V8" s="179"/>
      <c r="W8" s="180"/>
      <c r="X8" s="131"/>
      <c r="Y8" s="181" t="n">
        <f aca="false">T34+1</f>
        <v>57</v>
      </c>
      <c r="Z8" s="164" t="str">
        <f aca="false">IF(V6&amp;V7="","Vincente "&amp;T6,IF(V6&gt;V7,U6,U7))</f>
        <v>Vincente 49</v>
      </c>
      <c r="AA8" s="165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1"/>
      <c r="AZ8" s="131"/>
      <c r="BA8" s="131"/>
      <c r="BB8" s="131"/>
      <c r="BC8" s="131"/>
      <c r="BD8" s="131"/>
      <c r="BE8" s="131"/>
      <c r="BF8" s="131"/>
      <c r="BG8" s="131"/>
      <c r="BH8" s="131"/>
      <c r="BI8" s="131"/>
      <c r="BJ8" s="131"/>
      <c r="BK8" s="131"/>
      <c r="BL8" s="131"/>
      <c r="BM8" s="131"/>
      <c r="BN8" s="131"/>
      <c r="BO8" s="131"/>
      <c r="BP8" s="131"/>
      <c r="BQ8" s="131"/>
      <c r="BR8" s="131"/>
      <c r="BS8" s="131"/>
      <c r="BT8" s="131"/>
      <c r="BU8" s="131"/>
      <c r="BV8" s="131"/>
      <c r="BW8" s="131"/>
      <c r="BX8" s="131"/>
      <c r="BY8" s="131"/>
      <c r="BZ8" s="131"/>
      <c r="CA8" s="131"/>
      <c r="CB8" s="131"/>
      <c r="CC8" s="131"/>
      <c r="CD8" s="131"/>
      <c r="CE8" s="131"/>
      <c r="CF8" s="131"/>
      <c r="CG8" s="131"/>
      <c r="CH8" s="131"/>
      <c r="CI8" s="131"/>
      <c r="CJ8" s="131"/>
      <c r="CK8" s="131"/>
      <c r="CL8" s="131"/>
      <c r="CM8" s="131"/>
      <c r="CN8" s="131"/>
      <c r="CO8" s="131"/>
      <c r="CP8" s="131"/>
      <c r="CQ8" s="131"/>
      <c r="CR8" s="131"/>
      <c r="CS8" s="131"/>
      <c r="CT8" s="131"/>
      <c r="CU8" s="131"/>
      <c r="CV8" s="182" t="s">
        <v>195</v>
      </c>
      <c r="CW8" s="182" t="s">
        <v>59</v>
      </c>
      <c r="CX8" s="182" t="s">
        <v>174</v>
      </c>
      <c r="CY8" s="182" t="s">
        <v>180</v>
      </c>
      <c r="CZ8" s="182" t="s">
        <v>175</v>
      </c>
      <c r="DA8" s="182" t="s">
        <v>181</v>
      </c>
      <c r="DB8" s="182" t="s">
        <v>182</v>
      </c>
      <c r="DC8" s="182"/>
      <c r="DD8" s="182" t="s">
        <v>184</v>
      </c>
      <c r="DE8" s="182"/>
      <c r="DF8" s="154"/>
      <c r="DG8" s="131"/>
    </row>
    <row r="9" customFormat="false" ht="15.95" hidden="false" customHeight="true" outlineLevel="0" collapsed="false">
      <c r="A9" s="139" t="n">
        <v>6</v>
      </c>
      <c r="B9" s="140" t="n">
        <f aca="false">VLOOKUP(A9,A_4_INPUT_DATE_E_RISULTATI_GIRONI,8,0)</f>
        <v>44354</v>
      </c>
      <c r="C9" s="141" t="n">
        <f aca="false">VLOOKUP(A9,A_4_INPUT_DATE_E_RISULTATI_GIRONI,9,0)</f>
        <v>0.75</v>
      </c>
      <c r="D9" s="155" t="str">
        <f aca="false">VLOOKUP(A9,A_4_INPUT_DATE_E_RISULTATI_GIRONI,4,0)</f>
        <v>Linci</v>
      </c>
      <c r="E9" s="143"/>
      <c r="F9" s="143"/>
      <c r="G9" s="144" t="str">
        <f aca="false">VLOOKUP(A9,A_4_INPUT_DATE_E_RISULTATI_GIRONI,5,0)</f>
        <v>Serval</v>
      </c>
      <c r="H9" s="146" t="str">
        <f aca="false">VLOOKUP(A9,A_4_INPUT_DATE_E_RISULTATI_GIRONI,3,0)</f>
        <v>B</v>
      </c>
      <c r="I9" s="146" t="str">
        <f aca="false">VLOOKUP(A9,A_4_INPUT_DATE_E_RISULTATI_GIRONI,11,0)</f>
        <v>Cristo Re 2</v>
      </c>
      <c r="K9" s="147" t="str">
        <f aca="false">VLOOKUP(ROW()-8&amp;RIGHT(K$8,1),B_CLASSIFICA_GIRONE_B,4,0)</f>
        <v>Giaguari</v>
      </c>
      <c r="L9" s="148" t="n">
        <f aca="false">VLOOKUP(ROW()-8&amp;RIGHT(K$8,1),B_CLASSIFICA_GIRONE_B,5,0)</f>
        <v>3</v>
      </c>
      <c r="M9" s="148" t="n">
        <f aca="false">VLOOKUP(ROW()-8&amp;RIGHT(K$8,1),B_CLASSIFICA_GIRONE_B,6,0)</f>
        <v>2</v>
      </c>
      <c r="N9" s="148" t="n">
        <f aca="false">VLOOKUP(ROW()-8&amp;RIGHT(K$8,1),B_CLASSIFICA_GIRONE_B,7,0)</f>
        <v>1</v>
      </c>
      <c r="O9" s="148" t="n">
        <f aca="false">VLOOKUP(ROW()-8&amp;RIGHT(K$8,1),B_CLASSIFICA_GIRONE_B,8,0)</f>
        <v>0</v>
      </c>
      <c r="P9" s="148" t="n">
        <f aca="false">VLOOKUP(ROW()-8&amp;RIGHT(K$8,1),B_CLASSIFICA_GIRONE_B,9,0)</f>
        <v>5</v>
      </c>
      <c r="Q9" s="148" t="n">
        <f aca="false">VLOOKUP(ROW()-8&amp;RIGHT(K$8,1),B_CLASSIFICA_GIRONE_B,10,0)</f>
        <v>199</v>
      </c>
      <c r="R9" s="149" t="n">
        <f aca="false">VLOOKUP(ROW()-8&amp;RIGHT(K$8,1),B_CLASSIFICA_GIRONE_B,11,0)</f>
        <v>192</v>
      </c>
      <c r="T9" s="159" t="s">
        <v>196</v>
      </c>
      <c r="U9" s="159"/>
      <c r="V9" s="159"/>
      <c r="W9" s="180"/>
      <c r="X9" s="183"/>
      <c r="Y9" s="181"/>
      <c r="Z9" s="171" t="str">
        <f aca="false">IF(V10&amp;V11="","Vincente "&amp;T10,IF(V10&gt;V11,U10,U11))</f>
        <v>Vincente 50</v>
      </c>
      <c r="AA9" s="172"/>
      <c r="AB9" s="184"/>
      <c r="AC9" s="131"/>
      <c r="AD9" s="131"/>
      <c r="AE9" s="131"/>
      <c r="AF9" s="131"/>
      <c r="AG9" s="131"/>
      <c r="AH9" s="131"/>
      <c r="AI9" s="131"/>
      <c r="AJ9" s="131"/>
      <c r="AK9" s="131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30"/>
      <c r="AY9" s="131"/>
      <c r="AZ9" s="131"/>
      <c r="BA9" s="131"/>
      <c r="BB9" s="131"/>
      <c r="BC9" s="131"/>
      <c r="BD9" s="131"/>
      <c r="BE9" s="131"/>
      <c r="BF9" s="131"/>
      <c r="BG9" s="131"/>
      <c r="BH9" s="131"/>
      <c r="BI9" s="131"/>
      <c r="BJ9" s="131"/>
      <c r="BK9" s="131"/>
      <c r="BL9" s="131"/>
      <c r="BM9" s="131"/>
      <c r="BN9" s="131"/>
      <c r="BO9" s="131"/>
      <c r="BP9" s="131"/>
      <c r="BQ9" s="131"/>
      <c r="BR9" s="131"/>
      <c r="BS9" s="131"/>
      <c r="BT9" s="131"/>
      <c r="BU9" s="131"/>
      <c r="BV9" s="131"/>
      <c r="BW9" s="131"/>
      <c r="BX9" s="131"/>
      <c r="BY9" s="131"/>
      <c r="BZ9" s="131"/>
      <c r="CA9" s="131"/>
      <c r="CB9" s="131"/>
      <c r="CC9" s="131"/>
      <c r="CD9" s="131"/>
      <c r="CE9" s="131"/>
      <c r="CF9" s="131"/>
      <c r="CG9" s="131"/>
      <c r="CH9" s="131"/>
      <c r="CI9" s="131"/>
      <c r="CJ9" s="131"/>
      <c r="CK9" s="131"/>
      <c r="CL9" s="131"/>
      <c r="CM9" s="131"/>
      <c r="CN9" s="131"/>
      <c r="CO9" s="131"/>
      <c r="CP9" s="131"/>
      <c r="CQ9" s="131"/>
      <c r="CR9" s="131"/>
      <c r="CS9" s="131"/>
      <c r="CT9" s="131"/>
      <c r="CU9" s="131"/>
      <c r="CV9" s="152" t="s">
        <v>197</v>
      </c>
      <c r="CW9" s="153" t="n">
        <v>3</v>
      </c>
      <c r="CX9" s="153" t="n">
        <v>1</v>
      </c>
      <c r="CY9" s="153" t="n">
        <v>2</v>
      </c>
      <c r="CZ9" s="153" t="n">
        <v>0</v>
      </c>
      <c r="DA9" s="153" t="n">
        <v>3</v>
      </c>
      <c r="DB9" s="153" t="n">
        <v>2</v>
      </c>
      <c r="DC9" s="153"/>
      <c r="DD9" s="153" t="n">
        <v>5.0001</v>
      </c>
      <c r="DE9" s="153"/>
      <c r="DF9" s="154" t="n">
        <v>50104</v>
      </c>
      <c r="DG9" s="131"/>
    </row>
    <row r="10" customFormat="false" ht="15.95" hidden="false" customHeight="true" outlineLevel="0" collapsed="false">
      <c r="A10" s="139" t="n">
        <v>7</v>
      </c>
      <c r="B10" s="140" t="n">
        <f aca="false">VLOOKUP(A10,A_4_INPUT_DATE_E_RISULTATI_GIRONI,8,0)</f>
        <v>44354</v>
      </c>
      <c r="C10" s="141" t="n">
        <f aca="false">VLOOKUP(A10,A_4_INPUT_DATE_E_RISULTATI_GIRONI,9,0)</f>
        <v>0.75</v>
      </c>
      <c r="D10" s="155" t="str">
        <f aca="false">VLOOKUP(A10,A_4_INPUT_DATE_E_RISULTATI_GIRONI,4,0)</f>
        <v>Ippopotami</v>
      </c>
      <c r="E10" s="143"/>
      <c r="F10" s="143"/>
      <c r="G10" s="144" t="str">
        <f aca="false">VLOOKUP(A10,A_4_INPUT_DATE_E_RISULTATI_GIRONI,5,0)</f>
        <v>Iguane</v>
      </c>
      <c r="H10" s="146" t="str">
        <f aca="false">VLOOKUP(A10,A_4_INPUT_DATE_E_RISULTATI_GIRONI,3,0)</f>
        <v>C</v>
      </c>
      <c r="I10" s="146" t="str">
        <f aca="false">VLOOKUP(A10,A_4_INPUT_DATE_E_RISULTATI_GIRONI,11,0)</f>
        <v>Basket Giovane</v>
      </c>
      <c r="K10" s="156" t="str">
        <f aca="false">VLOOKUP(ROW()-8&amp;RIGHT(K$8,1),B_CLASSIFICA_GIRONE_B,4,0)</f>
        <v>Puma</v>
      </c>
      <c r="L10" s="157" t="n">
        <f aca="false">VLOOKUP(ROW()-8&amp;RIGHT(K$8,1),B_CLASSIFICA_GIRONE_B,5,0)</f>
        <v>3</v>
      </c>
      <c r="M10" s="157" t="n">
        <f aca="false">VLOOKUP(ROW()-8&amp;RIGHT(K$8,1),B_CLASSIFICA_GIRONE_B,6,0)</f>
        <v>2</v>
      </c>
      <c r="N10" s="157" t="n">
        <f aca="false">VLOOKUP(ROW()-8&amp;RIGHT(K$8,1),B_CLASSIFICA_GIRONE_B,7,0)</f>
        <v>1</v>
      </c>
      <c r="O10" s="157" t="n">
        <f aca="false">VLOOKUP(ROW()-8&amp;RIGHT(K$8,1),B_CLASSIFICA_GIRONE_B,8,0)</f>
        <v>0</v>
      </c>
      <c r="P10" s="157" t="n">
        <f aca="false">VLOOKUP(ROW()-8&amp;RIGHT(K$8,1),B_CLASSIFICA_GIRONE_B,9,0)</f>
        <v>5</v>
      </c>
      <c r="Q10" s="157" t="n">
        <f aca="false">VLOOKUP(ROW()-8&amp;RIGHT(K$8,1),B_CLASSIFICA_GIRONE_B,10,0)</f>
        <v>216</v>
      </c>
      <c r="R10" s="158" t="n">
        <f aca="false">VLOOKUP(ROW()-8&amp;RIGHT(K$8,1),B_CLASSIFICA_GIRONE_B,11,0)</f>
        <v>184</v>
      </c>
      <c r="T10" s="163" t="n">
        <f aca="false">T6+1</f>
        <v>50</v>
      </c>
      <c r="U10" s="185" t="str">
        <f aca="false">K9</f>
        <v>Giaguari</v>
      </c>
      <c r="V10" s="165"/>
      <c r="W10" s="186" t="s">
        <v>198</v>
      </c>
      <c r="X10" s="131"/>
      <c r="Y10" s="131"/>
      <c r="Z10" s="131"/>
      <c r="AA10" s="179"/>
      <c r="AB10" s="180"/>
      <c r="AC10" s="131"/>
      <c r="AD10" s="131"/>
      <c r="AE10" s="131"/>
      <c r="AF10" s="131"/>
      <c r="AG10" s="131"/>
      <c r="AH10" s="131"/>
      <c r="AI10" s="131"/>
      <c r="AJ10" s="131"/>
      <c r="AK10" s="131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1"/>
      <c r="AZ10" s="131"/>
      <c r="BA10" s="131"/>
      <c r="BB10" s="131"/>
      <c r="BC10" s="131"/>
      <c r="BD10" s="131"/>
      <c r="BE10" s="131"/>
      <c r="BF10" s="131"/>
      <c r="BG10" s="131"/>
      <c r="BH10" s="131"/>
      <c r="BI10" s="131"/>
      <c r="BJ10" s="131"/>
      <c r="BK10" s="131"/>
      <c r="BL10" s="131"/>
      <c r="BM10" s="131"/>
      <c r="BN10" s="131"/>
      <c r="BO10" s="131"/>
      <c r="BP10" s="131"/>
      <c r="BQ10" s="131"/>
      <c r="BR10" s="131"/>
      <c r="BS10" s="131"/>
      <c r="BT10" s="131"/>
      <c r="BU10" s="131"/>
      <c r="BV10" s="131"/>
      <c r="BW10" s="131"/>
      <c r="BX10" s="131"/>
      <c r="BY10" s="131"/>
      <c r="BZ10" s="131"/>
      <c r="CA10" s="131"/>
      <c r="CB10" s="131"/>
      <c r="CC10" s="131"/>
      <c r="CD10" s="131"/>
      <c r="CE10" s="131"/>
      <c r="CF10" s="131"/>
      <c r="CG10" s="131"/>
      <c r="CH10" s="131"/>
      <c r="CI10" s="131"/>
      <c r="CJ10" s="131"/>
      <c r="CK10" s="131"/>
      <c r="CL10" s="131"/>
      <c r="CM10" s="131"/>
      <c r="CN10" s="131"/>
      <c r="CO10" s="131"/>
      <c r="CP10" s="131"/>
      <c r="CQ10" s="131"/>
      <c r="CR10" s="131"/>
      <c r="CS10" s="131"/>
      <c r="CT10" s="131"/>
      <c r="CU10" s="131"/>
      <c r="CV10" s="152" t="s">
        <v>199</v>
      </c>
      <c r="CW10" s="153" t="n">
        <v>3</v>
      </c>
      <c r="CX10" s="153" t="n">
        <v>2</v>
      </c>
      <c r="CY10" s="153" t="n">
        <v>0</v>
      </c>
      <c r="CZ10" s="153" t="n">
        <v>1</v>
      </c>
      <c r="DA10" s="153" t="n">
        <v>6</v>
      </c>
      <c r="DB10" s="153" t="n">
        <v>3</v>
      </c>
      <c r="DC10" s="153"/>
      <c r="DD10" s="153" t="n">
        <v>6.0003</v>
      </c>
      <c r="DE10" s="153"/>
      <c r="DF10" s="154" t="n">
        <v>60309</v>
      </c>
      <c r="DG10" s="131"/>
    </row>
    <row r="11" customFormat="false" ht="15.95" hidden="false" customHeight="true" outlineLevel="0" collapsed="false">
      <c r="A11" s="139" t="n">
        <v>8</v>
      </c>
      <c r="B11" s="140" t="n">
        <f aca="false">VLOOKUP(A11,A_4_INPUT_DATE_E_RISULTATI_GIRONI,8,0)</f>
        <v>44354</v>
      </c>
      <c r="C11" s="141" t="n">
        <f aca="false">VLOOKUP(A11,A_4_INPUT_DATE_E_RISULTATI_GIRONI,9,0)</f>
        <v>0.75</v>
      </c>
      <c r="D11" s="155" t="str">
        <f aca="false">VLOOKUP(A11,A_4_INPUT_DATE_E_RISULTATI_GIRONI,4,0)</f>
        <v>Aquile</v>
      </c>
      <c r="E11" s="143"/>
      <c r="F11" s="143"/>
      <c r="G11" s="144" t="str">
        <f aca="false">VLOOKUP(A11,A_4_INPUT_DATE_E_RISULTATI_GIRONI,5,0)</f>
        <v>Falchi</v>
      </c>
      <c r="H11" s="146" t="str">
        <f aca="false">VLOOKUP(A11,A_4_INPUT_DATE_E_RISULTATI_GIRONI,3,0)</f>
        <v>D</v>
      </c>
      <c r="I11" s="146" t="str">
        <f aca="false">VLOOKUP(A11,A_4_INPUT_DATE_E_RISULTATI_GIRONI,11,0)</f>
        <v>Nuova Scuola</v>
      </c>
      <c r="K11" s="160" t="str">
        <f aca="false">VLOOKUP(ROW()-8&amp;RIGHT(K$8,1),B_CLASSIFICA_GIRONE_B,4,0)</f>
        <v>Linci</v>
      </c>
      <c r="L11" s="161" t="n">
        <f aca="false">VLOOKUP(ROW()-8&amp;RIGHT(K$8,1),B_CLASSIFICA_GIRONE_B,5,0)</f>
        <v>3</v>
      </c>
      <c r="M11" s="161" t="n">
        <f aca="false">VLOOKUP(ROW()-8&amp;RIGHT(K$8,1),B_CLASSIFICA_GIRONE_B,6,0)</f>
        <v>1</v>
      </c>
      <c r="N11" s="161" t="n">
        <f aca="false">VLOOKUP(ROW()-8&amp;RIGHT(K$8,1),B_CLASSIFICA_GIRONE_B,7,0)</f>
        <v>2</v>
      </c>
      <c r="O11" s="161" t="n">
        <f aca="false">VLOOKUP(ROW()-8&amp;RIGHT(K$8,1),B_CLASSIFICA_GIRONE_B,8,0)</f>
        <v>0</v>
      </c>
      <c r="P11" s="161" t="n">
        <f aca="false">VLOOKUP(ROW()-8&amp;RIGHT(K$8,1),B_CLASSIFICA_GIRONE_B,9,0)</f>
        <v>4</v>
      </c>
      <c r="Q11" s="161" t="n">
        <f aca="false">VLOOKUP(ROW()-8&amp;RIGHT(K$8,1),B_CLASSIFICA_GIRONE_B,10,0)</f>
        <v>181</v>
      </c>
      <c r="R11" s="162" t="n">
        <f aca="false">VLOOKUP(ROW()-8&amp;RIGHT(K$8,1),B_CLASSIFICA_GIRONE_B,11,0)</f>
        <v>197</v>
      </c>
      <c r="T11" s="163"/>
      <c r="U11" s="187" t="str">
        <f aca="false">K20</f>
        <v>Pitoni</v>
      </c>
      <c r="V11" s="172"/>
      <c r="W11" s="166" t="s">
        <v>200</v>
      </c>
      <c r="X11" s="131"/>
      <c r="Y11" s="131"/>
      <c r="Z11" s="131"/>
      <c r="AA11" s="179"/>
      <c r="AB11" s="180"/>
      <c r="AC11" s="131"/>
      <c r="AD11" s="174" t="s">
        <v>201</v>
      </c>
      <c r="AE11" s="131"/>
      <c r="AF11" s="131"/>
      <c r="AG11" s="131"/>
      <c r="AH11" s="131"/>
      <c r="AI11" s="131"/>
      <c r="AJ11" s="131"/>
      <c r="AK11" s="131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1"/>
      <c r="AZ11" s="131"/>
      <c r="BA11" s="131"/>
      <c r="BB11" s="131"/>
      <c r="BC11" s="131"/>
      <c r="BD11" s="131"/>
      <c r="BE11" s="131"/>
      <c r="BF11" s="131"/>
      <c r="BG11" s="131"/>
      <c r="BH11" s="131"/>
      <c r="BI11" s="131"/>
      <c r="BJ11" s="131"/>
      <c r="BK11" s="131"/>
      <c r="BL11" s="131"/>
      <c r="BM11" s="131"/>
      <c r="BN11" s="131"/>
      <c r="BO11" s="131"/>
      <c r="BP11" s="131"/>
      <c r="BQ11" s="131"/>
      <c r="BR11" s="131"/>
      <c r="BS11" s="131"/>
      <c r="BT11" s="131"/>
      <c r="BU11" s="131"/>
      <c r="BV11" s="131"/>
      <c r="BW11" s="131"/>
      <c r="BX11" s="131"/>
      <c r="BY11" s="131"/>
      <c r="BZ11" s="131"/>
      <c r="CA11" s="131"/>
      <c r="CB11" s="131"/>
      <c r="CC11" s="131"/>
      <c r="CD11" s="131"/>
      <c r="CE11" s="131"/>
      <c r="CF11" s="131"/>
      <c r="CG11" s="131"/>
      <c r="CH11" s="131"/>
      <c r="CI11" s="131"/>
      <c r="CJ11" s="131"/>
      <c r="CK11" s="131"/>
      <c r="CL11" s="131"/>
      <c r="CM11" s="131"/>
      <c r="CN11" s="131"/>
      <c r="CO11" s="131"/>
      <c r="CP11" s="131"/>
      <c r="CQ11" s="131"/>
      <c r="CR11" s="131"/>
      <c r="CS11" s="131"/>
      <c r="CT11" s="131"/>
      <c r="CU11" s="131"/>
      <c r="CV11" s="152" t="s">
        <v>202</v>
      </c>
      <c r="CW11" s="153" t="n">
        <v>3</v>
      </c>
      <c r="CX11" s="167" t="n">
        <v>1</v>
      </c>
      <c r="CY11" s="167" t="n">
        <v>1</v>
      </c>
      <c r="CZ11" s="167" t="n">
        <v>1</v>
      </c>
      <c r="DA11" s="167" t="n">
        <v>3</v>
      </c>
      <c r="DB11" s="167" t="n">
        <v>3</v>
      </c>
      <c r="DC11" s="167"/>
      <c r="DD11" s="167" t="n">
        <v>4</v>
      </c>
      <c r="DE11" s="167"/>
      <c r="DF11" s="154" t="n">
        <v>40003</v>
      </c>
      <c r="DG11" s="131"/>
    </row>
    <row r="12" customFormat="false" ht="15.95" hidden="false" customHeight="true" outlineLevel="0" collapsed="false">
      <c r="A12" s="139"/>
      <c r="B12" s="140"/>
      <c r="C12" s="141"/>
      <c r="D12" s="155"/>
      <c r="E12" s="143"/>
      <c r="F12" s="143"/>
      <c r="G12" s="144"/>
      <c r="H12" s="146"/>
      <c r="I12" s="146"/>
      <c r="K12" s="168" t="str">
        <f aca="false">VLOOKUP(ROW()-8&amp;RIGHT(K$8,1),B_CLASSIFICA_GIRONE_B,4,0)</f>
        <v>Serval</v>
      </c>
      <c r="L12" s="169" t="n">
        <f aca="false">VLOOKUP(ROW()-8&amp;RIGHT(K$8,1),B_CLASSIFICA_GIRONE_B,5,0)</f>
        <v>3</v>
      </c>
      <c r="M12" s="169" t="n">
        <f aca="false">VLOOKUP(ROW()-8&amp;RIGHT(K$8,1),B_CLASSIFICA_GIRONE_B,6,0)</f>
        <v>1</v>
      </c>
      <c r="N12" s="169" t="n">
        <f aca="false">VLOOKUP(ROW()-8&amp;RIGHT(K$8,1),B_CLASSIFICA_GIRONE_B,7,0)</f>
        <v>2</v>
      </c>
      <c r="O12" s="169" t="n">
        <f aca="false">VLOOKUP(ROW()-8&amp;RIGHT(K$8,1),B_CLASSIFICA_GIRONE_B,8,0)</f>
        <v>0</v>
      </c>
      <c r="P12" s="169" t="n">
        <f aca="false">VLOOKUP(ROW()-8&amp;RIGHT(K$8,1),B_CLASSIFICA_GIRONE_B,9,0)</f>
        <v>4</v>
      </c>
      <c r="Q12" s="169" t="n">
        <f aca="false">VLOOKUP(ROW()-8&amp;RIGHT(K$8,1),B_CLASSIFICA_GIRONE_B,10,0)</f>
        <v>183</v>
      </c>
      <c r="R12" s="170" t="n">
        <f aca="false">VLOOKUP(ROW()-8&amp;RIGHT(K$8,1),B_CLASSIFICA_GIRONE_B,11,0)</f>
        <v>206</v>
      </c>
      <c r="T12" s="150"/>
      <c r="U12" s="151"/>
      <c r="V12" s="179"/>
      <c r="W12" s="131"/>
      <c r="X12" s="131"/>
      <c r="Y12" s="131"/>
      <c r="Z12" s="131"/>
      <c r="AA12" s="179"/>
      <c r="AB12" s="180"/>
      <c r="AC12" s="131"/>
      <c r="AD12" s="188" t="n">
        <f aca="false">Y32+1</f>
        <v>61</v>
      </c>
      <c r="AE12" s="164" t="str">
        <f aca="false">IF(AA8&amp;AA9="","Vincente "&amp;Y8,IF(AA8&gt;AA9,Z8,Z9))</f>
        <v>Vincente 57</v>
      </c>
      <c r="AF12" s="165"/>
      <c r="AG12" s="131"/>
      <c r="AH12" s="189"/>
      <c r="AI12" s="131"/>
      <c r="AJ12" s="131"/>
      <c r="AK12" s="131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1"/>
      <c r="AZ12" s="131"/>
      <c r="BA12" s="131"/>
      <c r="BB12" s="131"/>
      <c r="BC12" s="131"/>
      <c r="BD12" s="131"/>
      <c r="BE12" s="131"/>
      <c r="BF12" s="131"/>
      <c r="BG12" s="131"/>
      <c r="BH12" s="131"/>
      <c r="BI12" s="131"/>
      <c r="BJ12" s="131"/>
      <c r="BK12" s="131"/>
      <c r="BL12" s="131"/>
      <c r="BM12" s="131"/>
      <c r="BN12" s="131"/>
      <c r="BO12" s="131"/>
      <c r="BP12" s="131"/>
      <c r="BQ12" s="131"/>
      <c r="BR12" s="131"/>
      <c r="BS12" s="131"/>
      <c r="BT12" s="131"/>
      <c r="BU12" s="131"/>
      <c r="BV12" s="131"/>
      <c r="BW12" s="131"/>
      <c r="BX12" s="131"/>
      <c r="BY12" s="131"/>
      <c r="BZ12" s="131"/>
      <c r="CA12" s="131"/>
      <c r="CB12" s="131"/>
      <c r="CC12" s="131"/>
      <c r="CD12" s="131"/>
      <c r="CE12" s="131"/>
      <c r="CF12" s="131"/>
      <c r="CG12" s="131"/>
      <c r="CH12" s="131"/>
      <c r="CI12" s="131"/>
      <c r="CJ12" s="131"/>
      <c r="CK12" s="131"/>
      <c r="CL12" s="131"/>
      <c r="CM12" s="131"/>
      <c r="CN12" s="131"/>
      <c r="CO12" s="131"/>
      <c r="CP12" s="131"/>
      <c r="CQ12" s="131"/>
      <c r="CR12" s="131"/>
      <c r="CS12" s="131"/>
      <c r="CT12" s="131"/>
      <c r="CU12" s="131"/>
      <c r="CV12" s="152" t="s">
        <v>203</v>
      </c>
      <c r="CW12" s="153" t="n">
        <v>3</v>
      </c>
      <c r="CX12" s="153" t="n">
        <v>0</v>
      </c>
      <c r="CY12" s="153" t="n">
        <v>1</v>
      </c>
      <c r="CZ12" s="153" t="n">
        <v>2</v>
      </c>
      <c r="DA12" s="153" t="n">
        <v>2</v>
      </c>
      <c r="DB12" s="153" t="n">
        <v>6</v>
      </c>
      <c r="DC12" s="153"/>
      <c r="DD12" s="153" t="n">
        <v>0.9996</v>
      </c>
      <c r="DE12" s="153"/>
      <c r="DF12" s="154" t="n">
        <v>9598</v>
      </c>
      <c r="DG12" s="131"/>
    </row>
    <row r="13" customFormat="false" ht="15.95" hidden="false" customHeight="true" outlineLevel="0" collapsed="false">
      <c r="A13" s="139" t="n">
        <v>9</v>
      </c>
      <c r="B13" s="140" t="n">
        <f aca="false">VLOOKUP(A13,A_4_INPUT_DATE_E_RISULTATI_GIRONI,8,0)</f>
        <v>44355</v>
      </c>
      <c r="C13" s="141" t="n">
        <f aca="false">VLOOKUP(A13,A_4_INPUT_DATE_E_RISULTATI_GIRONI,9,0)</f>
        <v>0.375</v>
      </c>
      <c r="D13" s="155" t="str">
        <f aca="false">VLOOKUP(A13,A_4_INPUT_DATE_E_RISULTATI_GIRONI,4,0)</f>
        <v>Leoni</v>
      </c>
      <c r="E13" s="143"/>
      <c r="F13" s="143"/>
      <c r="G13" s="144" t="str">
        <f aca="false">VLOOKUP(A13,A_4_INPUT_DATE_E_RISULTATI_GIRONI,5,0)</f>
        <v>Tigri</v>
      </c>
      <c r="H13" s="146" t="str">
        <f aca="false">VLOOKUP(A13,A_4_INPUT_DATE_E_RISULTATI_GIRONI,3,0)</f>
        <v>A</v>
      </c>
      <c r="I13" s="146" t="str">
        <f aca="false">VLOOKUP(A13,A_4_INPUT_DATE_E_RISULTATI_GIRONI,11,0)</f>
        <v>Cristo Re 1</v>
      </c>
      <c r="K13" s="190" t="s">
        <v>204</v>
      </c>
      <c r="L13" s="191" t="s">
        <v>59</v>
      </c>
      <c r="M13" s="191" t="s">
        <v>174</v>
      </c>
      <c r="N13" s="191" t="s">
        <v>175</v>
      </c>
      <c r="O13" s="191" t="s">
        <v>54</v>
      </c>
      <c r="P13" s="191" t="s">
        <v>176</v>
      </c>
      <c r="Q13" s="191" t="s">
        <v>177</v>
      </c>
      <c r="R13" s="192" t="s">
        <v>178</v>
      </c>
      <c r="T13" s="174" t="s">
        <v>205</v>
      </c>
      <c r="U13" s="151"/>
      <c r="V13" s="193"/>
      <c r="W13" s="131"/>
      <c r="X13" s="131"/>
      <c r="Y13" s="131"/>
      <c r="Z13" s="131"/>
      <c r="AA13" s="193"/>
      <c r="AB13" s="180"/>
      <c r="AC13" s="183"/>
      <c r="AD13" s="188"/>
      <c r="AE13" s="171" t="str">
        <f aca="false">IF(AA16&amp;AA17="","Vincente "&amp;Y16,IF(AA16&gt;AA17,Z16,Z17))</f>
        <v>Vincente 58</v>
      </c>
      <c r="AF13" s="172"/>
      <c r="AG13" s="184"/>
      <c r="AH13" s="194"/>
      <c r="AI13" s="131"/>
      <c r="AJ13" s="131"/>
      <c r="AK13" s="131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1"/>
      <c r="AZ13" s="131"/>
      <c r="BA13" s="131"/>
      <c r="BB13" s="131"/>
      <c r="BC13" s="131"/>
      <c r="BD13" s="131"/>
      <c r="BE13" s="131"/>
      <c r="BF13" s="131"/>
      <c r="BG13" s="131"/>
      <c r="BH13" s="131"/>
      <c r="BI13" s="131"/>
      <c r="BJ13" s="131"/>
      <c r="BK13" s="131"/>
      <c r="BL13" s="131"/>
      <c r="BM13" s="131"/>
      <c r="BN13" s="131"/>
      <c r="BO13" s="131"/>
      <c r="BP13" s="131"/>
      <c r="BQ13" s="131"/>
      <c r="BR13" s="131"/>
      <c r="BS13" s="131"/>
      <c r="BT13" s="131"/>
      <c r="BU13" s="131"/>
      <c r="BV13" s="131"/>
      <c r="BW13" s="131"/>
      <c r="BX13" s="131"/>
      <c r="BY13" s="131"/>
      <c r="BZ13" s="131"/>
      <c r="CA13" s="131"/>
      <c r="CB13" s="131"/>
      <c r="CC13" s="131"/>
      <c r="CD13" s="131"/>
      <c r="CE13" s="131"/>
      <c r="CF13" s="131"/>
      <c r="CG13" s="131"/>
      <c r="CH13" s="131"/>
      <c r="CI13" s="131"/>
      <c r="CJ13" s="131"/>
      <c r="CK13" s="131"/>
      <c r="CL13" s="131"/>
      <c r="CM13" s="131"/>
      <c r="CN13" s="131"/>
      <c r="CO13" s="131"/>
      <c r="CP13" s="131"/>
      <c r="CQ13" s="131"/>
      <c r="CR13" s="131"/>
      <c r="CS13" s="131"/>
      <c r="CT13" s="131"/>
      <c r="CU13" s="131"/>
      <c r="CV13" s="195" t="s">
        <v>206</v>
      </c>
      <c r="CW13" s="195" t="s">
        <v>59</v>
      </c>
      <c r="CX13" s="195" t="s">
        <v>174</v>
      </c>
      <c r="CY13" s="195" t="s">
        <v>180</v>
      </c>
      <c r="CZ13" s="195" t="s">
        <v>175</v>
      </c>
      <c r="DA13" s="195" t="s">
        <v>181</v>
      </c>
      <c r="DB13" s="195" t="s">
        <v>182</v>
      </c>
      <c r="DC13" s="195"/>
      <c r="DD13" s="195" t="s">
        <v>184</v>
      </c>
      <c r="DE13" s="195"/>
      <c r="DF13" s="154"/>
      <c r="DG13" s="131"/>
    </row>
    <row r="14" customFormat="false" ht="15.95" hidden="false" customHeight="true" outlineLevel="0" collapsed="false">
      <c r="A14" s="139" t="n">
        <v>10</v>
      </c>
      <c r="B14" s="140" t="n">
        <f aca="false">VLOOKUP(A14,A_4_INPUT_DATE_E_RISULTATI_GIRONI,8,0)</f>
        <v>44355</v>
      </c>
      <c r="C14" s="141" t="n">
        <f aca="false">VLOOKUP(A14,A_4_INPUT_DATE_E_RISULTATI_GIRONI,9,0)</f>
        <v>0.375</v>
      </c>
      <c r="D14" s="155" t="str">
        <f aca="false">VLOOKUP(A14,A_4_INPUT_DATE_E_RISULTATI_GIRONI,4,0)</f>
        <v>Giaguari</v>
      </c>
      <c r="E14" s="143"/>
      <c r="F14" s="143"/>
      <c r="G14" s="144" t="str">
        <f aca="false">VLOOKUP(A14,A_4_INPUT_DATE_E_RISULTATI_GIRONI,5,0)</f>
        <v>Linci</v>
      </c>
      <c r="H14" s="146" t="str">
        <f aca="false">VLOOKUP(A14,A_4_INPUT_DATE_E_RISULTATI_GIRONI,3,0)</f>
        <v>B</v>
      </c>
      <c r="I14" s="146" t="str">
        <f aca="false">VLOOKUP(A14,A_4_INPUT_DATE_E_RISULTATI_GIRONI,11,0)</f>
        <v>Cristo Re 2</v>
      </c>
      <c r="K14" s="147" t="str">
        <f aca="false">VLOOKUP(ROW()-13&amp;RIGHT(K$13,1),B_CLASSIFICA_GIRONE_C,4,0)</f>
        <v>Elefanti</v>
      </c>
      <c r="L14" s="148" t="n">
        <f aca="false">VLOOKUP(ROW()-13&amp;RIGHT(K$13,1),B_CLASSIFICA_GIRONE_C,5,0)</f>
        <v>3</v>
      </c>
      <c r="M14" s="148" t="n">
        <f aca="false">VLOOKUP(ROW()-13&amp;RIGHT(K$13,1),B_CLASSIFICA_GIRONE_C,6,0)</f>
        <v>2</v>
      </c>
      <c r="N14" s="148" t="n">
        <f aca="false">VLOOKUP(ROW()-13&amp;RIGHT(K$13,1),B_CLASSIFICA_GIRONE_C,7,0)</f>
        <v>1</v>
      </c>
      <c r="O14" s="148" t="n">
        <f aca="false">VLOOKUP(ROW()-13&amp;RIGHT(K$13,1),B_CLASSIFICA_GIRONE_C,8,0)</f>
        <v>0</v>
      </c>
      <c r="P14" s="148" t="n">
        <f aca="false">VLOOKUP(ROW()-13&amp;RIGHT(K$13,1),B_CLASSIFICA_GIRONE_C,9,0)</f>
        <v>5</v>
      </c>
      <c r="Q14" s="148" t="n">
        <f aca="false">VLOOKUP(ROW()-13&amp;RIGHT(K$13,1),B_CLASSIFICA_GIRONE_C,10,0)</f>
        <v>223</v>
      </c>
      <c r="R14" s="149" t="n">
        <f aca="false">VLOOKUP(ROW()-13&amp;RIGHT(K$13,1),B_CLASSIFICA_GIRONE_C,11,0)</f>
        <v>188</v>
      </c>
      <c r="T14" s="163" t="n">
        <f aca="false">T10+1</f>
        <v>51</v>
      </c>
      <c r="U14" s="185" t="str">
        <f aca="false">K24</f>
        <v>Bisonti</v>
      </c>
      <c r="V14" s="165"/>
      <c r="W14" s="166" t="s">
        <v>207</v>
      </c>
      <c r="X14" s="131"/>
      <c r="Y14" s="131"/>
      <c r="Z14" s="131"/>
      <c r="AA14" s="193"/>
      <c r="AB14" s="180"/>
      <c r="AC14" s="131"/>
      <c r="AD14" s="131"/>
      <c r="AE14" s="131"/>
      <c r="AF14" s="179"/>
      <c r="AG14" s="180"/>
      <c r="AH14" s="131"/>
      <c r="AI14" s="131"/>
      <c r="AJ14" s="131"/>
      <c r="AK14" s="131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1"/>
      <c r="AZ14" s="131"/>
      <c r="BA14" s="131"/>
      <c r="BB14" s="131"/>
      <c r="BC14" s="131"/>
      <c r="BD14" s="131"/>
      <c r="BE14" s="131"/>
      <c r="BF14" s="131"/>
      <c r="BG14" s="131"/>
      <c r="BH14" s="131"/>
      <c r="BI14" s="131"/>
      <c r="BJ14" s="131"/>
      <c r="BK14" s="131"/>
      <c r="BL14" s="131"/>
      <c r="BM14" s="131"/>
      <c r="BN14" s="131"/>
      <c r="BO14" s="131"/>
      <c r="BP14" s="131"/>
      <c r="BQ14" s="131"/>
      <c r="BR14" s="131"/>
      <c r="BS14" s="131"/>
      <c r="BT14" s="131"/>
      <c r="BU14" s="131"/>
      <c r="BV14" s="131"/>
      <c r="BW14" s="131"/>
      <c r="BX14" s="131"/>
      <c r="BY14" s="131"/>
      <c r="BZ14" s="131"/>
      <c r="CA14" s="131"/>
      <c r="CB14" s="131"/>
      <c r="CC14" s="131"/>
      <c r="CD14" s="131"/>
      <c r="CE14" s="131"/>
      <c r="CF14" s="131"/>
      <c r="CG14" s="131"/>
      <c r="CH14" s="131"/>
      <c r="CI14" s="131"/>
      <c r="CJ14" s="131"/>
      <c r="CK14" s="131"/>
      <c r="CL14" s="131"/>
      <c r="CM14" s="131"/>
      <c r="CN14" s="131"/>
      <c r="CO14" s="131"/>
      <c r="CP14" s="131"/>
      <c r="CQ14" s="131"/>
      <c r="CR14" s="131"/>
      <c r="CS14" s="131"/>
      <c r="CT14" s="131"/>
      <c r="CU14" s="131"/>
      <c r="CV14" s="152" t="s">
        <v>208</v>
      </c>
      <c r="CW14" s="153" t="n">
        <v>3</v>
      </c>
      <c r="CX14" s="153" t="n">
        <v>1</v>
      </c>
      <c r="CY14" s="153" t="n">
        <v>0</v>
      </c>
      <c r="CZ14" s="153" t="n">
        <v>2</v>
      </c>
      <c r="DA14" s="153" t="n">
        <v>2</v>
      </c>
      <c r="DB14" s="153" t="n">
        <v>2</v>
      </c>
      <c r="DC14" s="153"/>
      <c r="DD14" s="153" t="n">
        <v>3</v>
      </c>
      <c r="DE14" s="153"/>
      <c r="DF14" s="154"/>
      <c r="DG14" s="131"/>
    </row>
    <row r="15" customFormat="false" ht="15.95" hidden="false" customHeight="true" outlineLevel="0" collapsed="false">
      <c r="A15" s="139" t="n">
        <v>11</v>
      </c>
      <c r="B15" s="140" t="n">
        <f aca="false">VLOOKUP(A15,A_4_INPUT_DATE_E_RISULTATI_GIRONI,8,0)</f>
        <v>44355</v>
      </c>
      <c r="C15" s="141" t="n">
        <f aca="false">VLOOKUP(A15,A_4_INPUT_DATE_E_RISULTATI_GIRONI,9,0)</f>
        <v>0.375</v>
      </c>
      <c r="D15" s="155" t="str">
        <f aca="false">VLOOKUP(A15,A_4_INPUT_DATE_E_RISULTATI_GIRONI,4,0)</f>
        <v>Elefanti</v>
      </c>
      <c r="E15" s="143"/>
      <c r="F15" s="143"/>
      <c r="G15" s="144" t="str">
        <f aca="false">VLOOKUP(A15,A_4_INPUT_DATE_E_RISULTATI_GIRONI,5,0)</f>
        <v>Ippopotami</v>
      </c>
      <c r="H15" s="146" t="str">
        <f aca="false">VLOOKUP(A15,A_4_INPUT_DATE_E_RISULTATI_GIRONI,3,0)</f>
        <v>C</v>
      </c>
      <c r="I15" s="146" t="str">
        <f aca="false">VLOOKUP(A15,A_4_INPUT_DATE_E_RISULTATI_GIRONI,11,0)</f>
        <v>Basket Giovane</v>
      </c>
      <c r="K15" s="156" t="str">
        <f aca="false">VLOOKUP(ROW()-13&amp;RIGHT(K$13,1),B_CLASSIFICA_GIRONE_C,4,0)</f>
        <v>Giraffe</v>
      </c>
      <c r="L15" s="157" t="n">
        <f aca="false">VLOOKUP(ROW()-13&amp;RIGHT(K$13,1),B_CLASSIFICA_GIRONE_C,5,0)</f>
        <v>3</v>
      </c>
      <c r="M15" s="157" t="n">
        <f aca="false">VLOOKUP(ROW()-13&amp;RIGHT(K$13,1),B_CLASSIFICA_GIRONE_C,6,0)</f>
        <v>2</v>
      </c>
      <c r="N15" s="157" t="n">
        <f aca="false">VLOOKUP(ROW()-13&amp;RIGHT(K$13,1),B_CLASSIFICA_GIRONE_C,7,0)</f>
        <v>1</v>
      </c>
      <c r="O15" s="157" t="n">
        <f aca="false">VLOOKUP(ROW()-13&amp;RIGHT(K$13,1),B_CLASSIFICA_GIRONE_C,8,0)</f>
        <v>0</v>
      </c>
      <c r="P15" s="157" t="n">
        <f aca="false">VLOOKUP(ROW()-13&amp;RIGHT(K$13,1),B_CLASSIFICA_GIRONE_C,9,0)</f>
        <v>5</v>
      </c>
      <c r="Q15" s="157" t="n">
        <f aca="false">VLOOKUP(ROW()-13&amp;RIGHT(K$13,1),B_CLASSIFICA_GIRONE_C,10,0)</f>
        <v>209</v>
      </c>
      <c r="R15" s="158" t="n">
        <f aca="false">VLOOKUP(ROW()-13&amp;RIGHT(K$13,1),B_CLASSIFICA_GIRONE_C,11,0)</f>
        <v>183</v>
      </c>
      <c r="T15" s="163"/>
      <c r="U15" s="187" t="str">
        <f aca="false">K35</f>
        <v>Gorilla</v>
      </c>
      <c r="V15" s="172"/>
      <c r="W15" s="173" t="s">
        <v>209</v>
      </c>
      <c r="X15" s="131"/>
      <c r="Y15" s="174" t="s">
        <v>210</v>
      </c>
      <c r="Z15" s="131"/>
      <c r="AA15" s="193"/>
      <c r="AB15" s="180"/>
      <c r="AC15" s="131"/>
      <c r="AD15" s="131"/>
      <c r="AE15" s="131"/>
      <c r="AF15" s="179"/>
      <c r="AG15" s="180"/>
      <c r="AH15" s="131"/>
      <c r="AI15" s="131"/>
      <c r="AJ15" s="131"/>
      <c r="AK15" s="131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1"/>
      <c r="AZ15" s="131"/>
      <c r="BA15" s="131"/>
      <c r="BB15" s="131"/>
      <c r="BC15" s="131"/>
      <c r="BD15" s="131"/>
      <c r="BE15" s="131"/>
      <c r="BF15" s="131"/>
      <c r="BG15" s="131"/>
      <c r="BH15" s="131"/>
      <c r="BI15" s="131"/>
      <c r="BJ15" s="131"/>
      <c r="BK15" s="131"/>
      <c r="BL15" s="131"/>
      <c r="BM15" s="131"/>
      <c r="BN15" s="131"/>
      <c r="BO15" s="131"/>
      <c r="BP15" s="131"/>
      <c r="BQ15" s="131"/>
      <c r="BR15" s="131"/>
      <c r="BS15" s="131"/>
      <c r="BT15" s="131"/>
      <c r="BU15" s="131"/>
      <c r="BV15" s="131"/>
      <c r="BW15" s="131"/>
      <c r="BX15" s="131"/>
      <c r="BY15" s="131"/>
      <c r="BZ15" s="131"/>
      <c r="CA15" s="131"/>
      <c r="CB15" s="131"/>
      <c r="CC15" s="131"/>
      <c r="CD15" s="131"/>
      <c r="CE15" s="131"/>
      <c r="CF15" s="131"/>
      <c r="CG15" s="131"/>
      <c r="CH15" s="131"/>
      <c r="CI15" s="131"/>
      <c r="CJ15" s="131"/>
      <c r="CK15" s="131"/>
      <c r="CL15" s="131"/>
      <c r="CM15" s="131"/>
      <c r="CN15" s="131"/>
      <c r="CO15" s="131"/>
      <c r="CP15" s="131"/>
      <c r="CQ15" s="131"/>
      <c r="CR15" s="131"/>
      <c r="CS15" s="131"/>
      <c r="CT15" s="131"/>
      <c r="CU15" s="131"/>
      <c r="CV15" s="152" t="s">
        <v>211</v>
      </c>
      <c r="CW15" s="153" t="n">
        <v>3</v>
      </c>
      <c r="CX15" s="153" t="n">
        <v>2</v>
      </c>
      <c r="CY15" s="153" t="n">
        <v>1</v>
      </c>
      <c r="CZ15" s="153" t="n">
        <v>0</v>
      </c>
      <c r="DA15" s="153" t="n">
        <v>3</v>
      </c>
      <c r="DB15" s="153" t="n">
        <v>0</v>
      </c>
      <c r="DC15" s="153"/>
      <c r="DD15" s="153" t="n">
        <v>7.0003</v>
      </c>
      <c r="DE15" s="153"/>
      <c r="DF15" s="154"/>
      <c r="DG15" s="131"/>
    </row>
    <row r="16" customFormat="false" ht="15.95" hidden="false" customHeight="true" outlineLevel="0" collapsed="false">
      <c r="A16" s="139" t="n">
        <v>12</v>
      </c>
      <c r="B16" s="140" t="n">
        <f aca="false">VLOOKUP(A16,A_4_INPUT_DATE_E_RISULTATI_GIRONI,8,0)</f>
        <v>44355</v>
      </c>
      <c r="C16" s="141" t="n">
        <f aca="false">VLOOKUP(A16,A_4_INPUT_DATE_E_RISULTATI_GIRONI,9,0)</f>
        <v>0.375</v>
      </c>
      <c r="D16" s="155" t="str">
        <f aca="false">VLOOKUP(A16,A_4_INPUT_DATE_E_RISULTATI_GIRONI,4,0)</f>
        <v>Coccodrilli</v>
      </c>
      <c r="E16" s="143"/>
      <c r="F16" s="143"/>
      <c r="G16" s="144" t="str">
        <f aca="false">VLOOKUP(A16,A_4_INPUT_DATE_E_RISULTATI_GIRONI,5,0)</f>
        <v>Aquile</v>
      </c>
      <c r="H16" s="146" t="str">
        <f aca="false">VLOOKUP(A16,A_4_INPUT_DATE_E_RISULTATI_GIRONI,3,0)</f>
        <v>D</v>
      </c>
      <c r="I16" s="146" t="str">
        <f aca="false">VLOOKUP(A16,A_4_INPUT_DATE_E_RISULTATI_GIRONI,11,0)</f>
        <v>Nuova Scuola</v>
      </c>
      <c r="K16" s="160" t="str">
        <f aca="false">VLOOKUP(ROW()-13&amp;RIGHT(K$13,1),B_CLASSIFICA_GIRONE_C,4,0)</f>
        <v>Ippopotami</v>
      </c>
      <c r="L16" s="161" t="n">
        <f aca="false">VLOOKUP(ROW()-13&amp;RIGHT(K$13,1),B_CLASSIFICA_GIRONE_C,5,0)</f>
        <v>3</v>
      </c>
      <c r="M16" s="161" t="n">
        <f aca="false">VLOOKUP(ROW()-13&amp;RIGHT(K$13,1),B_CLASSIFICA_GIRONE_C,6,0)</f>
        <v>2</v>
      </c>
      <c r="N16" s="161" t="n">
        <f aca="false">VLOOKUP(ROW()-13&amp;RIGHT(K$13,1),B_CLASSIFICA_GIRONE_C,7,0)</f>
        <v>1</v>
      </c>
      <c r="O16" s="161" t="n">
        <f aca="false">VLOOKUP(ROW()-13&amp;RIGHT(K$13,1),B_CLASSIFICA_GIRONE_C,8,0)</f>
        <v>0</v>
      </c>
      <c r="P16" s="161" t="n">
        <f aca="false">VLOOKUP(ROW()-13&amp;RIGHT(K$13,1),B_CLASSIFICA_GIRONE_C,9,0)</f>
        <v>5</v>
      </c>
      <c r="Q16" s="161" t="n">
        <f aca="false">VLOOKUP(ROW()-13&amp;RIGHT(K$13,1),B_CLASSIFICA_GIRONE_C,10,0)</f>
        <v>240</v>
      </c>
      <c r="R16" s="162" t="n">
        <f aca="false">VLOOKUP(ROW()-13&amp;RIGHT(K$13,1),B_CLASSIFICA_GIRONE_C,11,0)</f>
        <v>189</v>
      </c>
      <c r="T16" s="150"/>
      <c r="U16" s="151"/>
      <c r="V16" s="179"/>
      <c r="W16" s="196"/>
      <c r="X16" s="131"/>
      <c r="Y16" s="181" t="n">
        <f aca="false">Y8+1</f>
        <v>58</v>
      </c>
      <c r="Z16" s="164" t="str">
        <f aca="false">IF(V14&amp;V15="","Vincente "&amp;T14,IF(V14&gt;V15,U14,U15))</f>
        <v>Vincente 51</v>
      </c>
      <c r="AA16" s="165"/>
      <c r="AB16" s="197"/>
      <c r="AC16" s="131"/>
      <c r="AD16" s="131"/>
      <c r="AE16" s="131"/>
      <c r="AF16" s="179"/>
      <c r="AG16" s="180"/>
      <c r="AH16" s="131"/>
      <c r="AI16" s="131"/>
      <c r="AJ16" s="131"/>
      <c r="AK16" s="131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1"/>
      <c r="AZ16" s="131"/>
      <c r="BA16" s="131"/>
      <c r="BB16" s="131"/>
      <c r="BC16" s="131"/>
      <c r="BD16" s="131"/>
      <c r="BE16" s="131"/>
      <c r="BF16" s="131"/>
      <c r="BG16" s="131"/>
      <c r="BH16" s="131"/>
      <c r="BI16" s="131"/>
      <c r="BJ16" s="131"/>
      <c r="BK16" s="131"/>
      <c r="BL16" s="131"/>
      <c r="BM16" s="131"/>
      <c r="BN16" s="131"/>
      <c r="BO16" s="131"/>
      <c r="BP16" s="131"/>
      <c r="BQ16" s="131"/>
      <c r="BR16" s="131"/>
      <c r="BS16" s="131"/>
      <c r="BT16" s="131"/>
      <c r="BU16" s="131"/>
      <c r="BV16" s="131"/>
      <c r="BW16" s="131"/>
      <c r="BX16" s="131"/>
      <c r="BY16" s="131"/>
      <c r="BZ16" s="131"/>
      <c r="CA16" s="131"/>
      <c r="CB16" s="131"/>
      <c r="CC16" s="131"/>
      <c r="CD16" s="131"/>
      <c r="CE16" s="131"/>
      <c r="CF16" s="131"/>
      <c r="CG16" s="131"/>
      <c r="CH16" s="131"/>
      <c r="CI16" s="131"/>
      <c r="CJ16" s="131"/>
      <c r="CK16" s="131"/>
      <c r="CL16" s="131"/>
      <c r="CM16" s="131"/>
      <c r="CN16" s="131"/>
      <c r="CO16" s="131"/>
      <c r="CP16" s="131"/>
      <c r="CQ16" s="131"/>
      <c r="CR16" s="131"/>
      <c r="CS16" s="131"/>
      <c r="CT16" s="131"/>
      <c r="CU16" s="131"/>
      <c r="CV16" s="152" t="s">
        <v>212</v>
      </c>
      <c r="CW16" s="153" t="n">
        <v>3</v>
      </c>
      <c r="CX16" s="167" t="n">
        <v>2</v>
      </c>
      <c r="CY16" s="167" t="n">
        <v>1</v>
      </c>
      <c r="CZ16" s="167" t="n">
        <v>0</v>
      </c>
      <c r="DA16" s="167" t="n">
        <v>2</v>
      </c>
      <c r="DB16" s="167" t="n">
        <v>0</v>
      </c>
      <c r="DC16" s="167"/>
      <c r="DD16" s="167" t="n">
        <v>7.0002</v>
      </c>
      <c r="DE16" s="167"/>
      <c r="DF16" s="154"/>
      <c r="DG16" s="131"/>
    </row>
    <row r="17" customFormat="false" ht="15.95" hidden="false" customHeight="true" outlineLevel="0" collapsed="false">
      <c r="A17" s="139" t="n">
        <v>13</v>
      </c>
      <c r="B17" s="140" t="n">
        <f aca="false">VLOOKUP(A17,A_4_INPUT_DATE_E_RISULTATI_GIRONI,8,0)</f>
        <v>44355</v>
      </c>
      <c r="C17" s="141" t="n">
        <f aca="false">VLOOKUP(A17,A_4_INPUT_DATE_E_RISULTATI_GIRONI,9,0)</f>
        <v>0.458333333333333</v>
      </c>
      <c r="D17" s="155" t="str">
        <f aca="false">VLOOKUP(A17,A_4_INPUT_DATE_E_RISULTATI_GIRONI,4,0)</f>
        <v>Pantere</v>
      </c>
      <c r="E17" s="143"/>
      <c r="F17" s="143"/>
      <c r="G17" s="144" t="str">
        <f aca="false">VLOOKUP(A17,A_4_INPUT_DATE_E_RISULTATI_GIRONI,5,0)</f>
        <v>Ghepardi</v>
      </c>
      <c r="H17" s="146" t="str">
        <f aca="false">VLOOKUP(A17,A_4_INPUT_DATE_E_RISULTATI_GIRONI,3,0)</f>
        <v>A</v>
      </c>
      <c r="I17" s="146" t="str">
        <f aca="false">VLOOKUP(A17,A_4_INPUT_DATE_E_RISULTATI_GIRONI,11,0)</f>
        <v>Cristo Re 1</v>
      </c>
      <c r="K17" s="168" t="str">
        <f aca="false">VLOOKUP(ROW()-13&amp;RIGHT(K$13,1),B_CLASSIFICA_GIRONE_C,4,0)</f>
        <v>Iguane</v>
      </c>
      <c r="L17" s="169" t="n">
        <f aca="false">VLOOKUP(ROW()-13&amp;RIGHT(K$13,1),B_CLASSIFICA_GIRONE_C,5,0)</f>
        <v>3</v>
      </c>
      <c r="M17" s="169" t="n">
        <f aca="false">VLOOKUP(ROW()-13&amp;RIGHT(K$13,1),B_CLASSIFICA_GIRONE_C,6,0)</f>
        <v>0</v>
      </c>
      <c r="N17" s="169" t="n">
        <f aca="false">VLOOKUP(ROW()-13&amp;RIGHT(K$13,1),B_CLASSIFICA_GIRONE_C,7,0)</f>
        <v>3</v>
      </c>
      <c r="O17" s="169" t="n">
        <f aca="false">VLOOKUP(ROW()-13&amp;RIGHT(K$13,1),B_CLASSIFICA_GIRONE_C,8,0)</f>
        <v>0</v>
      </c>
      <c r="P17" s="169" t="n">
        <f aca="false">VLOOKUP(ROW()-13&amp;RIGHT(K$13,1),B_CLASSIFICA_GIRONE_C,9,0)</f>
        <v>3</v>
      </c>
      <c r="Q17" s="169" t="n">
        <f aca="false">VLOOKUP(ROW()-13&amp;RIGHT(K$13,1),B_CLASSIFICA_GIRONE_C,10,0)</f>
        <v>101</v>
      </c>
      <c r="R17" s="170" t="n">
        <f aca="false">VLOOKUP(ROW()-13&amp;RIGHT(K$13,1),B_CLASSIFICA_GIRONE_C,11,0)</f>
        <v>213</v>
      </c>
      <c r="T17" s="174" t="s">
        <v>213</v>
      </c>
      <c r="U17" s="151"/>
      <c r="V17" s="193"/>
      <c r="W17" s="196"/>
      <c r="X17" s="183"/>
      <c r="Y17" s="181"/>
      <c r="Z17" s="171" t="str">
        <f aca="false">IF(V18&amp;V19="","Vincente "&amp;T18,IF(V18&gt;V19,U18,U19))</f>
        <v>Vincente 52</v>
      </c>
      <c r="AA17" s="172"/>
      <c r="AB17" s="131"/>
      <c r="AC17" s="131"/>
      <c r="AD17" s="131"/>
      <c r="AE17" s="131"/>
      <c r="AF17" s="179"/>
      <c r="AG17" s="180"/>
      <c r="AH17" s="131"/>
      <c r="AI17" s="131"/>
      <c r="AJ17" s="131"/>
      <c r="AK17" s="131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1"/>
      <c r="AZ17" s="131"/>
      <c r="BA17" s="131"/>
      <c r="BB17" s="131"/>
      <c r="BC17" s="131"/>
      <c r="BD17" s="131"/>
      <c r="BE17" s="131"/>
      <c r="BF17" s="131"/>
      <c r="BG17" s="131"/>
      <c r="BH17" s="131"/>
      <c r="BI17" s="131"/>
      <c r="BJ17" s="131"/>
      <c r="BK17" s="131"/>
      <c r="BL17" s="131"/>
      <c r="BM17" s="131"/>
      <c r="BN17" s="131"/>
      <c r="BO17" s="131"/>
      <c r="BP17" s="131"/>
      <c r="BQ17" s="131"/>
      <c r="BR17" s="131"/>
      <c r="BS17" s="131"/>
      <c r="BT17" s="131"/>
      <c r="BU17" s="131"/>
      <c r="BV17" s="131"/>
      <c r="BW17" s="131"/>
      <c r="BX17" s="131"/>
      <c r="BY17" s="131"/>
      <c r="BZ17" s="131"/>
      <c r="CA17" s="131"/>
      <c r="CB17" s="131"/>
      <c r="CC17" s="131"/>
      <c r="CD17" s="131"/>
      <c r="CE17" s="131"/>
      <c r="CF17" s="131"/>
      <c r="CG17" s="131"/>
      <c r="CH17" s="131"/>
      <c r="CI17" s="131"/>
      <c r="CJ17" s="131"/>
      <c r="CK17" s="131"/>
      <c r="CL17" s="131"/>
      <c r="CM17" s="131"/>
      <c r="CN17" s="131"/>
      <c r="CO17" s="131"/>
      <c r="CP17" s="131"/>
      <c r="CQ17" s="131"/>
      <c r="CR17" s="131"/>
      <c r="CS17" s="131"/>
      <c r="CT17" s="131"/>
      <c r="CU17" s="131"/>
      <c r="CV17" s="152" t="s">
        <v>214</v>
      </c>
      <c r="CW17" s="153" t="n">
        <v>3</v>
      </c>
      <c r="CX17" s="153" t="n">
        <v>0</v>
      </c>
      <c r="CY17" s="153" t="n">
        <v>0</v>
      </c>
      <c r="CZ17" s="153" t="n">
        <v>3</v>
      </c>
      <c r="DA17" s="153" t="n">
        <v>0</v>
      </c>
      <c r="DB17" s="153" t="n">
        <v>5</v>
      </c>
      <c r="DC17" s="153"/>
      <c r="DD17" s="153" t="n">
        <v>-0.0005</v>
      </c>
      <c r="DE17" s="153"/>
      <c r="DF17" s="154"/>
      <c r="DG17" s="131"/>
    </row>
    <row r="18" customFormat="false" ht="15.95" hidden="false" customHeight="true" outlineLevel="0" collapsed="false">
      <c r="A18" s="139" t="n">
        <v>14</v>
      </c>
      <c r="B18" s="140" t="n">
        <f aca="false">VLOOKUP(A18,A_4_INPUT_DATE_E_RISULTATI_GIRONI,8,0)</f>
        <v>44355</v>
      </c>
      <c r="C18" s="141" t="n">
        <f aca="false">VLOOKUP(A18,A_4_INPUT_DATE_E_RISULTATI_GIRONI,9,0)</f>
        <v>0.458333333333333</v>
      </c>
      <c r="D18" s="155" t="str">
        <f aca="false">VLOOKUP(A18,A_4_INPUT_DATE_E_RISULTATI_GIRONI,4,0)</f>
        <v>Puma</v>
      </c>
      <c r="E18" s="143"/>
      <c r="F18" s="143"/>
      <c r="G18" s="144" t="str">
        <f aca="false">VLOOKUP(A18,A_4_INPUT_DATE_E_RISULTATI_GIRONI,5,0)</f>
        <v>Serval</v>
      </c>
      <c r="H18" s="146" t="str">
        <f aca="false">VLOOKUP(A18,A_4_INPUT_DATE_E_RISULTATI_GIRONI,3,0)</f>
        <v>B</v>
      </c>
      <c r="I18" s="146" t="str">
        <f aca="false">VLOOKUP(A18,A_4_INPUT_DATE_E_RISULTATI_GIRONI,11,0)</f>
        <v>Cristo Re 2</v>
      </c>
      <c r="K18" s="198" t="s">
        <v>215</v>
      </c>
      <c r="L18" s="199" t="s">
        <v>59</v>
      </c>
      <c r="M18" s="199" t="s">
        <v>174</v>
      </c>
      <c r="N18" s="199" t="s">
        <v>175</v>
      </c>
      <c r="O18" s="199" t="s">
        <v>54</v>
      </c>
      <c r="P18" s="199" t="s">
        <v>176</v>
      </c>
      <c r="Q18" s="199" t="s">
        <v>177</v>
      </c>
      <c r="R18" s="200" t="s">
        <v>178</v>
      </c>
      <c r="T18" s="163" t="n">
        <f aca="false">T14+1</f>
        <v>52</v>
      </c>
      <c r="U18" s="185" t="str">
        <f aca="false">K29</f>
        <v>Balene</v>
      </c>
      <c r="V18" s="165"/>
      <c r="W18" s="186" t="s">
        <v>216</v>
      </c>
      <c r="X18" s="131"/>
      <c r="Y18" s="131"/>
      <c r="Z18" s="131"/>
      <c r="AA18" s="179"/>
      <c r="AB18" s="131"/>
      <c r="AC18" s="131"/>
      <c r="AD18" s="131"/>
      <c r="AE18" s="131"/>
      <c r="AF18" s="179"/>
      <c r="AG18" s="180"/>
      <c r="AH18" s="131"/>
      <c r="AI18" s="174" t="s">
        <v>217</v>
      </c>
      <c r="AJ18" s="131"/>
      <c r="AK18" s="131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1"/>
      <c r="AZ18" s="131"/>
      <c r="BA18" s="131"/>
      <c r="BB18" s="131"/>
      <c r="BC18" s="131"/>
      <c r="BD18" s="131"/>
      <c r="BE18" s="131"/>
      <c r="BF18" s="131"/>
      <c r="BG18" s="131"/>
      <c r="BH18" s="131"/>
      <c r="BI18" s="131"/>
      <c r="BJ18" s="131"/>
      <c r="BK18" s="131"/>
      <c r="BL18" s="131"/>
      <c r="BM18" s="131"/>
      <c r="BN18" s="131"/>
      <c r="BO18" s="131"/>
      <c r="BP18" s="131"/>
      <c r="BQ18" s="131"/>
      <c r="BR18" s="131"/>
      <c r="BS18" s="131"/>
      <c r="BT18" s="131"/>
      <c r="BU18" s="131"/>
      <c r="BV18" s="131"/>
      <c r="BW18" s="131"/>
      <c r="BX18" s="131"/>
      <c r="BY18" s="131"/>
      <c r="BZ18" s="131"/>
      <c r="CA18" s="131"/>
      <c r="CB18" s="131"/>
      <c r="CC18" s="131"/>
      <c r="CD18" s="131"/>
      <c r="CE18" s="131"/>
      <c r="CF18" s="131"/>
      <c r="CG18" s="131"/>
      <c r="CH18" s="131"/>
      <c r="CI18" s="131"/>
      <c r="CJ18" s="131"/>
      <c r="CK18" s="131"/>
      <c r="CL18" s="131"/>
      <c r="CM18" s="131"/>
      <c r="CN18" s="131"/>
      <c r="CO18" s="131"/>
      <c r="CP18" s="131"/>
      <c r="CQ18" s="131"/>
      <c r="CR18" s="131"/>
      <c r="CS18" s="131"/>
      <c r="CT18" s="131"/>
      <c r="CU18" s="131"/>
      <c r="CV18" s="201" t="s">
        <v>218</v>
      </c>
      <c r="CW18" s="201" t="s">
        <v>59</v>
      </c>
      <c r="CX18" s="201" t="s">
        <v>174</v>
      </c>
      <c r="CY18" s="201" t="s">
        <v>180</v>
      </c>
      <c r="CZ18" s="201" t="s">
        <v>175</v>
      </c>
      <c r="DA18" s="201" t="s">
        <v>181</v>
      </c>
      <c r="DB18" s="201" t="s">
        <v>182</v>
      </c>
      <c r="DC18" s="201"/>
      <c r="DD18" s="201" t="s">
        <v>184</v>
      </c>
      <c r="DE18" s="201"/>
      <c r="DF18" s="154"/>
      <c r="DG18" s="131"/>
    </row>
    <row r="19" customFormat="false" ht="15.95" hidden="false" customHeight="true" outlineLevel="0" collapsed="false">
      <c r="A19" s="139" t="n">
        <v>15</v>
      </c>
      <c r="B19" s="140" t="n">
        <f aca="false">VLOOKUP(A19,A_4_INPUT_DATE_E_RISULTATI_GIRONI,8,0)</f>
        <v>44355</v>
      </c>
      <c r="C19" s="141" t="n">
        <f aca="false">VLOOKUP(A19,A_4_INPUT_DATE_E_RISULTATI_GIRONI,9,0)</f>
        <v>0.458333333333333</v>
      </c>
      <c r="D19" s="155" t="str">
        <f aca="false">VLOOKUP(A19,A_4_INPUT_DATE_E_RISULTATI_GIRONI,4,0)</f>
        <v>Giraffe</v>
      </c>
      <c r="E19" s="143"/>
      <c r="F19" s="143"/>
      <c r="G19" s="144" t="str">
        <f aca="false">VLOOKUP(A19,A_4_INPUT_DATE_E_RISULTATI_GIRONI,5,0)</f>
        <v>Iguane</v>
      </c>
      <c r="H19" s="146" t="str">
        <f aca="false">VLOOKUP(A19,A_4_INPUT_DATE_E_RISULTATI_GIRONI,3,0)</f>
        <v>C</v>
      </c>
      <c r="I19" s="146" t="str">
        <f aca="false">VLOOKUP(A19,A_4_INPUT_DATE_E_RISULTATI_GIRONI,11,0)</f>
        <v>Basket Giovane</v>
      </c>
      <c r="K19" s="147" t="str">
        <f aca="false">VLOOKUP(ROW()-18&amp;RIGHT(K$18,1),B_CLASSIFICA_GIRONE_D,4,0)</f>
        <v>Coccodrilli</v>
      </c>
      <c r="L19" s="148" t="n">
        <f aca="false">VLOOKUP(ROW()-18&amp;RIGHT(K$18,1),B_CLASSIFICA_GIRONE_D,5,0)</f>
        <v>3</v>
      </c>
      <c r="M19" s="148" t="n">
        <f aca="false">VLOOKUP(ROW()-18&amp;RIGHT(K$18,1),B_CLASSIFICA_GIRONE_D,6,0)</f>
        <v>2</v>
      </c>
      <c r="N19" s="148" t="n">
        <f aca="false">VLOOKUP(ROW()-18&amp;RIGHT(K$18,1),B_CLASSIFICA_GIRONE_D,7,0)</f>
        <v>1</v>
      </c>
      <c r="O19" s="148" t="n">
        <f aca="false">VLOOKUP(ROW()-18&amp;RIGHT(K$18,1),B_CLASSIFICA_GIRONE_D,8,0)</f>
        <v>0</v>
      </c>
      <c r="P19" s="148" t="n">
        <f aca="false">VLOOKUP(ROW()-18&amp;RIGHT(K$18,1),B_CLASSIFICA_GIRONE_D,9,0)</f>
        <v>5</v>
      </c>
      <c r="Q19" s="148" t="n">
        <f aca="false">VLOOKUP(ROW()-18&amp;RIGHT(K$18,1),B_CLASSIFICA_GIRONE_D,10,0)</f>
        <v>179</v>
      </c>
      <c r="R19" s="149" t="n">
        <f aca="false">VLOOKUP(ROW()-18&amp;RIGHT(K$18,1),B_CLASSIFICA_GIRONE_D,11,0)</f>
        <v>169</v>
      </c>
      <c r="T19" s="163"/>
      <c r="U19" s="187" t="str">
        <f aca="false">K40</f>
        <v>Scorpioni</v>
      </c>
      <c r="V19" s="172"/>
      <c r="W19" s="166" t="s">
        <v>219</v>
      </c>
      <c r="X19" s="131"/>
      <c r="Y19" s="131"/>
      <c r="Z19" s="131"/>
      <c r="AA19" s="179"/>
      <c r="AB19" s="131"/>
      <c r="AC19" s="131"/>
      <c r="AD19" s="131"/>
      <c r="AE19" s="131"/>
      <c r="AF19" s="179"/>
      <c r="AG19" s="180"/>
      <c r="AH19" s="131"/>
      <c r="AI19" s="202" t="n">
        <f aca="false">AD28+1</f>
        <v>63</v>
      </c>
      <c r="AJ19" s="164" t="str">
        <f aca="false">IF(AF12&amp;AF13="","Vincente "&amp;AD12,IF(AF12&gt;AF13,AE12,AE13))</f>
        <v>Vincente 61</v>
      </c>
      <c r="AK19" s="165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1"/>
      <c r="AZ19" s="131"/>
      <c r="BA19" s="131"/>
      <c r="BB19" s="131"/>
      <c r="BC19" s="131"/>
      <c r="BD19" s="131"/>
      <c r="BE19" s="131"/>
      <c r="BF19" s="131"/>
      <c r="BG19" s="131"/>
      <c r="BH19" s="131"/>
      <c r="BI19" s="131"/>
      <c r="BJ19" s="131"/>
      <c r="BK19" s="131"/>
      <c r="BL19" s="131"/>
      <c r="BM19" s="131"/>
      <c r="BN19" s="131"/>
      <c r="BO19" s="131"/>
      <c r="BP19" s="131"/>
      <c r="BQ19" s="131"/>
      <c r="BR19" s="131"/>
      <c r="BS19" s="131"/>
      <c r="BT19" s="131"/>
      <c r="BU19" s="131"/>
      <c r="BV19" s="131"/>
      <c r="BW19" s="131"/>
      <c r="BX19" s="131"/>
      <c r="BY19" s="131"/>
      <c r="BZ19" s="131"/>
      <c r="CA19" s="131"/>
      <c r="CB19" s="131"/>
      <c r="CC19" s="131"/>
      <c r="CD19" s="131"/>
      <c r="CE19" s="131"/>
      <c r="CF19" s="131"/>
      <c r="CG19" s="131"/>
      <c r="CH19" s="131"/>
      <c r="CI19" s="131"/>
      <c r="CJ19" s="131"/>
      <c r="CK19" s="131"/>
      <c r="CL19" s="131"/>
      <c r="CM19" s="131"/>
      <c r="CN19" s="131"/>
      <c r="CO19" s="131"/>
      <c r="CP19" s="131"/>
      <c r="CQ19" s="131"/>
      <c r="CR19" s="131"/>
      <c r="CS19" s="131"/>
      <c r="CT19" s="131"/>
      <c r="CU19" s="131"/>
      <c r="CV19" s="152" t="s">
        <v>220</v>
      </c>
      <c r="CW19" s="153" t="n">
        <v>3</v>
      </c>
      <c r="CX19" s="153" t="n">
        <v>1</v>
      </c>
      <c r="CY19" s="153" t="n">
        <v>0</v>
      </c>
      <c r="CZ19" s="153" t="n">
        <v>2</v>
      </c>
      <c r="DA19" s="153" t="n">
        <v>2</v>
      </c>
      <c r="DB19" s="153" t="n">
        <v>4</v>
      </c>
      <c r="DC19" s="153"/>
      <c r="DD19" s="153" t="n">
        <v>2.9998</v>
      </c>
      <c r="DE19" s="153"/>
      <c r="DF19" s="154"/>
      <c r="DG19" s="131"/>
    </row>
    <row r="20" customFormat="false" ht="15.95" hidden="false" customHeight="true" outlineLevel="0" collapsed="false">
      <c r="A20" s="139" t="n">
        <v>16</v>
      </c>
      <c r="B20" s="140" t="n">
        <f aca="false">VLOOKUP(A20,A_4_INPUT_DATE_E_RISULTATI_GIRONI,8,0)</f>
        <v>44355</v>
      </c>
      <c r="C20" s="141" t="n">
        <f aca="false">VLOOKUP(A20,A_4_INPUT_DATE_E_RISULTATI_GIRONI,9,0)</f>
        <v>0.458333333333333</v>
      </c>
      <c r="D20" s="155" t="str">
        <f aca="false">VLOOKUP(A20,A_4_INPUT_DATE_E_RISULTATI_GIRONI,4,0)</f>
        <v>Pitoni</v>
      </c>
      <c r="E20" s="143"/>
      <c r="F20" s="143"/>
      <c r="G20" s="144" t="str">
        <f aca="false">VLOOKUP(A20,A_4_INPUT_DATE_E_RISULTATI_GIRONI,5,0)</f>
        <v>Falchi</v>
      </c>
      <c r="H20" s="146" t="str">
        <f aca="false">VLOOKUP(A20,A_4_INPUT_DATE_E_RISULTATI_GIRONI,3,0)</f>
        <v>D</v>
      </c>
      <c r="I20" s="146" t="str">
        <f aca="false">VLOOKUP(A20,A_4_INPUT_DATE_E_RISULTATI_GIRONI,11,0)</f>
        <v>Nuova Scuola</v>
      </c>
      <c r="K20" s="156" t="str">
        <f aca="false">VLOOKUP(ROW()-18&amp;RIGHT(K$18,1),B_CLASSIFICA_GIRONE_D,4,0)</f>
        <v>Pitoni</v>
      </c>
      <c r="L20" s="157" t="n">
        <f aca="false">VLOOKUP(ROW()-18&amp;RIGHT(K$18,1),B_CLASSIFICA_GIRONE_D,5,0)</f>
        <v>3</v>
      </c>
      <c r="M20" s="157" t="n">
        <f aca="false">VLOOKUP(ROW()-18&amp;RIGHT(K$18,1),B_CLASSIFICA_GIRONE_D,6,0)</f>
        <v>2</v>
      </c>
      <c r="N20" s="157" t="n">
        <f aca="false">VLOOKUP(ROW()-18&amp;RIGHT(K$18,1),B_CLASSIFICA_GIRONE_D,7,0)</f>
        <v>1</v>
      </c>
      <c r="O20" s="157" t="n">
        <f aca="false">VLOOKUP(ROW()-18&amp;RIGHT(K$18,1),B_CLASSIFICA_GIRONE_D,8,0)</f>
        <v>0</v>
      </c>
      <c r="P20" s="157" t="n">
        <f aca="false">VLOOKUP(ROW()-18&amp;RIGHT(K$18,1),B_CLASSIFICA_GIRONE_D,9,0)</f>
        <v>5</v>
      </c>
      <c r="Q20" s="157" t="n">
        <f aca="false">VLOOKUP(ROW()-18&amp;RIGHT(K$18,1),B_CLASSIFICA_GIRONE_D,10,0)</f>
        <v>194</v>
      </c>
      <c r="R20" s="158" t="n">
        <f aca="false">VLOOKUP(ROW()-18&amp;RIGHT(K$18,1),B_CLASSIFICA_GIRONE_D,11,0)</f>
        <v>168</v>
      </c>
      <c r="T20" s="150"/>
      <c r="U20" s="151"/>
      <c r="V20" s="179"/>
      <c r="W20" s="166"/>
      <c r="X20" s="131"/>
      <c r="Y20" s="131"/>
      <c r="Z20" s="131"/>
      <c r="AA20" s="179"/>
      <c r="AB20" s="131"/>
      <c r="AC20" s="131"/>
      <c r="AD20" s="131"/>
      <c r="AE20" s="131"/>
      <c r="AF20" s="179"/>
      <c r="AG20" s="180"/>
      <c r="AH20" s="183"/>
      <c r="AI20" s="202"/>
      <c r="AJ20" s="171" t="str">
        <f aca="false">IF(AF28&amp;AF29="","Vincente "&amp;AD28,IF(AF28&gt;AF29,AE28,AE29))</f>
        <v>Vincente 62</v>
      </c>
      <c r="AK20" s="172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1"/>
      <c r="AZ20" s="131"/>
      <c r="BA20" s="131"/>
      <c r="BB20" s="131"/>
      <c r="BC20" s="131"/>
      <c r="BD20" s="131"/>
      <c r="BE20" s="131"/>
      <c r="BF20" s="131"/>
      <c r="BG20" s="131"/>
      <c r="BH20" s="131"/>
      <c r="BI20" s="131"/>
      <c r="BJ20" s="131"/>
      <c r="BK20" s="131"/>
      <c r="BL20" s="131"/>
      <c r="BM20" s="131"/>
      <c r="BN20" s="131"/>
      <c r="BO20" s="131"/>
      <c r="BP20" s="131"/>
      <c r="BQ20" s="131"/>
      <c r="BR20" s="131"/>
      <c r="BS20" s="131"/>
      <c r="BT20" s="131"/>
      <c r="BU20" s="131"/>
      <c r="BV20" s="131"/>
      <c r="BW20" s="131"/>
      <c r="BX20" s="131"/>
      <c r="BY20" s="131"/>
      <c r="BZ20" s="131"/>
      <c r="CA20" s="131"/>
      <c r="CB20" s="131"/>
      <c r="CC20" s="131"/>
      <c r="CD20" s="131"/>
      <c r="CE20" s="131"/>
      <c r="CF20" s="131"/>
      <c r="CG20" s="131"/>
      <c r="CH20" s="131"/>
      <c r="CI20" s="131"/>
      <c r="CJ20" s="131"/>
      <c r="CK20" s="131"/>
      <c r="CL20" s="131"/>
      <c r="CM20" s="131"/>
      <c r="CN20" s="131"/>
      <c r="CO20" s="131"/>
      <c r="CP20" s="131"/>
      <c r="CQ20" s="131"/>
      <c r="CR20" s="131"/>
      <c r="CS20" s="131"/>
      <c r="CT20" s="131"/>
      <c r="CU20" s="131"/>
      <c r="CV20" s="152" t="s">
        <v>221</v>
      </c>
      <c r="CW20" s="153" t="n">
        <v>3</v>
      </c>
      <c r="CX20" s="153" t="n">
        <v>2</v>
      </c>
      <c r="CY20" s="153" t="n">
        <v>1</v>
      </c>
      <c r="CZ20" s="153" t="n">
        <v>0</v>
      </c>
      <c r="DA20" s="153" t="n">
        <v>5</v>
      </c>
      <c r="DB20" s="153" t="n">
        <v>3</v>
      </c>
      <c r="DC20" s="153"/>
      <c r="DD20" s="153" t="n">
        <v>7.0002</v>
      </c>
      <c r="DE20" s="153"/>
      <c r="DF20" s="154"/>
      <c r="DG20" s="131"/>
    </row>
    <row r="21" customFormat="false" ht="15.95" hidden="false" customHeight="true" outlineLevel="0" collapsed="false">
      <c r="A21" s="139" t="n">
        <v>17</v>
      </c>
      <c r="B21" s="140" t="n">
        <f aca="false">VLOOKUP(A21,A_4_INPUT_DATE_E_RISULTATI_GIRONI,8,0)</f>
        <v>44355</v>
      </c>
      <c r="C21" s="141" t="n">
        <f aca="false">VLOOKUP(A21,A_4_INPUT_DATE_E_RISULTATI_GIRONI,9,0)</f>
        <v>0.645833333333333</v>
      </c>
      <c r="D21" s="155" t="str">
        <f aca="false">VLOOKUP(A21,A_4_INPUT_DATE_E_RISULTATI_GIRONI,4,0)</f>
        <v>Bisonti</v>
      </c>
      <c r="E21" s="143"/>
      <c r="F21" s="143"/>
      <c r="G21" s="144" t="str">
        <f aca="false">VLOOKUP(A21,A_4_INPUT_DATE_E_RISULTATI_GIRONI,5,0)</f>
        <v>Bufali</v>
      </c>
      <c r="H21" s="146" t="str">
        <f aca="false">VLOOKUP(A21,A_4_INPUT_DATE_E_RISULTATI_GIRONI,3,0)</f>
        <v>E</v>
      </c>
      <c r="I21" s="146" t="str">
        <f aca="false">VLOOKUP(A21,A_4_INPUT_DATE_E_RISULTATI_GIRONI,11,0)</f>
        <v>Cristo Re 1</v>
      </c>
      <c r="K21" s="160" t="str">
        <f aca="false">VLOOKUP(ROW()-18&amp;RIGHT(K$18,1),B_CLASSIFICA_GIRONE_D,4,0)</f>
        <v>Aquile</v>
      </c>
      <c r="L21" s="161" t="n">
        <f aca="false">VLOOKUP(ROW()-18&amp;RIGHT(K$18,1),B_CLASSIFICA_GIRONE_D,5,0)</f>
        <v>3</v>
      </c>
      <c r="M21" s="161" t="n">
        <f aca="false">VLOOKUP(ROW()-18&amp;RIGHT(K$18,1),B_CLASSIFICA_GIRONE_D,6,0)</f>
        <v>2</v>
      </c>
      <c r="N21" s="161" t="n">
        <f aca="false">VLOOKUP(ROW()-18&amp;RIGHT(K$18,1),B_CLASSIFICA_GIRONE_D,7,0)</f>
        <v>1</v>
      </c>
      <c r="O21" s="161" t="n">
        <f aca="false">VLOOKUP(ROW()-18&amp;RIGHT(K$18,1),B_CLASSIFICA_GIRONE_D,8,0)</f>
        <v>0</v>
      </c>
      <c r="P21" s="161" t="n">
        <f aca="false">VLOOKUP(ROW()-18&amp;RIGHT(K$18,1),B_CLASSIFICA_GIRONE_D,9,0)</f>
        <v>5</v>
      </c>
      <c r="Q21" s="161" t="n">
        <f aca="false">VLOOKUP(ROW()-18&amp;RIGHT(K$18,1),B_CLASSIFICA_GIRONE_D,10,0)</f>
        <v>126</v>
      </c>
      <c r="R21" s="162" t="n">
        <f aca="false">VLOOKUP(ROW()-18&amp;RIGHT(K$18,1),B_CLASSIFICA_GIRONE_D,11,0)</f>
        <v>106</v>
      </c>
      <c r="T21" s="174" t="s">
        <v>222</v>
      </c>
      <c r="U21" s="151"/>
      <c r="V21" s="203"/>
      <c r="W21" s="166"/>
      <c r="X21" s="131"/>
      <c r="Y21" s="131"/>
      <c r="Z21" s="131"/>
      <c r="AA21" s="179"/>
      <c r="AB21" s="131"/>
      <c r="AC21" s="131"/>
      <c r="AD21" s="131"/>
      <c r="AE21" s="131"/>
      <c r="AF21" s="179"/>
      <c r="AG21" s="180"/>
      <c r="AH21" s="131"/>
      <c r="AI21" s="131"/>
      <c r="AJ21" s="131"/>
      <c r="AK21" s="131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1"/>
      <c r="AZ21" s="131"/>
      <c r="BA21" s="131"/>
      <c r="BB21" s="131"/>
      <c r="BC21" s="131"/>
      <c r="BD21" s="131"/>
      <c r="BE21" s="131"/>
      <c r="BF21" s="131"/>
      <c r="BG21" s="131"/>
      <c r="BH21" s="131"/>
      <c r="BI21" s="131"/>
      <c r="BJ21" s="131"/>
      <c r="BK21" s="131"/>
      <c r="BL21" s="131"/>
      <c r="BM21" s="131"/>
      <c r="BN21" s="131"/>
      <c r="BO21" s="131"/>
      <c r="BP21" s="131"/>
      <c r="BQ21" s="131"/>
      <c r="BR21" s="131"/>
      <c r="BS21" s="131"/>
      <c r="BT21" s="131"/>
      <c r="BU21" s="131"/>
      <c r="BV21" s="131"/>
      <c r="BW21" s="131"/>
      <c r="BX21" s="131"/>
      <c r="BY21" s="131"/>
      <c r="BZ21" s="131"/>
      <c r="CA21" s="131"/>
      <c r="CB21" s="131"/>
      <c r="CC21" s="131"/>
      <c r="CD21" s="131"/>
      <c r="CE21" s="131"/>
      <c r="CF21" s="131"/>
      <c r="CG21" s="131"/>
      <c r="CH21" s="131"/>
      <c r="CI21" s="131"/>
      <c r="CJ21" s="131"/>
      <c r="CK21" s="131"/>
      <c r="CL21" s="131"/>
      <c r="CM21" s="131"/>
      <c r="CN21" s="131"/>
      <c r="CO21" s="131"/>
      <c r="CP21" s="131"/>
      <c r="CQ21" s="131"/>
      <c r="CR21" s="131"/>
      <c r="CS21" s="131"/>
      <c r="CT21" s="131"/>
      <c r="CU21" s="131"/>
      <c r="CV21" s="152" t="s">
        <v>223</v>
      </c>
      <c r="CW21" s="153" t="n">
        <v>3</v>
      </c>
      <c r="CX21" s="167" t="n">
        <v>2</v>
      </c>
      <c r="CY21" s="167" t="n">
        <v>0</v>
      </c>
      <c r="CZ21" s="167" t="n">
        <v>1</v>
      </c>
      <c r="DA21" s="167" t="n">
        <v>5</v>
      </c>
      <c r="DB21" s="167" t="n">
        <v>2</v>
      </c>
      <c r="DC21" s="167"/>
      <c r="DD21" s="167" t="n">
        <v>6.0003</v>
      </c>
      <c r="DE21" s="167"/>
      <c r="DF21" s="154"/>
      <c r="DG21" s="131"/>
    </row>
    <row r="22" customFormat="false" ht="15.95" hidden="false" customHeight="true" outlineLevel="0" collapsed="false">
      <c r="A22" s="139" t="n">
        <v>18</v>
      </c>
      <c r="B22" s="140" t="n">
        <f aca="false">VLOOKUP(A22,A_4_INPUT_DATE_E_RISULTATI_GIRONI,8,0)</f>
        <v>44355</v>
      </c>
      <c r="C22" s="141" t="n">
        <f aca="false">VLOOKUP(A22,A_4_INPUT_DATE_E_RISULTATI_GIRONI,9,0)</f>
        <v>0.645833333333333</v>
      </c>
      <c r="D22" s="155" t="str">
        <f aca="false">VLOOKUP(A22,A_4_INPUT_DATE_E_RISULTATI_GIRONI,4,0)</f>
        <v>Balene</v>
      </c>
      <c r="E22" s="143"/>
      <c r="F22" s="143"/>
      <c r="G22" s="144" t="str">
        <f aca="false">VLOOKUP(A22,A_4_INPUT_DATE_E_RISULTATI_GIRONI,5,0)</f>
        <v>Gabbiani</v>
      </c>
      <c r="H22" s="146" t="str">
        <f aca="false">VLOOKUP(A22,A_4_INPUT_DATE_E_RISULTATI_GIRONI,3,0)</f>
        <v>F</v>
      </c>
      <c r="I22" s="146" t="str">
        <f aca="false">VLOOKUP(A22,A_4_INPUT_DATE_E_RISULTATI_GIRONI,11,0)</f>
        <v>Cristo Re 2</v>
      </c>
      <c r="K22" s="168" t="str">
        <f aca="false">VLOOKUP(ROW()-18&amp;RIGHT(K$18,1),B_CLASSIFICA_GIRONE_D,4,0)</f>
        <v>Falchi</v>
      </c>
      <c r="L22" s="169" t="n">
        <f aca="false">VLOOKUP(ROW()-18&amp;RIGHT(K$18,1),B_CLASSIFICA_GIRONE_D,5,0)</f>
        <v>3</v>
      </c>
      <c r="M22" s="169" t="n">
        <f aca="false">VLOOKUP(ROW()-18&amp;RIGHT(K$18,1),B_CLASSIFICA_GIRONE_D,6,0)</f>
        <v>0</v>
      </c>
      <c r="N22" s="169" t="n">
        <f aca="false">VLOOKUP(ROW()-18&amp;RIGHT(K$18,1),B_CLASSIFICA_GIRONE_D,7,0)</f>
        <v>3</v>
      </c>
      <c r="O22" s="169" t="n">
        <f aca="false">VLOOKUP(ROW()-18&amp;RIGHT(K$18,1),B_CLASSIFICA_GIRONE_D,8,0)</f>
        <v>0</v>
      </c>
      <c r="P22" s="169" t="n">
        <f aca="false">VLOOKUP(ROW()-18&amp;RIGHT(K$18,1),B_CLASSIFICA_GIRONE_D,9,0)</f>
        <v>3</v>
      </c>
      <c r="Q22" s="169" t="n">
        <f aca="false">VLOOKUP(ROW()-18&amp;RIGHT(K$18,1),B_CLASSIFICA_GIRONE_D,10,0)</f>
        <v>153</v>
      </c>
      <c r="R22" s="170" t="n">
        <f aca="false">VLOOKUP(ROW()-18&amp;RIGHT(K$18,1),B_CLASSIFICA_GIRONE_D,11,0)</f>
        <v>209</v>
      </c>
      <c r="T22" s="163" t="n">
        <f aca="false">T18+1</f>
        <v>53</v>
      </c>
      <c r="U22" s="185" t="str">
        <f aca="false">K39</f>
        <v>Piranha</v>
      </c>
      <c r="V22" s="165"/>
      <c r="W22" s="166" t="s">
        <v>224</v>
      </c>
      <c r="X22" s="131"/>
      <c r="Y22" s="131"/>
      <c r="Z22" s="131"/>
      <c r="AA22" s="179"/>
      <c r="AB22" s="131"/>
      <c r="AC22" s="131"/>
      <c r="AD22" s="131"/>
      <c r="AE22" s="131"/>
      <c r="AF22" s="179"/>
      <c r="AG22" s="180"/>
      <c r="AH22" s="131"/>
      <c r="AI22" s="131"/>
      <c r="AJ22" s="131"/>
      <c r="AK22" s="131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1"/>
      <c r="AZ22" s="131"/>
      <c r="BA22" s="131"/>
      <c r="BB22" s="131"/>
      <c r="BC22" s="131"/>
      <c r="BD22" s="131"/>
      <c r="BE22" s="131"/>
      <c r="BF22" s="131"/>
      <c r="BG22" s="131"/>
      <c r="BH22" s="131"/>
      <c r="BI22" s="131"/>
      <c r="BJ22" s="131"/>
      <c r="BK22" s="131"/>
      <c r="BL22" s="131"/>
      <c r="BM22" s="131"/>
      <c r="BN22" s="131"/>
      <c r="BO22" s="131"/>
      <c r="BP22" s="131"/>
      <c r="BQ22" s="131"/>
      <c r="BR22" s="131"/>
      <c r="BS22" s="131"/>
      <c r="BT22" s="131"/>
      <c r="BU22" s="131"/>
      <c r="BV22" s="131"/>
      <c r="BW22" s="131"/>
      <c r="BX22" s="131"/>
      <c r="BY22" s="131"/>
      <c r="BZ22" s="131"/>
      <c r="CA22" s="131"/>
      <c r="CB22" s="131"/>
      <c r="CC22" s="131"/>
      <c r="CD22" s="131"/>
      <c r="CE22" s="131"/>
      <c r="CF22" s="131"/>
      <c r="CG22" s="131"/>
      <c r="CH22" s="131"/>
      <c r="CI22" s="131"/>
      <c r="CJ22" s="131"/>
      <c r="CK22" s="131"/>
      <c r="CL22" s="131"/>
      <c r="CM22" s="131"/>
      <c r="CN22" s="131"/>
      <c r="CO22" s="131"/>
      <c r="CP22" s="131"/>
      <c r="CQ22" s="131"/>
      <c r="CR22" s="131"/>
      <c r="CS22" s="131"/>
      <c r="CT22" s="131"/>
      <c r="CU22" s="131"/>
      <c r="CV22" s="152" t="s">
        <v>225</v>
      </c>
      <c r="CW22" s="153" t="n">
        <v>3</v>
      </c>
      <c r="CX22" s="153" t="n">
        <v>0</v>
      </c>
      <c r="CY22" s="153" t="n">
        <v>1</v>
      </c>
      <c r="CZ22" s="153" t="n">
        <v>2</v>
      </c>
      <c r="DA22" s="153" t="n">
        <v>2</v>
      </c>
      <c r="DB22" s="153" t="n">
        <v>5</v>
      </c>
      <c r="DC22" s="153"/>
      <c r="DD22" s="153" t="n">
        <v>0.9997</v>
      </c>
      <c r="DE22" s="153"/>
      <c r="DF22" s="154"/>
      <c r="DG22" s="131"/>
    </row>
    <row r="23" customFormat="false" ht="15.95" hidden="false" customHeight="true" outlineLevel="0" collapsed="false">
      <c r="A23" s="139" t="n">
        <v>19</v>
      </c>
      <c r="B23" s="140" t="n">
        <f aca="false">VLOOKUP(A23,A_4_INPUT_DATE_E_RISULTATI_GIRONI,8,0)</f>
        <v>44355</v>
      </c>
      <c r="C23" s="141" t="n">
        <f aca="false">VLOOKUP(A23,A_4_INPUT_DATE_E_RISULTATI_GIRONI,9,0)</f>
        <v>0.645833333333333</v>
      </c>
      <c r="D23" s="155" t="str">
        <f aca="false">VLOOKUP(A23,A_4_INPUT_DATE_E_RISULTATI_GIRONI,4,0)</f>
        <v>Istrici</v>
      </c>
      <c r="E23" s="143"/>
      <c r="F23" s="143"/>
      <c r="G23" s="144" t="str">
        <f aca="false">VLOOKUP(A23,A_4_INPUT_DATE_E_RISULTATI_GIRONI,5,0)</f>
        <v>Gorilla</v>
      </c>
      <c r="H23" s="146" t="str">
        <f aca="false">VLOOKUP(A23,A_4_INPUT_DATE_E_RISULTATI_GIRONI,3,0)</f>
        <v>G</v>
      </c>
      <c r="I23" s="146" t="str">
        <f aca="false">VLOOKUP(A23,A_4_INPUT_DATE_E_RISULTATI_GIRONI,11,0)</f>
        <v>Basket Giovane</v>
      </c>
      <c r="K23" s="204" t="s">
        <v>226</v>
      </c>
      <c r="L23" s="205" t="s">
        <v>59</v>
      </c>
      <c r="M23" s="205" t="s">
        <v>174</v>
      </c>
      <c r="N23" s="205" t="s">
        <v>175</v>
      </c>
      <c r="O23" s="205" t="s">
        <v>54</v>
      </c>
      <c r="P23" s="205" t="s">
        <v>176</v>
      </c>
      <c r="Q23" s="205" t="s">
        <v>177</v>
      </c>
      <c r="R23" s="206" t="s">
        <v>178</v>
      </c>
      <c r="T23" s="163"/>
      <c r="U23" s="187" t="str">
        <f aca="false">K30</f>
        <v>Gabbiani</v>
      </c>
      <c r="V23" s="172"/>
      <c r="W23" s="173" t="s">
        <v>227</v>
      </c>
      <c r="X23" s="131"/>
      <c r="Y23" s="174" t="s">
        <v>228</v>
      </c>
      <c r="Z23" s="131"/>
      <c r="AA23" s="179"/>
      <c r="AB23" s="131"/>
      <c r="AC23" s="131"/>
      <c r="AD23" s="131"/>
      <c r="AE23" s="131"/>
      <c r="AF23" s="179"/>
      <c r="AG23" s="180"/>
      <c r="AH23" s="131"/>
      <c r="AI23" s="131"/>
      <c r="AJ23" s="131"/>
      <c r="AK23" s="131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1"/>
      <c r="AZ23" s="131"/>
      <c r="BA23" s="131"/>
      <c r="BB23" s="131"/>
      <c r="BC23" s="131"/>
      <c r="BD23" s="131"/>
      <c r="BE23" s="131"/>
      <c r="BF23" s="131"/>
      <c r="BG23" s="131"/>
      <c r="BH23" s="131"/>
      <c r="BI23" s="131"/>
      <c r="BJ23" s="131"/>
      <c r="BK23" s="131"/>
      <c r="BL23" s="131"/>
      <c r="BM23" s="131"/>
      <c r="BN23" s="131"/>
      <c r="BO23" s="131"/>
      <c r="BP23" s="131"/>
      <c r="BQ23" s="131"/>
      <c r="BR23" s="131"/>
      <c r="BS23" s="131"/>
      <c r="BT23" s="131"/>
      <c r="BU23" s="131"/>
      <c r="BV23" s="131"/>
      <c r="BW23" s="131"/>
      <c r="BX23" s="131"/>
      <c r="BY23" s="131"/>
      <c r="BZ23" s="131"/>
      <c r="CA23" s="131"/>
      <c r="CB23" s="131"/>
      <c r="CC23" s="131"/>
      <c r="CD23" s="131"/>
      <c r="CE23" s="131"/>
      <c r="CF23" s="131"/>
      <c r="CG23" s="131"/>
      <c r="CH23" s="131"/>
      <c r="CI23" s="131"/>
      <c r="CJ23" s="131"/>
      <c r="CK23" s="131"/>
      <c r="CL23" s="131"/>
      <c r="CM23" s="131"/>
      <c r="CN23" s="131"/>
      <c r="CO23" s="131"/>
      <c r="CP23" s="131"/>
      <c r="CQ23" s="131"/>
      <c r="CR23" s="131"/>
      <c r="CS23" s="131"/>
      <c r="CT23" s="131"/>
      <c r="CU23" s="131"/>
      <c r="CV23" s="207" t="s">
        <v>229</v>
      </c>
      <c r="CW23" s="207" t="s">
        <v>59</v>
      </c>
      <c r="CX23" s="207" t="s">
        <v>174</v>
      </c>
      <c r="CY23" s="207" t="s">
        <v>180</v>
      </c>
      <c r="CZ23" s="207" t="s">
        <v>175</v>
      </c>
      <c r="DA23" s="207" t="s">
        <v>181</v>
      </c>
      <c r="DB23" s="207" t="s">
        <v>182</v>
      </c>
      <c r="DC23" s="207"/>
      <c r="DD23" s="207" t="s">
        <v>184</v>
      </c>
      <c r="DE23" s="207"/>
      <c r="DF23" s="154"/>
      <c r="DG23" s="131"/>
    </row>
    <row r="24" customFormat="false" ht="15.95" hidden="false" customHeight="true" outlineLevel="0" collapsed="false">
      <c r="A24" s="139" t="n">
        <v>20</v>
      </c>
      <c r="B24" s="140" t="n">
        <f aca="false">VLOOKUP(A24,A_4_INPUT_DATE_E_RISULTATI_GIRONI,8,0)</f>
        <v>44355</v>
      </c>
      <c r="C24" s="141" t="n">
        <f aca="false">VLOOKUP(A24,A_4_INPUT_DATE_E_RISULTATI_GIRONI,9,0)</f>
        <v>0.645833333333333</v>
      </c>
      <c r="D24" s="155" t="str">
        <f aca="false">VLOOKUP(A24,A_4_INPUT_DATE_E_RISULTATI_GIRONI,4,0)</f>
        <v>Piranha</v>
      </c>
      <c r="E24" s="143"/>
      <c r="F24" s="143"/>
      <c r="G24" s="144" t="str">
        <f aca="false">VLOOKUP(A24,A_4_INPUT_DATE_E_RISULTATI_GIRONI,5,0)</f>
        <v>Scorpioni</v>
      </c>
      <c r="H24" s="146" t="str">
        <f aca="false">VLOOKUP(A24,A_4_INPUT_DATE_E_RISULTATI_GIRONI,3,0)</f>
        <v>H</v>
      </c>
      <c r="I24" s="146" t="str">
        <f aca="false">VLOOKUP(A24,A_4_INPUT_DATE_E_RISULTATI_GIRONI,11,0)</f>
        <v>Nuova Scuola</v>
      </c>
      <c r="K24" s="147" t="str">
        <f aca="false">VLOOKUP(ROW()-23&amp;RIGHT(K$23,1),B_CLASSIFICA_GIRONE_E,4,0)</f>
        <v>Bisonti</v>
      </c>
      <c r="L24" s="148" t="n">
        <f aca="false">VLOOKUP(ROW()-23&amp;RIGHT(K$23,1),B_CLASSIFICA_GIRONE_E,5,0)</f>
        <v>3</v>
      </c>
      <c r="M24" s="148" t="n">
        <f aca="false">VLOOKUP(ROW()-23&amp;RIGHT(K$23,1),B_CLASSIFICA_GIRONE_E,6,0)</f>
        <v>2</v>
      </c>
      <c r="N24" s="148" t="n">
        <f aca="false">VLOOKUP(ROW()-23&amp;RIGHT(K$23,1),B_CLASSIFICA_GIRONE_E,7,0)</f>
        <v>1</v>
      </c>
      <c r="O24" s="148" t="n">
        <f aca="false">VLOOKUP(ROW()-23&amp;RIGHT(K$23,1),B_CLASSIFICA_GIRONE_E,8,0)</f>
        <v>0</v>
      </c>
      <c r="P24" s="148" t="n">
        <f aca="false">VLOOKUP(ROW()-23&amp;RIGHT(K$23,1),B_CLASSIFICA_GIRONE_E,9,0)</f>
        <v>5</v>
      </c>
      <c r="Q24" s="148" t="n">
        <f aca="false">VLOOKUP(ROW()-23&amp;RIGHT(K$23,1),B_CLASSIFICA_GIRONE_E,10,0)</f>
        <v>103</v>
      </c>
      <c r="R24" s="149" t="n">
        <f aca="false">VLOOKUP(ROW()-23&amp;RIGHT(K$23,1),B_CLASSIFICA_GIRONE_E,11,0)</f>
        <v>100</v>
      </c>
      <c r="T24" s="150"/>
      <c r="U24" s="151"/>
      <c r="V24" s="179"/>
      <c r="W24" s="196"/>
      <c r="X24" s="131"/>
      <c r="Y24" s="181" t="n">
        <f aca="false">Y16+1</f>
        <v>59</v>
      </c>
      <c r="Z24" s="164" t="str">
        <f aca="false">IF(V22&amp;V23="","Vincente "&amp;T22,IF(V22&gt;V23,U22,U23))</f>
        <v>Vincente 53</v>
      </c>
      <c r="AA24" s="165"/>
      <c r="AB24" s="131"/>
      <c r="AC24" s="131"/>
      <c r="AD24" s="131"/>
      <c r="AE24" s="131"/>
      <c r="AF24" s="179"/>
      <c r="AG24" s="180"/>
      <c r="AH24" s="131"/>
      <c r="AI24" s="131"/>
      <c r="AJ24" s="131"/>
      <c r="AK24" s="131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1"/>
      <c r="AZ24" s="131"/>
      <c r="BA24" s="131"/>
      <c r="BB24" s="131"/>
      <c r="BC24" s="131"/>
      <c r="BD24" s="131"/>
      <c r="BE24" s="131"/>
      <c r="BF24" s="131"/>
      <c r="BG24" s="131"/>
      <c r="BH24" s="131"/>
      <c r="BI24" s="131"/>
      <c r="BJ24" s="131"/>
      <c r="BK24" s="131"/>
      <c r="BL24" s="131"/>
      <c r="BM24" s="131"/>
      <c r="BN24" s="131"/>
      <c r="BO24" s="131"/>
      <c r="BP24" s="131"/>
      <c r="BQ24" s="131"/>
      <c r="BR24" s="131"/>
      <c r="BS24" s="131"/>
      <c r="BT24" s="131"/>
      <c r="BU24" s="131"/>
      <c r="BV24" s="131"/>
      <c r="BW24" s="131"/>
      <c r="BX24" s="131"/>
      <c r="BY24" s="131"/>
      <c r="BZ24" s="131"/>
      <c r="CA24" s="131"/>
      <c r="CB24" s="131"/>
      <c r="CC24" s="131"/>
      <c r="CD24" s="131"/>
      <c r="CE24" s="131"/>
      <c r="CF24" s="131"/>
      <c r="CG24" s="131"/>
      <c r="CH24" s="131"/>
      <c r="CI24" s="131"/>
      <c r="CJ24" s="131"/>
      <c r="CK24" s="131"/>
      <c r="CL24" s="131"/>
      <c r="CM24" s="131"/>
      <c r="CN24" s="131"/>
      <c r="CO24" s="131"/>
      <c r="CP24" s="131"/>
      <c r="CQ24" s="131"/>
      <c r="CR24" s="131"/>
      <c r="CS24" s="131"/>
      <c r="CT24" s="131"/>
      <c r="CU24" s="131"/>
      <c r="CV24" s="152" t="s">
        <v>230</v>
      </c>
      <c r="CW24" s="153" t="n">
        <v>3</v>
      </c>
      <c r="CX24" s="153" t="n">
        <v>2</v>
      </c>
      <c r="CY24" s="153" t="n">
        <v>0</v>
      </c>
      <c r="CZ24" s="153" t="n">
        <v>1</v>
      </c>
      <c r="DA24" s="153" t="n">
        <v>3</v>
      </c>
      <c r="DB24" s="153" t="n">
        <v>1</v>
      </c>
      <c r="DC24" s="153"/>
      <c r="DD24" s="153" t="n">
        <v>6.0002</v>
      </c>
      <c r="DE24" s="153"/>
      <c r="DF24" s="154"/>
      <c r="DG24" s="131"/>
    </row>
    <row r="25" customFormat="false" ht="15.95" hidden="false" customHeight="true" outlineLevel="0" collapsed="false">
      <c r="A25" s="139" t="n">
        <v>21</v>
      </c>
      <c r="B25" s="140" t="n">
        <f aca="false">VLOOKUP(A25,A_4_INPUT_DATE_E_RISULTATI_GIRONI,8,0)</f>
        <v>44355</v>
      </c>
      <c r="C25" s="141" t="n">
        <f aca="false">VLOOKUP(A25,A_4_INPUT_DATE_E_RISULTATI_GIRONI,9,0)</f>
        <v>0.708333333333333</v>
      </c>
      <c r="D25" s="155" t="str">
        <f aca="false">VLOOKUP(A25,A_4_INPUT_DATE_E_RISULTATI_GIRONI,4,0)</f>
        <v>Cervi</v>
      </c>
      <c r="E25" s="143"/>
      <c r="F25" s="143"/>
      <c r="G25" s="144" t="str">
        <f aca="false">VLOOKUP(A25,A_4_INPUT_DATE_E_RISULTATI_GIRONI,5,0)</f>
        <v>Cinghiali</v>
      </c>
      <c r="H25" s="146" t="str">
        <f aca="false">VLOOKUP(A25,A_4_INPUT_DATE_E_RISULTATI_GIRONI,3,0)</f>
        <v>E</v>
      </c>
      <c r="I25" s="146" t="str">
        <f aca="false">VLOOKUP(A25,A_4_INPUT_DATE_E_RISULTATI_GIRONI,11,0)</f>
        <v>Cristo Re 1</v>
      </c>
      <c r="K25" s="156" t="str">
        <f aca="false">VLOOKUP(ROW()-23&amp;RIGHT(K$23,1),B_CLASSIFICA_GIRONE_E,4,0)</f>
        <v>Bufali</v>
      </c>
      <c r="L25" s="157" t="n">
        <f aca="false">VLOOKUP(ROW()-23&amp;RIGHT(K$23,1),B_CLASSIFICA_GIRONE_E,5,0)</f>
        <v>3</v>
      </c>
      <c r="M25" s="157" t="n">
        <f aca="false">VLOOKUP(ROW()-23&amp;RIGHT(K$23,1),B_CLASSIFICA_GIRONE_E,6,0)</f>
        <v>2</v>
      </c>
      <c r="N25" s="157" t="n">
        <f aca="false">VLOOKUP(ROW()-23&amp;RIGHT(K$23,1),B_CLASSIFICA_GIRONE_E,7,0)</f>
        <v>1</v>
      </c>
      <c r="O25" s="157" t="n">
        <f aca="false">VLOOKUP(ROW()-23&amp;RIGHT(K$23,1),B_CLASSIFICA_GIRONE_E,8,0)</f>
        <v>0</v>
      </c>
      <c r="P25" s="157" t="n">
        <f aca="false">VLOOKUP(ROW()-23&amp;RIGHT(K$23,1),B_CLASSIFICA_GIRONE_E,9,0)</f>
        <v>5</v>
      </c>
      <c r="Q25" s="157" t="n">
        <f aca="false">VLOOKUP(ROW()-23&amp;RIGHT(K$23,1),B_CLASSIFICA_GIRONE_E,10,0)</f>
        <v>102</v>
      </c>
      <c r="R25" s="158" t="n">
        <f aca="false">VLOOKUP(ROW()-23&amp;RIGHT(K$23,1),B_CLASSIFICA_GIRONE_E,11,0)</f>
        <v>100</v>
      </c>
      <c r="T25" s="174" t="s">
        <v>231</v>
      </c>
      <c r="U25" s="151"/>
      <c r="V25" s="193"/>
      <c r="W25" s="196"/>
      <c r="X25" s="183"/>
      <c r="Y25" s="181"/>
      <c r="Z25" s="171" t="str">
        <f aca="false">IF(V26&amp;V27="","Vincente "&amp;T26,IF(V26&gt;V27,U26,U27))</f>
        <v>Vincente 54</v>
      </c>
      <c r="AA25" s="172"/>
      <c r="AB25" s="184"/>
      <c r="AC25" s="131"/>
      <c r="AD25" s="131"/>
      <c r="AE25" s="131"/>
      <c r="AF25" s="179"/>
      <c r="AG25" s="180"/>
      <c r="AH25" s="131"/>
      <c r="AI25" s="131"/>
      <c r="AJ25" s="131"/>
      <c r="AK25" s="131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1"/>
      <c r="AZ25" s="131"/>
      <c r="BA25" s="131"/>
      <c r="BB25" s="131"/>
      <c r="BC25" s="131"/>
      <c r="BD25" s="131"/>
      <c r="BE25" s="131"/>
      <c r="BF25" s="131"/>
      <c r="BG25" s="131"/>
      <c r="BH25" s="131"/>
      <c r="BI25" s="131"/>
      <c r="BJ25" s="131"/>
      <c r="BK25" s="131"/>
      <c r="BL25" s="131"/>
      <c r="BM25" s="131"/>
      <c r="BN25" s="131"/>
      <c r="BO25" s="131"/>
      <c r="BP25" s="131"/>
      <c r="BQ25" s="131"/>
      <c r="BR25" s="131"/>
      <c r="BS25" s="131"/>
      <c r="BT25" s="131"/>
      <c r="BU25" s="131"/>
      <c r="BV25" s="131"/>
      <c r="BW25" s="131"/>
      <c r="BX25" s="131"/>
      <c r="BY25" s="131"/>
      <c r="BZ25" s="131"/>
      <c r="CA25" s="131"/>
      <c r="CB25" s="131"/>
      <c r="CC25" s="131"/>
      <c r="CD25" s="131"/>
      <c r="CE25" s="131"/>
      <c r="CF25" s="131"/>
      <c r="CG25" s="131"/>
      <c r="CH25" s="131"/>
      <c r="CI25" s="131"/>
      <c r="CJ25" s="131"/>
      <c r="CK25" s="131"/>
      <c r="CL25" s="131"/>
      <c r="CM25" s="131"/>
      <c r="CN25" s="131"/>
      <c r="CO25" s="131"/>
      <c r="CP25" s="131"/>
      <c r="CQ25" s="131"/>
      <c r="CR25" s="131"/>
      <c r="CS25" s="131"/>
      <c r="CT25" s="131"/>
      <c r="CU25" s="131"/>
      <c r="CV25" s="152" t="s">
        <v>232</v>
      </c>
      <c r="CW25" s="153" t="n">
        <v>3</v>
      </c>
      <c r="CX25" s="153" t="n">
        <v>2</v>
      </c>
      <c r="CY25" s="153" t="n">
        <v>0</v>
      </c>
      <c r="CZ25" s="153" t="n">
        <v>1</v>
      </c>
      <c r="DA25" s="153" t="n">
        <v>4</v>
      </c>
      <c r="DB25" s="153" t="n">
        <v>2</v>
      </c>
      <c r="DC25" s="153"/>
      <c r="DD25" s="153" t="n">
        <v>6.0002</v>
      </c>
      <c r="DE25" s="153"/>
      <c r="DF25" s="154"/>
      <c r="DG25" s="131"/>
    </row>
    <row r="26" customFormat="false" ht="15.95" hidden="false" customHeight="true" outlineLevel="0" collapsed="false">
      <c r="A26" s="139" t="n">
        <v>22</v>
      </c>
      <c r="B26" s="140" t="n">
        <f aca="false">VLOOKUP(A26,A_4_INPUT_DATE_E_RISULTATI_GIRONI,8,0)</f>
        <v>44355</v>
      </c>
      <c r="C26" s="141" t="n">
        <f aca="false">VLOOKUP(A26,A_4_INPUT_DATE_E_RISULTATI_GIRONI,9,0)</f>
        <v>0.708333333333333</v>
      </c>
      <c r="D26" s="155" t="str">
        <f aca="false">VLOOKUP(A26,A_4_INPUT_DATE_E_RISULTATI_GIRONI,4,0)</f>
        <v>Delfini</v>
      </c>
      <c r="E26" s="143"/>
      <c r="F26" s="143"/>
      <c r="G26" s="144" t="str">
        <f aca="false">VLOOKUP(A26,A_4_INPUT_DATE_E_RISULTATI_GIRONI,5,0)</f>
        <v>Fenicotteri</v>
      </c>
      <c r="H26" s="146" t="str">
        <f aca="false">VLOOKUP(A26,A_4_INPUT_DATE_E_RISULTATI_GIRONI,3,0)</f>
        <v>F</v>
      </c>
      <c r="I26" s="146" t="str">
        <f aca="false">VLOOKUP(A26,A_4_INPUT_DATE_E_RISULTATI_GIRONI,11,0)</f>
        <v>Cristo Re 2</v>
      </c>
      <c r="K26" s="160" t="str">
        <f aca="false">VLOOKUP(ROW()-23&amp;RIGHT(K$23,1),B_CLASSIFICA_GIRONE_E,4,0)</f>
        <v>Cervi</v>
      </c>
      <c r="L26" s="161" t="n">
        <f aca="false">VLOOKUP(ROW()-23&amp;RIGHT(K$23,1),B_CLASSIFICA_GIRONE_E,5,0)</f>
        <v>3</v>
      </c>
      <c r="M26" s="161" t="n">
        <f aca="false">VLOOKUP(ROW()-23&amp;RIGHT(K$23,1),B_CLASSIFICA_GIRONE_E,6,0)</f>
        <v>2</v>
      </c>
      <c r="N26" s="161" t="n">
        <f aca="false">VLOOKUP(ROW()-23&amp;RIGHT(K$23,1),B_CLASSIFICA_GIRONE_E,7,0)</f>
        <v>1</v>
      </c>
      <c r="O26" s="161" t="n">
        <f aca="false">VLOOKUP(ROW()-23&amp;RIGHT(K$23,1),B_CLASSIFICA_GIRONE_E,8,0)</f>
        <v>0</v>
      </c>
      <c r="P26" s="161" t="n">
        <f aca="false">VLOOKUP(ROW()-23&amp;RIGHT(K$23,1),B_CLASSIFICA_GIRONE_E,9,0)</f>
        <v>5</v>
      </c>
      <c r="Q26" s="161" t="n">
        <f aca="false">VLOOKUP(ROW()-23&amp;RIGHT(K$23,1),B_CLASSIFICA_GIRONE_E,10,0)</f>
        <v>101</v>
      </c>
      <c r="R26" s="162" t="n">
        <f aca="false">VLOOKUP(ROW()-23&amp;RIGHT(K$23,1),B_CLASSIFICA_GIRONE_E,11,0)</f>
        <v>100</v>
      </c>
      <c r="T26" s="163" t="n">
        <f aca="false">T22+1</f>
        <v>54</v>
      </c>
      <c r="U26" s="208" t="str">
        <f aca="false">K34</f>
        <v>Istrici</v>
      </c>
      <c r="V26" s="165"/>
      <c r="W26" s="186" t="s">
        <v>233</v>
      </c>
      <c r="X26" s="131"/>
      <c r="Y26" s="131"/>
      <c r="Z26" s="131"/>
      <c r="AA26" s="179"/>
      <c r="AB26" s="180"/>
      <c r="AC26" s="131"/>
      <c r="AD26" s="131"/>
      <c r="AE26" s="131"/>
      <c r="AF26" s="179"/>
      <c r="AG26" s="180"/>
      <c r="AH26" s="131"/>
      <c r="AI26" s="131"/>
      <c r="AJ26" s="131"/>
      <c r="AK26" s="131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1"/>
      <c r="AZ26" s="131"/>
      <c r="BA26" s="131"/>
      <c r="BB26" s="131"/>
      <c r="BC26" s="131"/>
      <c r="BD26" s="131"/>
      <c r="BE26" s="131"/>
      <c r="BF26" s="131"/>
      <c r="BG26" s="131"/>
      <c r="BH26" s="131"/>
      <c r="BI26" s="131"/>
      <c r="BJ26" s="131"/>
      <c r="BK26" s="131"/>
      <c r="BL26" s="131"/>
      <c r="BM26" s="131"/>
      <c r="BN26" s="131"/>
      <c r="BO26" s="131"/>
      <c r="BP26" s="131"/>
      <c r="BQ26" s="131"/>
      <c r="BR26" s="131"/>
      <c r="BS26" s="131"/>
      <c r="BT26" s="131"/>
      <c r="BU26" s="131"/>
      <c r="BV26" s="131"/>
      <c r="BW26" s="131"/>
      <c r="BX26" s="131"/>
      <c r="BY26" s="131"/>
      <c r="BZ26" s="131"/>
      <c r="CA26" s="131"/>
      <c r="CB26" s="131"/>
      <c r="CC26" s="131"/>
      <c r="CD26" s="131"/>
      <c r="CE26" s="131"/>
      <c r="CF26" s="131"/>
      <c r="CG26" s="131"/>
      <c r="CH26" s="131"/>
      <c r="CI26" s="131"/>
      <c r="CJ26" s="131"/>
      <c r="CK26" s="131"/>
      <c r="CL26" s="131"/>
      <c r="CM26" s="131"/>
      <c r="CN26" s="131"/>
      <c r="CO26" s="131"/>
      <c r="CP26" s="131"/>
      <c r="CQ26" s="131"/>
      <c r="CR26" s="131"/>
      <c r="CS26" s="131"/>
      <c r="CT26" s="131"/>
      <c r="CU26" s="131"/>
      <c r="CV26" s="152" t="s">
        <v>234</v>
      </c>
      <c r="CW26" s="153" t="n">
        <v>3</v>
      </c>
      <c r="CX26" s="167" t="n">
        <v>0</v>
      </c>
      <c r="CY26" s="167" t="n">
        <v>1</v>
      </c>
      <c r="CZ26" s="167" t="n">
        <v>2</v>
      </c>
      <c r="DA26" s="167" t="n">
        <v>1</v>
      </c>
      <c r="DB26" s="167" t="n">
        <v>3</v>
      </c>
      <c r="DC26" s="167"/>
      <c r="DD26" s="167" t="n">
        <v>0.9998</v>
      </c>
      <c r="DE26" s="167"/>
      <c r="DF26" s="154"/>
      <c r="DG26" s="131"/>
    </row>
    <row r="27" customFormat="false" ht="15.95" hidden="false" customHeight="true" outlineLevel="0" collapsed="false">
      <c r="A27" s="139" t="n">
        <v>23</v>
      </c>
      <c r="B27" s="140" t="n">
        <f aca="false">VLOOKUP(A27,A_4_INPUT_DATE_E_RISULTATI_GIRONI,8,0)</f>
        <v>44355</v>
      </c>
      <c r="C27" s="141" t="n">
        <f aca="false">VLOOKUP(A27,A_4_INPUT_DATE_E_RISULTATI_GIRONI,9,0)</f>
        <v>0.708333333333333</v>
      </c>
      <c r="D27" s="155" t="str">
        <f aca="false">VLOOKUP(A27,A_4_INPUT_DATE_E_RISULTATI_GIRONI,4,0)</f>
        <v>Muli</v>
      </c>
      <c r="E27" s="143"/>
      <c r="F27" s="143"/>
      <c r="G27" s="144" t="str">
        <f aca="false">VLOOKUP(A27,A_4_INPUT_DATE_E_RISULTATI_GIRONI,5,0)</f>
        <v>Orche</v>
      </c>
      <c r="H27" s="146" t="str">
        <f aca="false">VLOOKUP(A27,A_4_INPUT_DATE_E_RISULTATI_GIRONI,3,0)</f>
        <v>G</v>
      </c>
      <c r="I27" s="146" t="str">
        <f aca="false">VLOOKUP(A27,A_4_INPUT_DATE_E_RISULTATI_GIRONI,11,0)</f>
        <v>Basket Giovane</v>
      </c>
      <c r="K27" s="168" t="str">
        <f aca="false">VLOOKUP(ROW()-23&amp;RIGHT(K$23,1),B_CLASSIFICA_GIRONE_E,4,0)</f>
        <v>Cinghiali</v>
      </c>
      <c r="L27" s="169" t="n">
        <f aca="false">VLOOKUP(ROW()-23&amp;RIGHT(K$23,1),B_CLASSIFICA_GIRONE_E,5,0)</f>
        <v>3</v>
      </c>
      <c r="M27" s="169" t="n">
        <f aca="false">VLOOKUP(ROW()-23&amp;RIGHT(K$23,1),B_CLASSIFICA_GIRONE_E,6,0)</f>
        <v>0</v>
      </c>
      <c r="N27" s="169" t="n">
        <f aca="false">VLOOKUP(ROW()-23&amp;RIGHT(K$23,1),B_CLASSIFICA_GIRONE_E,7,0)</f>
        <v>3</v>
      </c>
      <c r="O27" s="169" t="n">
        <f aca="false">VLOOKUP(ROW()-23&amp;RIGHT(K$23,1),B_CLASSIFICA_GIRONE_E,8,0)</f>
        <v>0</v>
      </c>
      <c r="P27" s="169" t="n">
        <f aca="false">VLOOKUP(ROW()-23&amp;RIGHT(K$23,1),B_CLASSIFICA_GIRONE_E,9,0)</f>
        <v>3</v>
      </c>
      <c r="Q27" s="169" t="n">
        <f aca="false">VLOOKUP(ROW()-23&amp;RIGHT(K$23,1),B_CLASSIFICA_GIRONE_E,10,0)</f>
        <v>99</v>
      </c>
      <c r="R27" s="170" t="n">
        <f aca="false">VLOOKUP(ROW()-23&amp;RIGHT(K$23,1),B_CLASSIFICA_GIRONE_E,11,0)</f>
        <v>105</v>
      </c>
      <c r="T27" s="163"/>
      <c r="U27" s="187" t="str">
        <f aca="false">K25</f>
        <v>Bufali</v>
      </c>
      <c r="V27" s="172"/>
      <c r="W27" s="166" t="s">
        <v>235</v>
      </c>
      <c r="X27" s="131"/>
      <c r="Y27" s="131"/>
      <c r="Z27" s="131"/>
      <c r="AA27" s="179"/>
      <c r="AB27" s="180"/>
      <c r="AC27" s="131"/>
      <c r="AD27" s="174" t="s">
        <v>236</v>
      </c>
      <c r="AE27" s="131"/>
      <c r="AF27" s="179"/>
      <c r="AG27" s="180"/>
      <c r="AH27" s="189"/>
      <c r="AI27" s="131"/>
      <c r="AJ27" s="131"/>
      <c r="AK27" s="131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1"/>
      <c r="AZ27" s="131"/>
      <c r="BA27" s="131"/>
      <c r="BB27" s="131"/>
      <c r="BC27" s="131"/>
      <c r="BD27" s="131"/>
      <c r="BE27" s="131"/>
      <c r="BF27" s="131"/>
      <c r="BG27" s="131"/>
      <c r="BH27" s="131"/>
      <c r="BI27" s="131"/>
      <c r="BJ27" s="131"/>
      <c r="BK27" s="131"/>
      <c r="BL27" s="131"/>
      <c r="BM27" s="131"/>
      <c r="BN27" s="131"/>
      <c r="BO27" s="131"/>
      <c r="BP27" s="131"/>
      <c r="BQ27" s="131"/>
      <c r="BR27" s="131"/>
      <c r="BS27" s="131"/>
      <c r="BT27" s="131"/>
      <c r="BU27" s="131"/>
      <c r="BV27" s="131"/>
      <c r="BW27" s="131"/>
      <c r="BX27" s="131"/>
      <c r="BY27" s="131"/>
      <c r="BZ27" s="131"/>
      <c r="CA27" s="131"/>
      <c r="CB27" s="131"/>
      <c r="CC27" s="131"/>
      <c r="CD27" s="131"/>
      <c r="CE27" s="131"/>
      <c r="CF27" s="131"/>
      <c r="CG27" s="131"/>
      <c r="CH27" s="131"/>
      <c r="CI27" s="131"/>
      <c r="CJ27" s="131"/>
      <c r="CK27" s="131"/>
      <c r="CL27" s="131"/>
      <c r="CM27" s="131"/>
      <c r="CN27" s="131"/>
      <c r="CO27" s="131"/>
      <c r="CP27" s="131"/>
      <c r="CQ27" s="131"/>
      <c r="CR27" s="131"/>
      <c r="CS27" s="131"/>
      <c r="CT27" s="131"/>
      <c r="CU27" s="131"/>
      <c r="CV27" s="152" t="s">
        <v>237</v>
      </c>
      <c r="CW27" s="153" t="n">
        <v>3</v>
      </c>
      <c r="CX27" s="153" t="n">
        <v>1</v>
      </c>
      <c r="CY27" s="153" t="n">
        <v>1</v>
      </c>
      <c r="CZ27" s="153" t="n">
        <v>1</v>
      </c>
      <c r="DA27" s="153" t="n">
        <v>2</v>
      </c>
      <c r="DB27" s="153" t="n">
        <v>4</v>
      </c>
      <c r="DC27" s="153"/>
      <c r="DD27" s="153" t="n">
        <v>3.9998</v>
      </c>
      <c r="DE27" s="153"/>
      <c r="DF27" s="154"/>
      <c r="DG27" s="131"/>
    </row>
    <row r="28" customFormat="false" ht="15.95" hidden="false" customHeight="true" outlineLevel="0" collapsed="false">
      <c r="A28" s="139" t="n">
        <v>24</v>
      </c>
      <c r="B28" s="140" t="n">
        <f aca="false">VLOOKUP(A28,A_4_INPUT_DATE_E_RISULTATI_GIRONI,8,0)</f>
        <v>44355</v>
      </c>
      <c r="C28" s="141" t="n">
        <f aca="false">VLOOKUP(A28,A_4_INPUT_DATE_E_RISULTATI_GIRONI,9,0)</f>
        <v>0.708333333333333</v>
      </c>
      <c r="D28" s="155" t="str">
        <f aca="false">VLOOKUP(A28,A_4_INPUT_DATE_E_RISULTATI_GIRONI,4,0)</f>
        <v>Tonni</v>
      </c>
      <c r="E28" s="143"/>
      <c r="F28" s="143"/>
      <c r="G28" s="144" t="str">
        <f aca="false">VLOOKUP(A28,A_4_INPUT_DATE_E_RISULTATI_GIRONI,5,0)</f>
        <v>Zebre</v>
      </c>
      <c r="H28" s="146" t="str">
        <f aca="false">VLOOKUP(A28,A_4_INPUT_DATE_E_RISULTATI_GIRONI,3,0)</f>
        <v>H</v>
      </c>
      <c r="I28" s="146" t="str">
        <f aca="false">VLOOKUP(A28,A_4_INPUT_DATE_E_RISULTATI_GIRONI,11,0)</f>
        <v>Nuova Scuola</v>
      </c>
      <c r="K28" s="209" t="s">
        <v>238</v>
      </c>
      <c r="L28" s="210" t="s">
        <v>59</v>
      </c>
      <c r="M28" s="210" t="s">
        <v>174</v>
      </c>
      <c r="N28" s="210" t="s">
        <v>175</v>
      </c>
      <c r="O28" s="210" t="s">
        <v>54</v>
      </c>
      <c r="P28" s="210" t="s">
        <v>176</v>
      </c>
      <c r="Q28" s="210" t="s">
        <v>177</v>
      </c>
      <c r="R28" s="211" t="s">
        <v>178</v>
      </c>
      <c r="T28" s="150"/>
      <c r="U28" s="151"/>
      <c r="V28" s="179"/>
      <c r="W28" s="166"/>
      <c r="X28" s="131"/>
      <c r="Y28" s="131"/>
      <c r="Z28" s="131"/>
      <c r="AA28" s="179"/>
      <c r="AB28" s="180"/>
      <c r="AC28" s="131"/>
      <c r="AD28" s="188" t="n">
        <f aca="false">AD12+1</f>
        <v>62</v>
      </c>
      <c r="AE28" s="164" t="str">
        <f aca="false">IF(AA24&amp;AA25="","Vincente "&amp;Y24,IF(AA24&gt;AA25,Z24,Z25))</f>
        <v>Vincente 59</v>
      </c>
      <c r="AF28" s="165"/>
      <c r="AG28" s="197"/>
      <c r="AH28" s="189"/>
      <c r="AI28" s="131"/>
      <c r="AJ28" s="131"/>
      <c r="AK28" s="131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1"/>
      <c r="AZ28" s="131"/>
      <c r="BA28" s="131"/>
      <c r="BB28" s="131"/>
      <c r="BC28" s="131"/>
      <c r="BD28" s="131"/>
      <c r="BE28" s="131"/>
      <c r="BF28" s="131"/>
      <c r="BG28" s="131"/>
      <c r="BH28" s="131"/>
      <c r="BI28" s="131"/>
      <c r="BJ28" s="131"/>
      <c r="BK28" s="131"/>
      <c r="BL28" s="131"/>
      <c r="BM28" s="131"/>
      <c r="BN28" s="131"/>
      <c r="BO28" s="131"/>
      <c r="BP28" s="131"/>
      <c r="BQ28" s="131"/>
      <c r="BR28" s="131"/>
      <c r="BS28" s="131"/>
      <c r="BT28" s="131"/>
      <c r="BU28" s="131"/>
      <c r="BV28" s="131"/>
      <c r="BW28" s="131"/>
      <c r="BX28" s="131"/>
      <c r="BY28" s="131"/>
      <c r="BZ28" s="131"/>
      <c r="CA28" s="131"/>
      <c r="CB28" s="131"/>
      <c r="CC28" s="131"/>
      <c r="CD28" s="131"/>
      <c r="CE28" s="131"/>
      <c r="CF28" s="131"/>
      <c r="CG28" s="131"/>
      <c r="CH28" s="131"/>
      <c r="CI28" s="131"/>
      <c r="CJ28" s="131"/>
      <c r="CK28" s="131"/>
      <c r="CL28" s="131"/>
      <c r="CM28" s="131"/>
      <c r="CN28" s="131"/>
      <c r="CO28" s="131"/>
      <c r="CP28" s="131"/>
      <c r="CQ28" s="131"/>
      <c r="CR28" s="131"/>
      <c r="CS28" s="131"/>
      <c r="CT28" s="131"/>
      <c r="CU28" s="131"/>
      <c r="CV28" s="212" t="s">
        <v>239</v>
      </c>
      <c r="CW28" s="212" t="s">
        <v>59</v>
      </c>
      <c r="CX28" s="212" t="s">
        <v>174</v>
      </c>
      <c r="CY28" s="212" t="s">
        <v>180</v>
      </c>
      <c r="CZ28" s="212" t="s">
        <v>175</v>
      </c>
      <c r="DA28" s="212" t="s">
        <v>181</v>
      </c>
      <c r="DB28" s="212" t="s">
        <v>182</v>
      </c>
      <c r="DC28" s="212"/>
      <c r="DD28" s="212" t="s">
        <v>184</v>
      </c>
      <c r="DE28" s="212"/>
      <c r="DF28" s="154"/>
      <c r="DG28" s="131"/>
    </row>
    <row r="29" customFormat="false" ht="15.95" hidden="false" customHeight="true" outlineLevel="0" collapsed="false">
      <c r="A29" s="139" t="n">
        <v>25</v>
      </c>
      <c r="B29" s="140" t="n">
        <f aca="false">VLOOKUP(A29,A_4_INPUT_DATE_E_RISULTATI_GIRONI,8,0)</f>
        <v>44355</v>
      </c>
      <c r="C29" s="141" t="n">
        <f aca="false">VLOOKUP(A29,A_4_INPUT_DATE_E_RISULTATI_GIRONI,9,0)</f>
        <v>0.770833333333333</v>
      </c>
      <c r="D29" s="155" t="str">
        <f aca="false">VLOOKUP(A29,A_4_INPUT_DATE_E_RISULTATI_GIRONI,4,0)</f>
        <v>Leoni</v>
      </c>
      <c r="E29" s="143"/>
      <c r="F29" s="143"/>
      <c r="G29" s="144" t="str">
        <f aca="false">VLOOKUP(A29,A_4_INPUT_DATE_E_RISULTATI_GIRONI,5,0)</f>
        <v>Ghepardi</v>
      </c>
      <c r="H29" s="146" t="str">
        <f aca="false">VLOOKUP(A29,A_4_INPUT_DATE_E_RISULTATI_GIRONI,3,0)</f>
        <v>A</v>
      </c>
      <c r="I29" s="146" t="str">
        <f aca="false">VLOOKUP(A29,A_4_INPUT_DATE_E_RISULTATI_GIRONI,11,0)</f>
        <v>Cristo Re 1</v>
      </c>
      <c r="K29" s="147" t="str">
        <f aca="false">VLOOKUP(ROW()-28&amp;RIGHT(K$28,1),B_CLASSIFICA_GIRONE_F,4,0)</f>
        <v>Balene</v>
      </c>
      <c r="L29" s="148" t="n">
        <f aca="false">VLOOKUP(ROW()-28&amp;RIGHT(K$28,1),B_CLASSIFICA_GIRONE_F,5,0)</f>
        <v>3</v>
      </c>
      <c r="M29" s="148" t="n">
        <f aca="false">VLOOKUP(ROW()-28&amp;RIGHT(K$28,1),B_CLASSIFICA_GIRONE_F,6,0)</f>
        <v>2</v>
      </c>
      <c r="N29" s="148" t="n">
        <f aca="false">VLOOKUP(ROW()-28&amp;RIGHT(K$28,1),B_CLASSIFICA_GIRONE_F,7,0)</f>
        <v>1</v>
      </c>
      <c r="O29" s="148" t="n">
        <f aca="false">VLOOKUP(ROW()-28&amp;RIGHT(K$28,1),B_CLASSIFICA_GIRONE_F,8,0)</f>
        <v>0</v>
      </c>
      <c r="P29" s="148" t="n">
        <f aca="false">VLOOKUP(ROW()-28&amp;RIGHT(K$28,1),B_CLASSIFICA_GIRONE_F,9,0)</f>
        <v>5</v>
      </c>
      <c r="Q29" s="148" t="n">
        <f aca="false">VLOOKUP(ROW()-28&amp;RIGHT(K$28,1),B_CLASSIFICA_GIRONE_F,10,0)</f>
        <v>103</v>
      </c>
      <c r="R29" s="149" t="n">
        <f aca="false">VLOOKUP(ROW()-28&amp;RIGHT(K$28,1),B_CLASSIFICA_GIRONE_F,11,0)</f>
        <v>102</v>
      </c>
      <c r="T29" s="174" t="s">
        <v>240</v>
      </c>
      <c r="U29" s="151"/>
      <c r="V29" s="193"/>
      <c r="W29" s="166"/>
      <c r="X29" s="131"/>
      <c r="Y29" s="131"/>
      <c r="Z29" s="131"/>
      <c r="AA29" s="193"/>
      <c r="AB29" s="180"/>
      <c r="AC29" s="183"/>
      <c r="AD29" s="188"/>
      <c r="AE29" s="171" t="str">
        <f aca="false">IF(AA32&amp;AA33="","Vincente "&amp;Y32,IF(AA32&gt;AA33,Z32,Z33))</f>
        <v>Vincente 60</v>
      </c>
      <c r="AF29" s="172"/>
      <c r="AG29" s="189"/>
      <c r="AH29" s="189"/>
      <c r="AI29" s="131"/>
      <c r="AJ29" s="131"/>
      <c r="AK29" s="131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1"/>
      <c r="AZ29" s="131"/>
      <c r="BA29" s="131"/>
      <c r="BB29" s="131"/>
      <c r="BC29" s="131"/>
      <c r="BD29" s="131"/>
      <c r="BE29" s="131"/>
      <c r="BF29" s="131"/>
      <c r="BG29" s="131"/>
      <c r="BH29" s="131"/>
      <c r="BI29" s="131"/>
      <c r="BJ29" s="131"/>
      <c r="BK29" s="131"/>
      <c r="BL29" s="131"/>
      <c r="BM29" s="131"/>
      <c r="BN29" s="131"/>
      <c r="BO29" s="131"/>
      <c r="BP29" s="131"/>
      <c r="BQ29" s="131"/>
      <c r="BR29" s="131"/>
      <c r="BS29" s="131"/>
      <c r="BT29" s="131"/>
      <c r="BU29" s="131"/>
      <c r="BV29" s="131"/>
      <c r="BW29" s="131"/>
      <c r="BX29" s="131"/>
      <c r="BY29" s="131"/>
      <c r="BZ29" s="131"/>
      <c r="CA29" s="131"/>
      <c r="CB29" s="131"/>
      <c r="CC29" s="131"/>
      <c r="CD29" s="131"/>
      <c r="CE29" s="131"/>
      <c r="CF29" s="131"/>
      <c r="CG29" s="131"/>
      <c r="CH29" s="131"/>
      <c r="CI29" s="131"/>
      <c r="CJ29" s="131"/>
      <c r="CK29" s="131"/>
      <c r="CL29" s="131"/>
      <c r="CM29" s="131"/>
      <c r="CN29" s="131"/>
      <c r="CO29" s="131"/>
      <c r="CP29" s="131"/>
      <c r="CQ29" s="131"/>
      <c r="CR29" s="131"/>
      <c r="CS29" s="131"/>
      <c r="CT29" s="131"/>
      <c r="CU29" s="131"/>
      <c r="CV29" s="152" t="s">
        <v>241</v>
      </c>
      <c r="CW29" s="153" t="n">
        <v>3</v>
      </c>
      <c r="CX29" s="153" t="n">
        <v>0</v>
      </c>
      <c r="CY29" s="153" t="n">
        <v>3</v>
      </c>
      <c r="CZ29" s="153" t="n">
        <v>0</v>
      </c>
      <c r="DA29" s="153" t="n">
        <v>4</v>
      </c>
      <c r="DB29" s="153" t="n">
        <v>4</v>
      </c>
      <c r="DC29" s="153"/>
      <c r="DD29" s="153" t="n">
        <v>3</v>
      </c>
      <c r="DE29" s="153"/>
      <c r="DF29" s="154"/>
      <c r="DG29" s="131"/>
    </row>
    <row r="30" customFormat="false" ht="15.95" hidden="false" customHeight="true" outlineLevel="0" collapsed="false">
      <c r="A30" s="139" t="n">
        <v>26</v>
      </c>
      <c r="B30" s="140" t="n">
        <f aca="false">VLOOKUP(A30,A_4_INPUT_DATE_E_RISULTATI_GIRONI,8,0)</f>
        <v>44355</v>
      </c>
      <c r="C30" s="141" t="n">
        <f aca="false">VLOOKUP(A30,A_4_INPUT_DATE_E_RISULTATI_GIRONI,9,0)</f>
        <v>0.770833333333333</v>
      </c>
      <c r="D30" s="155" t="str">
        <f aca="false">VLOOKUP(A30,A_4_INPUT_DATE_E_RISULTATI_GIRONI,4,0)</f>
        <v>Giaguari</v>
      </c>
      <c r="E30" s="143"/>
      <c r="F30" s="143"/>
      <c r="G30" s="144" t="str">
        <f aca="false">VLOOKUP(A30,A_4_INPUT_DATE_E_RISULTATI_GIRONI,5,0)</f>
        <v>Serval</v>
      </c>
      <c r="H30" s="146" t="str">
        <f aca="false">VLOOKUP(A30,A_4_INPUT_DATE_E_RISULTATI_GIRONI,3,0)</f>
        <v>B</v>
      </c>
      <c r="I30" s="146" t="str">
        <f aca="false">VLOOKUP(A30,A_4_INPUT_DATE_E_RISULTATI_GIRONI,11,0)</f>
        <v>Cristo Re 2</v>
      </c>
      <c r="K30" s="156" t="str">
        <f aca="false">VLOOKUP(ROW()-28&amp;RIGHT(K$28,1),B_CLASSIFICA_GIRONE_F,4,0)</f>
        <v>Gabbiani</v>
      </c>
      <c r="L30" s="157" t="n">
        <f aca="false">VLOOKUP(ROW()-28&amp;RIGHT(K$28,1),B_CLASSIFICA_GIRONE_F,5,0)</f>
        <v>3</v>
      </c>
      <c r="M30" s="157" t="n">
        <f aca="false">VLOOKUP(ROW()-28&amp;RIGHT(K$28,1),B_CLASSIFICA_GIRONE_F,6,0)</f>
        <v>2</v>
      </c>
      <c r="N30" s="157" t="n">
        <f aca="false">VLOOKUP(ROW()-28&amp;RIGHT(K$28,1),B_CLASSIFICA_GIRONE_F,7,0)</f>
        <v>1</v>
      </c>
      <c r="O30" s="157" t="n">
        <f aca="false">VLOOKUP(ROW()-28&amp;RIGHT(K$28,1),B_CLASSIFICA_GIRONE_F,8,0)</f>
        <v>0</v>
      </c>
      <c r="P30" s="157" t="n">
        <f aca="false">VLOOKUP(ROW()-28&amp;RIGHT(K$28,1),B_CLASSIFICA_GIRONE_F,9,0)</f>
        <v>5</v>
      </c>
      <c r="Q30" s="157" t="n">
        <f aca="false">VLOOKUP(ROW()-28&amp;RIGHT(K$28,1),B_CLASSIFICA_GIRONE_F,10,0)</f>
        <v>102</v>
      </c>
      <c r="R30" s="158" t="n">
        <f aca="false">VLOOKUP(ROW()-28&amp;RIGHT(K$28,1),B_CLASSIFICA_GIRONE_F,11,0)</f>
        <v>101</v>
      </c>
      <c r="T30" s="163" t="n">
        <f aca="false">T26+1</f>
        <v>55</v>
      </c>
      <c r="U30" s="185" t="str">
        <f aca="false">K19</f>
        <v>Coccodrilli</v>
      </c>
      <c r="V30" s="165"/>
      <c r="W30" s="166" t="s">
        <v>242</v>
      </c>
      <c r="X30" s="131"/>
      <c r="Y30" s="131"/>
      <c r="Z30" s="131"/>
      <c r="AA30" s="193"/>
      <c r="AB30" s="180"/>
      <c r="AC30" s="131"/>
      <c r="AD30" s="131"/>
      <c r="AE30" s="131"/>
      <c r="AF30" s="131"/>
      <c r="AG30" s="131"/>
      <c r="AH30" s="131"/>
      <c r="AI30" s="131"/>
      <c r="AJ30" s="131"/>
      <c r="AK30" s="131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1"/>
      <c r="AZ30" s="131"/>
      <c r="BA30" s="131"/>
      <c r="BB30" s="131"/>
      <c r="BC30" s="131"/>
      <c r="BD30" s="131"/>
      <c r="BE30" s="131"/>
      <c r="BF30" s="131"/>
      <c r="BG30" s="131"/>
      <c r="BH30" s="131"/>
      <c r="BI30" s="131"/>
      <c r="BJ30" s="131"/>
      <c r="BK30" s="131"/>
      <c r="BL30" s="131"/>
      <c r="BM30" s="131"/>
      <c r="BN30" s="131"/>
      <c r="BO30" s="131"/>
      <c r="BP30" s="131"/>
      <c r="BQ30" s="131"/>
      <c r="BR30" s="131"/>
      <c r="BS30" s="131"/>
      <c r="BT30" s="131"/>
      <c r="BU30" s="131"/>
      <c r="BV30" s="131"/>
      <c r="BW30" s="131"/>
      <c r="BX30" s="131"/>
      <c r="BY30" s="131"/>
      <c r="BZ30" s="131"/>
      <c r="CA30" s="131"/>
      <c r="CB30" s="131"/>
      <c r="CC30" s="131"/>
      <c r="CD30" s="131"/>
      <c r="CE30" s="131"/>
      <c r="CF30" s="131"/>
      <c r="CG30" s="131"/>
      <c r="CH30" s="131"/>
      <c r="CI30" s="131"/>
      <c r="CJ30" s="131"/>
      <c r="CK30" s="131"/>
      <c r="CL30" s="131"/>
      <c r="CM30" s="131"/>
      <c r="CN30" s="131"/>
      <c r="CO30" s="131"/>
      <c r="CP30" s="131"/>
      <c r="CQ30" s="131"/>
      <c r="CR30" s="131"/>
      <c r="CS30" s="131"/>
      <c r="CT30" s="131"/>
      <c r="CU30" s="131"/>
      <c r="CV30" s="152" t="s">
        <v>243</v>
      </c>
      <c r="CW30" s="153" t="n">
        <v>3</v>
      </c>
      <c r="CX30" s="153" t="n">
        <v>0</v>
      </c>
      <c r="CY30" s="153" t="n">
        <v>1</v>
      </c>
      <c r="CZ30" s="153" t="n">
        <v>2</v>
      </c>
      <c r="DA30" s="153" t="n">
        <v>1</v>
      </c>
      <c r="DB30" s="153" t="n">
        <v>4</v>
      </c>
      <c r="DC30" s="153"/>
      <c r="DD30" s="153" t="n">
        <v>0.9997</v>
      </c>
      <c r="DE30" s="153"/>
      <c r="DF30" s="154"/>
      <c r="DG30" s="131"/>
    </row>
    <row r="31" customFormat="false" ht="15.95" hidden="false" customHeight="true" outlineLevel="0" collapsed="false">
      <c r="A31" s="139" t="n">
        <v>27</v>
      </c>
      <c r="B31" s="140" t="n">
        <f aca="false">VLOOKUP(A31,A_4_INPUT_DATE_E_RISULTATI_GIRONI,8,0)</f>
        <v>44355</v>
      </c>
      <c r="C31" s="141" t="n">
        <f aca="false">VLOOKUP(A31,A_4_INPUT_DATE_E_RISULTATI_GIRONI,9,0)</f>
        <v>0.770833333333333</v>
      </c>
      <c r="D31" s="155" t="str">
        <f aca="false">VLOOKUP(A31,A_4_INPUT_DATE_E_RISULTATI_GIRONI,4,0)</f>
        <v>Elefanti</v>
      </c>
      <c r="E31" s="143"/>
      <c r="F31" s="143"/>
      <c r="G31" s="144" t="str">
        <f aca="false">VLOOKUP(A31,A_4_INPUT_DATE_E_RISULTATI_GIRONI,5,0)</f>
        <v>Iguane</v>
      </c>
      <c r="H31" s="146" t="str">
        <f aca="false">VLOOKUP(A31,A_4_INPUT_DATE_E_RISULTATI_GIRONI,3,0)</f>
        <v>C</v>
      </c>
      <c r="I31" s="146" t="str">
        <f aca="false">VLOOKUP(A31,A_4_INPUT_DATE_E_RISULTATI_GIRONI,11,0)</f>
        <v>Basket Giovane</v>
      </c>
      <c r="K31" s="160" t="str">
        <f aca="false">VLOOKUP(ROW()-28&amp;RIGHT(K$28,1),B_CLASSIFICA_GIRONE_F,4,0)</f>
        <v>Delfini</v>
      </c>
      <c r="L31" s="161" t="n">
        <f aca="false">VLOOKUP(ROW()-28&amp;RIGHT(K$28,1),B_CLASSIFICA_GIRONE_F,5,0)</f>
        <v>3</v>
      </c>
      <c r="M31" s="161" t="n">
        <f aca="false">VLOOKUP(ROW()-28&amp;RIGHT(K$28,1),B_CLASSIFICA_GIRONE_F,6,0)</f>
        <v>2</v>
      </c>
      <c r="N31" s="161" t="n">
        <f aca="false">VLOOKUP(ROW()-28&amp;RIGHT(K$28,1),B_CLASSIFICA_GIRONE_F,7,0)</f>
        <v>1</v>
      </c>
      <c r="O31" s="161" t="n">
        <f aca="false">VLOOKUP(ROW()-28&amp;RIGHT(K$28,1),B_CLASSIFICA_GIRONE_F,8,0)</f>
        <v>0</v>
      </c>
      <c r="P31" s="161" t="n">
        <f aca="false">VLOOKUP(ROW()-28&amp;RIGHT(K$28,1),B_CLASSIFICA_GIRONE_F,9,0)</f>
        <v>5</v>
      </c>
      <c r="Q31" s="161" t="n">
        <f aca="false">VLOOKUP(ROW()-28&amp;RIGHT(K$28,1),B_CLASSIFICA_GIRONE_F,10,0)</f>
        <v>101</v>
      </c>
      <c r="R31" s="162" t="n">
        <f aca="false">VLOOKUP(ROW()-28&amp;RIGHT(K$28,1),B_CLASSIFICA_GIRONE_F,11,0)</f>
        <v>100</v>
      </c>
      <c r="T31" s="163"/>
      <c r="U31" s="187" t="str">
        <f aca="false">K10</f>
        <v>Puma</v>
      </c>
      <c r="V31" s="172"/>
      <c r="W31" s="173" t="s">
        <v>244</v>
      </c>
      <c r="X31" s="131"/>
      <c r="Y31" s="174" t="s">
        <v>245</v>
      </c>
      <c r="Z31" s="131"/>
      <c r="AA31" s="193"/>
      <c r="AB31" s="180"/>
      <c r="AC31" s="131"/>
      <c r="AD31" s="131"/>
      <c r="AE31" s="131"/>
      <c r="AF31" s="131"/>
      <c r="AG31" s="131"/>
      <c r="AH31" s="131"/>
      <c r="AI31" s="131"/>
      <c r="AJ31" s="131"/>
      <c r="AK31" s="131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1"/>
      <c r="AZ31" s="131"/>
      <c r="BA31" s="131"/>
      <c r="BB31" s="131"/>
      <c r="BC31" s="131"/>
      <c r="BD31" s="131"/>
      <c r="BE31" s="131"/>
      <c r="BF31" s="131"/>
      <c r="BG31" s="131"/>
      <c r="BH31" s="131"/>
      <c r="BI31" s="131"/>
      <c r="BJ31" s="131"/>
      <c r="BK31" s="131"/>
      <c r="BL31" s="131"/>
      <c r="BM31" s="131"/>
      <c r="BN31" s="131"/>
      <c r="BO31" s="131"/>
      <c r="BP31" s="131"/>
      <c r="BQ31" s="131"/>
      <c r="BR31" s="131"/>
      <c r="BS31" s="131"/>
      <c r="BT31" s="131"/>
      <c r="BU31" s="131"/>
      <c r="BV31" s="131"/>
      <c r="BW31" s="131"/>
      <c r="BX31" s="131"/>
      <c r="BY31" s="131"/>
      <c r="BZ31" s="131"/>
      <c r="CA31" s="131"/>
      <c r="CB31" s="131"/>
      <c r="CC31" s="131"/>
      <c r="CD31" s="131"/>
      <c r="CE31" s="131"/>
      <c r="CF31" s="131"/>
      <c r="CG31" s="131"/>
      <c r="CH31" s="131"/>
      <c r="CI31" s="131"/>
      <c r="CJ31" s="131"/>
      <c r="CK31" s="131"/>
      <c r="CL31" s="131"/>
      <c r="CM31" s="131"/>
      <c r="CN31" s="131"/>
      <c r="CO31" s="131"/>
      <c r="CP31" s="131"/>
      <c r="CQ31" s="131"/>
      <c r="CR31" s="131"/>
      <c r="CS31" s="131"/>
      <c r="CT31" s="131"/>
      <c r="CU31" s="131"/>
      <c r="CV31" s="152" t="s">
        <v>246</v>
      </c>
      <c r="CW31" s="153" t="n">
        <v>3</v>
      </c>
      <c r="CX31" s="167" t="n">
        <v>1</v>
      </c>
      <c r="CY31" s="167" t="n">
        <v>2</v>
      </c>
      <c r="CZ31" s="167" t="n">
        <v>0</v>
      </c>
      <c r="DA31" s="167" t="n">
        <v>6</v>
      </c>
      <c r="DB31" s="167" t="n">
        <v>4</v>
      </c>
      <c r="DC31" s="167"/>
      <c r="DD31" s="167" t="n">
        <v>5.0002</v>
      </c>
      <c r="DE31" s="167"/>
      <c r="DF31" s="154"/>
      <c r="DG31" s="131"/>
    </row>
    <row r="32" customFormat="false" ht="15.95" hidden="false" customHeight="true" outlineLevel="0" collapsed="false">
      <c r="A32" s="139" t="n">
        <v>28</v>
      </c>
      <c r="B32" s="140" t="n">
        <f aca="false">VLOOKUP(A32,A_4_INPUT_DATE_E_RISULTATI_GIRONI,8,0)</f>
        <v>44355</v>
      </c>
      <c r="C32" s="141" t="n">
        <f aca="false">VLOOKUP(A32,A_4_INPUT_DATE_E_RISULTATI_GIRONI,9,0)</f>
        <v>0.770833333333333</v>
      </c>
      <c r="D32" s="155" t="str">
        <f aca="false">VLOOKUP(A32,A_4_INPUT_DATE_E_RISULTATI_GIRONI,4,0)</f>
        <v>Coccodrilli</v>
      </c>
      <c r="E32" s="143"/>
      <c r="F32" s="143"/>
      <c r="G32" s="144" t="str">
        <f aca="false">VLOOKUP(A32,A_4_INPUT_DATE_E_RISULTATI_GIRONI,5,0)</f>
        <v>Falchi</v>
      </c>
      <c r="H32" s="146" t="str">
        <f aca="false">VLOOKUP(A32,A_4_INPUT_DATE_E_RISULTATI_GIRONI,3,0)</f>
        <v>D</v>
      </c>
      <c r="I32" s="146" t="str">
        <f aca="false">VLOOKUP(A32,A_4_INPUT_DATE_E_RISULTATI_GIRONI,11,0)</f>
        <v>Nuova Scuola</v>
      </c>
      <c r="K32" s="168" t="str">
        <f aca="false">VLOOKUP(ROW()-28&amp;RIGHT(K$28,1),B_CLASSIFICA_GIRONE_F,4,0)</f>
        <v>Fenicotteri</v>
      </c>
      <c r="L32" s="169" t="n">
        <f aca="false">VLOOKUP(ROW()-28&amp;RIGHT(K$28,1),B_CLASSIFICA_GIRONE_F,5,0)</f>
        <v>3</v>
      </c>
      <c r="M32" s="169" t="n">
        <f aca="false">VLOOKUP(ROW()-28&amp;RIGHT(K$28,1),B_CLASSIFICA_GIRONE_F,6,0)</f>
        <v>0</v>
      </c>
      <c r="N32" s="169" t="n">
        <f aca="false">VLOOKUP(ROW()-28&amp;RIGHT(K$28,1),B_CLASSIFICA_GIRONE_F,7,0)</f>
        <v>3</v>
      </c>
      <c r="O32" s="169" t="n">
        <f aca="false">VLOOKUP(ROW()-28&amp;RIGHT(K$28,1),B_CLASSIFICA_GIRONE_F,8,0)</f>
        <v>0</v>
      </c>
      <c r="P32" s="169" t="n">
        <f aca="false">VLOOKUP(ROW()-28&amp;RIGHT(K$28,1),B_CLASSIFICA_GIRONE_F,9,0)</f>
        <v>3</v>
      </c>
      <c r="Q32" s="169" t="n">
        <f aca="false">VLOOKUP(ROW()-28&amp;RIGHT(K$28,1),B_CLASSIFICA_GIRONE_F,10,0)</f>
        <v>102</v>
      </c>
      <c r="R32" s="170" t="n">
        <f aca="false">VLOOKUP(ROW()-28&amp;RIGHT(K$28,1),B_CLASSIFICA_GIRONE_F,11,0)</f>
        <v>105</v>
      </c>
      <c r="T32" s="150"/>
      <c r="U32" s="151"/>
      <c r="V32" s="179"/>
      <c r="W32" s="196"/>
      <c r="X32" s="131"/>
      <c r="Y32" s="181" t="n">
        <f aca="false">Y24+1</f>
        <v>60</v>
      </c>
      <c r="Z32" s="164" t="str">
        <f aca="false">IF(V30&amp;V31="","Vincente "&amp;T30,IF(V30&gt;V31,U30,U31))</f>
        <v>Vincente 55</v>
      </c>
      <c r="AA32" s="165"/>
      <c r="AB32" s="197"/>
      <c r="AC32" s="131"/>
      <c r="AD32" s="131"/>
      <c r="AE32" s="131"/>
      <c r="AF32" s="131"/>
      <c r="AG32" s="131"/>
      <c r="AH32" s="131"/>
      <c r="AI32" s="131"/>
      <c r="AJ32" s="131"/>
      <c r="AK32" s="131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1"/>
      <c r="AZ32" s="131"/>
      <c r="BA32" s="131"/>
      <c r="BB32" s="131"/>
      <c r="BC32" s="131"/>
      <c r="BD32" s="131"/>
      <c r="BE32" s="131"/>
      <c r="BF32" s="131"/>
      <c r="BG32" s="131"/>
      <c r="BH32" s="131"/>
      <c r="BI32" s="131"/>
      <c r="BJ32" s="131"/>
      <c r="BK32" s="131"/>
      <c r="BL32" s="131"/>
      <c r="BM32" s="131"/>
      <c r="BN32" s="131"/>
      <c r="BO32" s="131"/>
      <c r="BP32" s="131"/>
      <c r="BQ32" s="131"/>
      <c r="BR32" s="131"/>
      <c r="BS32" s="131"/>
      <c r="BT32" s="131"/>
      <c r="BU32" s="131"/>
      <c r="BV32" s="131"/>
      <c r="BW32" s="131"/>
      <c r="BX32" s="131"/>
      <c r="BY32" s="131"/>
      <c r="BZ32" s="131"/>
      <c r="CA32" s="131"/>
      <c r="CB32" s="131"/>
      <c r="CC32" s="131"/>
      <c r="CD32" s="131"/>
      <c r="CE32" s="131"/>
      <c r="CF32" s="131"/>
      <c r="CG32" s="131"/>
      <c r="CH32" s="131"/>
      <c r="CI32" s="131"/>
      <c r="CJ32" s="131"/>
      <c r="CK32" s="131"/>
      <c r="CL32" s="131"/>
      <c r="CM32" s="131"/>
      <c r="CN32" s="131"/>
      <c r="CO32" s="131"/>
      <c r="CP32" s="131"/>
      <c r="CQ32" s="131"/>
      <c r="CR32" s="131"/>
      <c r="CS32" s="131"/>
      <c r="CT32" s="131"/>
      <c r="CU32" s="131"/>
      <c r="CV32" s="152" t="s">
        <v>247</v>
      </c>
      <c r="CW32" s="153" t="n">
        <v>3</v>
      </c>
      <c r="CX32" s="153" t="n">
        <v>1</v>
      </c>
      <c r="CY32" s="153" t="n">
        <v>2</v>
      </c>
      <c r="CZ32" s="153" t="n">
        <v>0</v>
      </c>
      <c r="DA32" s="153" t="n">
        <v>4</v>
      </c>
      <c r="DB32" s="153" t="n">
        <v>3</v>
      </c>
      <c r="DC32" s="153"/>
      <c r="DD32" s="153" t="n">
        <v>5.0001</v>
      </c>
      <c r="DE32" s="153"/>
      <c r="DF32" s="154"/>
      <c r="DG32" s="131"/>
    </row>
    <row r="33" customFormat="false" ht="15.95" hidden="false" customHeight="true" outlineLevel="0" collapsed="false">
      <c r="A33" s="139" t="n">
        <v>29</v>
      </c>
      <c r="B33" s="140" t="n">
        <f aca="false">VLOOKUP(A33,A_4_INPUT_DATE_E_RISULTATI_GIRONI,8,0)</f>
        <v>44356</v>
      </c>
      <c r="C33" s="141" t="n">
        <f aca="false">VLOOKUP(A33,A_4_INPUT_DATE_E_RISULTATI_GIRONI,9,0)</f>
        <v>0.375</v>
      </c>
      <c r="D33" s="155" t="str">
        <f aca="false">VLOOKUP(A33,A_4_INPUT_DATE_E_RISULTATI_GIRONI,4,0)</f>
        <v>Bisonti</v>
      </c>
      <c r="E33" s="143"/>
      <c r="F33" s="143"/>
      <c r="G33" s="144" t="str">
        <f aca="false">VLOOKUP(A33,A_4_INPUT_DATE_E_RISULTATI_GIRONI,5,0)</f>
        <v>Cervi</v>
      </c>
      <c r="H33" s="146" t="str">
        <f aca="false">VLOOKUP(A33,A_4_INPUT_DATE_E_RISULTATI_GIRONI,3,0)</f>
        <v>E</v>
      </c>
      <c r="I33" s="146" t="str">
        <f aca="false">VLOOKUP(A33,A_4_INPUT_DATE_E_RISULTATI_GIRONI,11,0)</f>
        <v>Cristo Re 1</v>
      </c>
      <c r="K33" s="213" t="s">
        <v>248</v>
      </c>
      <c r="L33" s="214" t="s">
        <v>59</v>
      </c>
      <c r="M33" s="214" t="s">
        <v>174</v>
      </c>
      <c r="N33" s="214" t="s">
        <v>175</v>
      </c>
      <c r="O33" s="214" t="s">
        <v>54</v>
      </c>
      <c r="P33" s="214" t="s">
        <v>176</v>
      </c>
      <c r="Q33" s="214" t="s">
        <v>177</v>
      </c>
      <c r="R33" s="215" t="s">
        <v>178</v>
      </c>
      <c r="T33" s="174" t="s">
        <v>249</v>
      </c>
      <c r="U33" s="151"/>
      <c r="V33" s="193"/>
      <c r="W33" s="196"/>
      <c r="X33" s="183"/>
      <c r="Y33" s="181"/>
      <c r="Z33" s="171" t="str">
        <f aca="false">IF(V34&amp;V35="","Vincente "&amp;T34,IF(V34&gt;V35,U34,U35))</f>
        <v>Vincente 56</v>
      </c>
      <c r="AA33" s="172"/>
      <c r="AB33" s="131"/>
      <c r="AC33" s="131"/>
      <c r="AD33" s="131"/>
      <c r="AE33" s="131"/>
      <c r="AF33" s="131"/>
      <c r="AG33" s="131"/>
      <c r="AH33" s="131"/>
      <c r="AI33" s="131"/>
      <c r="AJ33" s="131"/>
      <c r="AK33" s="131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1"/>
      <c r="AZ33" s="131"/>
      <c r="BA33" s="131"/>
      <c r="BB33" s="131"/>
      <c r="BC33" s="131"/>
      <c r="BD33" s="131"/>
      <c r="BE33" s="131"/>
      <c r="BF33" s="131"/>
      <c r="BG33" s="131"/>
      <c r="BH33" s="131"/>
      <c r="BI33" s="131"/>
      <c r="BJ33" s="131"/>
      <c r="BK33" s="131"/>
      <c r="BL33" s="131"/>
      <c r="BM33" s="131"/>
      <c r="BN33" s="131"/>
      <c r="BO33" s="131"/>
      <c r="BP33" s="131"/>
      <c r="BQ33" s="131"/>
      <c r="BR33" s="131"/>
      <c r="BS33" s="131"/>
      <c r="BT33" s="131"/>
      <c r="BU33" s="131"/>
      <c r="BV33" s="131"/>
      <c r="BW33" s="131"/>
      <c r="BX33" s="131"/>
      <c r="BY33" s="131"/>
      <c r="BZ33" s="131"/>
      <c r="CA33" s="131"/>
      <c r="CB33" s="131"/>
      <c r="CC33" s="131"/>
      <c r="CD33" s="131"/>
      <c r="CE33" s="131"/>
      <c r="CF33" s="131"/>
      <c r="CG33" s="131"/>
      <c r="CH33" s="131"/>
      <c r="CI33" s="131"/>
      <c r="CJ33" s="131"/>
      <c r="CK33" s="131"/>
      <c r="CL33" s="131"/>
      <c r="CM33" s="131"/>
      <c r="CN33" s="131"/>
      <c r="CO33" s="131"/>
      <c r="CP33" s="131"/>
      <c r="CQ33" s="131"/>
      <c r="CR33" s="131"/>
      <c r="CS33" s="131"/>
      <c r="CT33" s="131"/>
      <c r="CU33" s="131"/>
      <c r="CV33" s="216" t="s">
        <v>250</v>
      </c>
      <c r="CW33" s="216" t="s">
        <v>59</v>
      </c>
      <c r="CX33" s="216" t="s">
        <v>174</v>
      </c>
      <c r="CY33" s="216" t="s">
        <v>180</v>
      </c>
      <c r="CZ33" s="216" t="s">
        <v>175</v>
      </c>
      <c r="DA33" s="216" t="s">
        <v>181</v>
      </c>
      <c r="DB33" s="216" t="s">
        <v>182</v>
      </c>
      <c r="DC33" s="216"/>
      <c r="DD33" s="216" t="s">
        <v>184</v>
      </c>
      <c r="DE33" s="216"/>
      <c r="DF33" s="131"/>
      <c r="DG33" s="131"/>
    </row>
    <row r="34" customFormat="false" ht="15.95" hidden="false" customHeight="true" outlineLevel="0" collapsed="false">
      <c r="A34" s="139" t="n">
        <v>30</v>
      </c>
      <c r="B34" s="140" t="n">
        <f aca="false">VLOOKUP(A34,A_4_INPUT_DATE_E_RISULTATI_GIRONI,8,0)</f>
        <v>44356</v>
      </c>
      <c r="C34" s="141" t="n">
        <f aca="false">VLOOKUP(A34,A_4_INPUT_DATE_E_RISULTATI_GIRONI,9,0)</f>
        <v>0.375</v>
      </c>
      <c r="D34" s="155" t="str">
        <f aca="false">VLOOKUP(A34,A_4_INPUT_DATE_E_RISULTATI_GIRONI,4,0)</f>
        <v>Balene</v>
      </c>
      <c r="E34" s="143"/>
      <c r="F34" s="143"/>
      <c r="G34" s="144" t="str">
        <f aca="false">VLOOKUP(A34,A_4_INPUT_DATE_E_RISULTATI_GIRONI,5,0)</f>
        <v>Delfini</v>
      </c>
      <c r="H34" s="146" t="str">
        <f aca="false">VLOOKUP(A34,A_4_INPUT_DATE_E_RISULTATI_GIRONI,3,0)</f>
        <v>F</v>
      </c>
      <c r="I34" s="146" t="str">
        <f aca="false">VLOOKUP(A34,A_4_INPUT_DATE_E_RISULTATI_GIRONI,11,0)</f>
        <v>Cristo Re 2</v>
      </c>
      <c r="K34" s="147" t="str">
        <f aca="false">VLOOKUP(ROW()-33&amp;RIGHT(K$33,1),B_CLASSIFICA_GIRONE_G,4,0)</f>
        <v>Istrici</v>
      </c>
      <c r="L34" s="148" t="n">
        <f aca="false">VLOOKUP(ROW()-33&amp;RIGHT(K$33,1),B_CLASSIFICA_GIRONE_G,5,0)</f>
        <v>3</v>
      </c>
      <c r="M34" s="148" t="n">
        <f aca="false">VLOOKUP(ROW()-33&amp;RIGHT(K$33,1),B_CLASSIFICA_GIRONE_G,6,0)</f>
        <v>3</v>
      </c>
      <c r="N34" s="148" t="n">
        <f aca="false">VLOOKUP(ROW()-33&amp;RIGHT(K$33,1),B_CLASSIFICA_GIRONE_G,7,0)</f>
        <v>0</v>
      </c>
      <c r="O34" s="148" t="n">
        <f aca="false">VLOOKUP(ROW()-33&amp;RIGHT(K$33,1),B_CLASSIFICA_GIRONE_G,8,0)</f>
        <v>0</v>
      </c>
      <c r="P34" s="148" t="n">
        <f aca="false">VLOOKUP(ROW()-33&amp;RIGHT(K$33,1),B_CLASSIFICA_GIRONE_G,9,0)</f>
        <v>6</v>
      </c>
      <c r="Q34" s="148" t="n">
        <f aca="false">VLOOKUP(ROW()-33&amp;RIGHT(K$33,1),B_CLASSIFICA_GIRONE_G,10,0)</f>
        <v>60</v>
      </c>
      <c r="R34" s="149" t="n">
        <f aca="false">VLOOKUP(ROW()-33&amp;RIGHT(K$33,1),B_CLASSIFICA_GIRONE_G,11,0)</f>
        <v>0</v>
      </c>
      <c r="T34" s="163" t="n">
        <f aca="false">T30+1</f>
        <v>56</v>
      </c>
      <c r="U34" s="185" t="str">
        <f aca="false">K14</f>
        <v>Elefanti</v>
      </c>
      <c r="V34" s="165"/>
      <c r="W34" s="186" t="s">
        <v>251</v>
      </c>
      <c r="X34" s="131"/>
      <c r="Y34" s="131"/>
      <c r="Z34" s="131"/>
      <c r="AA34" s="130"/>
      <c r="AB34" s="131"/>
      <c r="AC34" s="131"/>
      <c r="AD34" s="131"/>
      <c r="AE34" s="131"/>
      <c r="AF34" s="131"/>
      <c r="AG34" s="131"/>
      <c r="AH34" s="131"/>
      <c r="AI34" s="131"/>
      <c r="AJ34" s="131"/>
      <c r="AK34" s="131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1"/>
      <c r="AZ34" s="131"/>
      <c r="BA34" s="131"/>
      <c r="BB34" s="131"/>
      <c r="BC34" s="131"/>
      <c r="BD34" s="131"/>
      <c r="BE34" s="131"/>
      <c r="BF34" s="131"/>
      <c r="BG34" s="131"/>
      <c r="BH34" s="131"/>
      <c r="BI34" s="131"/>
      <c r="BJ34" s="131"/>
      <c r="BK34" s="131"/>
      <c r="BL34" s="131"/>
      <c r="BM34" s="131"/>
      <c r="BN34" s="131"/>
      <c r="BO34" s="131"/>
      <c r="BP34" s="131"/>
      <c r="BQ34" s="131"/>
      <c r="BR34" s="131"/>
      <c r="BS34" s="131"/>
      <c r="BT34" s="131"/>
      <c r="BU34" s="131"/>
      <c r="BV34" s="131"/>
      <c r="BW34" s="131"/>
      <c r="BX34" s="131"/>
      <c r="BY34" s="131"/>
      <c r="BZ34" s="131"/>
      <c r="CA34" s="131"/>
      <c r="CB34" s="131"/>
      <c r="CC34" s="131"/>
      <c r="CD34" s="131"/>
      <c r="CE34" s="131"/>
      <c r="CF34" s="131"/>
      <c r="CG34" s="131"/>
      <c r="CH34" s="131"/>
      <c r="CI34" s="131"/>
      <c r="CJ34" s="131"/>
      <c r="CK34" s="131"/>
      <c r="CL34" s="131"/>
      <c r="CM34" s="131"/>
      <c r="CN34" s="131"/>
      <c r="CO34" s="131"/>
      <c r="CP34" s="131"/>
      <c r="CQ34" s="131"/>
      <c r="CR34" s="131"/>
      <c r="CS34" s="131"/>
      <c r="CT34" s="131"/>
      <c r="CU34" s="131"/>
      <c r="CV34" s="153" t="s">
        <v>218</v>
      </c>
      <c r="CW34" s="153" t="n">
        <v>0</v>
      </c>
      <c r="CX34" s="167" t="n">
        <v>0</v>
      </c>
      <c r="CY34" s="167" t="n">
        <v>0</v>
      </c>
      <c r="CZ34" s="167" t="n">
        <v>0</v>
      </c>
      <c r="DA34" s="167" t="n">
        <v>0</v>
      </c>
      <c r="DB34" s="167" t="n">
        <v>0</v>
      </c>
      <c r="DC34" s="167"/>
      <c r="DD34" s="167" t="n">
        <v>0</v>
      </c>
      <c r="DE34" s="167"/>
      <c r="DF34" s="131"/>
      <c r="DG34" s="131"/>
    </row>
    <row r="35" customFormat="false" ht="15.95" hidden="false" customHeight="true" outlineLevel="0" collapsed="false">
      <c r="A35" s="139" t="n">
        <v>31</v>
      </c>
      <c r="B35" s="140" t="n">
        <f aca="false">VLOOKUP(A35,A_4_INPUT_DATE_E_RISULTATI_GIRONI,8,0)</f>
        <v>44356</v>
      </c>
      <c r="C35" s="141" t="n">
        <f aca="false">VLOOKUP(A35,A_4_INPUT_DATE_E_RISULTATI_GIRONI,9,0)</f>
        <v>0.375</v>
      </c>
      <c r="D35" s="155" t="str">
        <f aca="false">VLOOKUP(A35,A_4_INPUT_DATE_E_RISULTATI_GIRONI,4,0)</f>
        <v>Istrici</v>
      </c>
      <c r="E35" s="143"/>
      <c r="F35" s="143"/>
      <c r="G35" s="144" t="str">
        <f aca="false">VLOOKUP(A35,A_4_INPUT_DATE_E_RISULTATI_GIRONI,5,0)</f>
        <v>Muli</v>
      </c>
      <c r="H35" s="146" t="str">
        <f aca="false">VLOOKUP(A35,A_4_INPUT_DATE_E_RISULTATI_GIRONI,3,0)</f>
        <v>G</v>
      </c>
      <c r="I35" s="146" t="str">
        <f aca="false">VLOOKUP(A35,A_4_INPUT_DATE_E_RISULTATI_GIRONI,11,0)</f>
        <v>Basket Giovane</v>
      </c>
      <c r="K35" s="156" t="str">
        <f aca="false">VLOOKUP(ROW()-33&amp;RIGHT(K$33,1),B_CLASSIFICA_GIRONE_G,4,0)</f>
        <v>Gorilla</v>
      </c>
      <c r="L35" s="157" t="n">
        <f aca="false">VLOOKUP(ROW()-33&amp;RIGHT(K$33,1),B_CLASSIFICA_GIRONE_G,5,0)</f>
        <v>3</v>
      </c>
      <c r="M35" s="157" t="n">
        <f aca="false">VLOOKUP(ROW()-33&amp;RIGHT(K$33,1),B_CLASSIFICA_GIRONE_G,6,0)</f>
        <v>2</v>
      </c>
      <c r="N35" s="157" t="n">
        <f aca="false">VLOOKUP(ROW()-33&amp;RIGHT(K$33,1),B_CLASSIFICA_GIRONE_G,7,0)</f>
        <v>0</v>
      </c>
      <c r="O35" s="157" t="n">
        <f aca="false">VLOOKUP(ROW()-33&amp;RIGHT(K$33,1),B_CLASSIFICA_GIRONE_G,8,0)</f>
        <v>1</v>
      </c>
      <c r="P35" s="157" t="n">
        <f aca="false">VLOOKUP(ROW()-33&amp;RIGHT(K$33,1),B_CLASSIFICA_GIRONE_G,9,0)</f>
        <v>4</v>
      </c>
      <c r="Q35" s="157" t="n">
        <f aca="false">VLOOKUP(ROW()-33&amp;RIGHT(K$33,1),B_CLASSIFICA_GIRONE_G,10,0)</f>
        <v>40</v>
      </c>
      <c r="R35" s="158" t="n">
        <f aca="false">VLOOKUP(ROW()-33&amp;RIGHT(K$33,1),B_CLASSIFICA_GIRONE_G,11,0)</f>
        <v>20</v>
      </c>
      <c r="T35" s="163"/>
      <c r="U35" s="187" t="str">
        <f aca="false">K5</f>
        <v>Pantere</v>
      </c>
      <c r="V35" s="172"/>
      <c r="W35" s="166" t="s">
        <v>252</v>
      </c>
      <c r="X35" s="131"/>
      <c r="Y35" s="131"/>
      <c r="Z35" s="131"/>
      <c r="AA35" s="130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1"/>
      <c r="AZ35" s="131"/>
      <c r="BA35" s="131"/>
      <c r="BB35" s="131"/>
      <c r="BC35" s="131"/>
      <c r="BD35" s="131"/>
      <c r="BE35" s="131"/>
      <c r="BF35" s="131"/>
      <c r="BG35" s="131"/>
      <c r="BH35" s="131"/>
      <c r="BI35" s="131"/>
      <c r="BJ35" s="131"/>
      <c r="BK35" s="131"/>
      <c r="BL35" s="131"/>
      <c r="BM35" s="131"/>
      <c r="BN35" s="131"/>
      <c r="BO35" s="131"/>
      <c r="BP35" s="131"/>
      <c r="BQ35" s="131"/>
      <c r="BR35" s="131"/>
      <c r="BS35" s="131"/>
      <c r="BT35" s="131"/>
      <c r="BU35" s="131"/>
      <c r="BV35" s="131"/>
      <c r="BW35" s="131"/>
      <c r="BX35" s="131"/>
      <c r="BY35" s="131"/>
      <c r="BZ35" s="131"/>
      <c r="CA35" s="131"/>
      <c r="CB35" s="131"/>
      <c r="CC35" s="131"/>
      <c r="CD35" s="131"/>
      <c r="CE35" s="131"/>
      <c r="CF35" s="131"/>
      <c r="CG35" s="131"/>
      <c r="CH35" s="131"/>
      <c r="CI35" s="131"/>
      <c r="CJ35" s="131"/>
      <c r="CK35" s="131"/>
      <c r="CL35" s="131"/>
      <c r="CM35" s="131"/>
      <c r="CN35" s="131"/>
      <c r="CO35" s="131"/>
      <c r="CP35" s="131"/>
      <c r="CQ35" s="131"/>
      <c r="CR35" s="131"/>
      <c r="CS35" s="131"/>
      <c r="CT35" s="131"/>
      <c r="CU35" s="131"/>
      <c r="CV35" s="152" t="s">
        <v>190</v>
      </c>
      <c r="CW35" s="167" t="n">
        <v>3</v>
      </c>
      <c r="CX35" s="167" t="n">
        <v>1</v>
      </c>
      <c r="CY35" s="167" t="n">
        <v>2</v>
      </c>
      <c r="CZ35" s="167" t="n">
        <v>0</v>
      </c>
      <c r="DA35" s="167" t="n">
        <v>2</v>
      </c>
      <c r="DB35" s="167" t="n">
        <v>1</v>
      </c>
      <c r="DC35" s="167"/>
      <c r="DD35" s="167" t="n">
        <v>5.0001</v>
      </c>
      <c r="DE35" s="167"/>
      <c r="DF35" s="131"/>
      <c r="DG35" s="131"/>
    </row>
    <row r="36" customFormat="false" ht="15.95" hidden="false" customHeight="true" outlineLevel="0" collapsed="false">
      <c r="A36" s="139" t="n">
        <v>32</v>
      </c>
      <c r="B36" s="140" t="n">
        <f aca="false">VLOOKUP(A36,A_4_INPUT_DATE_E_RISULTATI_GIRONI,8,0)</f>
        <v>44356</v>
      </c>
      <c r="C36" s="141" t="n">
        <f aca="false">VLOOKUP(A36,A_4_INPUT_DATE_E_RISULTATI_GIRONI,9,0)</f>
        <v>0.375</v>
      </c>
      <c r="D36" s="155" t="str">
        <f aca="false">VLOOKUP(A36,A_4_INPUT_DATE_E_RISULTATI_GIRONI,4,0)</f>
        <v>Piranha</v>
      </c>
      <c r="E36" s="143"/>
      <c r="F36" s="143"/>
      <c r="G36" s="144" t="str">
        <f aca="false">VLOOKUP(A36,A_4_INPUT_DATE_E_RISULTATI_GIRONI,5,0)</f>
        <v>Tonni</v>
      </c>
      <c r="H36" s="146" t="str">
        <f aca="false">VLOOKUP(A36,A_4_INPUT_DATE_E_RISULTATI_GIRONI,3,0)</f>
        <v>H</v>
      </c>
      <c r="I36" s="146" t="str">
        <f aca="false">VLOOKUP(A36,A_4_INPUT_DATE_E_RISULTATI_GIRONI,11,0)</f>
        <v>Nuova Scuola</v>
      </c>
      <c r="K36" s="160" t="str">
        <f aca="false">VLOOKUP(ROW()-33&amp;RIGHT(K$33,1),B_CLASSIFICA_GIRONE_G,4,0)</f>
        <v>Orche</v>
      </c>
      <c r="L36" s="161" t="n">
        <f aca="false">VLOOKUP(ROW()-33&amp;RIGHT(K$33,1),B_CLASSIFICA_GIRONE_G,5,0)</f>
        <v>3</v>
      </c>
      <c r="M36" s="161" t="n">
        <f aca="false">VLOOKUP(ROW()-33&amp;RIGHT(K$33,1),B_CLASSIFICA_GIRONE_G,6,0)</f>
        <v>1</v>
      </c>
      <c r="N36" s="161" t="n">
        <f aca="false">VLOOKUP(ROW()-33&amp;RIGHT(K$33,1),B_CLASSIFICA_GIRONE_G,7,0)</f>
        <v>0</v>
      </c>
      <c r="O36" s="161" t="n">
        <f aca="false">VLOOKUP(ROW()-33&amp;RIGHT(K$33,1),B_CLASSIFICA_GIRONE_G,8,0)</f>
        <v>2</v>
      </c>
      <c r="P36" s="161" t="n">
        <f aca="false">VLOOKUP(ROW()-33&amp;RIGHT(K$33,1),B_CLASSIFICA_GIRONE_G,9,0)</f>
        <v>2</v>
      </c>
      <c r="Q36" s="161" t="n">
        <f aca="false">VLOOKUP(ROW()-33&amp;RIGHT(K$33,1),B_CLASSIFICA_GIRONE_G,10,0)</f>
        <v>20</v>
      </c>
      <c r="R36" s="162" t="n">
        <f aca="false">VLOOKUP(ROW()-33&amp;RIGHT(K$33,1),B_CLASSIFICA_GIRONE_G,11,0)</f>
        <v>40</v>
      </c>
      <c r="T36" s="130"/>
      <c r="U36" s="217"/>
      <c r="V36" s="130"/>
      <c r="W36" s="130"/>
      <c r="X36" s="130"/>
      <c r="Y36" s="131"/>
      <c r="Z36" s="131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1"/>
      <c r="AZ36" s="131"/>
      <c r="BA36" s="131"/>
      <c r="BB36" s="131"/>
      <c r="BC36" s="131"/>
      <c r="BD36" s="131"/>
      <c r="BE36" s="131"/>
      <c r="BF36" s="131"/>
      <c r="BG36" s="131"/>
      <c r="BH36" s="131"/>
      <c r="BI36" s="131"/>
      <c r="BJ36" s="131"/>
      <c r="BK36" s="131"/>
      <c r="BL36" s="131"/>
      <c r="BM36" s="131"/>
      <c r="BN36" s="131"/>
      <c r="BO36" s="131"/>
      <c r="BP36" s="131"/>
      <c r="BQ36" s="131"/>
      <c r="BR36" s="131"/>
      <c r="BS36" s="131"/>
      <c r="BT36" s="131"/>
      <c r="BU36" s="131"/>
      <c r="BV36" s="131"/>
      <c r="BW36" s="131"/>
      <c r="BX36" s="131"/>
      <c r="BY36" s="131"/>
      <c r="BZ36" s="131"/>
      <c r="CA36" s="131"/>
      <c r="CB36" s="131"/>
      <c r="CC36" s="131"/>
      <c r="CD36" s="131"/>
      <c r="CE36" s="131"/>
      <c r="CF36" s="131"/>
      <c r="CG36" s="131"/>
      <c r="CH36" s="131"/>
      <c r="CI36" s="131"/>
      <c r="CJ36" s="131"/>
      <c r="CK36" s="131"/>
      <c r="CL36" s="131"/>
      <c r="CM36" s="131"/>
      <c r="CN36" s="131"/>
      <c r="CO36" s="131"/>
      <c r="CP36" s="131"/>
      <c r="CQ36" s="131"/>
      <c r="CR36" s="131"/>
      <c r="CS36" s="131"/>
      <c r="CT36" s="131"/>
      <c r="CU36" s="131"/>
      <c r="CV36" s="152" t="s">
        <v>212</v>
      </c>
      <c r="CW36" s="167" t="n">
        <v>3</v>
      </c>
      <c r="CX36" s="167" t="n">
        <v>2</v>
      </c>
      <c r="CY36" s="167" t="n">
        <v>1</v>
      </c>
      <c r="CZ36" s="167" t="n">
        <v>0</v>
      </c>
      <c r="DA36" s="167" t="n">
        <v>2</v>
      </c>
      <c r="DB36" s="167" t="n">
        <v>0</v>
      </c>
      <c r="DC36" s="167"/>
      <c r="DD36" s="167" t="n">
        <v>7.0002</v>
      </c>
      <c r="DE36" s="167"/>
      <c r="DF36" s="131"/>
      <c r="DG36" s="131"/>
    </row>
    <row r="37" customFormat="false" ht="15.95" hidden="false" customHeight="true" outlineLevel="0" collapsed="false">
      <c r="A37" s="139" t="n">
        <v>33</v>
      </c>
      <c r="B37" s="140" t="n">
        <f aca="false">VLOOKUP(A37,A_4_INPUT_DATE_E_RISULTATI_GIRONI,8,0)</f>
        <v>44356</v>
      </c>
      <c r="C37" s="141" t="n">
        <f aca="false">VLOOKUP(A37,A_4_INPUT_DATE_E_RISULTATI_GIRONI,9,0)</f>
        <v>0.458333333333333</v>
      </c>
      <c r="D37" s="155" t="str">
        <f aca="false">VLOOKUP(A37,A_4_INPUT_DATE_E_RISULTATI_GIRONI,4,0)</f>
        <v>Bufali</v>
      </c>
      <c r="E37" s="143"/>
      <c r="F37" s="143"/>
      <c r="G37" s="144" t="str">
        <f aca="false">VLOOKUP(A37,A_4_INPUT_DATE_E_RISULTATI_GIRONI,5,0)</f>
        <v>Cinghiali</v>
      </c>
      <c r="H37" s="146" t="str">
        <f aca="false">VLOOKUP(A37,A_4_INPUT_DATE_E_RISULTATI_GIRONI,3,0)</f>
        <v>E</v>
      </c>
      <c r="I37" s="146" t="str">
        <f aca="false">VLOOKUP(A37,A_4_INPUT_DATE_E_RISULTATI_GIRONI,11,0)</f>
        <v>Cristo Re 1</v>
      </c>
      <c r="K37" s="168" t="str">
        <f aca="false">VLOOKUP(ROW()-33&amp;RIGHT(K$33,1),B_CLASSIFICA_GIRONE_G,4,0)</f>
        <v>Muli</v>
      </c>
      <c r="L37" s="169" t="n">
        <f aca="false">VLOOKUP(ROW()-33&amp;RIGHT(K$33,1),B_CLASSIFICA_GIRONE_G,5,0)</f>
        <v>3</v>
      </c>
      <c r="M37" s="169" t="n">
        <f aca="false">VLOOKUP(ROW()-33&amp;RIGHT(K$33,1),B_CLASSIFICA_GIRONE_G,6,0)</f>
        <v>0</v>
      </c>
      <c r="N37" s="169" t="n">
        <f aca="false">VLOOKUP(ROW()-33&amp;RIGHT(K$33,1),B_CLASSIFICA_GIRONE_G,7,0)</f>
        <v>0</v>
      </c>
      <c r="O37" s="169" t="n">
        <f aca="false">VLOOKUP(ROW()-33&amp;RIGHT(K$33,1),B_CLASSIFICA_GIRONE_G,8,0)</f>
        <v>3</v>
      </c>
      <c r="P37" s="169" t="n">
        <f aca="false">VLOOKUP(ROW()-33&amp;RIGHT(K$33,1),B_CLASSIFICA_GIRONE_G,9,0)</f>
        <v>0</v>
      </c>
      <c r="Q37" s="169" t="n">
        <f aca="false">VLOOKUP(ROW()-33&amp;RIGHT(K$33,1),B_CLASSIFICA_GIRONE_G,10,0)</f>
        <v>0</v>
      </c>
      <c r="R37" s="170" t="n">
        <f aca="false">VLOOKUP(ROW()-33&amp;RIGHT(K$33,1),B_CLASSIFICA_GIRONE_G,11,0)</f>
        <v>60</v>
      </c>
      <c r="T37" s="130"/>
      <c r="U37" s="217"/>
      <c r="V37" s="130"/>
      <c r="W37" s="130"/>
      <c r="X37" s="130"/>
      <c r="Y37" s="131"/>
      <c r="Z37" s="131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1"/>
      <c r="AZ37" s="131"/>
      <c r="BA37" s="131"/>
      <c r="BB37" s="131"/>
      <c r="BC37" s="131"/>
      <c r="BD37" s="131"/>
      <c r="BE37" s="131"/>
      <c r="BF37" s="131"/>
      <c r="BG37" s="131"/>
      <c r="BH37" s="131"/>
      <c r="BI37" s="131"/>
      <c r="BJ37" s="131"/>
      <c r="BK37" s="131"/>
      <c r="BL37" s="131"/>
      <c r="BM37" s="131"/>
      <c r="BN37" s="131"/>
      <c r="BO37" s="131"/>
      <c r="BP37" s="131"/>
      <c r="BQ37" s="131"/>
      <c r="BR37" s="131"/>
      <c r="BS37" s="131"/>
      <c r="BT37" s="131"/>
      <c r="BU37" s="131"/>
      <c r="BV37" s="131"/>
      <c r="BW37" s="131"/>
      <c r="BX37" s="131"/>
      <c r="BY37" s="131"/>
      <c r="BZ37" s="131"/>
      <c r="CA37" s="131"/>
      <c r="CB37" s="131"/>
      <c r="CC37" s="131"/>
      <c r="CD37" s="131"/>
      <c r="CE37" s="131"/>
      <c r="CF37" s="131"/>
      <c r="CG37" s="131"/>
      <c r="CH37" s="131"/>
      <c r="CI37" s="131"/>
      <c r="CJ37" s="131"/>
      <c r="CK37" s="131"/>
      <c r="CL37" s="131"/>
      <c r="CM37" s="131"/>
      <c r="CN37" s="131"/>
      <c r="CO37" s="131"/>
      <c r="CP37" s="131"/>
      <c r="CQ37" s="131"/>
      <c r="CR37" s="131"/>
      <c r="CS37" s="131"/>
      <c r="CT37" s="131"/>
      <c r="CU37" s="131"/>
      <c r="CV37" s="152" t="s">
        <v>232</v>
      </c>
      <c r="CW37" s="167" t="n">
        <v>3</v>
      </c>
      <c r="CX37" s="167" t="n">
        <v>2</v>
      </c>
      <c r="CY37" s="167" t="n">
        <v>0</v>
      </c>
      <c r="CZ37" s="167" t="n">
        <v>1</v>
      </c>
      <c r="DA37" s="167" t="n">
        <v>4</v>
      </c>
      <c r="DB37" s="167" t="n">
        <v>2</v>
      </c>
      <c r="DC37" s="167"/>
      <c r="DD37" s="167" t="n">
        <v>6.0002</v>
      </c>
      <c r="DE37" s="167"/>
      <c r="DF37" s="131"/>
      <c r="DG37" s="131"/>
    </row>
    <row r="38" customFormat="false" ht="15.95" hidden="false" customHeight="true" outlineLevel="0" collapsed="false">
      <c r="A38" s="139" t="n">
        <v>34</v>
      </c>
      <c r="B38" s="140" t="n">
        <f aca="false">VLOOKUP(A38,A_4_INPUT_DATE_E_RISULTATI_GIRONI,8,0)</f>
        <v>44356</v>
      </c>
      <c r="C38" s="141" t="n">
        <f aca="false">VLOOKUP(A38,A_4_INPUT_DATE_E_RISULTATI_GIRONI,9,0)</f>
        <v>0.458333333333333</v>
      </c>
      <c r="D38" s="155" t="str">
        <f aca="false">VLOOKUP(A38,A_4_INPUT_DATE_E_RISULTATI_GIRONI,4,0)</f>
        <v>Gabbiani</v>
      </c>
      <c r="E38" s="143"/>
      <c r="F38" s="143"/>
      <c r="G38" s="144" t="str">
        <f aca="false">VLOOKUP(A38,A_4_INPUT_DATE_E_RISULTATI_GIRONI,5,0)</f>
        <v>Fenicotteri</v>
      </c>
      <c r="H38" s="146" t="str">
        <f aca="false">VLOOKUP(A38,A_4_INPUT_DATE_E_RISULTATI_GIRONI,3,0)</f>
        <v>F</v>
      </c>
      <c r="I38" s="146" t="str">
        <f aca="false">VLOOKUP(A38,A_4_INPUT_DATE_E_RISULTATI_GIRONI,11,0)</f>
        <v>Cristo Re 2</v>
      </c>
      <c r="K38" s="218" t="s">
        <v>253</v>
      </c>
      <c r="L38" s="219" t="s">
        <v>59</v>
      </c>
      <c r="M38" s="219" t="s">
        <v>174</v>
      </c>
      <c r="N38" s="219" t="s">
        <v>175</v>
      </c>
      <c r="O38" s="219" t="s">
        <v>54</v>
      </c>
      <c r="P38" s="219" t="s">
        <v>176</v>
      </c>
      <c r="Q38" s="219" t="s">
        <v>177</v>
      </c>
      <c r="R38" s="220" t="s">
        <v>178</v>
      </c>
      <c r="T38" s="130"/>
      <c r="U38" s="217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1"/>
      <c r="AZ38" s="131"/>
      <c r="BA38" s="131"/>
      <c r="BB38" s="131"/>
      <c r="BC38" s="131"/>
      <c r="BD38" s="131"/>
      <c r="BE38" s="131"/>
      <c r="BF38" s="131"/>
      <c r="BG38" s="131"/>
      <c r="BH38" s="131"/>
      <c r="BI38" s="131"/>
      <c r="BJ38" s="131"/>
      <c r="BK38" s="131"/>
      <c r="BL38" s="131"/>
      <c r="BM38" s="131"/>
      <c r="BN38" s="131"/>
      <c r="BO38" s="131"/>
      <c r="BP38" s="131"/>
      <c r="BQ38" s="131"/>
      <c r="BR38" s="131"/>
      <c r="BS38" s="131"/>
      <c r="BT38" s="131"/>
      <c r="BU38" s="131"/>
      <c r="BV38" s="131"/>
      <c r="BW38" s="131"/>
      <c r="BX38" s="131"/>
      <c r="BY38" s="131"/>
      <c r="BZ38" s="131"/>
      <c r="CA38" s="131"/>
      <c r="CB38" s="131"/>
      <c r="CC38" s="131"/>
      <c r="CD38" s="131"/>
      <c r="CE38" s="131"/>
      <c r="CF38" s="131"/>
      <c r="CG38" s="131"/>
      <c r="CH38" s="131"/>
      <c r="CI38" s="131"/>
      <c r="CJ38" s="131"/>
      <c r="CK38" s="131"/>
      <c r="CL38" s="131"/>
      <c r="CM38" s="131"/>
      <c r="CN38" s="131"/>
      <c r="CO38" s="131"/>
      <c r="CP38" s="131"/>
      <c r="CQ38" s="131"/>
      <c r="CR38" s="131"/>
      <c r="CS38" s="131"/>
      <c r="CT38" s="131"/>
      <c r="CU38" s="131"/>
      <c r="CV38" s="152" t="s">
        <v>243</v>
      </c>
      <c r="CW38" s="167" t="n">
        <v>3</v>
      </c>
      <c r="CX38" s="167" t="n">
        <v>0</v>
      </c>
      <c r="CY38" s="167" t="n">
        <v>1</v>
      </c>
      <c r="CZ38" s="167" t="n">
        <v>2</v>
      </c>
      <c r="DA38" s="167" t="n">
        <v>1</v>
      </c>
      <c r="DB38" s="167" t="n">
        <v>4</v>
      </c>
      <c r="DC38" s="167"/>
      <c r="DD38" s="167" t="n">
        <v>0.9997</v>
      </c>
      <c r="DE38" s="167"/>
      <c r="DF38" s="131"/>
      <c r="DG38" s="131"/>
    </row>
    <row r="39" customFormat="false" ht="15.95" hidden="false" customHeight="true" outlineLevel="0" collapsed="false">
      <c r="A39" s="139" t="n">
        <v>35</v>
      </c>
      <c r="B39" s="140" t="n">
        <f aca="false">VLOOKUP(A39,A_4_INPUT_DATE_E_RISULTATI_GIRONI,8,0)</f>
        <v>44356</v>
      </c>
      <c r="C39" s="141" t="n">
        <f aca="false">VLOOKUP(A39,A_4_INPUT_DATE_E_RISULTATI_GIRONI,9,0)</f>
        <v>0.458333333333333</v>
      </c>
      <c r="D39" s="155" t="str">
        <f aca="false">VLOOKUP(A39,A_4_INPUT_DATE_E_RISULTATI_GIRONI,4,0)</f>
        <v>Gorilla</v>
      </c>
      <c r="E39" s="143"/>
      <c r="F39" s="143"/>
      <c r="G39" s="144" t="str">
        <f aca="false">VLOOKUP(A39,A_4_INPUT_DATE_E_RISULTATI_GIRONI,5,0)</f>
        <v>Orche</v>
      </c>
      <c r="H39" s="146" t="str">
        <f aca="false">VLOOKUP(A39,A_4_INPUT_DATE_E_RISULTATI_GIRONI,3,0)</f>
        <v>G</v>
      </c>
      <c r="I39" s="146" t="str">
        <f aca="false">VLOOKUP(A39,A_4_INPUT_DATE_E_RISULTATI_GIRONI,11,0)</f>
        <v>Basket Giovane</v>
      </c>
      <c r="K39" s="147" t="str">
        <f aca="false">VLOOKUP(ROW()-38&amp;RIGHT(K$38,1),B_CLASSIFICA_GIRONE_H,4,0)</f>
        <v>Piranha</v>
      </c>
      <c r="L39" s="148" t="n">
        <f aca="false">VLOOKUP(ROW()-38&amp;RIGHT(K$38,1),B_CLASSIFICA_GIRONE_H,5,0)</f>
        <v>3</v>
      </c>
      <c r="M39" s="148" t="n">
        <f aca="false">VLOOKUP(ROW()-38&amp;RIGHT(K$38,1),B_CLASSIFICA_GIRONE_H,6,0)</f>
        <v>3</v>
      </c>
      <c r="N39" s="148" t="n">
        <f aca="false">VLOOKUP(ROW()-38&amp;RIGHT(K$38,1),B_CLASSIFICA_GIRONE_H,7,0)</f>
        <v>0</v>
      </c>
      <c r="O39" s="148" t="n">
        <f aca="false">VLOOKUP(ROW()-38&amp;RIGHT(K$38,1),B_CLASSIFICA_GIRONE_H,8,0)</f>
        <v>0</v>
      </c>
      <c r="P39" s="148" t="n">
        <f aca="false">VLOOKUP(ROW()-38&amp;RIGHT(K$38,1),B_CLASSIFICA_GIRONE_H,9,0)</f>
        <v>6</v>
      </c>
      <c r="Q39" s="148" t="n">
        <f aca="false">VLOOKUP(ROW()-38&amp;RIGHT(K$38,1),B_CLASSIFICA_GIRONE_H,10,0)</f>
        <v>262</v>
      </c>
      <c r="R39" s="149" t="n">
        <f aca="false">VLOOKUP(ROW()-38&amp;RIGHT(K$38,1),B_CLASSIFICA_GIRONE_H,11,0)</f>
        <v>174</v>
      </c>
      <c r="T39" s="130"/>
      <c r="U39" s="217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1"/>
      <c r="AZ39" s="131"/>
      <c r="BA39" s="131"/>
      <c r="BB39" s="131"/>
      <c r="BC39" s="131"/>
      <c r="BD39" s="131"/>
      <c r="BE39" s="131"/>
      <c r="BF39" s="131"/>
      <c r="BG39" s="131"/>
      <c r="BH39" s="131"/>
      <c r="BI39" s="131"/>
      <c r="BJ39" s="131"/>
      <c r="BK39" s="131"/>
      <c r="BL39" s="131"/>
      <c r="BM39" s="131"/>
      <c r="BN39" s="131"/>
      <c r="BO39" s="131"/>
      <c r="BP39" s="131"/>
      <c r="BQ39" s="131"/>
      <c r="BR39" s="131"/>
      <c r="BS39" s="131"/>
      <c r="BT39" s="131"/>
      <c r="BU39" s="131"/>
      <c r="BV39" s="131"/>
      <c r="BW39" s="131"/>
      <c r="BX39" s="131"/>
      <c r="BY39" s="131"/>
      <c r="BZ39" s="131"/>
      <c r="CA39" s="131"/>
      <c r="CB39" s="131"/>
      <c r="CC39" s="131"/>
      <c r="CD39" s="131"/>
      <c r="CE39" s="131"/>
      <c r="CF39" s="131"/>
      <c r="CG39" s="131"/>
      <c r="CH39" s="131"/>
      <c r="CI39" s="131"/>
      <c r="CJ39" s="131"/>
      <c r="CK39" s="131"/>
      <c r="CL39" s="131"/>
      <c r="CM39" s="131"/>
      <c r="CN39" s="131"/>
      <c r="CO39" s="131"/>
      <c r="CP39" s="131"/>
      <c r="CQ39" s="131"/>
      <c r="CR39" s="131"/>
      <c r="CS39" s="131"/>
      <c r="CT39" s="131"/>
      <c r="CU39" s="131"/>
      <c r="CV39" s="152" t="s">
        <v>211</v>
      </c>
      <c r="CW39" s="167" t="n">
        <v>3</v>
      </c>
      <c r="CX39" s="167" t="n">
        <v>2</v>
      </c>
      <c r="CY39" s="167" t="n">
        <v>1</v>
      </c>
      <c r="CZ39" s="167" t="n">
        <v>0</v>
      </c>
      <c r="DA39" s="167" t="n">
        <v>3</v>
      </c>
      <c r="DB39" s="167" t="n">
        <v>0</v>
      </c>
      <c r="DC39" s="167"/>
      <c r="DD39" s="167" t="n">
        <v>7.0003</v>
      </c>
      <c r="DE39" s="167"/>
      <c r="DF39" s="131"/>
      <c r="DG39" s="131"/>
    </row>
    <row r="40" customFormat="false" ht="15.95" hidden="false" customHeight="true" outlineLevel="0" collapsed="false">
      <c r="A40" s="139" t="n">
        <v>36</v>
      </c>
      <c r="B40" s="140" t="n">
        <f aca="false">VLOOKUP(A40,A_4_INPUT_DATE_E_RISULTATI_GIRONI,8,0)</f>
        <v>44356</v>
      </c>
      <c r="C40" s="141" t="n">
        <f aca="false">VLOOKUP(A40,A_4_INPUT_DATE_E_RISULTATI_GIRONI,9,0)</f>
        <v>0.458333333333333</v>
      </c>
      <c r="D40" s="155" t="str">
        <f aca="false">VLOOKUP(A40,A_4_INPUT_DATE_E_RISULTATI_GIRONI,4,0)</f>
        <v>Scorpioni</v>
      </c>
      <c r="E40" s="143"/>
      <c r="F40" s="143"/>
      <c r="G40" s="144" t="str">
        <f aca="false">VLOOKUP(A40,A_4_INPUT_DATE_E_RISULTATI_GIRONI,5,0)</f>
        <v>Zebre</v>
      </c>
      <c r="H40" s="146" t="str">
        <f aca="false">VLOOKUP(A40,A_4_INPUT_DATE_E_RISULTATI_GIRONI,3,0)</f>
        <v>H</v>
      </c>
      <c r="I40" s="146" t="str">
        <f aca="false">VLOOKUP(A40,A_4_INPUT_DATE_E_RISULTATI_GIRONI,11,0)</f>
        <v>Nuova Scuola</v>
      </c>
      <c r="K40" s="156" t="str">
        <f aca="false">VLOOKUP(ROW()-38&amp;RIGHT(K$38,1),B_CLASSIFICA_GIRONE_H,4,0)</f>
        <v>Scorpioni</v>
      </c>
      <c r="L40" s="157" t="n">
        <f aca="false">VLOOKUP(ROW()-38&amp;RIGHT(K$38,1),B_CLASSIFICA_GIRONE_H,5,0)</f>
        <v>3</v>
      </c>
      <c r="M40" s="157" t="n">
        <f aca="false">VLOOKUP(ROW()-38&amp;RIGHT(K$38,1),B_CLASSIFICA_GIRONE_H,6,0)</f>
        <v>1</v>
      </c>
      <c r="N40" s="157" t="n">
        <f aca="false">VLOOKUP(ROW()-38&amp;RIGHT(K$38,1),B_CLASSIFICA_GIRONE_H,7,0)</f>
        <v>2</v>
      </c>
      <c r="O40" s="157" t="n">
        <f aca="false">VLOOKUP(ROW()-38&amp;RIGHT(K$38,1),B_CLASSIFICA_GIRONE_H,8,0)</f>
        <v>0</v>
      </c>
      <c r="P40" s="157" t="n">
        <f aca="false">VLOOKUP(ROW()-38&amp;RIGHT(K$38,1),B_CLASSIFICA_GIRONE_H,9,0)</f>
        <v>4</v>
      </c>
      <c r="Q40" s="157" t="n">
        <f aca="false">VLOOKUP(ROW()-38&amp;RIGHT(K$38,1),B_CLASSIFICA_GIRONE_H,10,0)</f>
        <v>211</v>
      </c>
      <c r="R40" s="158" t="n">
        <f aca="false">VLOOKUP(ROW()-38&amp;RIGHT(K$38,1),B_CLASSIFICA_GIRONE_H,11,0)</f>
        <v>227</v>
      </c>
      <c r="T40" s="130"/>
      <c r="U40" s="217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1"/>
      <c r="AZ40" s="131"/>
      <c r="BA40" s="131"/>
      <c r="BB40" s="131"/>
      <c r="BC40" s="131"/>
      <c r="BD40" s="131"/>
      <c r="BE40" s="131"/>
      <c r="BF40" s="131"/>
      <c r="BG40" s="131"/>
      <c r="BH40" s="131"/>
      <c r="BI40" s="131"/>
      <c r="BJ40" s="131"/>
      <c r="BK40" s="131"/>
      <c r="BL40" s="131"/>
      <c r="BM40" s="131"/>
      <c r="BN40" s="131"/>
      <c r="BO40" s="131"/>
      <c r="BP40" s="131"/>
      <c r="BQ40" s="131"/>
      <c r="BR40" s="131"/>
      <c r="BS40" s="131"/>
      <c r="BT40" s="131"/>
      <c r="BU40" s="131"/>
      <c r="BV40" s="131"/>
      <c r="BW40" s="131"/>
      <c r="BX40" s="131"/>
      <c r="BY40" s="131"/>
      <c r="BZ40" s="131"/>
      <c r="CA40" s="131"/>
      <c r="CB40" s="131"/>
      <c r="CC40" s="131"/>
      <c r="CD40" s="131"/>
      <c r="CE40" s="131"/>
      <c r="CF40" s="131"/>
      <c r="CG40" s="131"/>
      <c r="CH40" s="131"/>
      <c r="CI40" s="131"/>
      <c r="CJ40" s="131"/>
      <c r="CK40" s="131"/>
      <c r="CL40" s="131"/>
      <c r="CM40" s="131"/>
      <c r="CN40" s="131"/>
      <c r="CO40" s="131"/>
      <c r="CP40" s="131"/>
      <c r="CQ40" s="131"/>
      <c r="CR40" s="131"/>
      <c r="CS40" s="131"/>
      <c r="CT40" s="131"/>
      <c r="CU40" s="131"/>
      <c r="CV40" s="221"/>
      <c r="CW40" s="221"/>
      <c r="CX40" s="222"/>
      <c r="CY40" s="222"/>
      <c r="CZ40" s="222"/>
      <c r="DA40" s="222"/>
      <c r="DB40" s="222"/>
      <c r="DC40" s="222"/>
      <c r="DD40" s="222"/>
      <c r="DE40" s="222"/>
      <c r="DF40" s="131"/>
      <c r="DG40" s="131"/>
    </row>
    <row r="41" customFormat="false" ht="15.95" hidden="false" customHeight="true" outlineLevel="0" collapsed="false">
      <c r="A41" s="139" t="n">
        <v>37</v>
      </c>
      <c r="B41" s="140" t="n">
        <f aca="false">VLOOKUP(A41,A_4_INPUT_DATE_E_RISULTATI_GIRONI,8,0)</f>
        <v>44356</v>
      </c>
      <c r="C41" s="141" t="n">
        <f aca="false">VLOOKUP(A41,A_4_INPUT_DATE_E_RISULTATI_GIRONI,9,0)</f>
        <v>0.645833333333333</v>
      </c>
      <c r="D41" s="155" t="str">
        <f aca="false">VLOOKUP(A41,A_4_INPUT_DATE_E_RISULTATI_GIRONI,4,0)</f>
        <v>Pantere</v>
      </c>
      <c r="E41" s="143"/>
      <c r="F41" s="143"/>
      <c r="G41" s="144" t="str">
        <f aca="false">VLOOKUP(A41,A_4_INPUT_DATE_E_RISULTATI_GIRONI,5,0)</f>
        <v>Tigri</v>
      </c>
      <c r="H41" s="146" t="str">
        <f aca="false">VLOOKUP(A41,A_4_INPUT_DATE_E_RISULTATI_GIRONI,3,0)</f>
        <v>A</v>
      </c>
      <c r="I41" s="146" t="str">
        <f aca="false">VLOOKUP(A41,A_4_INPUT_DATE_E_RISULTATI_GIRONI,11,0)</f>
        <v>Cristo Re 1</v>
      </c>
      <c r="K41" s="160" t="str">
        <f aca="false">VLOOKUP(ROW()-38&amp;RIGHT(K$38,1),B_CLASSIFICA_GIRONE_H,4,0)</f>
        <v>Tonni</v>
      </c>
      <c r="L41" s="161" t="n">
        <f aca="false">VLOOKUP(ROW()-38&amp;RIGHT(K$38,1),B_CLASSIFICA_GIRONE_H,5,0)</f>
        <v>3</v>
      </c>
      <c r="M41" s="161" t="n">
        <f aca="false">VLOOKUP(ROW()-38&amp;RIGHT(K$38,1),B_CLASSIFICA_GIRONE_H,6,0)</f>
        <v>1</v>
      </c>
      <c r="N41" s="161" t="n">
        <f aca="false">VLOOKUP(ROW()-38&amp;RIGHT(K$38,1),B_CLASSIFICA_GIRONE_H,7,0)</f>
        <v>2</v>
      </c>
      <c r="O41" s="161" t="n">
        <f aca="false">VLOOKUP(ROW()-38&amp;RIGHT(K$38,1),B_CLASSIFICA_GIRONE_H,8,0)</f>
        <v>0</v>
      </c>
      <c r="P41" s="161" t="n">
        <f aca="false">VLOOKUP(ROW()-38&amp;RIGHT(K$38,1),B_CLASSIFICA_GIRONE_H,9,0)</f>
        <v>4</v>
      </c>
      <c r="Q41" s="161" t="n">
        <f aca="false">VLOOKUP(ROW()-38&amp;RIGHT(K$38,1),B_CLASSIFICA_GIRONE_H,10,0)</f>
        <v>146</v>
      </c>
      <c r="R41" s="162" t="n">
        <f aca="false">VLOOKUP(ROW()-38&amp;RIGHT(K$38,1),B_CLASSIFICA_GIRONE_H,11,0)</f>
        <v>151</v>
      </c>
      <c r="T41" s="130"/>
      <c r="U41" s="217"/>
      <c r="V41" s="130"/>
      <c r="W41" s="130"/>
      <c r="X41" s="130"/>
      <c r="Y41" s="130"/>
      <c r="Z41" s="130"/>
      <c r="AA41" s="130"/>
      <c r="AB41" s="131"/>
      <c r="AC41" s="131"/>
      <c r="AD41" s="131"/>
      <c r="AE41" s="131"/>
      <c r="AF41" s="131"/>
      <c r="AG41" s="131"/>
      <c r="AH41" s="131"/>
      <c r="AI41" s="131"/>
      <c r="AJ41" s="131"/>
      <c r="AK41" s="131"/>
      <c r="AL41" s="131"/>
      <c r="AM41" s="131"/>
      <c r="AN41" s="131"/>
      <c r="AO41" s="131"/>
      <c r="AP41" s="131"/>
      <c r="AQ41" s="131"/>
      <c r="AR41" s="131"/>
      <c r="AS41" s="131"/>
      <c r="AT41" s="131"/>
      <c r="AU41" s="131"/>
      <c r="AV41" s="131"/>
      <c r="AW41" s="131"/>
      <c r="AX41" s="131"/>
      <c r="AY41" s="131"/>
      <c r="AZ41" s="131"/>
      <c r="BA41" s="131"/>
      <c r="BB41" s="131"/>
      <c r="BC41" s="131"/>
      <c r="BD41" s="131"/>
      <c r="BE41" s="131"/>
      <c r="BF41" s="131"/>
      <c r="BG41" s="131"/>
      <c r="BH41" s="131"/>
      <c r="BI41" s="131"/>
      <c r="BJ41" s="131"/>
      <c r="BK41" s="131"/>
      <c r="BL41" s="131"/>
      <c r="BM41" s="131"/>
      <c r="BN41" s="131"/>
      <c r="BO41" s="131"/>
      <c r="BP41" s="131"/>
      <c r="BQ41" s="131"/>
      <c r="BR41" s="131"/>
      <c r="BS41" s="131"/>
      <c r="BT41" s="131"/>
      <c r="BU41" s="131"/>
      <c r="BV41" s="131"/>
      <c r="BW41" s="131"/>
      <c r="BX41" s="131"/>
      <c r="BY41" s="131"/>
      <c r="BZ41" s="131"/>
      <c r="CA41" s="131"/>
      <c r="CB41" s="131"/>
      <c r="CC41" s="131"/>
      <c r="CD41" s="131"/>
      <c r="CE41" s="131"/>
      <c r="CF41" s="131"/>
      <c r="CG41" s="131"/>
      <c r="CH41" s="131"/>
      <c r="CI41" s="131"/>
      <c r="CJ41" s="131"/>
      <c r="CK41" s="131"/>
      <c r="CL41" s="131"/>
      <c r="CM41" s="131"/>
      <c r="CN41" s="131"/>
      <c r="CO41" s="131"/>
      <c r="CP41" s="131"/>
      <c r="CQ41" s="131"/>
      <c r="CR41" s="131"/>
      <c r="CS41" s="131"/>
      <c r="CT41" s="131"/>
      <c r="CU41" s="131"/>
      <c r="CV41" s="221"/>
      <c r="CW41" s="131"/>
      <c r="CX41" s="151"/>
      <c r="CY41" s="151"/>
      <c r="CZ41" s="151"/>
      <c r="DA41" s="151"/>
      <c r="DB41" s="151"/>
      <c r="DC41" s="151"/>
      <c r="DD41" s="151"/>
      <c r="DE41" s="151"/>
      <c r="DF41" s="131"/>
      <c r="DG41" s="131"/>
    </row>
    <row r="42" customFormat="false" ht="15.95" hidden="false" customHeight="true" outlineLevel="0" collapsed="false">
      <c r="A42" s="139" t="n">
        <v>38</v>
      </c>
      <c r="B42" s="140" t="n">
        <f aca="false">VLOOKUP(A42,A_4_INPUT_DATE_E_RISULTATI_GIRONI,8,0)</f>
        <v>44356</v>
      </c>
      <c r="C42" s="141" t="n">
        <f aca="false">VLOOKUP(A42,A_4_INPUT_DATE_E_RISULTATI_GIRONI,9,0)</f>
        <v>0.645833333333333</v>
      </c>
      <c r="D42" s="155" t="str">
        <f aca="false">VLOOKUP(A42,A_4_INPUT_DATE_E_RISULTATI_GIRONI,4,0)</f>
        <v>Puma</v>
      </c>
      <c r="E42" s="143"/>
      <c r="F42" s="143"/>
      <c r="G42" s="144" t="str">
        <f aca="false">VLOOKUP(A42,A_4_INPUT_DATE_E_RISULTATI_GIRONI,5,0)</f>
        <v>Linci</v>
      </c>
      <c r="H42" s="146" t="str">
        <f aca="false">VLOOKUP(A42,A_4_INPUT_DATE_E_RISULTATI_GIRONI,3,0)</f>
        <v>B</v>
      </c>
      <c r="I42" s="146" t="str">
        <f aca="false">VLOOKUP(A42,A_4_INPUT_DATE_E_RISULTATI_GIRONI,11,0)</f>
        <v>Cristo Re 2</v>
      </c>
      <c r="K42" s="168" t="str">
        <f aca="false">VLOOKUP(ROW()-38&amp;RIGHT(K$38,1),B_CLASSIFICA_GIRONE_H,4,0)</f>
        <v>Zebre</v>
      </c>
      <c r="L42" s="223" t="n">
        <f aca="false">VLOOKUP(ROW()-38&amp;RIGHT(K$38,1),B_CLASSIFICA_GIRONE_H,5,0)</f>
        <v>3</v>
      </c>
      <c r="M42" s="223" t="n">
        <f aca="false">VLOOKUP(ROW()-38&amp;RIGHT(K$38,1),B_CLASSIFICA_GIRONE_H,6,0)</f>
        <v>1</v>
      </c>
      <c r="N42" s="223" t="n">
        <f aca="false">VLOOKUP(ROW()-38&amp;RIGHT(K$38,1),B_CLASSIFICA_GIRONE_H,7,0)</f>
        <v>1</v>
      </c>
      <c r="O42" s="223" t="n">
        <f aca="false">VLOOKUP(ROW()-38&amp;RIGHT(K$38,1),B_CLASSIFICA_GIRONE_H,8,0)</f>
        <v>1</v>
      </c>
      <c r="P42" s="223" t="n">
        <f aca="false">VLOOKUP(ROW()-38&amp;RIGHT(K$38,1),B_CLASSIFICA_GIRONE_H,9,0)</f>
        <v>3</v>
      </c>
      <c r="Q42" s="223" t="n">
        <f aca="false">VLOOKUP(ROW()-38&amp;RIGHT(K$38,1),B_CLASSIFICA_GIRONE_H,10,0)</f>
        <v>92</v>
      </c>
      <c r="R42" s="224" t="n">
        <f aca="false">VLOOKUP(ROW()-38&amp;RIGHT(K$38,1),B_CLASSIFICA_GIRONE_H,11,0)</f>
        <v>159</v>
      </c>
      <c r="T42" s="130"/>
      <c r="U42" s="217"/>
      <c r="V42" s="130"/>
      <c r="W42" s="130"/>
      <c r="X42" s="130"/>
      <c r="Y42" s="130"/>
      <c r="Z42" s="130"/>
      <c r="AA42" s="130"/>
      <c r="AB42" s="131"/>
      <c r="AC42" s="131"/>
      <c r="AD42" s="131"/>
      <c r="AE42" s="131"/>
      <c r="AF42" s="131"/>
      <c r="AG42" s="131"/>
      <c r="AH42" s="131"/>
      <c r="AI42" s="131"/>
      <c r="AJ42" s="131"/>
      <c r="AK42" s="131"/>
      <c r="AL42" s="131"/>
      <c r="AM42" s="131"/>
      <c r="AN42" s="131"/>
      <c r="AO42" s="131"/>
      <c r="AP42" s="131"/>
      <c r="AQ42" s="131"/>
      <c r="AR42" s="131"/>
      <c r="AS42" s="131"/>
      <c r="AT42" s="131"/>
      <c r="AU42" s="131"/>
      <c r="AV42" s="131"/>
      <c r="AW42" s="131"/>
      <c r="AX42" s="131"/>
      <c r="AY42" s="131"/>
      <c r="AZ42" s="131"/>
      <c r="BA42" s="131"/>
      <c r="BB42" s="131"/>
      <c r="BC42" s="131"/>
      <c r="BD42" s="131"/>
      <c r="BE42" s="131"/>
      <c r="BF42" s="131"/>
      <c r="BG42" s="131"/>
      <c r="BH42" s="131"/>
      <c r="BI42" s="131"/>
      <c r="BJ42" s="131"/>
      <c r="BK42" s="131"/>
      <c r="BL42" s="131"/>
      <c r="BM42" s="131"/>
      <c r="BN42" s="131"/>
      <c r="BO42" s="131"/>
      <c r="BP42" s="131"/>
      <c r="BQ42" s="131"/>
      <c r="BR42" s="131"/>
      <c r="BS42" s="131"/>
      <c r="BT42" s="131"/>
      <c r="BU42" s="131"/>
      <c r="BV42" s="131"/>
      <c r="BW42" s="131"/>
      <c r="BX42" s="131"/>
      <c r="BY42" s="131"/>
      <c r="BZ42" s="131"/>
      <c r="CA42" s="131"/>
      <c r="CB42" s="131"/>
      <c r="CC42" s="131"/>
      <c r="CD42" s="131"/>
      <c r="CE42" s="131"/>
      <c r="CF42" s="131"/>
      <c r="CG42" s="131"/>
      <c r="CH42" s="131"/>
      <c r="CI42" s="131"/>
      <c r="CJ42" s="131"/>
      <c r="CK42" s="131"/>
      <c r="CL42" s="131"/>
      <c r="CM42" s="131"/>
      <c r="CN42" s="131"/>
      <c r="CO42" s="131"/>
      <c r="CP42" s="131"/>
      <c r="CQ42" s="131"/>
      <c r="CR42" s="131"/>
      <c r="CS42" s="131"/>
      <c r="CT42" s="131"/>
      <c r="CU42" s="131"/>
      <c r="CV42" s="221"/>
      <c r="CW42" s="131"/>
      <c r="CX42" s="151"/>
      <c r="CY42" s="151"/>
      <c r="CZ42" s="151"/>
      <c r="DA42" s="151"/>
      <c r="DB42" s="151"/>
      <c r="DC42" s="151"/>
      <c r="DD42" s="151"/>
      <c r="DE42" s="151"/>
      <c r="DF42" s="131"/>
      <c r="DG42" s="131"/>
    </row>
    <row r="43" customFormat="false" ht="15.95" hidden="false" customHeight="true" outlineLevel="0" collapsed="false">
      <c r="A43" s="139" t="n">
        <v>39</v>
      </c>
      <c r="B43" s="140" t="n">
        <f aca="false">VLOOKUP(A43,A_4_INPUT_DATE_E_RISULTATI_GIRONI,8,0)</f>
        <v>44356</v>
      </c>
      <c r="C43" s="141" t="n">
        <f aca="false">VLOOKUP(A43,A_4_INPUT_DATE_E_RISULTATI_GIRONI,9,0)</f>
        <v>0.645833333333333</v>
      </c>
      <c r="D43" s="155" t="str">
        <f aca="false">VLOOKUP(A43,A_4_INPUT_DATE_E_RISULTATI_GIRONI,4,0)</f>
        <v>Giraffe</v>
      </c>
      <c r="E43" s="143"/>
      <c r="F43" s="143"/>
      <c r="G43" s="144" t="str">
        <f aca="false">VLOOKUP(A43,A_4_INPUT_DATE_E_RISULTATI_GIRONI,5,0)</f>
        <v>Ippopotami</v>
      </c>
      <c r="H43" s="146" t="str">
        <f aca="false">VLOOKUP(A43,A_4_INPUT_DATE_E_RISULTATI_GIRONI,3,0)</f>
        <v>C</v>
      </c>
      <c r="I43" s="146" t="str">
        <f aca="false">VLOOKUP(A43,A_4_INPUT_DATE_E_RISULTATI_GIRONI,11,0)</f>
        <v>Basket Giovane</v>
      </c>
    </row>
    <row r="44" customFormat="false" ht="15.95" hidden="false" customHeight="true" outlineLevel="0" collapsed="false">
      <c r="A44" s="139" t="n">
        <v>40</v>
      </c>
      <c r="B44" s="140" t="n">
        <f aca="false">VLOOKUP(A44,A_4_INPUT_DATE_E_RISULTATI_GIRONI,8,0)</f>
        <v>44356</v>
      </c>
      <c r="C44" s="141" t="n">
        <f aca="false">VLOOKUP(A44,A_4_INPUT_DATE_E_RISULTATI_GIRONI,9,0)</f>
        <v>0.645833333333333</v>
      </c>
      <c r="D44" s="155" t="str">
        <f aca="false">VLOOKUP(A44,A_4_INPUT_DATE_E_RISULTATI_GIRONI,4,0)</f>
        <v>Pitoni</v>
      </c>
      <c r="E44" s="143"/>
      <c r="F44" s="143"/>
      <c r="G44" s="144" t="str">
        <f aca="false">VLOOKUP(A44,A_4_INPUT_DATE_E_RISULTATI_GIRONI,5,0)</f>
        <v>Aquile</v>
      </c>
      <c r="H44" s="146" t="str">
        <f aca="false">VLOOKUP(A44,A_4_INPUT_DATE_E_RISULTATI_GIRONI,3,0)</f>
        <v>D</v>
      </c>
      <c r="I44" s="146" t="str">
        <f aca="false">VLOOKUP(A44,A_4_INPUT_DATE_E_RISULTATI_GIRONI,11,0)</f>
        <v>Nuova Scuola</v>
      </c>
    </row>
    <row r="45" customFormat="false" ht="15.95" hidden="false" customHeight="true" outlineLevel="0" collapsed="false">
      <c r="A45" s="139" t="n">
        <v>41</v>
      </c>
      <c r="B45" s="140" t="n">
        <f aca="false">VLOOKUP(A45,A_4_INPUT_DATE_E_RISULTATI_GIRONI,8,0)</f>
        <v>44356</v>
      </c>
      <c r="C45" s="141" t="n">
        <f aca="false">VLOOKUP(A45,A_4_INPUT_DATE_E_RISULTATI_GIRONI,9,0)</f>
        <v>0.708333333333333</v>
      </c>
      <c r="D45" s="155" t="str">
        <f aca="false">VLOOKUP(A45,A_4_INPUT_DATE_E_RISULTATI_GIRONI,4,0)</f>
        <v>Bisonti</v>
      </c>
      <c r="E45" s="143"/>
      <c r="F45" s="143"/>
      <c r="G45" s="144" t="str">
        <f aca="false">VLOOKUP(A45,A_4_INPUT_DATE_E_RISULTATI_GIRONI,5,0)</f>
        <v>Cinghiali</v>
      </c>
      <c r="H45" s="146" t="str">
        <f aca="false">VLOOKUP(A45,A_4_INPUT_DATE_E_RISULTATI_GIRONI,3,0)</f>
        <v>E</v>
      </c>
      <c r="I45" s="146" t="str">
        <f aca="false">VLOOKUP(A45,A_4_INPUT_DATE_E_RISULTATI_GIRONI,11,0)</f>
        <v>Cristo Re 1</v>
      </c>
    </row>
    <row r="46" customFormat="false" ht="15.95" hidden="false" customHeight="true" outlineLevel="0" collapsed="false">
      <c r="A46" s="139" t="n">
        <v>42</v>
      </c>
      <c r="B46" s="140" t="n">
        <f aca="false">VLOOKUP(A46,A_4_INPUT_DATE_E_RISULTATI_GIRONI,8,0)</f>
        <v>44356</v>
      </c>
      <c r="C46" s="141" t="n">
        <f aca="false">VLOOKUP(A46,A_4_INPUT_DATE_E_RISULTATI_GIRONI,9,0)</f>
        <v>0.708333333333333</v>
      </c>
      <c r="D46" s="155" t="str">
        <f aca="false">VLOOKUP(A46,A_4_INPUT_DATE_E_RISULTATI_GIRONI,4,0)</f>
        <v>Balene</v>
      </c>
      <c r="E46" s="143"/>
      <c r="F46" s="143"/>
      <c r="G46" s="144" t="str">
        <f aca="false">VLOOKUP(A46,A_4_INPUT_DATE_E_RISULTATI_GIRONI,5,0)</f>
        <v>Fenicotteri</v>
      </c>
      <c r="H46" s="146" t="str">
        <f aca="false">VLOOKUP(A46,A_4_INPUT_DATE_E_RISULTATI_GIRONI,3,0)</f>
        <v>F</v>
      </c>
      <c r="I46" s="146" t="str">
        <f aca="false">VLOOKUP(A46,A_4_INPUT_DATE_E_RISULTATI_GIRONI,11,0)</f>
        <v>Cristo Re 2</v>
      </c>
    </row>
    <row r="47" customFormat="false" ht="15.95" hidden="false" customHeight="true" outlineLevel="0" collapsed="false">
      <c r="A47" s="139" t="n">
        <v>43</v>
      </c>
      <c r="B47" s="140" t="n">
        <f aca="false">VLOOKUP(A47,A_4_INPUT_DATE_E_RISULTATI_GIRONI,8,0)</f>
        <v>44356</v>
      </c>
      <c r="C47" s="141" t="n">
        <f aca="false">VLOOKUP(A47,A_4_INPUT_DATE_E_RISULTATI_GIRONI,9,0)</f>
        <v>0.708333333333333</v>
      </c>
      <c r="D47" s="155" t="str">
        <f aca="false">VLOOKUP(A47,A_4_INPUT_DATE_E_RISULTATI_GIRONI,4,0)</f>
        <v>Istrici</v>
      </c>
      <c r="E47" s="143"/>
      <c r="F47" s="143"/>
      <c r="G47" s="144" t="str">
        <f aca="false">VLOOKUP(A47,A_4_INPUT_DATE_E_RISULTATI_GIRONI,5,0)</f>
        <v>Orche</v>
      </c>
      <c r="H47" s="146" t="str">
        <f aca="false">VLOOKUP(A47,A_4_INPUT_DATE_E_RISULTATI_GIRONI,3,0)</f>
        <v>G</v>
      </c>
      <c r="I47" s="146" t="str">
        <f aca="false">VLOOKUP(A47,A_4_INPUT_DATE_E_RISULTATI_GIRONI,11,0)</f>
        <v>Basket Giovane</v>
      </c>
    </row>
    <row r="48" customFormat="false" ht="15.95" hidden="false" customHeight="true" outlineLevel="0" collapsed="false">
      <c r="A48" s="139" t="n">
        <v>44</v>
      </c>
      <c r="B48" s="140" t="n">
        <f aca="false">VLOOKUP(A48,A_4_INPUT_DATE_E_RISULTATI_GIRONI,8,0)</f>
        <v>44356</v>
      </c>
      <c r="C48" s="141" t="n">
        <f aca="false">VLOOKUP(A48,A_4_INPUT_DATE_E_RISULTATI_GIRONI,9,0)</f>
        <v>0.708333333333333</v>
      </c>
      <c r="D48" s="155" t="str">
        <f aca="false">VLOOKUP(A48,A_4_INPUT_DATE_E_RISULTATI_GIRONI,4,0)</f>
        <v>Piranha</v>
      </c>
      <c r="E48" s="143"/>
      <c r="F48" s="143"/>
      <c r="G48" s="144" t="str">
        <f aca="false">VLOOKUP(A48,A_4_INPUT_DATE_E_RISULTATI_GIRONI,5,0)</f>
        <v>Zebre</v>
      </c>
      <c r="H48" s="146" t="str">
        <f aca="false">VLOOKUP(A48,A_4_INPUT_DATE_E_RISULTATI_GIRONI,3,0)</f>
        <v>H</v>
      </c>
      <c r="I48" s="146" t="str">
        <f aca="false">VLOOKUP(A48,A_4_INPUT_DATE_E_RISULTATI_GIRONI,11,0)</f>
        <v>Nuova Scuola</v>
      </c>
    </row>
    <row r="49" customFormat="false" ht="15.95" hidden="false" customHeight="true" outlineLevel="0" collapsed="false">
      <c r="A49" s="139" t="n">
        <v>45</v>
      </c>
      <c r="B49" s="140" t="n">
        <f aca="false">VLOOKUP(A49,A_4_INPUT_DATE_E_RISULTATI_GIRONI,8,0)</f>
        <v>44356</v>
      </c>
      <c r="C49" s="141" t="n">
        <f aca="false">VLOOKUP(A49,A_4_INPUT_DATE_E_RISULTATI_GIRONI,9,0)</f>
        <v>0.770833333333333</v>
      </c>
      <c r="D49" s="155" t="str">
        <f aca="false">VLOOKUP(A49,A_4_INPUT_DATE_E_RISULTATI_GIRONI,4,0)</f>
        <v>Bufali</v>
      </c>
      <c r="E49" s="143"/>
      <c r="F49" s="143"/>
      <c r="G49" s="144" t="str">
        <f aca="false">VLOOKUP(A49,A_4_INPUT_DATE_E_RISULTATI_GIRONI,5,0)</f>
        <v>Cervi</v>
      </c>
      <c r="H49" s="146" t="str">
        <f aca="false">VLOOKUP(A49,A_4_INPUT_DATE_E_RISULTATI_GIRONI,3,0)</f>
        <v>E</v>
      </c>
      <c r="I49" s="146" t="str">
        <f aca="false">VLOOKUP(A49,A_4_INPUT_DATE_E_RISULTATI_GIRONI,11,0)</f>
        <v>Cristo Re 1</v>
      </c>
    </row>
    <row r="50" customFormat="false" ht="15.95" hidden="false" customHeight="true" outlineLevel="0" collapsed="false">
      <c r="A50" s="139" t="n">
        <v>46</v>
      </c>
      <c r="B50" s="140" t="n">
        <f aca="false">VLOOKUP(A50,A_4_INPUT_DATE_E_RISULTATI_GIRONI,8,0)</f>
        <v>44356</v>
      </c>
      <c r="C50" s="141" t="n">
        <f aca="false">VLOOKUP(A50,A_4_INPUT_DATE_E_RISULTATI_GIRONI,9,0)</f>
        <v>0.770833333333333</v>
      </c>
      <c r="D50" s="155" t="str">
        <f aca="false">VLOOKUP(A50,A_4_INPUT_DATE_E_RISULTATI_GIRONI,4,0)</f>
        <v>Gabbiani</v>
      </c>
      <c r="E50" s="143"/>
      <c r="F50" s="143"/>
      <c r="G50" s="144" t="str">
        <f aca="false">VLOOKUP(A50,A_4_INPUT_DATE_E_RISULTATI_GIRONI,5,0)</f>
        <v>Delfini</v>
      </c>
      <c r="H50" s="146" t="str">
        <f aca="false">VLOOKUP(A50,A_4_INPUT_DATE_E_RISULTATI_GIRONI,3,0)</f>
        <v>F</v>
      </c>
      <c r="I50" s="146" t="str">
        <f aca="false">VLOOKUP(A50,A_4_INPUT_DATE_E_RISULTATI_GIRONI,11,0)</f>
        <v>Cristo Re 2</v>
      </c>
    </row>
    <row r="51" customFormat="false" ht="15.95" hidden="false" customHeight="true" outlineLevel="0" collapsed="false">
      <c r="A51" s="139" t="n">
        <v>47</v>
      </c>
      <c r="B51" s="140" t="n">
        <f aca="false">VLOOKUP(A51,A_4_INPUT_DATE_E_RISULTATI_GIRONI,8,0)</f>
        <v>44356</v>
      </c>
      <c r="C51" s="141" t="n">
        <f aca="false">VLOOKUP(A51,A_4_INPUT_DATE_E_RISULTATI_GIRONI,9,0)</f>
        <v>0.770833333333333</v>
      </c>
      <c r="D51" s="155" t="str">
        <f aca="false">VLOOKUP(A51,A_4_INPUT_DATE_E_RISULTATI_GIRONI,4,0)</f>
        <v>Gorilla</v>
      </c>
      <c r="E51" s="143"/>
      <c r="F51" s="143"/>
      <c r="G51" s="144" t="str">
        <f aca="false">VLOOKUP(A51,A_4_INPUT_DATE_E_RISULTATI_GIRONI,5,0)</f>
        <v>Muli</v>
      </c>
      <c r="H51" s="146" t="str">
        <f aca="false">VLOOKUP(A51,A_4_INPUT_DATE_E_RISULTATI_GIRONI,3,0)</f>
        <v>G</v>
      </c>
      <c r="I51" s="146" t="str">
        <f aca="false">VLOOKUP(A51,A_4_INPUT_DATE_E_RISULTATI_GIRONI,11,0)</f>
        <v>Basket Giovane</v>
      </c>
    </row>
    <row r="52" customFormat="false" ht="15.95" hidden="false" customHeight="true" outlineLevel="0" collapsed="false">
      <c r="A52" s="139" t="n">
        <v>48</v>
      </c>
      <c r="B52" s="140" t="n">
        <f aca="false">VLOOKUP(A52,A_4_INPUT_DATE_E_RISULTATI_GIRONI,8,0)</f>
        <v>44356</v>
      </c>
      <c r="C52" s="141" t="n">
        <f aca="false">VLOOKUP(A52,A_4_INPUT_DATE_E_RISULTATI_GIRONI,9,0)</f>
        <v>0.770833333333333</v>
      </c>
      <c r="D52" s="155" t="str">
        <f aca="false">VLOOKUP(A52,A_4_INPUT_DATE_E_RISULTATI_GIRONI,4,0)</f>
        <v>Scorpioni</v>
      </c>
      <c r="E52" s="143"/>
      <c r="F52" s="143"/>
      <c r="G52" s="144" t="str">
        <f aca="false">VLOOKUP(A52,A_4_INPUT_DATE_E_RISULTATI_GIRONI,5,0)</f>
        <v>Tonni</v>
      </c>
      <c r="H52" s="146" t="str">
        <f aca="false">VLOOKUP(A52,A_4_INPUT_DATE_E_RISULTATI_GIRONI,3,0)</f>
        <v>H</v>
      </c>
      <c r="I52" s="146" t="str">
        <f aca="false">VLOOKUP(A52,A_4_INPUT_DATE_E_RISULTATI_GIRONI,11,0)</f>
        <v>Nuova Scuola</v>
      </c>
    </row>
  </sheetData>
  <mergeCells count="26">
    <mergeCell ref="B1:I1"/>
    <mergeCell ref="K1:R1"/>
    <mergeCell ref="B2:I2"/>
    <mergeCell ref="K2:R2"/>
    <mergeCell ref="T2:V3"/>
    <mergeCell ref="Y2:AA3"/>
    <mergeCell ref="AD2:AF3"/>
    <mergeCell ref="AI2:AK3"/>
    <mergeCell ref="E3:F3"/>
    <mergeCell ref="T5:V5"/>
    <mergeCell ref="T6:T7"/>
    <mergeCell ref="Y8:Y9"/>
    <mergeCell ref="T9:V9"/>
    <mergeCell ref="T10:T11"/>
    <mergeCell ref="AD12:AD13"/>
    <mergeCell ref="T14:T15"/>
    <mergeCell ref="Y16:Y17"/>
    <mergeCell ref="T18:T19"/>
    <mergeCell ref="AI19:AI20"/>
    <mergeCell ref="T22:T23"/>
    <mergeCell ref="Y24:Y25"/>
    <mergeCell ref="T26:T27"/>
    <mergeCell ref="AD28:AD29"/>
    <mergeCell ref="T30:T31"/>
    <mergeCell ref="Y32:Y33"/>
    <mergeCell ref="T34:T35"/>
  </mergeCells>
  <conditionalFormatting sqref="AL25:AX25">
    <cfRule type="expression" priority="2" aboveAverage="0" equalAverage="0" bottom="0" percent="0" rank="0" text="" dxfId="8">
      <formula>IF(#REF!=#REF!,1,IF(#REF!=#REF!,1,0))</formula>
    </cfRule>
  </conditionalFormatting>
  <conditionalFormatting sqref="B5:D52">
    <cfRule type="expression" priority="3" aboveAverage="0" equalAverage="0" bottom="0" percent="0" rank="0" text="" dxfId="8">
      <formula>IF(#REF!=CONCATENATE($D4,"_win"),1,0)</formula>
    </cfRule>
  </conditionalFormatting>
  <conditionalFormatting sqref="G4:G52 H4 B4:D52">
    <cfRule type="expression" priority="4" aboveAverage="0" equalAverage="0" bottom="0" percent="0" rank="0" text="" dxfId="8">
      <formula>IF(#REF!=CONCATENATE($G4,"_win"),1,0)</formula>
    </cfRule>
  </conditionalFormatting>
  <conditionalFormatting sqref="K23 M23:R23">
    <cfRule type="expression" priority="5" aboveAverage="0" equalAverage="0" bottom="0" percent="0" rank="0" text="" dxfId="8">
      <formula>IF(#REF!=#REF!,1,IF(#REF!=#REF!,1,0))</formula>
    </cfRule>
  </conditionalFormatting>
  <conditionalFormatting sqref="CV40:DE40">
    <cfRule type="expression" priority="6" aboveAverage="0" equalAverage="0" bottom="0" percent="0" rank="0" text="" dxfId="8">
      <formula>IF(#REF!=#REF!,1,IF(#REF!=#REF!,1,0))</formula>
    </cfRule>
  </conditionalFormatting>
  <conditionalFormatting sqref="CV18 CX18:DE18">
    <cfRule type="expression" priority="7" aboveAverage="0" equalAverage="0" bottom="0" percent="0" rank="0" text="" dxfId="8">
      <formula>IF(#REF!=#REF!,1,IF(#REF!=#REF!,1,0))</formula>
    </cfRule>
  </conditionalFormatting>
  <conditionalFormatting sqref="CV23 CX23:DE23">
    <cfRule type="expression" priority="8" aboveAverage="0" equalAverage="0" bottom="0" percent="0" rank="0" text="" dxfId="8">
      <formula>IF(#REF!=#REF!,1,IF(#REF!=#REF!,1,0))</formula>
    </cfRule>
  </conditionalFormatting>
  <conditionalFormatting sqref="U11">
    <cfRule type="expression" priority="9" aboveAverage="0" equalAverage="0" bottom="0" percent="0" rank="0" text="" dxfId="8">
      <formula>IF($AU11=#REF!,1,0)</formula>
    </cfRule>
    <cfRule type="expression" priority="10" aboveAverage="0" equalAverage="0" bottom="0" percent="0" rank="0" text="" dxfId="8">
      <formula>IF($AU10=#REF!,1,0)</formula>
    </cfRule>
  </conditionalFormatting>
  <conditionalFormatting sqref="U31">
    <cfRule type="expression" priority="11" aboveAverage="0" equalAverage="0" bottom="0" percent="0" rank="0" text="" dxfId="8">
      <formula>IF($AU31=#REF!,1,0)</formula>
    </cfRule>
    <cfRule type="expression" priority="12" aboveAverage="0" equalAverage="0" bottom="0" percent="0" rank="0" text="" dxfId="8">
      <formula>IF($AU30=#REF!,1,0)</formula>
    </cfRule>
  </conditionalFormatting>
  <conditionalFormatting sqref="U23">
    <cfRule type="expression" priority="13" aboveAverage="0" equalAverage="0" bottom="0" percent="0" rank="0" text="" dxfId="8">
      <formula>IF($AU23=#REF!,1,0)</formula>
    </cfRule>
    <cfRule type="expression" priority="14" aboveAverage="0" equalAverage="0" bottom="0" percent="0" rank="0" text="" dxfId="8">
      <formula>IF($AU22=#REF!,1,0)</formula>
    </cfRule>
  </conditionalFormatting>
  <conditionalFormatting sqref="U14 U10 U22 U30 U26:U27 U18">
    <cfRule type="expression" priority="15" aboveAverage="0" equalAverage="0" bottom="0" percent="0" rank="0" text="" dxfId="8">
      <formula>IF($AU10=#REF!,1,0)</formula>
    </cfRule>
    <cfRule type="expression" priority="16" aboveAverage="0" equalAverage="0" bottom="0" percent="0" rank="0" text="" dxfId="8">
      <formula>IF($AU11=#REF!,1,0)</formula>
    </cfRule>
  </conditionalFormatting>
  <conditionalFormatting sqref="U15">
    <cfRule type="expression" priority="17" aboveAverage="0" equalAverage="0" bottom="0" percent="0" rank="0" text="" dxfId="8">
      <formula>IF($AU15=#REF!,1,0)</formula>
    </cfRule>
    <cfRule type="expression" priority="18" aboveAverage="0" equalAverage="0" bottom="0" percent="0" rank="0" text="" dxfId="8">
      <formula>IF($AU14=#REF!,1,0)</formula>
    </cfRule>
  </conditionalFormatting>
  <conditionalFormatting sqref="G3:I3 B3:E3">
    <cfRule type="expression" priority="19" aboveAverage="0" equalAverage="0" bottom="0" percent="0" rank="0" text="" dxfId="8">
      <formula>$P$4="Black and White"</formula>
    </cfRule>
  </conditionalFormatting>
  <conditionalFormatting sqref="K8:R8 K18:R18 K13:R13">
    <cfRule type="expression" priority="20" aboveAverage="0" equalAverage="0" bottom="0" percent="0" rank="0" text="" dxfId="8">
      <formula>$P$4="Black and White"</formula>
    </cfRule>
  </conditionalFormatting>
  <conditionalFormatting sqref="K3:R3">
    <cfRule type="expression" priority="21" aboveAverage="0" equalAverage="0" bottom="0" percent="0" rank="0" text="" dxfId="8">
      <formula>$P$4="Black and White"</formula>
    </cfRule>
  </conditionalFormatting>
  <conditionalFormatting sqref="V10 V30 V34 V22 V26 V14 V18 V6">
    <cfRule type="expression" priority="22" aboveAverage="0" equalAverage="0" bottom="0" percent="0" rank="0" text="" dxfId="8">
      <formula>IF(AND(#REF!&gt;#REF!,ISNUMBER(#REF!),ISNUMBER(#REF!)),1,0)</formula>
    </cfRule>
  </conditionalFormatting>
  <conditionalFormatting sqref="V11 V31 V35 V23 V27 V15 V19 V7">
    <cfRule type="expression" priority="23" aboveAverage="0" equalAverage="0" bottom="0" percent="0" rank="0" text="" dxfId="8">
      <formula>IF(AND(#REF!&lt;#REF!,ISNUMBER(#REF!),ISNUMBER(#REF!)),1,0)</formula>
    </cfRule>
  </conditionalFormatting>
  <conditionalFormatting sqref="U6">
    <cfRule type="expression" priority="24" aboveAverage="0" equalAverage="0" bottom="0" percent="0" rank="0" text="" dxfId="8">
      <formula>$P$4="Black and White"</formula>
    </cfRule>
  </conditionalFormatting>
  <conditionalFormatting sqref="U7">
    <cfRule type="expression" priority="25" aboveAverage="0" equalAverage="0" bottom="0" percent="0" rank="0" text="" dxfId="8">
      <formula>$P$4="Black and White"</formula>
    </cfRule>
  </conditionalFormatting>
  <conditionalFormatting sqref="U19">
    <cfRule type="expression" priority="26" aboveAverage="0" equalAverage="0" bottom="0" percent="0" rank="0" text="" dxfId="8">
      <formula>IF($AU19=#REF!,1,0)</formula>
    </cfRule>
    <cfRule type="expression" priority="27" aboveAverage="0" equalAverage="0" bottom="0" percent="0" rank="0" text="" dxfId="8">
      <formula>IF($AU18=#REF!,1,0)</formula>
    </cfRule>
  </conditionalFormatting>
  <conditionalFormatting sqref="U34">
    <cfRule type="expression" priority="28" aboveAverage="0" equalAverage="0" bottom="0" percent="0" rank="0" text="" dxfId="8">
      <formula>IF($AU34=#REF!,1,0)</formula>
    </cfRule>
    <cfRule type="expression" priority="29" aboveAverage="0" equalAverage="0" bottom="0" percent="0" rank="0" text="" dxfId="8">
      <formula>IF($AU35=#REF!,1,0)</formula>
    </cfRule>
  </conditionalFormatting>
  <conditionalFormatting sqref="U35">
    <cfRule type="expression" priority="30" aboveAverage="0" equalAverage="0" bottom="0" percent="0" rank="0" text="" dxfId="8">
      <formula>IF($AU35=#REF!,1,0)</formula>
    </cfRule>
    <cfRule type="expression" priority="31" aboveAverage="0" equalAverage="0" bottom="0" percent="0" rank="0" text="" dxfId="8">
      <formula>IF($AU34=#REF!,1,0)</formula>
    </cfRule>
  </conditionalFormatting>
  <conditionalFormatting sqref="K24:R24">
    <cfRule type="expression" priority="32" aboveAverage="0" equalAverage="0" bottom="0" percent="0" rank="0" text="" dxfId="8">
      <formula>$P$4="Black and White"</formula>
    </cfRule>
  </conditionalFormatting>
  <conditionalFormatting sqref="K33">
    <cfRule type="expression" priority="33" aboveAverage="0" equalAverage="0" bottom="0" percent="0" rank="0" text="" dxfId="8">
      <formula>$P$4="Black and White"</formula>
    </cfRule>
  </conditionalFormatting>
  <conditionalFormatting sqref="L33">
    <cfRule type="expression" priority="34" aboveAverage="0" equalAverage="0" bottom="0" percent="0" rank="0" text="" dxfId="8">
      <formula>$P$4="Black and White"</formula>
    </cfRule>
  </conditionalFormatting>
  <conditionalFormatting sqref="M33:R33">
    <cfRule type="expression" priority="35" aboveAverage="0" equalAverage="0" bottom="0" percent="0" rank="0" text="" dxfId="8">
      <formula>$P$4="Black and White"</formula>
    </cfRule>
  </conditionalFormatting>
  <conditionalFormatting sqref="K26:K27">
    <cfRule type="expression" priority="36" aboveAverage="0" equalAverage="0" bottom="0" percent="0" rank="0" text="" dxfId="8">
      <formula>$P$4="Black and White"</formula>
    </cfRule>
  </conditionalFormatting>
  <conditionalFormatting sqref="K25">
    <cfRule type="expression" priority="37" aboveAverage="0" equalAverage="0" bottom="0" percent="0" rank="0" text="" dxfId="8">
      <formula>$P$4="Black and White"</formula>
    </cfRule>
  </conditionalFormatting>
  <conditionalFormatting sqref="M26">
    <cfRule type="expression" priority="38" aboveAverage="0" equalAverage="0" bottom="0" percent="0" rank="0" text="" dxfId="8">
      <formula>$P$4="Black and White"</formula>
    </cfRule>
  </conditionalFormatting>
  <conditionalFormatting sqref="M27">
    <cfRule type="expression" priority="39" aboveAverage="0" equalAverage="0" bottom="0" percent="0" rank="0" text="" dxfId="8">
      <formula>$P$4="Black and White"</formula>
    </cfRule>
  </conditionalFormatting>
  <conditionalFormatting sqref="N26:N27">
    <cfRule type="expression" priority="40" aboveAverage="0" equalAverage="0" bottom="0" percent="0" rank="0" text="" dxfId="8">
      <formula>$P$4="Black and White"</formula>
    </cfRule>
  </conditionalFormatting>
  <conditionalFormatting sqref="O26:R27">
    <cfRule type="expression" priority="41" aboveAverage="0" equalAverage="0" bottom="0" percent="0" rank="0" text="" dxfId="8">
      <formula>$P$4="Black and White"</formula>
    </cfRule>
  </conditionalFormatting>
  <conditionalFormatting sqref="M25:R25">
    <cfRule type="expression" priority="42" aboveAverage="0" equalAverage="0" bottom="0" percent="0" rank="0" text="" dxfId="8">
      <formula>$P$4="Black and White"</formula>
    </cfRule>
  </conditionalFormatting>
  <conditionalFormatting sqref="AA8">
    <cfRule type="expression" priority="43" aboveAverage="0" equalAverage="0" bottom="0" percent="0" rank="0" text="" dxfId="8">
      <formula>IF(AND(#REF!&gt;#REF!,ISNUMBER(#REF!),ISNUMBER(#REF!)),1,0)</formula>
    </cfRule>
  </conditionalFormatting>
  <conditionalFormatting sqref="AA9">
    <cfRule type="expression" priority="44" aboveAverage="0" equalAverage="0" bottom="0" percent="0" rank="0" text="" dxfId="8">
      <formula>IF(AND(#REF!&lt;#REF!,ISNUMBER(#REF!),ISNUMBER(#REF!)),1,0)</formula>
    </cfRule>
  </conditionalFormatting>
  <conditionalFormatting sqref="AA16">
    <cfRule type="expression" priority="45" aboveAverage="0" equalAverage="0" bottom="0" percent="0" rank="0" text="" dxfId="8">
      <formula>IF(AND(#REF!&gt;#REF!,ISNUMBER(#REF!),ISNUMBER(#REF!)),1,0)</formula>
    </cfRule>
  </conditionalFormatting>
  <conditionalFormatting sqref="AA17">
    <cfRule type="expression" priority="46" aboveAverage="0" equalAverage="0" bottom="0" percent="0" rank="0" text="" dxfId="8">
      <formula>IF(AND(#REF!&lt;#REF!,ISNUMBER(#REF!),ISNUMBER(#REF!)),1,0)</formula>
    </cfRule>
  </conditionalFormatting>
  <conditionalFormatting sqref="AA24">
    <cfRule type="expression" priority="47" aboveAverage="0" equalAverage="0" bottom="0" percent="0" rank="0" text="" dxfId="8">
      <formula>IF(AND(#REF!&gt;#REF!,ISNUMBER(#REF!),ISNUMBER(#REF!)),1,0)</formula>
    </cfRule>
  </conditionalFormatting>
  <conditionalFormatting sqref="AA25">
    <cfRule type="expression" priority="48" aboveAverage="0" equalAverage="0" bottom="0" percent="0" rank="0" text="" dxfId="8">
      <formula>IF(AND(#REF!&lt;#REF!,ISNUMBER(#REF!),ISNUMBER(#REF!)),1,0)</formula>
    </cfRule>
  </conditionalFormatting>
  <conditionalFormatting sqref="AA32">
    <cfRule type="expression" priority="49" aboveAverage="0" equalAverage="0" bottom="0" percent="0" rank="0" text="" dxfId="8">
      <formula>IF(AND(#REF!&gt;#REF!,ISNUMBER(#REF!),ISNUMBER(#REF!)),1,0)</formula>
    </cfRule>
  </conditionalFormatting>
  <conditionalFormatting sqref="AA33">
    <cfRule type="expression" priority="50" aboveAverage="0" equalAverage="0" bottom="0" percent="0" rank="0" text="" dxfId="8">
      <formula>IF(AND(#REF!&lt;#REF!,ISNUMBER(#REF!),ISNUMBER(#REF!)),1,0)</formula>
    </cfRule>
  </conditionalFormatting>
  <conditionalFormatting sqref="AF12">
    <cfRule type="expression" priority="51" aboveAverage="0" equalAverage="0" bottom="0" percent="0" rank="0" text="" dxfId="8">
      <formula>IF(AND(#REF!&gt;#REF!,ISNUMBER(#REF!),ISNUMBER(#REF!)),1,0)</formula>
    </cfRule>
  </conditionalFormatting>
  <conditionalFormatting sqref="AF13">
    <cfRule type="expression" priority="52" aboveAverage="0" equalAverage="0" bottom="0" percent="0" rank="0" text="" dxfId="8">
      <formula>IF(AND(#REF!&lt;#REF!,ISNUMBER(#REF!),ISNUMBER(#REF!)),1,0)</formula>
    </cfRule>
  </conditionalFormatting>
  <conditionalFormatting sqref="AF28">
    <cfRule type="expression" priority="53" aboveAverage="0" equalAverage="0" bottom="0" percent="0" rank="0" text="" dxfId="8">
      <formula>IF(AND(#REF!&gt;#REF!,ISNUMBER(#REF!),ISNUMBER(#REF!)),1,0)</formula>
    </cfRule>
  </conditionalFormatting>
  <conditionalFormatting sqref="AF29">
    <cfRule type="expression" priority="54" aboveAverage="0" equalAverage="0" bottom="0" percent="0" rank="0" text="" dxfId="8">
      <formula>IF(AND(#REF!&lt;#REF!,ISNUMBER(#REF!),ISNUMBER(#REF!)),1,0)</formula>
    </cfRule>
  </conditionalFormatting>
  <conditionalFormatting sqref="AK19">
    <cfRule type="expression" priority="55" aboveAverage="0" equalAverage="0" bottom="0" percent="0" rank="0" text="" dxfId="8">
      <formula>IF(AND(#REF!&gt;#REF!,ISNUMBER(#REF!),ISNUMBER(#REF!)),1,0)</formula>
    </cfRule>
  </conditionalFormatting>
  <conditionalFormatting sqref="AK20">
    <cfRule type="expression" priority="56" aboveAverage="0" equalAverage="0" bottom="0" percent="0" rank="0" text="" dxfId="8">
      <formula>IF(AND(#REF!&lt;#REF!,ISNUMBER(#REF!),ISNUMBER(#REF!)),1,0)</formula>
    </cfRule>
  </conditionalFormatting>
  <conditionalFormatting sqref="Z9">
    <cfRule type="expression" priority="57" aboveAverage="0" equalAverage="0" bottom="0" percent="0" rank="0" text="" dxfId="8">
      <formula>$P$4="Black and White"</formula>
    </cfRule>
  </conditionalFormatting>
  <conditionalFormatting sqref="Z17">
    <cfRule type="expression" priority="58" aboveAverage="0" equalAverage="0" bottom="0" percent="0" rank="0" text="" dxfId="8">
      <formula>$P$4="Black and White"</formula>
    </cfRule>
  </conditionalFormatting>
  <conditionalFormatting sqref="Z25">
    <cfRule type="expression" priority="59" aboveAverage="0" equalAverage="0" bottom="0" percent="0" rank="0" text="" dxfId="8">
      <formula>$P$4="Black and White"</formula>
    </cfRule>
  </conditionalFormatting>
  <conditionalFormatting sqref="Z33">
    <cfRule type="expression" priority="60" aboveAverage="0" equalAverage="0" bottom="0" percent="0" rank="0" text="" dxfId="8">
      <formula>$P$4="Black and White"</formula>
    </cfRule>
  </conditionalFormatting>
  <conditionalFormatting sqref="AE13">
    <cfRule type="expression" priority="61" aboveAverage="0" equalAverage="0" bottom="0" percent="0" rank="0" text="" dxfId="8">
      <formula>$P$4="Black and White"</formula>
    </cfRule>
  </conditionalFormatting>
  <conditionalFormatting sqref="AE29">
    <cfRule type="expression" priority="62" aboveAverage="0" equalAverage="0" bottom="0" percent="0" rank="0" text="" dxfId="8">
      <formula>$P$4="Black and White"</formula>
    </cfRule>
  </conditionalFormatting>
  <conditionalFormatting sqref="AJ20">
    <cfRule type="expression" priority="63" aboveAverage="0" equalAverage="0" bottom="0" percent="0" rank="0" text="" dxfId="8">
      <formula>$P$4="Black and White"</formula>
    </cfRule>
  </conditionalFormatting>
  <conditionalFormatting sqref="L27">
    <cfRule type="expression" priority="64" aboveAverage="0" equalAverage="0" bottom="0" percent="0" rank="0" text="" dxfId="8">
      <formula>$P$4="Black and White"</formula>
    </cfRule>
  </conditionalFormatting>
  <conditionalFormatting sqref="L26">
    <cfRule type="expression" priority="65" aboveAverage="0" equalAverage="0" bottom="0" percent="0" rank="0" text="" dxfId="8">
      <formula>$P$4="Black and White"</formula>
    </cfRule>
  </conditionalFormatting>
  <conditionalFormatting sqref="L29:R29 L34:R34 L39:R39">
    <cfRule type="expression" priority="66" aboveAverage="0" equalAverage="0" bottom="0" percent="0" rank="0" text="" dxfId="8">
      <formula>$P$4="Black and White"</formula>
    </cfRule>
  </conditionalFormatting>
  <conditionalFormatting sqref="L32 L37">
    <cfRule type="expression" priority="67" aboveAverage="0" equalAverage="0" bottom="0" percent="0" rank="0" text="" dxfId="8">
      <formula>$P$4="Black and White"</formula>
    </cfRule>
  </conditionalFormatting>
  <conditionalFormatting sqref="L31 L36">
    <cfRule type="expression" priority="68" aboveAverage="0" equalAverage="0" bottom="0" percent="0" rank="0" text="" dxfId="8">
      <formula>$P$4="Black and White"</formula>
    </cfRule>
  </conditionalFormatting>
  <conditionalFormatting sqref="K34 K29 K39">
    <cfRule type="expression" priority="69" aboveAverage="0" equalAverage="0" bottom="0" percent="0" rank="0" text="" dxfId="8">
      <formula>$P$4="Black and White"</formula>
    </cfRule>
  </conditionalFormatting>
  <conditionalFormatting sqref="K30 K35 K40">
    <cfRule type="expression" priority="70" aboveAverage="0" equalAverage="0" bottom="0" percent="0" rank="0" text="" dxfId="8">
      <formula>$P$4="Black and White"</formula>
    </cfRule>
  </conditionalFormatting>
  <conditionalFormatting sqref="K31:K32 K36:K37">
    <cfRule type="expression" priority="71" aboveAverage="0" equalAverage="0" bottom="0" percent="0" rank="0" text="" dxfId="8">
      <formula>$P$4="Black and White"</formula>
    </cfRule>
  </conditionalFormatting>
  <conditionalFormatting sqref="K19">
    <cfRule type="expression" priority="72" aboveAverage="0" equalAverage="0" bottom="0" percent="0" rank="0" text="" dxfId="8">
      <formula>$P$4="Black and White"</formula>
    </cfRule>
  </conditionalFormatting>
  <conditionalFormatting sqref="K21:K22">
    <cfRule type="expression" priority="73" aboveAverage="0" equalAverage="0" bottom="0" percent="0" rank="0" text="" dxfId="8">
      <formula>$P$4="Black and White"</formula>
    </cfRule>
  </conditionalFormatting>
  <conditionalFormatting sqref="K20">
    <cfRule type="expression" priority="74" aboveAverage="0" equalAverage="0" bottom="0" percent="0" rank="0" text="" dxfId="8">
      <formula>$P$4="Black and White"</formula>
    </cfRule>
  </conditionalFormatting>
  <conditionalFormatting sqref="K14">
    <cfRule type="expression" priority="75" aboveAverage="0" equalAverage="0" bottom="0" percent="0" rank="0" text="" dxfId="8">
      <formula>$P$4="Black and White"</formula>
    </cfRule>
  </conditionalFormatting>
  <conditionalFormatting sqref="K16:K17">
    <cfRule type="expression" priority="76" aboveAverage="0" equalAverage="0" bottom="0" percent="0" rank="0" text="" dxfId="8">
      <formula>$P$4="Black and White"</formula>
    </cfRule>
  </conditionalFormatting>
  <conditionalFormatting sqref="K15">
    <cfRule type="expression" priority="77" aboveAverage="0" equalAverage="0" bottom="0" percent="0" rank="0" text="" dxfId="8">
      <formula>$P$4="Black and White"</formula>
    </cfRule>
  </conditionalFormatting>
  <conditionalFormatting sqref="K9">
    <cfRule type="expression" priority="78" aboveAverage="0" equalAverage="0" bottom="0" percent="0" rank="0" text="" dxfId="8">
      <formula>$P$4="Black and White"</formula>
    </cfRule>
  </conditionalFormatting>
  <conditionalFormatting sqref="K11:K12">
    <cfRule type="expression" priority="79" aboveAverage="0" equalAverage="0" bottom="0" percent="0" rank="0" text="" dxfId="8">
      <formula>$P$4="Black and White"</formula>
    </cfRule>
  </conditionalFormatting>
  <conditionalFormatting sqref="K10">
    <cfRule type="expression" priority="80" aboveAverage="0" equalAverage="0" bottom="0" percent="0" rank="0" text="" dxfId="8">
      <formula>$P$4="Black and White"</formula>
    </cfRule>
  </conditionalFormatting>
  <conditionalFormatting sqref="K4">
    <cfRule type="expression" priority="81" aboveAverage="0" equalAverage="0" bottom="0" percent="0" rank="0" text="" dxfId="8">
      <formula>$P$4="Black and White"</formula>
    </cfRule>
  </conditionalFormatting>
  <conditionalFormatting sqref="K6:K7">
    <cfRule type="expression" priority="82" aboveAverage="0" equalAverage="0" bottom="0" percent="0" rank="0" text="" dxfId="8">
      <formula>$P$4="Black and White"</formula>
    </cfRule>
  </conditionalFormatting>
  <conditionalFormatting sqref="K5">
    <cfRule type="expression" priority="83" aboveAverage="0" equalAverage="0" bottom="0" percent="0" rank="0" text="" dxfId="8">
      <formula>$P$4="Black and White"</formula>
    </cfRule>
  </conditionalFormatting>
  <conditionalFormatting sqref="L25">
    <cfRule type="expression" priority="84" aboveAverage="0" equalAverage="0" bottom="0" percent="0" rank="0" text="" dxfId="8">
      <formula>$P$4="Black and White"</formula>
    </cfRule>
  </conditionalFormatting>
  <conditionalFormatting sqref="L30:R30 L35:R35 L40:R40">
    <cfRule type="expression" priority="85" aboveAverage="0" equalAverage="0" bottom="0" percent="0" rank="0" text="" dxfId="8">
      <formula>$P$4="Black and White"</formula>
    </cfRule>
  </conditionalFormatting>
  <conditionalFormatting sqref="M31:R32 M36:R37">
    <cfRule type="expression" priority="86" aboveAverage="0" equalAverage="0" bottom="0" percent="0" rank="0" text="" dxfId="8">
      <formula>$P$4="Black and White"</formula>
    </cfRule>
  </conditionalFormatting>
  <conditionalFormatting sqref="L19:R19">
    <cfRule type="expression" priority="87" aboveAverage="0" equalAverage="0" bottom="0" percent="0" rank="0" text="" dxfId="8">
      <formula>$P$4="Black and White"</formula>
    </cfRule>
  </conditionalFormatting>
  <conditionalFormatting sqref="M21">
    <cfRule type="expression" priority="88" aboveAverage="0" equalAverage="0" bottom="0" percent="0" rank="0" text="" dxfId="8">
      <formula>$P$4="Black and White"</formula>
    </cfRule>
  </conditionalFormatting>
  <conditionalFormatting sqref="M22">
    <cfRule type="expression" priority="89" aboveAverage="0" equalAverage="0" bottom="0" percent="0" rank="0" text="" dxfId="8">
      <formula>$P$4="Black and White"</formula>
    </cfRule>
  </conditionalFormatting>
  <conditionalFormatting sqref="N21:N22">
    <cfRule type="expression" priority="90" aboveAverage="0" equalAverage="0" bottom="0" percent="0" rank="0" text="" dxfId="8">
      <formula>$P$4="Black and White"</formula>
    </cfRule>
  </conditionalFormatting>
  <conditionalFormatting sqref="O21:R22">
    <cfRule type="expression" priority="91" aboveAverage="0" equalAverage="0" bottom="0" percent="0" rank="0" text="" dxfId="8">
      <formula>$P$4="Black and White"</formula>
    </cfRule>
  </conditionalFormatting>
  <conditionalFormatting sqref="M20:R20">
    <cfRule type="expression" priority="92" aboveAverage="0" equalAverage="0" bottom="0" percent="0" rank="0" text="" dxfId="8">
      <formula>$P$4="Black and White"</formula>
    </cfRule>
  </conditionalFormatting>
  <conditionalFormatting sqref="L22">
    <cfRule type="expression" priority="93" aboveAverage="0" equalAverage="0" bottom="0" percent="0" rank="0" text="" dxfId="8">
      <formula>$P$4="Black and White"</formula>
    </cfRule>
  </conditionalFormatting>
  <conditionalFormatting sqref="L21">
    <cfRule type="expression" priority="94" aboveAverage="0" equalAverage="0" bottom="0" percent="0" rank="0" text="" dxfId="8">
      <formula>$P$4="Black and White"</formula>
    </cfRule>
  </conditionalFormatting>
  <conditionalFormatting sqref="L20">
    <cfRule type="expression" priority="95" aboveAverage="0" equalAverage="0" bottom="0" percent="0" rank="0" text="" dxfId="8">
      <formula>$P$4="Black and White"</formula>
    </cfRule>
  </conditionalFormatting>
  <conditionalFormatting sqref="L14:R14">
    <cfRule type="expression" priority="96" aboveAverage="0" equalAverage="0" bottom="0" percent="0" rank="0" text="" dxfId="8">
      <formula>$P$4="Black and White"</formula>
    </cfRule>
  </conditionalFormatting>
  <conditionalFormatting sqref="M16">
    <cfRule type="expression" priority="97" aboveAverage="0" equalAverage="0" bottom="0" percent="0" rank="0" text="" dxfId="8">
      <formula>$P$4="Black and White"</formula>
    </cfRule>
  </conditionalFormatting>
  <conditionalFormatting sqref="M17">
    <cfRule type="expression" priority="98" aboveAverage="0" equalAverage="0" bottom="0" percent="0" rank="0" text="" dxfId="8">
      <formula>$P$4="Black and White"</formula>
    </cfRule>
  </conditionalFormatting>
  <conditionalFormatting sqref="N16:N17">
    <cfRule type="expression" priority="99" aboveAverage="0" equalAverage="0" bottom="0" percent="0" rank="0" text="" dxfId="8">
      <formula>$P$4="Black and White"</formula>
    </cfRule>
  </conditionalFormatting>
  <conditionalFormatting sqref="O16:R17">
    <cfRule type="expression" priority="100" aboveAverage="0" equalAverage="0" bottom="0" percent="0" rank="0" text="" dxfId="8">
      <formula>$P$4="Black and White"</formula>
    </cfRule>
  </conditionalFormatting>
  <conditionalFormatting sqref="M15:R15">
    <cfRule type="expression" priority="101" aboveAverage="0" equalAverage="0" bottom="0" percent="0" rank="0" text="" dxfId="8">
      <formula>$P$4="Black and White"</formula>
    </cfRule>
  </conditionalFormatting>
  <conditionalFormatting sqref="L17">
    <cfRule type="expression" priority="102" aboveAverage="0" equalAverage="0" bottom="0" percent="0" rank="0" text="" dxfId="8">
      <formula>$P$4="Black and White"</formula>
    </cfRule>
  </conditionalFormatting>
  <conditionalFormatting sqref="L16">
    <cfRule type="expression" priority="103" aboveAverage="0" equalAverage="0" bottom="0" percent="0" rank="0" text="" dxfId="8">
      <formula>$P$4="Black and White"</formula>
    </cfRule>
  </conditionalFormatting>
  <conditionalFormatting sqref="L15">
    <cfRule type="expression" priority="104" aboveAverage="0" equalAverage="0" bottom="0" percent="0" rank="0" text="" dxfId="8">
      <formula>$P$4="Black and White"</formula>
    </cfRule>
  </conditionalFormatting>
  <conditionalFormatting sqref="L9:R9">
    <cfRule type="expression" priority="105" aboveAverage="0" equalAverage="0" bottom="0" percent="0" rank="0" text="" dxfId="8">
      <formula>$P$4="Black and White"</formula>
    </cfRule>
  </conditionalFormatting>
  <conditionalFormatting sqref="M11">
    <cfRule type="expression" priority="106" aboveAverage="0" equalAverage="0" bottom="0" percent="0" rank="0" text="" dxfId="8">
      <formula>$P$4="Black and White"</formula>
    </cfRule>
  </conditionalFormatting>
  <conditionalFormatting sqref="M12">
    <cfRule type="expression" priority="107" aboveAverage="0" equalAverage="0" bottom="0" percent="0" rank="0" text="" dxfId="8">
      <formula>$P$4="Black and White"</formula>
    </cfRule>
  </conditionalFormatting>
  <conditionalFormatting sqref="N11:N12">
    <cfRule type="expression" priority="108" aboveAverage="0" equalAverage="0" bottom="0" percent="0" rank="0" text="" dxfId="8">
      <formula>$P$4="Black and White"</formula>
    </cfRule>
  </conditionalFormatting>
  <conditionalFormatting sqref="O11:R12">
    <cfRule type="expression" priority="109" aboveAverage="0" equalAverage="0" bottom="0" percent="0" rank="0" text="" dxfId="8">
      <formula>$P$4="Black and White"</formula>
    </cfRule>
  </conditionalFormatting>
  <conditionalFormatting sqref="M10:R10">
    <cfRule type="expression" priority="110" aboveAverage="0" equalAverage="0" bottom="0" percent="0" rank="0" text="" dxfId="8">
      <formula>$P$4="Black and White"</formula>
    </cfRule>
  </conditionalFormatting>
  <conditionalFormatting sqref="L12">
    <cfRule type="expression" priority="111" aboveAverage="0" equalAverage="0" bottom="0" percent="0" rank="0" text="" dxfId="8">
      <formula>$P$4="Black and White"</formula>
    </cfRule>
  </conditionalFormatting>
  <conditionalFormatting sqref="L11">
    <cfRule type="expression" priority="112" aboveAverage="0" equalAverage="0" bottom="0" percent="0" rank="0" text="" dxfId="8">
      <formula>$P$4="Black and White"</formula>
    </cfRule>
  </conditionalFormatting>
  <conditionalFormatting sqref="L10">
    <cfRule type="expression" priority="113" aboveAverage="0" equalAverage="0" bottom="0" percent="0" rank="0" text="" dxfId="8">
      <formula>$P$4="Black and White"</formula>
    </cfRule>
  </conditionalFormatting>
  <conditionalFormatting sqref="L4:R4">
    <cfRule type="expression" priority="114" aboveAverage="0" equalAverage="0" bottom="0" percent="0" rank="0" text="" dxfId="8">
      <formula>$P$4="Black and White"</formula>
    </cfRule>
  </conditionalFormatting>
  <conditionalFormatting sqref="M6">
    <cfRule type="expression" priority="115" aboveAverage="0" equalAverage="0" bottom="0" percent="0" rank="0" text="" dxfId="8">
      <formula>$P$4="Black and White"</formula>
    </cfRule>
  </conditionalFormatting>
  <conditionalFormatting sqref="M7">
    <cfRule type="expression" priority="116" aboveAverage="0" equalAverage="0" bottom="0" percent="0" rank="0" text="" dxfId="8">
      <formula>$P$4="Black and White"</formula>
    </cfRule>
  </conditionalFormatting>
  <conditionalFormatting sqref="N6:N7">
    <cfRule type="expression" priority="117" aboveAverage="0" equalAverage="0" bottom="0" percent="0" rank="0" text="" dxfId="8">
      <formula>$P$4="Black and White"</formula>
    </cfRule>
  </conditionalFormatting>
  <conditionalFormatting sqref="O6:R7">
    <cfRule type="expression" priority="118" aboveAverage="0" equalAverage="0" bottom="0" percent="0" rank="0" text="" dxfId="8">
      <formula>$P$4="Black and White"</formula>
    </cfRule>
  </conditionalFormatting>
  <conditionalFormatting sqref="M5:R5">
    <cfRule type="expression" priority="119" aboveAverage="0" equalAverage="0" bottom="0" percent="0" rank="0" text="" dxfId="8">
      <formula>$P$4="Black and White"</formula>
    </cfRule>
  </conditionalFormatting>
  <conditionalFormatting sqref="L7">
    <cfRule type="expression" priority="120" aboveAverage="0" equalAverage="0" bottom="0" percent="0" rank="0" text="" dxfId="8">
      <formula>$P$4="Black and White"</formula>
    </cfRule>
  </conditionalFormatting>
  <conditionalFormatting sqref="L6">
    <cfRule type="expression" priority="121" aboveAverage="0" equalAverage="0" bottom="0" percent="0" rank="0" text="" dxfId="8">
      <formula>$P$4="Black and White"</formula>
    </cfRule>
  </conditionalFormatting>
  <conditionalFormatting sqref="L5">
    <cfRule type="expression" priority="122" aboveAverage="0" equalAverage="0" bottom="0" percent="0" rank="0" text="" dxfId="8">
      <formula>$P$4="Black and White"</formula>
    </cfRule>
  </conditionalFormatting>
  <conditionalFormatting sqref="Z8 Z16 Z24 Z32 AE12 AE28 AJ19">
    <cfRule type="expression" priority="123" aboveAverage="0" equalAverage="0" bottom="0" percent="0" rank="0" text="" dxfId="8">
      <formula>$P$4="Black and White"</formula>
    </cfRule>
  </conditionalFormatting>
  <conditionalFormatting sqref="K41">
    <cfRule type="expression" priority="124" aboveAverage="0" equalAverage="0" bottom="0" percent="0" rank="0" text="" dxfId="8">
      <formula>$P$4="Black and White"</formula>
    </cfRule>
  </conditionalFormatting>
  <conditionalFormatting sqref="K42">
    <cfRule type="expression" priority="125" aboveAverage="0" equalAverage="0" bottom="0" percent="0" rank="0" text="" dxfId="8">
      <formula>$P$4="Black and White"</formula>
    </cfRule>
  </conditionalFormatting>
  <conditionalFormatting sqref="L41">
    <cfRule type="expression" priority="126" aboveAverage="0" equalAverage="0" bottom="0" percent="0" rank="0" text="" dxfId="8">
      <formula>$P$4="Black and White"</formula>
    </cfRule>
  </conditionalFormatting>
  <conditionalFormatting sqref="L42">
    <cfRule type="expression" priority="127" aboveAverage="0" equalAverage="0" bottom="0" percent="0" rank="0" text="" dxfId="8">
      <formula>$P$4="Black and White"</formula>
    </cfRule>
  </conditionalFormatting>
  <conditionalFormatting sqref="M42:R42">
    <cfRule type="expression" priority="128" aboveAverage="0" equalAverage="0" bottom="0" percent="0" rank="0" text="" dxfId="8">
      <formula>$P$4="Black and White"</formula>
    </cfRule>
  </conditionalFormatting>
  <conditionalFormatting sqref="M41:R41">
    <cfRule type="expression" priority="129" aboveAverage="0" equalAverage="0" bottom="0" percent="0" rank="0" text="" dxfId="8">
      <formula>$P$4="Black and White"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it-IT</dc:language>
  <cp:lastModifiedBy/>
  <dcterms:modified xsi:type="dcterms:W3CDTF">2020-07-25T15:40:50Z</dcterms:modified>
  <cp:revision>106</cp:revision>
  <dc:subject/>
  <dc:title/>
</cp:coreProperties>
</file>