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205" tabRatio="828" firstSheet="26" activeTab="27"/>
  </bookViews>
  <sheets>
    <sheet name="Plan Agenda - Aula 02" sheetId="3" r:id="rId1"/>
    <sheet name="Plan Carros - Aula 03" sheetId="4" r:id="rId2"/>
    <sheet name="Dad" sheetId="5" r:id="rId3"/>
    <sheet name="Plan Cursos EaD - Aula 03" sheetId="6" r:id="rId4"/>
    <sheet name="Plan Operações Mat - Aula 04" sheetId="7" r:id="rId5"/>
    <sheet name="Plan Escola Feliz - Aula 04" sheetId="8" r:id="rId6"/>
    <sheet name="Planilha9" sheetId="9" r:id="rId7"/>
    <sheet name="Plan Muamba Feliz - Aula 05" sheetId="1" r:id="rId8"/>
    <sheet name="Plan PetShop Lais - Aula 05" sheetId="2" r:id="rId9"/>
    <sheet name="Plan Funções - Aula 05" sheetId="10" r:id="rId10"/>
    <sheet name="Plan Escolar - Aula 05" sheetId="11" r:id="rId11"/>
    <sheet name="Plan Atacadista - Aula 05" sheetId="12" r:id="rId12"/>
    <sheet name="Plan Curso AulaEaD - Aula 06" sheetId="13" r:id="rId13"/>
    <sheet name="Plan Vendas - Aula 06" sheetId="14" r:id="rId14"/>
    <sheet name="Plan Estoque - Aula 06" sheetId="15" r:id="rId15"/>
    <sheet name="Plan Venda LRR - Aula 07" sheetId="16" r:id="rId16"/>
    <sheet name="Plan Despesas LRR - Aula 07" sheetId="17" r:id="rId17"/>
    <sheet name="Plan Resultado LRR - Aula 07" sheetId="18" r:id="rId18"/>
    <sheet name="Plan Esstoque - Aula 09" sheetId="19" r:id="rId19"/>
    <sheet name="Plan Metas - Aula 09" sheetId="20" r:id="rId20"/>
    <sheet name="Plan Planos - Aula 09" sheetId="21" r:id="rId21"/>
    <sheet name="Plan Idade - Aula 09" sheetId="22" r:id="rId22"/>
    <sheet name="Plan Alunos - Aula 09" sheetId="23" r:id="rId23"/>
    <sheet name="Plan PROCV - Aula 10" sheetId="25" r:id="rId24"/>
    <sheet name="Plan 5ª Série - Aula 10" sheetId="26" r:id="rId25"/>
    <sheet name="Plan Colesterol - Aula 10" sheetId="27" r:id="rId26"/>
    <sheet name="Plan Triglicerídios - Aula 10" sheetId="28" r:id="rId27"/>
    <sheet name="Plan Somase - Aula 11" sheetId="29" r:id="rId28"/>
  </sheets>
  <definedNames>
    <definedName name="LDL">'Plan Colesterol - Aula 10'!$A$20:$B$24</definedName>
    <definedName name="TRI">'Plan Triglicerídios - Aula 10'!$A$15:$B$18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9" l="1"/>
  <c r="F10" i="29" l="1"/>
  <c r="F11" i="29"/>
  <c r="F9" i="29"/>
  <c r="E10" i="29"/>
  <c r="E11" i="29"/>
  <c r="E9" i="29"/>
  <c r="B16" i="29"/>
  <c r="D4" i="28"/>
  <c r="D5" i="28"/>
  <c r="D6" i="28"/>
  <c r="D7" i="28"/>
  <c r="D8" i="28"/>
  <c r="D9" i="28"/>
  <c r="D10" i="28"/>
  <c r="D11" i="28"/>
  <c r="D12" i="28"/>
  <c r="D3" i="28"/>
  <c r="G4" i="27"/>
  <c r="G5" i="27"/>
  <c r="G6" i="27"/>
  <c r="G7" i="27"/>
  <c r="G8" i="27"/>
  <c r="G9" i="27"/>
  <c r="G10" i="27"/>
  <c r="G11" i="27"/>
  <c r="G12" i="27"/>
  <c r="G3" i="27"/>
  <c r="D4" i="27"/>
  <c r="D5" i="27"/>
  <c r="D6" i="27"/>
  <c r="D7" i="27"/>
  <c r="D8" i="27"/>
  <c r="D9" i="27"/>
  <c r="D10" i="27"/>
  <c r="D11" i="27"/>
  <c r="D12" i="27"/>
  <c r="D3" i="27"/>
  <c r="I4" i="26" l="1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3" i="26"/>
  <c r="E5" i="25"/>
  <c r="E6" i="25" s="1"/>
  <c r="D5" i="25"/>
  <c r="D6" i="25" s="1"/>
  <c r="B6" i="25" s="1"/>
  <c r="B7" i="25" s="1"/>
  <c r="C3" i="23"/>
  <c r="C4" i="23"/>
  <c r="C5" i="23"/>
  <c r="C6" i="23"/>
  <c r="C7" i="23"/>
  <c r="C8" i="23"/>
  <c r="C9" i="23"/>
  <c r="C10" i="23"/>
  <c r="C11" i="23"/>
  <c r="C12" i="23"/>
  <c r="C13" i="23"/>
  <c r="C14" i="23"/>
  <c r="C2" i="23"/>
  <c r="C4" i="22" l="1"/>
  <c r="D4" i="22" s="1"/>
  <c r="E4" i="22" s="1"/>
  <c r="C5" i="22"/>
  <c r="D5" i="22" s="1"/>
  <c r="E5" i="22" s="1"/>
  <c r="C6" i="22"/>
  <c r="D6" i="22" s="1"/>
  <c r="E6" i="22" s="1"/>
  <c r="C7" i="22"/>
  <c r="D7" i="22" s="1"/>
  <c r="E7" i="22" s="1"/>
  <c r="C8" i="22"/>
  <c r="D8" i="22" s="1"/>
  <c r="E8" i="22" s="1"/>
  <c r="C9" i="22"/>
  <c r="D9" i="22" s="1"/>
  <c r="E9" i="22" s="1"/>
  <c r="C10" i="22"/>
  <c r="D10" i="22" s="1"/>
  <c r="E10" i="22" s="1"/>
  <c r="C11" i="22"/>
  <c r="D11" i="22" s="1"/>
  <c r="E11" i="22" s="1"/>
  <c r="C12" i="22"/>
  <c r="D12" i="22" s="1"/>
  <c r="E12" i="22" s="1"/>
  <c r="C3" i="22"/>
  <c r="D3" i="22" s="1"/>
  <c r="E3" i="22" s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3" i="2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C4" i="20"/>
  <c r="C5" i="20"/>
  <c r="C6" i="20"/>
  <c r="C7" i="20"/>
  <c r="C8" i="20"/>
  <c r="C9" i="20"/>
  <c r="C10" i="20"/>
  <c r="C11" i="20"/>
  <c r="C12" i="20"/>
  <c r="C3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3" i="19"/>
  <c r="B5" i="18"/>
  <c r="B4" i="18"/>
  <c r="B3" i="18"/>
  <c r="B9" i="17"/>
  <c r="D14" i="16" l="1"/>
  <c r="D4" i="16"/>
  <c r="D5" i="16"/>
  <c r="D6" i="16"/>
  <c r="D7" i="16"/>
  <c r="D8" i="16"/>
  <c r="D9" i="16"/>
  <c r="D10" i="16"/>
  <c r="D11" i="16"/>
  <c r="D12" i="16"/>
  <c r="D13" i="16"/>
  <c r="D3" i="16"/>
  <c r="M22" i="11"/>
  <c r="B22" i="15"/>
  <c r="D22" i="14"/>
  <c r="C22" i="14"/>
  <c r="D21" i="14"/>
  <c r="C21" i="14"/>
  <c r="D20" i="14"/>
  <c r="C20" i="14"/>
  <c r="D19" i="14"/>
  <c r="C19" i="14"/>
  <c r="E22" i="14"/>
  <c r="E21" i="14"/>
  <c r="E20" i="14"/>
  <c r="E19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3" i="14"/>
  <c r="K23" i="12"/>
  <c r="K22" i="12"/>
  <c r="K21" i="12"/>
  <c r="K20" i="12"/>
  <c r="K19" i="12"/>
  <c r="K18" i="12"/>
  <c r="K17" i="12"/>
  <c r="K16" i="12"/>
  <c r="K15" i="12"/>
  <c r="K14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" i="12"/>
  <c r="K13" i="12"/>
  <c r="M23" i="11" l="1"/>
  <c r="M21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3" i="11"/>
  <c r="F4" i="10"/>
  <c r="E4" i="10"/>
  <c r="B9" i="10" s="1"/>
  <c r="B16" i="10"/>
  <c r="B15" i="10"/>
  <c r="B14" i="10"/>
  <c r="B12" i="10"/>
  <c r="B11" i="10"/>
  <c r="B10" i="10"/>
  <c r="B7" i="10"/>
  <c r="B3" i="10"/>
  <c r="B5" i="10"/>
  <c r="B4" i="10"/>
  <c r="B2" i="10"/>
  <c r="E3" i="2"/>
  <c r="D14" i="9"/>
  <c r="D13" i="9"/>
  <c r="D12" i="9"/>
  <c r="D4" i="9"/>
  <c r="D5" i="9"/>
  <c r="D6" i="9"/>
  <c r="D7" i="9"/>
  <c r="D8" i="9"/>
  <c r="D9" i="9"/>
  <c r="D10" i="9"/>
  <c r="D3" i="9"/>
  <c r="I4" i="8"/>
  <c r="I5" i="8"/>
  <c r="I6" i="8"/>
  <c r="I7" i="8"/>
  <c r="I8" i="8"/>
  <c r="I9" i="8"/>
  <c r="I10" i="8"/>
  <c r="I11" i="8"/>
  <c r="I12" i="8"/>
  <c r="I3" i="8"/>
  <c r="H4" i="8"/>
  <c r="H5" i="8"/>
  <c r="H6" i="8"/>
  <c r="H7" i="8"/>
  <c r="H8" i="8"/>
  <c r="H9" i="8"/>
  <c r="H10" i="8"/>
  <c r="H11" i="8"/>
  <c r="H12" i="8"/>
  <c r="H3" i="8"/>
  <c r="B9" i="7"/>
  <c r="B8" i="7"/>
  <c r="B7" i="7"/>
  <c r="B6" i="7"/>
  <c r="B5" i="7"/>
  <c r="B4" i="7"/>
  <c r="B15" i="2"/>
  <c r="B14" i="2"/>
  <c r="E4" i="2"/>
  <c r="E5" i="2"/>
  <c r="E6" i="2"/>
  <c r="E7" i="2"/>
  <c r="E8" i="2"/>
  <c r="E9" i="2"/>
  <c r="B12" i="2"/>
  <c r="B11" i="2"/>
  <c r="D4" i="2"/>
  <c r="D5" i="2"/>
  <c r="D6" i="2"/>
  <c r="D7" i="2"/>
  <c r="D8" i="2"/>
  <c r="D9" i="2"/>
  <c r="D3" i="2"/>
  <c r="F16" i="1"/>
  <c r="F15" i="1"/>
  <c r="F14" i="1"/>
  <c r="E14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  <c r="D7" i="1"/>
  <c r="D8" i="1"/>
  <c r="D9" i="1"/>
  <c r="D10" i="1"/>
  <c r="D11" i="1"/>
  <c r="D12" i="1"/>
  <c r="D6" i="1"/>
  <c r="B8" i="10" l="1"/>
</calcChain>
</file>

<file path=xl/sharedStrings.xml><?xml version="1.0" encoding="utf-8"?>
<sst xmlns="http://schemas.openxmlformats.org/spreadsheetml/2006/main" count="784" uniqueCount="487">
  <si>
    <t>LOJA DE IMPORTADOS MUAMBA FELIZ</t>
  </si>
  <si>
    <t>Cotação do Dólar</t>
  </si>
  <si>
    <t>www.aulaEAD.com</t>
  </si>
  <si>
    <t>Produto</t>
  </si>
  <si>
    <t>Qtd</t>
  </si>
  <si>
    <t>Valor em US$</t>
  </si>
  <si>
    <t>Valor em R$</t>
  </si>
  <si>
    <t>Valor Total em US$</t>
  </si>
  <si>
    <t>Valor Total em R$</t>
  </si>
  <si>
    <t>HD Externo</t>
  </si>
  <si>
    <t>Vídeo Game</t>
  </si>
  <si>
    <t>Vodka</t>
  </si>
  <si>
    <t>Monitor LCD</t>
  </si>
  <si>
    <t>TV LED</t>
  </si>
  <si>
    <t>IPad</t>
  </si>
  <si>
    <t>Roteador</t>
  </si>
  <si>
    <t>Total:</t>
  </si>
  <si>
    <t>Imposto:</t>
  </si>
  <si>
    <t>Total com Imposto</t>
  </si>
  <si>
    <t>Valor Total R$</t>
  </si>
  <si>
    <t>Total</t>
  </si>
  <si>
    <t>Imposto</t>
  </si>
  <si>
    <t>VALOR EM US$ * COTAÇÃO DO DOLAR</t>
  </si>
  <si>
    <t>VALOR EM US$ * QTD</t>
  </si>
  <si>
    <t>VALOR EM R$ * QTD</t>
  </si>
  <si>
    <t>SOMA DO VALOR TOTAL EM R$ E DEPOIS EM US$</t>
  </si>
  <si>
    <t>TOTAL * %</t>
  </si>
  <si>
    <t>TOTAL + IMPOSTO</t>
  </si>
  <si>
    <t>PetShop Lais</t>
  </si>
  <si>
    <t>Valor</t>
  </si>
  <si>
    <t>Valor Total Item</t>
  </si>
  <si>
    <t>Desconto em R$</t>
  </si>
  <si>
    <t>Ração Cachorro Ninona</t>
  </si>
  <si>
    <t>Coleira M</t>
  </si>
  <si>
    <t>Guia G</t>
  </si>
  <si>
    <t>Biscoito Cachorro Mel</t>
  </si>
  <si>
    <t>Shampoo Cachorro Nat</t>
  </si>
  <si>
    <t>Ração Cachorro Thor</t>
  </si>
  <si>
    <t>Brinquedo Galinha</t>
  </si>
  <si>
    <t>Total Itens Compra</t>
  </si>
  <si>
    <t>Valor Total Compra</t>
  </si>
  <si>
    <t>Desconto</t>
  </si>
  <si>
    <t>Você economizou</t>
  </si>
  <si>
    <t>Valor Total com Desconto</t>
  </si>
  <si>
    <t>Valor * Qtd</t>
  </si>
  <si>
    <t>Desconto de % no Valor do Item</t>
  </si>
  <si>
    <t>Soma das Qtds</t>
  </si>
  <si>
    <t>Soma dos Valores Totais por Item</t>
  </si>
  <si>
    <t>Soma dos Descontos</t>
  </si>
  <si>
    <t>Valor da Compra - Você economizou</t>
  </si>
  <si>
    <t>Agenda</t>
  </si>
  <si>
    <t>Nome</t>
  </si>
  <si>
    <t>Endereço</t>
  </si>
  <si>
    <t>Telefone</t>
  </si>
  <si>
    <t>Facebook</t>
  </si>
  <si>
    <t>E-mail</t>
  </si>
  <si>
    <t>Data de Nascimento</t>
  </si>
  <si>
    <t>Site</t>
  </si>
  <si>
    <t>Leandro Ramos</t>
  </si>
  <si>
    <t>Lais Rinaldi</t>
  </si>
  <si>
    <t>Ana Carolina Ferreira</t>
  </si>
  <si>
    <t>Lucina Almeida</t>
  </si>
  <si>
    <t>José de Assis</t>
  </si>
  <si>
    <t>Ramon Valmonde</t>
  </si>
  <si>
    <t>Jefferson Costa</t>
  </si>
  <si>
    <t>Rua Sergipe, 100</t>
  </si>
  <si>
    <t>Rua Mônaco, 200</t>
  </si>
  <si>
    <t>Rua Jequiti, 147</t>
  </si>
  <si>
    <t>Rua Serra do Jipe, 300</t>
  </si>
  <si>
    <t>Av Armando Bueno da Veiga, 800</t>
  </si>
  <si>
    <t>Av Limoeiro, 700</t>
  </si>
  <si>
    <t>Rua Tatuapé, 20</t>
  </si>
  <si>
    <t>(11) 99678 0009</t>
  </si>
  <si>
    <t>(11) 98862 3467</t>
  </si>
  <si>
    <t>(21) 93134 2345</t>
  </si>
  <si>
    <t>(31) 91234 0097</t>
  </si>
  <si>
    <t>(35) 98234 8421</t>
  </si>
  <si>
    <t>(71) 99321 0032</t>
  </si>
  <si>
    <t>x</t>
  </si>
  <si>
    <t>Ok</t>
  </si>
  <si>
    <t>le_ramos@yahoo.com.br</t>
  </si>
  <si>
    <t>lala.rinal.di@hotmail.com</t>
  </si>
  <si>
    <t>carol0ana@gmail.com</t>
  </si>
  <si>
    <t>lu.almeida@globo.com</t>
  </si>
  <si>
    <t>assis98.00@hotmail.com</t>
  </si>
  <si>
    <t>ramon.vmd@hotmail.uk</t>
  </si>
  <si>
    <t>je-costa@bol.com.br</t>
  </si>
  <si>
    <t>www.professorramos.com.br</t>
  </si>
  <si>
    <t>www.aulaead.com</t>
  </si>
  <si>
    <t>www.udemy.com</t>
  </si>
  <si>
    <t>www.jequiti.com</t>
  </si>
  <si>
    <t>www.profassis.com</t>
  </si>
  <si>
    <t>www.cisco.com</t>
  </si>
  <si>
    <t>www.jefferson-costa.com.br</t>
  </si>
  <si>
    <t>Código</t>
  </si>
  <si>
    <t>Carros</t>
  </si>
  <si>
    <t>Marca</t>
  </si>
  <si>
    <t>Origem</t>
  </si>
  <si>
    <t>Fiat</t>
  </si>
  <si>
    <t>Ford</t>
  </si>
  <si>
    <t>GM</t>
  </si>
  <si>
    <t>Volkswagem</t>
  </si>
  <si>
    <t>Itália</t>
  </si>
  <si>
    <t>USA</t>
  </si>
  <si>
    <t>Alemanha</t>
  </si>
  <si>
    <t>Toyota</t>
  </si>
  <si>
    <t>Japão</t>
  </si>
  <si>
    <t>Ferrari</t>
  </si>
  <si>
    <t>Renault</t>
  </si>
  <si>
    <t>França</t>
  </si>
  <si>
    <t>Dados dos Pacientes</t>
  </si>
  <si>
    <t>Idade</t>
  </si>
  <si>
    <t>Peso</t>
  </si>
  <si>
    <t>Altura</t>
  </si>
  <si>
    <t>Pressão</t>
  </si>
  <si>
    <t>Diabete</t>
  </si>
  <si>
    <t>Alergia</t>
  </si>
  <si>
    <t>Alta</t>
  </si>
  <si>
    <t>Não</t>
  </si>
  <si>
    <t>Normal</t>
  </si>
  <si>
    <t>Sim</t>
  </si>
  <si>
    <t>Luciana Ramos</t>
  </si>
  <si>
    <t>Frutos do Mar</t>
  </si>
  <si>
    <t>Mauro Peixoto</t>
  </si>
  <si>
    <t>Baixa</t>
  </si>
  <si>
    <t>Odila Pupim</t>
  </si>
  <si>
    <t>Fátima Guerra</t>
  </si>
  <si>
    <t>Maria Casaletti</t>
  </si>
  <si>
    <t>Alunos Matriculados nos Cursos AulaEaD.com</t>
  </si>
  <si>
    <t>Cursos
www.aulaEaD.com</t>
  </si>
  <si>
    <t>Jan</t>
  </si>
  <si>
    <t>Mar</t>
  </si>
  <si>
    <t>Mai</t>
  </si>
  <si>
    <t>Fev</t>
  </si>
  <si>
    <t>Abr</t>
  </si>
  <si>
    <t>Jun</t>
  </si>
  <si>
    <t>Grátis</t>
  </si>
  <si>
    <t>AutoCad</t>
  </si>
  <si>
    <t>Excel</t>
  </si>
  <si>
    <t>Linux</t>
  </si>
  <si>
    <t>Windows Server</t>
  </si>
  <si>
    <t>Programação</t>
  </si>
  <si>
    <t>WEB</t>
  </si>
  <si>
    <t>Pagos</t>
  </si>
  <si>
    <t>Valor 01</t>
  </si>
  <si>
    <t>Valor 02</t>
  </si>
  <si>
    <t>Soma</t>
  </si>
  <si>
    <t>Subtração</t>
  </si>
  <si>
    <t>Divisão</t>
  </si>
  <si>
    <t>Multiplicação</t>
  </si>
  <si>
    <t>Potência</t>
  </si>
  <si>
    <t>Média</t>
  </si>
  <si>
    <t>+</t>
  </si>
  <si>
    <t>-</t>
  </si>
  <si>
    <t>*</t>
  </si>
  <si>
    <t>/</t>
  </si>
  <si>
    <t>^</t>
  </si>
  <si>
    <t>(+)/</t>
  </si>
  <si>
    <t>Escola Feliz - www.aulaEaD.com</t>
  </si>
  <si>
    <t>Número</t>
  </si>
  <si>
    <t>Aluno</t>
  </si>
  <si>
    <t>1º BIM</t>
  </si>
  <si>
    <t>2º BIM</t>
  </si>
  <si>
    <t>3º BIM</t>
  </si>
  <si>
    <t>4º BIM</t>
  </si>
  <si>
    <t>SOMA</t>
  </si>
  <si>
    <t>MÉDIA</t>
  </si>
  <si>
    <t>Anderson Costa</t>
  </si>
  <si>
    <t>Jefferson Palete</t>
  </si>
  <si>
    <t>Luciana Machado</t>
  </si>
  <si>
    <t>Leila Castro</t>
  </si>
  <si>
    <t>Marcos Bianchi</t>
  </si>
  <si>
    <t>Sérgio Lourenço</t>
  </si>
  <si>
    <t>Katia Freitas</t>
  </si>
  <si>
    <t>Rivas Reis</t>
  </si>
  <si>
    <t>Vendas do Zé</t>
  </si>
  <si>
    <t>Produtos</t>
  </si>
  <si>
    <t>Qted</t>
  </si>
  <si>
    <t>Valor Total</t>
  </si>
  <si>
    <t>Arroz</t>
  </si>
  <si>
    <t>Feijão</t>
  </si>
  <si>
    <t>Molho de tomate</t>
  </si>
  <si>
    <t>Veja</t>
  </si>
  <si>
    <t>Detergente</t>
  </si>
  <si>
    <t>Amaciante</t>
  </si>
  <si>
    <t>Sabonete</t>
  </si>
  <si>
    <t>Cerveja</t>
  </si>
  <si>
    <t>Total Compra</t>
  </si>
  <si>
    <t>Valor a Pagar</t>
  </si>
  <si>
    <t>Matemática</t>
  </si>
  <si>
    <t>Romano</t>
  </si>
  <si>
    <t>Raiz</t>
  </si>
  <si>
    <t>Estatística</t>
  </si>
  <si>
    <t>Máximo</t>
  </si>
  <si>
    <t>Mínimo</t>
  </si>
  <si>
    <t>Cont Números</t>
  </si>
  <si>
    <t>Cont Valores</t>
  </si>
  <si>
    <t>Cont Vazio</t>
  </si>
  <si>
    <t>Data e Hora</t>
  </si>
  <si>
    <t>Hoje</t>
  </si>
  <si>
    <t>Agora</t>
  </si>
  <si>
    <t>Dias360</t>
  </si>
  <si>
    <t>Oliver</t>
  </si>
  <si>
    <t>talis.olivera@hotmail.com.br</t>
  </si>
  <si>
    <t>65VxY094Ç</t>
  </si>
  <si>
    <t>Cursos --&gt; www.aulaEaD.com &lt;--</t>
  </si>
  <si>
    <t>MÁXIMO</t>
  </si>
  <si>
    <t>MÍNIMO</t>
  </si>
  <si>
    <t>FALTAS</t>
  </si>
  <si>
    <t>RESULTADO</t>
  </si>
  <si>
    <t>Amanda Silva</t>
  </si>
  <si>
    <t>Caroline Denver</t>
  </si>
  <si>
    <t>Julia Batista</t>
  </si>
  <si>
    <t>Juliana Paes</t>
  </si>
  <si>
    <t>Juvenal Juvêncio</t>
  </si>
  <si>
    <t>Luciana Rinaldi</t>
  </si>
  <si>
    <t>Milton Silva</t>
  </si>
  <si>
    <t>Paula Marmello</t>
  </si>
  <si>
    <t>Raimundo Nonato</t>
  </si>
  <si>
    <t>Renato Genaro</t>
  </si>
  <si>
    <t>Vilma Catarina</t>
  </si>
  <si>
    <t>Matéria Geografia</t>
  </si>
  <si>
    <t>Carga Horária Total</t>
  </si>
  <si>
    <t>Limite de 25% de Faltas</t>
  </si>
  <si>
    <t>Nº Alunos</t>
  </si>
  <si>
    <t>Data Atualizada</t>
  </si>
  <si>
    <t>Setor</t>
  </si>
  <si>
    <t>Valor Compra</t>
  </si>
  <si>
    <t>Valor Venda</t>
  </si>
  <si>
    <t>Prazo Validade</t>
  </si>
  <si>
    <t>Sabonete Flores</t>
  </si>
  <si>
    <t>Higiene Pessoal</t>
  </si>
  <si>
    <t>Shampoo Ervas</t>
  </si>
  <si>
    <t>Torrada</t>
  </si>
  <si>
    <t>Alimentício</t>
  </si>
  <si>
    <t>Leite</t>
  </si>
  <si>
    <t>Latcínios</t>
  </si>
  <si>
    <t>Papel Higiênico</t>
  </si>
  <si>
    <t>Bolacha Salgada</t>
  </si>
  <si>
    <t>Biscoito Doce</t>
  </si>
  <si>
    <t>Danone</t>
  </si>
  <si>
    <t>Limpeza</t>
  </si>
  <si>
    <t>Creme Dental</t>
  </si>
  <si>
    <t>Macarrão</t>
  </si>
  <si>
    <t>Sabonete Ervas</t>
  </si>
  <si>
    <t>Cândida</t>
  </si>
  <si>
    <t>Pasta de Brilho</t>
  </si>
  <si>
    <t>Refrigenrante Limão</t>
  </si>
  <si>
    <t>Bebidas</t>
  </si>
  <si>
    <t>Cachaça</t>
  </si>
  <si>
    <t>Queijo Ralado</t>
  </si>
  <si>
    <t>Queijo Minas</t>
  </si>
  <si>
    <t>ATACADISTA SUCESSO!!!!</t>
  </si>
  <si>
    <t>Lucro</t>
  </si>
  <si>
    <t xml:space="preserve">Hoje é </t>
  </si>
  <si>
    <t>Total Itens Estoque</t>
  </si>
  <si>
    <t>Quantidade de Itens</t>
  </si>
  <si>
    <t>Valor Médio Produto</t>
  </si>
  <si>
    <t>Produto Mais Caro</t>
  </si>
  <si>
    <t>Produto Mais Barato</t>
  </si>
  <si>
    <t>Menor Quantidade em Estoque</t>
  </si>
  <si>
    <t>Média Quantidade em Estoque</t>
  </si>
  <si>
    <t>Maior Prazo Validade</t>
  </si>
  <si>
    <t>Menor Prazo Validade</t>
  </si>
  <si>
    <t>Lucro Total</t>
  </si>
  <si>
    <t>Alunos Matriculados AulaEAD</t>
  </si>
  <si>
    <t>Curso</t>
  </si>
  <si>
    <t>Quantidade</t>
  </si>
  <si>
    <t>Duração</t>
  </si>
  <si>
    <t>Office</t>
  </si>
  <si>
    <t>Segurança</t>
  </si>
  <si>
    <t>Redes</t>
  </si>
  <si>
    <t>Voip</t>
  </si>
  <si>
    <t>Autocad</t>
  </si>
  <si>
    <t>Vendas Professor Ramos</t>
  </si>
  <si>
    <t>Item</t>
  </si>
  <si>
    <t>Data</t>
  </si>
  <si>
    <t>Mouse</t>
  </si>
  <si>
    <t>Notebook</t>
  </si>
  <si>
    <t>PC i7</t>
  </si>
  <si>
    <t>Monitor</t>
  </si>
  <si>
    <t>Placa Rede</t>
  </si>
  <si>
    <t>Placa Wifi</t>
  </si>
  <si>
    <t>Teclado</t>
  </si>
  <si>
    <t>Fonte</t>
  </si>
  <si>
    <t>Nobreak</t>
  </si>
  <si>
    <t>Web CAM</t>
  </si>
  <si>
    <t>Fone</t>
  </si>
  <si>
    <t>Impressora</t>
  </si>
  <si>
    <t>Pasta Dente</t>
  </si>
  <si>
    <t>Psta de Brilho</t>
  </si>
  <si>
    <t>Refrigerante Limão</t>
  </si>
  <si>
    <t>Ervilha</t>
  </si>
  <si>
    <t>Grão de Bico</t>
  </si>
  <si>
    <t>Açúcar</t>
  </si>
  <si>
    <t>Suco Uva</t>
  </si>
  <si>
    <t>Suco Morango</t>
  </si>
  <si>
    <t>Papel Toalha</t>
  </si>
  <si>
    <t>Molho Tomate</t>
  </si>
  <si>
    <t>30 ou Mais</t>
  </si>
  <si>
    <t>Verde</t>
  </si>
  <si>
    <t>0 ou Menos</t>
  </si>
  <si>
    <t>Vermelho</t>
  </si>
  <si>
    <t>de 1 a 29</t>
  </si>
  <si>
    <t>Amarelo</t>
  </si>
  <si>
    <t>Média de Aprovação</t>
  </si>
  <si>
    <t>Vendas LRR Produtos de Limpeza</t>
  </si>
  <si>
    <t>Litros</t>
  </si>
  <si>
    <t>Valor Litro</t>
  </si>
  <si>
    <t>Sabão Liquído para Roupas</t>
  </si>
  <si>
    <t>Álcool Perfumado</t>
  </si>
  <si>
    <t>Desinfetante Eucalipto</t>
  </si>
  <si>
    <t>Desinfetante Limão</t>
  </si>
  <si>
    <t>Desinfetante Lavanda</t>
  </si>
  <si>
    <t>Desinfetante Citronela</t>
  </si>
  <si>
    <t>Desinfetante Pinho</t>
  </si>
  <si>
    <t>Sabonete Líquido</t>
  </si>
  <si>
    <t>Maridão Alvejante Colorido</t>
  </si>
  <si>
    <t>Despesas LRR Produtos de Limpeza</t>
  </si>
  <si>
    <t>Despesas</t>
  </si>
  <si>
    <t>R$</t>
  </si>
  <si>
    <t>Água</t>
  </si>
  <si>
    <t>Luz</t>
  </si>
  <si>
    <t>Matéria Prima</t>
  </si>
  <si>
    <t>Embalagens</t>
  </si>
  <si>
    <t>Aluguel</t>
  </si>
  <si>
    <t>Internet/Telefone</t>
  </si>
  <si>
    <t>LRR Produtos de Limpeza</t>
  </si>
  <si>
    <t>Entradas</t>
  </si>
  <si>
    <t>Saídas</t>
  </si>
  <si>
    <t>Estoque Papelaria Feliz</t>
  </si>
  <si>
    <t>Vendidos</t>
  </si>
  <si>
    <t>Quantidade Atual</t>
  </si>
  <si>
    <t>Estado do Estoque</t>
  </si>
  <si>
    <t>DVD</t>
  </si>
  <si>
    <t>Papel A4</t>
  </si>
  <si>
    <t>CD</t>
  </si>
  <si>
    <t>Caneta</t>
  </si>
  <si>
    <t>Lápis</t>
  </si>
  <si>
    <t>Canetinha</t>
  </si>
  <si>
    <t>Lápis de Cor</t>
  </si>
  <si>
    <t>Borracha</t>
  </si>
  <si>
    <t>Apontador</t>
  </si>
  <si>
    <t>Caderno 100 Folhas</t>
  </si>
  <si>
    <t>Caderno 500 Folhas</t>
  </si>
  <si>
    <t>Caderno 300 Folhas</t>
  </si>
  <si>
    <t>Caderno 1000 Folhas</t>
  </si>
  <si>
    <t>Tinta</t>
  </si>
  <si>
    <t>Pincel</t>
  </si>
  <si>
    <t>Aquarela</t>
  </si>
  <si>
    <t>Vendas</t>
  </si>
  <si>
    <t>Vendedoras</t>
  </si>
  <si>
    <t>Estado da Meta</t>
  </si>
  <si>
    <t>Meta</t>
  </si>
  <si>
    <t>Angelica Lazaroni</t>
  </si>
  <si>
    <t>Paula Angelotti</t>
  </si>
  <si>
    <t>Raquel Gomes</t>
  </si>
  <si>
    <t>Marta Fallange</t>
  </si>
  <si>
    <t>Ingrid Ferreira</t>
  </si>
  <si>
    <t>Marcela Madri</t>
  </si>
  <si>
    <t>Giovanna Rittiz</t>
  </si>
  <si>
    <t>Juliana Pratz</t>
  </si>
  <si>
    <t>Média de Recuperação</t>
  </si>
  <si>
    <t>Descontos</t>
  </si>
  <si>
    <t>Clientes</t>
  </si>
  <si>
    <t>Planos</t>
  </si>
  <si>
    <t>Valor com Desconto</t>
  </si>
  <si>
    <t>Gold</t>
  </si>
  <si>
    <t>Silver</t>
  </si>
  <si>
    <t>Carolina Denver</t>
  </si>
  <si>
    <t>Vilma Katarina</t>
  </si>
  <si>
    <t>Evento www.aulaEAD.com</t>
  </si>
  <si>
    <t>Cliente</t>
  </si>
  <si>
    <t>Data
Nascimento</t>
  </si>
  <si>
    <t>Categoria</t>
  </si>
  <si>
    <t>Valor Ingresso</t>
  </si>
  <si>
    <t>Dercy Gonçalves</t>
  </si>
  <si>
    <t>Milton Santos</t>
  </si>
  <si>
    <t>Robson Valmonde</t>
  </si>
  <si>
    <t>Ana Gomes</t>
  </si>
  <si>
    <t>Luciana Lima</t>
  </si>
  <si>
    <t>Valor Cheio</t>
  </si>
  <si>
    <t>Menor 1 mês</t>
  </si>
  <si>
    <t>Recém Nascido</t>
  </si>
  <si>
    <t>Bebê</t>
  </si>
  <si>
    <t>Até 12 anos</t>
  </si>
  <si>
    <t>Até 1 ano</t>
  </si>
  <si>
    <t>Criança</t>
  </si>
  <si>
    <t>Até 18 anos</t>
  </si>
  <si>
    <t>Adolescente</t>
  </si>
  <si>
    <t>Até 65 anos</t>
  </si>
  <si>
    <t>Adulto</t>
  </si>
  <si>
    <t>Até 99 anos</t>
  </si>
  <si>
    <t>Idoso</t>
  </si>
  <si>
    <t>100 ou mais</t>
  </si>
  <si>
    <t>Ancião</t>
  </si>
  <si>
    <t>Turma</t>
  </si>
  <si>
    <t>Sala</t>
  </si>
  <si>
    <t>A</t>
  </si>
  <si>
    <t>Jéssica Gomes</t>
  </si>
  <si>
    <t>B</t>
  </si>
  <si>
    <t>C</t>
  </si>
  <si>
    <t>D</t>
  </si>
  <si>
    <t>Paula Guerreiro</t>
  </si>
  <si>
    <t>E</t>
  </si>
  <si>
    <t>Sabrina Sato</t>
  </si>
  <si>
    <t>Jefferson Dias</t>
  </si>
  <si>
    <t>Catarina Pereira</t>
  </si>
  <si>
    <t>Raisa Lara</t>
  </si>
  <si>
    <t>F</t>
  </si>
  <si>
    <t>Pedro Tonel</t>
  </si>
  <si>
    <t>Salas</t>
  </si>
  <si>
    <t>PROCV</t>
  </si>
  <si>
    <t>SALÁRIO</t>
  </si>
  <si>
    <t>BRUTO</t>
  </si>
  <si>
    <t>DESCONTOS</t>
  </si>
  <si>
    <t>DESCONTO DE I.R.</t>
  </si>
  <si>
    <t>DESCONTO DE INSS</t>
  </si>
  <si>
    <t>TABELA DE DESCONTOS</t>
  </si>
  <si>
    <t>FAIXA SALARIAL</t>
  </si>
  <si>
    <t>IMPOSTO DE RENDA</t>
  </si>
  <si>
    <t>INSS</t>
  </si>
  <si>
    <t>LÍQUIDO</t>
  </si>
  <si>
    <t>Nº</t>
  </si>
  <si>
    <t>Conceito</t>
  </si>
  <si>
    <t>Resultado</t>
  </si>
  <si>
    <t>Amanda Cristina</t>
  </si>
  <si>
    <t>Anderson Mendonça</t>
  </si>
  <si>
    <t>Carlos Amarilha</t>
  </si>
  <si>
    <t>Carolina Colorado</t>
  </si>
  <si>
    <t>Edilson Porteoli</t>
  </si>
  <si>
    <t>Jertrudez Florentina</t>
  </si>
  <si>
    <t>Kelly Lee</t>
  </si>
  <si>
    <t>Luciana Almeida</t>
  </si>
  <si>
    <t>Marcos Forgado Filho</t>
  </si>
  <si>
    <t>Nelson Nhanha</t>
  </si>
  <si>
    <t>Ronaldo Gorduxo</t>
  </si>
  <si>
    <t>Sergio Kapo Eira</t>
  </si>
  <si>
    <t>Tanaka Riroshi</t>
  </si>
  <si>
    <t>Boletim 5ª Série D - EEPGSZE do DARGHAECZ - Geografia</t>
  </si>
  <si>
    <t>Menção</t>
  </si>
  <si>
    <t>Geral</t>
  </si>
  <si>
    <t>Exame de Colesterol</t>
  </si>
  <si>
    <t>Paciente</t>
  </si>
  <si>
    <t>Valor Colesterol Total</t>
  </si>
  <si>
    <t>Resultado Colesterol Total</t>
  </si>
  <si>
    <t>Valor Colesterol LDL(Ruim)</t>
  </si>
  <si>
    <t>Resultado Colesterol LDL (Ruim)</t>
  </si>
  <si>
    <t>Janaina Lima</t>
  </si>
  <si>
    <t>Deivia Luciana</t>
  </si>
  <si>
    <t>Pamela Castro</t>
  </si>
  <si>
    <t>Alef Carvalho</t>
  </si>
  <si>
    <t>Leonardo Lima</t>
  </si>
  <si>
    <t>Maria Marcia</t>
  </si>
  <si>
    <t>Colesterol Total</t>
  </si>
  <si>
    <t>Desejável</t>
  </si>
  <si>
    <t>Alto</t>
  </si>
  <si>
    <t>Colesterol LDL (Ruim)</t>
  </si>
  <si>
    <t>Ótimo</t>
  </si>
  <si>
    <t>Muito Alto</t>
  </si>
  <si>
    <t>Coleterol Total</t>
  </si>
  <si>
    <t>Adultos maiores de 20 anos</t>
  </si>
  <si>
    <t>menor que 200 mg/dl</t>
  </si>
  <si>
    <t>entre 200-239 mg/dl</t>
  </si>
  <si>
    <t>maior que 240 mg/dl</t>
  </si>
  <si>
    <t>Adultos maiores que 20 anos</t>
  </si>
  <si>
    <t>menor que 100 mg/dl</t>
  </si>
  <si>
    <t>entre 100-129 mg/dl</t>
  </si>
  <si>
    <t>entre 130-159 mg/dl</t>
  </si>
  <si>
    <t>entre 160-189 mg/dl</t>
  </si>
  <si>
    <t>maior que 190 mg/dl</t>
  </si>
  <si>
    <t>mg/dl</t>
  </si>
  <si>
    <t>Exames de Triglicerídios</t>
  </si>
  <si>
    <t>Valor Triglicerídeos</t>
  </si>
  <si>
    <t>Deiva Luciana</t>
  </si>
  <si>
    <t>Triglicerídios</t>
  </si>
  <si>
    <t>Muit Alto</t>
  </si>
  <si>
    <t>menor que 150 mg/dl</t>
  </si>
  <si>
    <t>entre 150-199 mg/dl</t>
  </si>
  <si>
    <t>entre 200-499 mg/dl</t>
  </si>
  <si>
    <t>maior que 500 mg/dl</t>
  </si>
  <si>
    <t>SOMASE</t>
  </si>
  <si>
    <t>CONT.SE</t>
  </si>
  <si>
    <t>Unidades Frabricadas</t>
  </si>
  <si>
    <t>Shampoo</t>
  </si>
  <si>
    <t>Condicionador</t>
  </si>
  <si>
    <t>Unidades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</si>
</sst>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\(##\)\ #\ ####\ ####"/>
    <numFmt numFmtId="167" formatCode="[$-416]d\-mmm\-yy;@"/>
    <numFmt numFmtId="168" formatCode="0.00_ ;[Red]\-0.00\ "/>
    <numFmt numFmtId="169" formatCode="0.0"/>
    <numFmt numFmtId="170" formatCode="0.0%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7"/>
      <name val="Arial Black"/>
      <family val="2"/>
    </font>
    <font>
      <sz val="11"/>
      <color theme="0"/>
      <name val="Arial Black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7" tint="-0.249977111117893"/>
      <name val="Arial Black"/>
      <family val="2"/>
    </font>
    <font>
      <sz val="12"/>
      <color theme="0"/>
      <name val="Arial Black"/>
      <family val="2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u/>
      <sz val="14"/>
      <color rgb="FFC00000"/>
      <name val="Calibri"/>
      <family val="2"/>
      <scheme val="minor"/>
    </font>
    <font>
      <b/>
      <sz val="16"/>
      <color rgb="FFC00000"/>
      <name val="Arial Black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0" tint="-0.34998626667073579"/>
      <name val="Arial Black"/>
      <family val="2"/>
    </font>
    <font>
      <b/>
      <sz val="14"/>
      <color rgb="FF002060"/>
      <name val="Arial Black"/>
      <family val="2"/>
    </font>
    <font>
      <b/>
      <sz val="20"/>
      <color theme="0"/>
      <name val="Arial Black"/>
      <family val="2"/>
    </font>
    <font>
      <b/>
      <sz val="12"/>
      <color rgb="FF002060"/>
      <name val="Arial Black"/>
      <family val="2"/>
    </font>
  </fonts>
  <fills count="4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gradientFill degree="90">
        <stop position="0">
          <color theme="4" tint="-0.25098422193060094"/>
        </stop>
        <stop position="0.5">
          <color theme="0"/>
        </stop>
        <stop position="1">
          <color theme="4" tint="-0.25098422193060094"/>
        </stop>
      </gradientFill>
    </fill>
    <fill>
      <gradientFill>
        <stop position="0">
          <color theme="4" tint="0.59999389629810485"/>
        </stop>
        <stop position="1">
          <color theme="4" tint="-0.25098422193060094"/>
        </stop>
      </gradientFill>
    </fill>
    <fill>
      <gradientFill degree="270">
        <stop position="0">
          <color theme="4" tint="0.80001220740379042"/>
        </stop>
        <stop position="1">
          <color theme="4" tint="-0.25098422193060094"/>
        </stop>
      </gradientFill>
    </fill>
    <fill>
      <gradientFill degree="90">
        <stop position="0">
          <color theme="4" tint="-0.25098422193060094"/>
        </stop>
        <stop position="1">
          <color theme="4" tint="0.80001220740379042"/>
        </stop>
      </gradient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C330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gradientFill degree="90">
        <stop position="0">
          <color theme="7" tint="0.59999389629810485"/>
        </stop>
        <stop position="1">
          <color theme="7" tint="-0.25098422193060094"/>
        </stop>
      </gradientFill>
    </fill>
    <fill>
      <gradientFill degree="90">
        <stop position="0">
          <color theme="7" tint="0.80001220740379042"/>
        </stop>
        <stop position="0.5">
          <color theme="7" tint="0.59999389629810485"/>
        </stop>
        <stop position="1">
          <color theme="7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4" tint="-0.24994659260841701"/>
      </left>
      <right style="hair">
        <color theme="4" tint="-0.24994659260841701"/>
      </right>
      <top style="double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 style="double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hair">
        <color theme="4" tint="-0.24994659260841701"/>
      </bottom>
      <diagonal/>
    </border>
    <border>
      <left style="double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double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double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double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double">
        <color theme="4" tint="-0.24994659260841701"/>
      </bottom>
      <diagonal/>
    </border>
    <border>
      <left style="hair">
        <color theme="4" tint="-0.24994659260841701"/>
      </left>
      <right style="double">
        <color theme="4" tint="-0.24994659260841701"/>
      </right>
      <top style="hair">
        <color theme="4" tint="-0.24994659260841701"/>
      </top>
      <bottom style="double">
        <color theme="4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8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9" fontId="4" fillId="6" borderId="13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6" xfId="0" applyNumberFormat="1" applyBorder="1"/>
    <xf numFmtId="8" fontId="6" fillId="4" borderId="1" xfId="0" applyNumberFormat="1" applyFont="1" applyFill="1" applyBorder="1" applyAlignment="1">
      <alignment horizontal="left" vertical="center"/>
    </xf>
    <xf numFmtId="165" fontId="0" fillId="0" borderId="1" xfId="0" applyNumberFormat="1" applyBorder="1"/>
    <xf numFmtId="164" fontId="0" fillId="0" borderId="11" xfId="0" applyNumberFormat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166" fontId="14" fillId="14" borderId="1" xfId="0" applyNumberFormat="1" applyFont="1" applyFill="1" applyBorder="1" applyAlignment="1">
      <alignment horizontal="center" vertical="center"/>
    </xf>
    <xf numFmtId="167" fontId="14" fillId="14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5" fillId="0" borderId="1" xfId="2" applyBorder="1"/>
    <xf numFmtId="0" fontId="0" fillId="15" borderId="1" xfId="0" applyFill="1" applyBorder="1"/>
    <xf numFmtId="166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5" fillId="15" borderId="1" xfId="2" applyFill="1" applyBorder="1"/>
    <xf numFmtId="167" fontId="0" fillId="0" borderId="1" xfId="0" applyNumberFormat="1" applyBorder="1" applyAlignment="1">
      <alignment horizontal="center"/>
    </xf>
    <xf numFmtId="167" fontId="0" fillId="15" borderId="1" xfId="0" applyNumberFormat="1" applyFill="1" applyBorder="1" applyAlignment="1">
      <alignment horizontal="center"/>
    </xf>
    <xf numFmtId="0" fontId="5" fillId="0" borderId="1" xfId="2" applyBorder="1" applyAlignment="1">
      <alignment horizontal="left" indent="2"/>
    </xf>
    <xf numFmtId="0" fontId="5" fillId="15" borderId="1" xfId="2" applyFill="1" applyBorder="1" applyAlignment="1">
      <alignment horizontal="left" indent="2"/>
    </xf>
    <xf numFmtId="0" fontId="0" fillId="0" borderId="1" xfId="0" applyBorder="1" applyAlignment="1">
      <alignment horizontal="left" indent="1"/>
    </xf>
    <xf numFmtId="0" fontId="0" fillId="15" borderId="1" xfId="0" applyFill="1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16" fillId="1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indent="1"/>
    </xf>
    <xf numFmtId="0" fontId="0" fillId="16" borderId="1" xfId="0" applyFill="1" applyBorder="1" applyAlignment="1">
      <alignment horizontal="left" indent="2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/>
    <xf numFmtId="0" fontId="0" fillId="0" borderId="21" xfId="0" applyBorder="1" applyAlignment="1">
      <alignment horizontal="left" indent="2"/>
    </xf>
    <xf numFmtId="0" fontId="0" fillId="0" borderId="23" xfId="0" applyBorder="1"/>
    <xf numFmtId="0" fontId="0" fillId="0" borderId="24" xfId="0" applyBorder="1" applyAlignment="1">
      <alignment horizontal="center"/>
    </xf>
    <xf numFmtId="2" fontId="0" fillId="0" borderId="24" xfId="0" applyNumberFormat="1" applyBorder="1"/>
    <xf numFmtId="0" fontId="0" fillId="0" borderId="24" xfId="0" applyBorder="1" applyAlignment="1">
      <alignment horizontal="left" indent="2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20" fillId="19" borderId="21" xfId="0" applyFont="1" applyFill="1" applyBorder="1" applyAlignment="1">
      <alignment horizontal="center" vertical="center"/>
    </xf>
    <xf numFmtId="0" fontId="20" fillId="19" borderId="2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1" borderId="30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 vertical="center"/>
    </xf>
    <xf numFmtId="0" fontId="4" fillId="23" borderId="1" xfId="0" applyFont="1" applyFill="1" applyBorder="1"/>
    <xf numFmtId="0" fontId="4" fillId="23" borderId="1" xfId="0" applyFont="1" applyFill="1" applyBorder="1" applyAlignment="1">
      <alignment horizontal="center" vertical="center"/>
    </xf>
    <xf numFmtId="0" fontId="3" fillId="24" borderId="1" xfId="0" applyFont="1" applyFill="1" applyBorder="1"/>
    <xf numFmtId="0" fontId="3" fillId="24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3" fillId="25" borderId="0" xfId="0" applyFont="1" applyFill="1"/>
    <xf numFmtId="44" fontId="0" fillId="0" borderId="1" xfId="1" applyFont="1" applyBorder="1"/>
    <xf numFmtId="0" fontId="2" fillId="26" borderId="1" xfId="0" applyFont="1" applyFill="1" applyBorder="1" applyAlignment="1">
      <alignment horizontal="center" vertical="center"/>
    </xf>
    <xf numFmtId="44" fontId="0" fillId="0" borderId="1" xfId="0" applyNumberFormat="1" applyBorder="1"/>
    <xf numFmtId="44" fontId="2" fillId="26" borderId="1" xfId="0" applyNumberFormat="1" applyFont="1" applyFill="1" applyBorder="1"/>
    <xf numFmtId="44" fontId="7" fillId="3" borderId="1" xfId="0" applyNumberFormat="1" applyFont="1" applyFill="1" applyBorder="1"/>
    <xf numFmtId="44" fontId="10" fillId="8" borderId="1" xfId="0" applyNumberFormat="1" applyFont="1" applyFill="1" applyBorder="1"/>
    <xf numFmtId="165" fontId="0" fillId="0" borderId="9" xfId="0" applyNumberFormat="1" applyBorder="1"/>
    <xf numFmtId="165" fontId="0" fillId="0" borderId="3" xfId="1" applyNumberFormat="1" applyFont="1" applyBorder="1"/>
    <xf numFmtId="165" fontId="0" fillId="0" borderId="8" xfId="0" applyNumberFormat="1" applyBorder="1"/>
    <xf numFmtId="165" fontId="0" fillId="0" borderId="2" xfId="0" applyNumberFormat="1" applyBorder="1"/>
    <xf numFmtId="9" fontId="15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22" fontId="0" fillId="0" borderId="1" xfId="0" applyNumberFormat="1" applyBorder="1"/>
    <xf numFmtId="0" fontId="0" fillId="0" borderId="0" xfId="0" quotePrefix="1" applyAlignment="1"/>
    <xf numFmtId="0" fontId="24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" xfId="0" applyFont="1" applyBorder="1"/>
    <xf numFmtId="9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165" fontId="26" fillId="0" borderId="1" xfId="0" applyNumberFormat="1" applyFont="1" applyBorder="1"/>
    <xf numFmtId="14" fontId="26" fillId="0" borderId="1" xfId="0" applyNumberFormat="1" applyFont="1" applyBorder="1" applyAlignment="1">
      <alignment horizontal="center" vertical="center"/>
    </xf>
    <xf numFmtId="165" fontId="26" fillId="0" borderId="0" xfId="0" applyNumberFormat="1" applyFont="1"/>
    <xf numFmtId="165" fontId="22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7" fillId="0" borderId="0" xfId="0" applyFont="1"/>
    <xf numFmtId="0" fontId="15" fillId="0" borderId="1" xfId="0" applyFont="1" applyBorder="1"/>
    <xf numFmtId="0" fontId="15" fillId="29" borderId="1" xfId="0" applyFont="1" applyFill="1" applyBorder="1"/>
    <xf numFmtId="0" fontId="4" fillId="29" borderId="1" xfId="0" applyFont="1" applyFill="1" applyBorder="1"/>
    <xf numFmtId="0" fontId="29" fillId="0" borderId="1" xfId="0" applyFont="1" applyBorder="1"/>
    <xf numFmtId="0" fontId="29" fillId="0" borderId="1" xfId="0" applyFont="1" applyBorder="1" applyAlignment="1">
      <alignment horizontal="center" vertical="center"/>
    </xf>
    <xf numFmtId="165" fontId="29" fillId="0" borderId="1" xfId="0" applyNumberFormat="1" applyFont="1" applyBorder="1"/>
    <xf numFmtId="165" fontId="22" fillId="0" borderId="1" xfId="0" applyNumberFormat="1" applyFont="1" applyBorder="1"/>
    <xf numFmtId="0" fontId="0" fillId="5" borderId="0" xfId="0" applyFill="1"/>
    <xf numFmtId="0" fontId="4" fillId="32" borderId="1" xfId="0" applyFont="1" applyFill="1" applyBorder="1"/>
    <xf numFmtId="0" fontId="13" fillId="0" borderId="1" xfId="0" applyFont="1" applyBorder="1"/>
    <xf numFmtId="0" fontId="4" fillId="30" borderId="1" xfId="0" applyFont="1" applyFill="1" applyBorder="1"/>
    <xf numFmtId="14" fontId="4" fillId="0" borderId="1" xfId="0" applyNumberFormat="1" applyFont="1" applyBorder="1"/>
    <xf numFmtId="0" fontId="4" fillId="0" borderId="1" xfId="0" applyNumberFormat="1" applyFont="1" applyBorder="1"/>
    <xf numFmtId="0" fontId="15" fillId="0" borderId="1" xfId="0" applyFont="1" applyBorder="1" applyAlignment="1">
      <alignment horizontal="left"/>
    </xf>
    <xf numFmtId="0" fontId="28" fillId="0" borderId="1" xfId="0" applyFont="1" applyBorder="1"/>
    <xf numFmtId="0" fontId="0" fillId="0" borderId="1" xfId="0" applyBorder="1" applyAlignment="1">
      <alignment horizontal="center"/>
    </xf>
    <xf numFmtId="44" fontId="4" fillId="30" borderId="1" xfId="1" applyFont="1" applyFill="1" applyBorder="1"/>
    <xf numFmtId="0" fontId="28" fillId="0" borderId="1" xfId="0" applyFont="1" applyBorder="1" applyAlignment="1">
      <alignment horizontal="center" vertical="center"/>
    </xf>
    <xf numFmtId="8" fontId="4" fillId="30" borderId="1" xfId="1" applyNumberFormat="1" applyFont="1" applyFill="1" applyBorder="1"/>
    <xf numFmtId="0" fontId="30" fillId="0" borderId="1" xfId="0" applyFont="1" applyBorder="1" applyAlignment="1">
      <alignment horizontal="center" vertical="center"/>
    </xf>
    <xf numFmtId="44" fontId="0" fillId="0" borderId="0" xfId="1" applyFont="1"/>
    <xf numFmtId="0" fontId="32" fillId="34" borderId="1" xfId="0" applyFont="1" applyFill="1" applyBorder="1" applyAlignment="1">
      <alignment horizontal="center"/>
    </xf>
    <xf numFmtId="44" fontId="33" fillId="30" borderId="1" xfId="1" applyFont="1" applyFill="1" applyBorder="1"/>
    <xf numFmtId="9" fontId="0" fillId="0" borderId="1" xfId="0" applyNumberFormat="1" applyBorder="1"/>
    <xf numFmtId="0" fontId="8" fillId="31" borderId="1" xfId="0" applyFont="1" applyFill="1" applyBorder="1"/>
    <xf numFmtId="0" fontId="6" fillId="34" borderId="1" xfId="0" applyFont="1" applyFill="1" applyBorder="1" applyAlignment="1">
      <alignment horizontal="center" vertical="center"/>
    </xf>
    <xf numFmtId="44" fontId="6" fillId="34" borderId="1" xfId="1" applyFont="1" applyFill="1" applyBorder="1" applyAlignment="1">
      <alignment horizontal="center" vertical="center"/>
    </xf>
    <xf numFmtId="0" fontId="0" fillId="0" borderId="0" xfId="0" applyAlignment="1"/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44" fontId="36" fillId="0" borderId="1" xfId="1" applyFont="1" applyBorder="1" applyAlignment="1">
      <alignment horizontal="center" vertical="center"/>
    </xf>
    <xf numFmtId="0" fontId="37" fillId="34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5" borderId="1" xfId="0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44" fontId="0" fillId="13" borderId="1" xfId="1" applyFont="1" applyFill="1" applyBorder="1"/>
    <xf numFmtId="0" fontId="0" fillId="13" borderId="1" xfId="0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3" fillId="37" borderId="1" xfId="0" applyFont="1" applyFill="1" applyBorder="1" applyAlignment="1">
      <alignment horizontal="center" vertical="center"/>
    </xf>
    <xf numFmtId="0" fontId="44" fillId="3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9" fillId="18" borderId="17" xfId="0" applyFont="1" applyFill="1" applyBorder="1" applyAlignment="1">
      <alignment horizontal="center" vertical="center"/>
    </xf>
    <xf numFmtId="0" fontId="19" fillId="18" borderId="18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4" fillId="21" borderId="29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1" borderId="34" xfId="0" applyFont="1" applyFill="1" applyBorder="1" applyAlignment="1">
      <alignment horizontal="center" vertical="center" wrapText="1"/>
    </xf>
    <xf numFmtId="0" fontId="4" fillId="21" borderId="6" xfId="0" applyFont="1" applyFill="1" applyBorder="1" applyAlignment="1">
      <alignment horizontal="center" vertical="center" wrapText="1"/>
    </xf>
    <xf numFmtId="0" fontId="15" fillId="22" borderId="26" xfId="0" applyFont="1" applyFill="1" applyBorder="1" applyAlignment="1">
      <alignment horizontal="center" vertical="center"/>
    </xf>
    <xf numFmtId="0" fontId="15" fillId="22" borderId="27" xfId="0" applyFont="1" applyFill="1" applyBorder="1" applyAlignment="1">
      <alignment horizontal="center" vertical="center"/>
    </xf>
    <xf numFmtId="0" fontId="15" fillId="22" borderId="28" xfId="0" applyFont="1" applyFill="1" applyBorder="1" applyAlignment="1">
      <alignment horizontal="center" vertical="center"/>
    </xf>
    <xf numFmtId="0" fontId="21" fillId="20" borderId="26" xfId="0" applyFont="1" applyFill="1" applyBorder="1" applyAlignment="1">
      <alignment horizontal="center" vertical="center" textRotation="255"/>
    </xf>
    <xf numFmtId="0" fontId="21" fillId="20" borderId="29" xfId="0" applyFont="1" applyFill="1" applyBorder="1" applyAlignment="1">
      <alignment horizontal="center" vertical="center" textRotation="255"/>
    </xf>
    <xf numFmtId="0" fontId="21" fillId="20" borderId="31" xfId="0" applyFont="1" applyFill="1" applyBorder="1" applyAlignment="1">
      <alignment horizontal="center" vertical="center" textRotation="255"/>
    </xf>
    <xf numFmtId="0" fontId="22" fillId="20" borderId="26" xfId="0" applyFont="1" applyFill="1" applyBorder="1" applyAlignment="1">
      <alignment vertical="center" textRotation="255"/>
    </xf>
    <xf numFmtId="0" fontId="22" fillId="20" borderId="29" xfId="0" applyFont="1" applyFill="1" applyBorder="1" applyAlignment="1">
      <alignment vertical="center" textRotation="255"/>
    </xf>
    <xf numFmtId="0" fontId="22" fillId="20" borderId="31" xfId="0" applyFont="1" applyFill="1" applyBorder="1" applyAlignment="1">
      <alignment vertical="center" textRotation="255"/>
    </xf>
    <xf numFmtId="0" fontId="10" fillId="25" borderId="0" xfId="0" applyFont="1" applyFill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17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3" fillId="13" borderId="1" xfId="0" applyFont="1" applyFill="1" applyBorder="1" applyAlignment="1">
      <alignment horizontal="center"/>
    </xf>
    <xf numFmtId="0" fontId="23" fillId="27" borderId="5" xfId="0" quotePrefix="1" applyFont="1" applyFill="1" applyBorder="1" applyAlignment="1">
      <alignment horizontal="center"/>
    </xf>
    <xf numFmtId="0" fontId="25" fillId="2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textRotation="255"/>
    </xf>
    <xf numFmtId="0" fontId="15" fillId="28" borderId="1" xfId="0" applyFont="1" applyFill="1" applyBorder="1" applyAlignment="1">
      <alignment horizontal="center"/>
    </xf>
    <xf numFmtId="0" fontId="10" fillId="31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8" fillId="30" borderId="9" xfId="0" applyFont="1" applyFill="1" applyBorder="1" applyAlignment="1">
      <alignment horizontal="center"/>
    </xf>
    <xf numFmtId="0" fontId="28" fillId="30" borderId="8" xfId="0" applyFont="1" applyFill="1" applyBorder="1" applyAlignment="1">
      <alignment horizontal="center"/>
    </xf>
    <xf numFmtId="0" fontId="28" fillId="30" borderId="10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 vertical="center"/>
    </xf>
    <xf numFmtId="0" fontId="31" fillId="30" borderId="1" xfId="0" applyFont="1" applyFill="1" applyBorder="1" applyAlignment="1">
      <alignment horizontal="center"/>
    </xf>
    <xf numFmtId="0" fontId="34" fillId="31" borderId="1" xfId="0" applyFont="1" applyFill="1" applyBorder="1" applyAlignment="1">
      <alignment horizontal="center"/>
    </xf>
    <xf numFmtId="0" fontId="35" fillId="3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11" fillId="36" borderId="0" xfId="0" applyFont="1" applyFill="1" applyAlignment="1">
      <alignment horizontal="center"/>
    </xf>
    <xf numFmtId="0" fontId="41" fillId="13" borderId="0" xfId="2" applyFont="1" applyFill="1" applyAlignment="1">
      <alignment horizontal="center"/>
    </xf>
    <xf numFmtId="0" fontId="42" fillId="13" borderId="9" xfId="0" applyFont="1" applyFill="1" applyBorder="1" applyAlignment="1">
      <alignment horizontal="center" vertical="center"/>
    </xf>
    <xf numFmtId="0" fontId="42" fillId="13" borderId="8" xfId="0" applyFont="1" applyFill="1" applyBorder="1" applyAlignment="1">
      <alignment horizontal="center" vertical="center"/>
    </xf>
    <xf numFmtId="0" fontId="42" fillId="13" borderId="10" xfId="0" applyFont="1" applyFill="1" applyBorder="1" applyAlignment="1">
      <alignment horizontal="center" vertical="center"/>
    </xf>
    <xf numFmtId="0" fontId="38" fillId="13" borderId="9" xfId="0" applyFont="1" applyFill="1" applyBorder="1" applyAlignment="1">
      <alignment horizontal="center" vertical="center"/>
    </xf>
    <xf numFmtId="0" fontId="38" fillId="13" borderId="10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10" xfId="0" applyBorder="1"/>
    <xf numFmtId="0" fontId="0" fillId="0" borderId="36" xfId="0" applyBorder="1"/>
    <xf numFmtId="0" fontId="0" fillId="0" borderId="10" xfId="0" applyFill="1" applyBorder="1"/>
    <xf numFmtId="0" fontId="47" fillId="39" borderId="1" xfId="0" applyFont="1" applyFill="1" applyBorder="1"/>
    <xf numFmtId="0" fontId="47" fillId="39" borderId="1" xfId="0" applyFont="1" applyFill="1" applyBorder="1" applyAlignment="1">
      <alignment horizontal="center"/>
    </xf>
    <xf numFmtId="0" fontId="47" fillId="39" borderId="9" xfId="0" applyFont="1" applyFill="1" applyBorder="1" applyAlignment="1">
      <alignment horizontal="center"/>
    </xf>
    <xf numFmtId="0" fontId="47" fillId="39" borderId="10" xfId="0" applyFont="1" applyFill="1" applyBorder="1" applyAlignment="1">
      <alignment horizontal="center"/>
    </xf>
    <xf numFmtId="0" fontId="46" fillId="38" borderId="26" xfId="0" applyFont="1" applyFill="1" applyBorder="1" applyAlignment="1">
      <alignment horizontal="center"/>
    </xf>
    <xf numFmtId="0" fontId="46" fillId="38" borderId="27" xfId="0" applyFont="1" applyFill="1" applyBorder="1" applyAlignment="1">
      <alignment horizontal="center"/>
    </xf>
    <xf numFmtId="0" fontId="46" fillId="38" borderId="28" xfId="0" applyFont="1" applyFill="1" applyBorder="1" applyAlignment="1">
      <alignment horizontal="center"/>
    </xf>
    <xf numFmtId="0" fontId="47" fillId="39" borderId="29" xfId="0" applyFont="1" applyFill="1" applyBorder="1"/>
    <xf numFmtId="0" fontId="47" fillId="39" borderId="30" xfId="0" applyFont="1" applyFill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7" xfId="0" applyBorder="1"/>
    <xf numFmtId="0" fontId="0" fillId="0" borderId="38" xfId="0" applyBorder="1"/>
    <xf numFmtId="0" fontId="0" fillId="0" borderId="32" xfId="0" applyBorder="1" applyAlignment="1">
      <alignment horizontal="center"/>
    </xf>
    <xf numFmtId="0" fontId="0" fillId="0" borderId="38" xfId="0" applyFill="1" applyBorder="1"/>
    <xf numFmtId="0" fontId="0" fillId="0" borderId="33" xfId="0" applyBorder="1" applyAlignment="1">
      <alignment horizontal="center"/>
    </xf>
    <xf numFmtId="0" fontId="47" fillId="39" borderId="26" xfId="0" applyFont="1" applyFill="1" applyBorder="1" applyAlignment="1">
      <alignment horizontal="center"/>
    </xf>
    <xf numFmtId="0" fontId="47" fillId="39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left" indent="2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left" indent="2"/>
    </xf>
    <xf numFmtId="0" fontId="47" fillId="39" borderId="39" xfId="0" applyFont="1" applyFill="1" applyBorder="1" applyAlignment="1">
      <alignment horizontal="center"/>
    </xf>
    <xf numFmtId="0" fontId="47" fillId="39" borderId="40" xfId="0" applyFont="1" applyFill="1" applyBorder="1" applyAlignment="1">
      <alignment horizontal="center"/>
    </xf>
    <xf numFmtId="0" fontId="47" fillId="39" borderId="26" xfId="0" applyFont="1" applyFill="1" applyBorder="1"/>
    <xf numFmtId="0" fontId="47" fillId="39" borderId="28" xfId="0" applyFont="1" applyFill="1" applyBorder="1"/>
    <xf numFmtId="0" fontId="0" fillId="0" borderId="30" xfId="0" applyBorder="1"/>
    <xf numFmtId="0" fontId="0" fillId="0" borderId="33" xfId="0" applyBorder="1"/>
    <xf numFmtId="0" fontId="47" fillId="39" borderId="26" xfId="0" applyFont="1" applyFill="1" applyBorder="1" applyAlignment="1">
      <alignment horizontal="center"/>
    </xf>
    <xf numFmtId="0" fontId="47" fillId="39" borderId="28" xfId="0" applyFon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48" fillId="38" borderId="26" xfId="0" applyFont="1" applyFill="1" applyBorder="1" applyAlignment="1">
      <alignment horizontal="center"/>
    </xf>
    <xf numFmtId="0" fontId="48" fillId="38" borderId="27" xfId="0" applyFont="1" applyFill="1" applyBorder="1" applyAlignment="1">
      <alignment horizontal="center"/>
    </xf>
    <xf numFmtId="0" fontId="48" fillId="38" borderId="28" xfId="0" applyFont="1" applyFill="1" applyBorder="1" applyAlignment="1">
      <alignment horizontal="center"/>
    </xf>
    <xf numFmtId="0" fontId="49" fillId="40" borderId="0" xfId="0" applyFont="1" applyFill="1" applyAlignment="1">
      <alignment horizontal="center"/>
    </xf>
    <xf numFmtId="0" fontId="50" fillId="0" borderId="1" xfId="0" applyFont="1" applyBorder="1"/>
    <xf numFmtId="0" fontId="45" fillId="40" borderId="9" xfId="0" applyFont="1" applyFill="1" applyBorder="1"/>
    <xf numFmtId="14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19"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theme="7" tint="-0.24994659260841701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strike val="0"/>
        <color rgb="FF0070C0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theme="7" tint="-0.24994659260841701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/>
        <color theme="4" tint="-0.24994659260841701"/>
      </font>
      <fill>
        <patternFill>
          <bgColor rgb="FFCCECFF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6" tint="-0.24994659260841701"/>
      </font>
      <fill>
        <patternFill>
          <bgColor theme="7" tint="0.79998168889431442"/>
        </patternFill>
      </fill>
    </dxf>
    <dxf>
      <font>
        <b/>
        <i/>
        <color rgb="FFFF0000"/>
      </font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theme="4" tint="-0.499984740745262"/>
      </font>
    </dxf>
  </dxfs>
  <tableStyles count="0" defaultTableStyle="TableStyleMedium2" defaultPivotStyle="PivotStyleLight16"/>
  <colors>
    <mruColors>
      <color rgb="FFFFCCCC"/>
      <color rgb="FFFFFF99"/>
      <color rgb="FFFFCCFF"/>
      <color rgb="FFCCECFF"/>
      <color rgb="FFFF66FF"/>
      <color rgb="FFCC3300"/>
      <color rgb="FF800080"/>
      <color rgb="FF9933FF"/>
      <color rgb="FF99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fessorramos.com.br/" TargetMode="External"/><Relationship Id="rId13" Type="http://schemas.openxmlformats.org/officeDocument/2006/relationships/hyperlink" Target="http://www.cisco.com/" TargetMode="External"/><Relationship Id="rId3" Type="http://schemas.openxmlformats.org/officeDocument/2006/relationships/hyperlink" Target="mailto:carol0ana@gmail.com" TargetMode="External"/><Relationship Id="rId7" Type="http://schemas.openxmlformats.org/officeDocument/2006/relationships/hyperlink" Target="mailto:je-costa@bol.com.br" TargetMode="External"/><Relationship Id="rId12" Type="http://schemas.openxmlformats.org/officeDocument/2006/relationships/hyperlink" Target="http://www.profassis.com/" TargetMode="External"/><Relationship Id="rId2" Type="http://schemas.openxmlformats.org/officeDocument/2006/relationships/hyperlink" Target="mailto:lala.rinal.di@hotmail.com" TargetMode="External"/><Relationship Id="rId1" Type="http://schemas.openxmlformats.org/officeDocument/2006/relationships/hyperlink" Target="mailto:le_ramos@yahoo.com.br" TargetMode="External"/><Relationship Id="rId6" Type="http://schemas.openxmlformats.org/officeDocument/2006/relationships/hyperlink" Target="mailto:ramon.vmd@hotmail.uk" TargetMode="External"/><Relationship Id="rId11" Type="http://schemas.openxmlformats.org/officeDocument/2006/relationships/hyperlink" Target="http://www.jequiti.com/" TargetMode="External"/><Relationship Id="rId5" Type="http://schemas.openxmlformats.org/officeDocument/2006/relationships/hyperlink" Target="mailto:assis98.00@hotmail.com" TargetMode="External"/><Relationship Id="rId10" Type="http://schemas.openxmlformats.org/officeDocument/2006/relationships/hyperlink" Target="http://www.udemy.com/" TargetMode="External"/><Relationship Id="rId4" Type="http://schemas.openxmlformats.org/officeDocument/2006/relationships/hyperlink" Target="mailto:lu.almeida@globo.com" TargetMode="External"/><Relationship Id="rId9" Type="http://schemas.openxmlformats.org/officeDocument/2006/relationships/hyperlink" Target="http://www.aulaead.com/" TargetMode="External"/><Relationship Id="rId14" Type="http://schemas.openxmlformats.org/officeDocument/2006/relationships/hyperlink" Target="http://www.jefferson-costa.com.b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alis.olivera@hotmail.com.br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ulaead.com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ulaea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A14" sqref="A14"/>
    </sheetView>
  </sheetViews>
  <sheetFormatPr defaultRowHeight="15" x14ac:dyDescent="0.25"/>
  <cols>
    <col min="1" max="1" width="30.42578125" customWidth="1"/>
    <col min="2" max="2" width="36.5703125" customWidth="1"/>
    <col min="3" max="3" width="20" style="26" customWidth="1"/>
    <col min="4" max="4" width="9.140625" style="1"/>
    <col min="5" max="5" width="29.5703125" customWidth="1"/>
    <col min="6" max="6" width="23.5703125" style="27" customWidth="1"/>
    <col min="7" max="7" width="31.42578125" customWidth="1"/>
  </cols>
  <sheetData>
    <row r="1" spans="1:7" ht="42" customHeight="1" x14ac:dyDescent="0.25">
      <c r="A1" s="169" t="s">
        <v>50</v>
      </c>
      <c r="B1" s="169"/>
      <c r="C1" s="169"/>
      <c r="D1" s="169"/>
      <c r="E1" s="169"/>
      <c r="F1" s="169"/>
      <c r="G1" s="169"/>
    </row>
    <row r="2" spans="1:7" ht="26.25" customHeight="1" x14ac:dyDescent="0.25">
      <c r="A2" s="28" t="s">
        <v>51</v>
      </c>
      <c r="B2" s="28" t="s">
        <v>52</v>
      </c>
      <c r="C2" s="29" t="s">
        <v>53</v>
      </c>
      <c r="D2" s="28" t="s">
        <v>54</v>
      </c>
      <c r="E2" s="28" t="s">
        <v>55</v>
      </c>
      <c r="F2" s="30" t="s">
        <v>56</v>
      </c>
      <c r="G2" s="28" t="s">
        <v>57</v>
      </c>
    </row>
    <row r="3" spans="1:7" x14ac:dyDescent="0.25">
      <c r="A3" s="5" t="s">
        <v>58</v>
      </c>
      <c r="B3" s="41" t="s">
        <v>65</v>
      </c>
      <c r="C3" s="31">
        <v>11997689899</v>
      </c>
      <c r="D3" s="7" t="s">
        <v>78</v>
      </c>
      <c r="E3" s="39" t="s">
        <v>80</v>
      </c>
      <c r="F3" s="37">
        <v>28947</v>
      </c>
      <c r="G3" s="32" t="s">
        <v>87</v>
      </c>
    </row>
    <row r="4" spans="1:7" x14ac:dyDescent="0.25">
      <c r="A4" s="33" t="s">
        <v>59</v>
      </c>
      <c r="B4" s="42" t="s">
        <v>66</v>
      </c>
      <c r="C4" s="34" t="s">
        <v>72</v>
      </c>
      <c r="D4" s="35" t="s">
        <v>79</v>
      </c>
      <c r="E4" s="40" t="s">
        <v>81</v>
      </c>
      <c r="F4" s="38">
        <v>36578</v>
      </c>
      <c r="G4" s="36" t="s">
        <v>88</v>
      </c>
    </row>
    <row r="5" spans="1:7" x14ac:dyDescent="0.25">
      <c r="A5" s="5" t="s">
        <v>60</v>
      </c>
      <c r="B5" s="41" t="s">
        <v>67</v>
      </c>
      <c r="C5" s="31" t="s">
        <v>73</v>
      </c>
      <c r="D5" s="7" t="s">
        <v>78</v>
      </c>
      <c r="E5" s="39" t="s">
        <v>82</v>
      </c>
      <c r="F5" s="37">
        <v>36819</v>
      </c>
      <c r="G5" s="32" t="s">
        <v>89</v>
      </c>
    </row>
    <row r="6" spans="1:7" x14ac:dyDescent="0.25">
      <c r="A6" s="33" t="s">
        <v>61</v>
      </c>
      <c r="B6" s="42" t="s">
        <v>68</v>
      </c>
      <c r="C6" s="34" t="s">
        <v>74</v>
      </c>
      <c r="D6" s="35" t="s">
        <v>79</v>
      </c>
      <c r="E6" s="40" t="s">
        <v>83</v>
      </c>
      <c r="F6" s="38">
        <v>29250</v>
      </c>
      <c r="G6" s="36" t="s">
        <v>90</v>
      </c>
    </row>
    <row r="7" spans="1:7" x14ac:dyDescent="0.25">
      <c r="A7" s="5" t="s">
        <v>62</v>
      </c>
      <c r="B7" s="41" t="s">
        <v>69</v>
      </c>
      <c r="C7" s="31" t="s">
        <v>75</v>
      </c>
      <c r="D7" s="7" t="s">
        <v>78</v>
      </c>
      <c r="E7" s="39" t="s">
        <v>84</v>
      </c>
      <c r="F7" s="37">
        <v>28612</v>
      </c>
      <c r="G7" s="32" t="s">
        <v>91</v>
      </c>
    </row>
    <row r="8" spans="1:7" x14ac:dyDescent="0.25">
      <c r="A8" s="33" t="s">
        <v>63</v>
      </c>
      <c r="B8" s="42" t="s">
        <v>70</v>
      </c>
      <c r="C8" s="34" t="s">
        <v>76</v>
      </c>
      <c r="D8" s="35" t="s">
        <v>79</v>
      </c>
      <c r="E8" s="40" t="s">
        <v>85</v>
      </c>
      <c r="F8" s="38">
        <v>31541</v>
      </c>
      <c r="G8" s="36" t="s">
        <v>92</v>
      </c>
    </row>
    <row r="9" spans="1:7" x14ac:dyDescent="0.25">
      <c r="A9" s="5" t="s">
        <v>64</v>
      </c>
      <c r="B9" s="41" t="s">
        <v>71</v>
      </c>
      <c r="C9" s="31" t="s">
        <v>77</v>
      </c>
      <c r="D9" s="7" t="s">
        <v>79</v>
      </c>
      <c r="E9" s="39" t="s">
        <v>86</v>
      </c>
      <c r="F9" s="37">
        <v>24461</v>
      </c>
      <c r="G9" s="32" t="s">
        <v>93</v>
      </c>
    </row>
  </sheetData>
  <mergeCells count="1">
    <mergeCell ref="A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G3" r:id="rId8"/>
    <hyperlink ref="G4" r:id="rId9"/>
    <hyperlink ref="G5" r:id="rId10"/>
    <hyperlink ref="G6" r:id="rId11"/>
    <hyperlink ref="G7" r:id="rId12"/>
    <hyperlink ref="G8" r:id="rId13"/>
    <hyperlink ref="G9" r:id="rId14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7.5703125" bestFit="1" customWidth="1"/>
    <col min="4" max="4" width="14.85546875" customWidth="1"/>
    <col min="5" max="5" width="27.42578125" bestFit="1" customWidth="1"/>
    <col min="6" max="6" width="14.85546875" customWidth="1"/>
  </cols>
  <sheetData>
    <row r="1" spans="1:6" x14ac:dyDescent="0.25">
      <c r="A1" s="204" t="s">
        <v>189</v>
      </c>
      <c r="B1" s="204"/>
    </row>
    <row r="2" spans="1:6" x14ac:dyDescent="0.25">
      <c r="A2" s="5" t="s">
        <v>146</v>
      </c>
      <c r="B2" s="5">
        <f>SUM(D2:F7)</f>
        <v>2450</v>
      </c>
      <c r="D2" s="5"/>
      <c r="E2" s="5">
        <v>65</v>
      </c>
      <c r="F2" s="5">
        <v>146</v>
      </c>
    </row>
    <row r="3" spans="1:6" x14ac:dyDescent="0.25">
      <c r="A3" s="5" t="s">
        <v>149</v>
      </c>
      <c r="B3" s="5">
        <f>PRODUCT(D6,D7)</f>
        <v>16</v>
      </c>
      <c r="D3" s="5">
        <v>45</v>
      </c>
      <c r="E3" s="5">
        <v>94</v>
      </c>
      <c r="F3" s="5" t="s">
        <v>202</v>
      </c>
    </row>
    <row r="4" spans="1:6" x14ac:dyDescent="0.25">
      <c r="A4" s="5" t="s">
        <v>190</v>
      </c>
      <c r="B4" s="43" t="str">
        <f>ROMAN(E7)</f>
        <v>XVII</v>
      </c>
      <c r="D4" s="5"/>
      <c r="E4" s="5">
        <f>SUM(D5:E6)</f>
        <v>21</v>
      </c>
      <c r="F4" s="5">
        <f>PRODUCT(E5:F6)</f>
        <v>1980</v>
      </c>
    </row>
    <row r="5" spans="1:6" x14ac:dyDescent="0.25">
      <c r="A5" s="5" t="s">
        <v>191</v>
      </c>
      <c r="B5" s="5">
        <f>SQRT(F7)</f>
        <v>4.2426406871192848</v>
      </c>
      <c r="D5" s="5">
        <v>10</v>
      </c>
      <c r="E5" s="5">
        <v>11</v>
      </c>
      <c r="F5" s="5">
        <v>12</v>
      </c>
    </row>
    <row r="6" spans="1:6" x14ac:dyDescent="0.25">
      <c r="A6" s="204" t="s">
        <v>192</v>
      </c>
      <c r="B6" s="204"/>
      <c r="D6" s="5" t="s">
        <v>204</v>
      </c>
      <c r="E6" s="32" t="s">
        <v>203</v>
      </c>
      <c r="F6" s="5">
        <v>15</v>
      </c>
    </row>
    <row r="7" spans="1:6" x14ac:dyDescent="0.25">
      <c r="A7" s="5" t="s">
        <v>151</v>
      </c>
      <c r="B7" s="5">
        <f>MEDIAN(D2:F7)</f>
        <v>18</v>
      </c>
      <c r="D7" s="5">
        <v>16</v>
      </c>
      <c r="E7" s="5">
        <v>17</v>
      </c>
      <c r="F7" s="5">
        <v>18</v>
      </c>
    </row>
    <row r="8" spans="1:6" x14ac:dyDescent="0.25">
      <c r="A8" s="5" t="s">
        <v>193</v>
      </c>
      <c r="B8" s="5">
        <f>MAX(D2:F7)</f>
        <v>1980</v>
      </c>
    </row>
    <row r="9" spans="1:6" x14ac:dyDescent="0.25">
      <c r="A9" s="5" t="s">
        <v>194</v>
      </c>
      <c r="B9" s="5">
        <f>MIN(D2:F7)</f>
        <v>10</v>
      </c>
      <c r="D9" s="100">
        <v>42370</v>
      </c>
      <c r="E9" s="100">
        <v>42437</v>
      </c>
      <c r="F9" s="100">
        <v>42736</v>
      </c>
    </row>
    <row r="10" spans="1:6" x14ac:dyDescent="0.25">
      <c r="A10" s="5" t="s">
        <v>195</v>
      </c>
      <c r="B10" s="5">
        <f>COUNT(D2:F7)</f>
        <v>13</v>
      </c>
    </row>
    <row r="11" spans="1:6" x14ac:dyDescent="0.25">
      <c r="A11" s="5" t="s">
        <v>196</v>
      </c>
      <c r="B11" s="5">
        <f>COUNTA(D2:F7)</f>
        <v>16</v>
      </c>
    </row>
    <row r="12" spans="1:6" x14ac:dyDescent="0.25">
      <c r="A12" s="5" t="s">
        <v>197</v>
      </c>
      <c r="B12" s="5">
        <f>COUNTBLANK(D2:F7)</f>
        <v>2</v>
      </c>
    </row>
    <row r="13" spans="1:6" x14ac:dyDescent="0.25">
      <c r="A13" s="204" t="s">
        <v>198</v>
      </c>
      <c r="B13" s="204"/>
    </row>
    <row r="14" spans="1:6" x14ac:dyDescent="0.25">
      <c r="A14" s="101" t="s">
        <v>199</v>
      </c>
      <c r="B14" s="100">
        <f ca="1">TODAY()</f>
        <v>44009</v>
      </c>
    </row>
    <row r="15" spans="1:6" x14ac:dyDescent="0.25">
      <c r="A15" s="101" t="s">
        <v>200</v>
      </c>
      <c r="B15" s="102">
        <f ca="1">NOW()</f>
        <v>44009.629405902779</v>
      </c>
    </row>
    <row r="16" spans="1:6" x14ac:dyDescent="0.25">
      <c r="A16" s="101" t="s">
        <v>201</v>
      </c>
      <c r="B16" s="5">
        <f>DAYS360(D9,F9)</f>
        <v>360</v>
      </c>
    </row>
  </sheetData>
  <mergeCells count="3">
    <mergeCell ref="A1:B1"/>
    <mergeCell ref="A6:B6"/>
    <mergeCell ref="A13:B13"/>
  </mergeCells>
  <hyperlinks>
    <hyperlink ref="E6" r:id="rId1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zoomScale="85" zoomScaleNormal="85" workbookViewId="0">
      <selection activeCell="L10" sqref="L10"/>
    </sheetView>
  </sheetViews>
  <sheetFormatPr defaultRowHeight="15" x14ac:dyDescent="0.25"/>
  <cols>
    <col min="1" max="1" width="10.5703125" bestFit="1" customWidth="1"/>
    <col min="2" max="2" width="24.42578125" customWidth="1"/>
    <col min="3" max="11" width="12.5703125" customWidth="1"/>
    <col min="12" max="13" width="30.7109375" customWidth="1"/>
  </cols>
  <sheetData>
    <row r="1" spans="1:12" s="103" customFormat="1" ht="36" x14ac:dyDescent="0.55000000000000004">
      <c r="A1" s="205" t="s">
        <v>205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</row>
    <row r="2" spans="1:12" ht="18.75" x14ac:dyDescent="0.4">
      <c r="A2" s="104" t="s">
        <v>159</v>
      </c>
      <c r="B2" s="104" t="s">
        <v>51</v>
      </c>
      <c r="C2" s="104" t="s">
        <v>161</v>
      </c>
      <c r="D2" s="104" t="s">
        <v>162</v>
      </c>
      <c r="E2" s="104" t="s">
        <v>163</v>
      </c>
      <c r="F2" s="104" t="s">
        <v>164</v>
      </c>
      <c r="G2" s="104" t="s">
        <v>165</v>
      </c>
      <c r="H2" s="104" t="s">
        <v>166</v>
      </c>
      <c r="I2" s="104" t="s">
        <v>206</v>
      </c>
      <c r="J2" s="104" t="s">
        <v>207</v>
      </c>
      <c r="K2" s="104" t="s">
        <v>208</v>
      </c>
      <c r="L2" s="104" t="s">
        <v>209</v>
      </c>
    </row>
    <row r="3" spans="1:12" x14ac:dyDescent="0.25">
      <c r="A3" s="43">
        <v>1</v>
      </c>
      <c r="B3" s="5" t="s">
        <v>210</v>
      </c>
      <c r="C3" s="43">
        <v>5</v>
      </c>
      <c r="D3" s="43">
        <v>7</v>
      </c>
      <c r="E3" s="43">
        <v>8</v>
      </c>
      <c r="F3" s="43">
        <v>9</v>
      </c>
      <c r="G3" s="43">
        <f>SUM(C3:F3)</f>
        <v>29</v>
      </c>
      <c r="H3" s="105">
        <f>AVERAGE(C3:F3)</f>
        <v>7.25</v>
      </c>
      <c r="I3" s="43">
        <f>MAX(C3:F3)</f>
        <v>9</v>
      </c>
      <c r="J3" s="43">
        <f>MIN(C3:F3)</f>
        <v>5</v>
      </c>
      <c r="K3" s="108">
        <v>12</v>
      </c>
      <c r="L3" s="43" t="str">
        <f>IF(K3&gt;=$M$21,"Reprovado(a)",IF(H3&lt;$M$25,"Reprovado(a)",IF(H3&gt;=$M$24,"Aprovado(a)","Recuperação")))</f>
        <v>Aprovado(a)</v>
      </c>
    </row>
    <row r="4" spans="1:12" x14ac:dyDescent="0.25">
      <c r="A4" s="43">
        <v>2</v>
      </c>
      <c r="B4" s="5" t="s">
        <v>211</v>
      </c>
      <c r="C4" s="43">
        <v>10</v>
      </c>
      <c r="D4" s="43">
        <v>8</v>
      </c>
      <c r="E4" s="43">
        <v>10</v>
      </c>
      <c r="F4" s="43">
        <v>8</v>
      </c>
      <c r="G4" s="43">
        <f t="shared" ref="G4:G17" si="0">SUM(C4:F4)</f>
        <v>36</v>
      </c>
      <c r="H4" s="105">
        <f t="shared" ref="H4:H17" si="1">AVERAGE(C4:F4)</f>
        <v>9</v>
      </c>
      <c r="I4" s="43">
        <f t="shared" ref="I4:I17" si="2">MAX(C4:F4)</f>
        <v>10</v>
      </c>
      <c r="J4" s="43">
        <f t="shared" ref="J4:J17" si="3">MIN(C4:F4)</f>
        <v>8</v>
      </c>
      <c r="K4" s="108">
        <v>7</v>
      </c>
      <c r="L4" s="43" t="str">
        <f t="shared" ref="L4:L17" si="4">IF(K4&gt;=$M$21,"Reprovado(a)",IF(H4&lt;$M$25,"Reprovado(a)",IF(H4&gt;=$M$24,"Aprovado(a)","Recuperação")))</f>
        <v>Aprovado(a)</v>
      </c>
    </row>
    <row r="5" spans="1:12" x14ac:dyDescent="0.25">
      <c r="A5" s="43">
        <v>3</v>
      </c>
      <c r="B5" s="5" t="s">
        <v>212</v>
      </c>
      <c r="C5" s="43">
        <v>5</v>
      </c>
      <c r="D5" s="43">
        <v>4</v>
      </c>
      <c r="E5" s="43">
        <v>5</v>
      </c>
      <c r="F5" s="43">
        <v>4</v>
      </c>
      <c r="G5" s="43">
        <f t="shared" si="0"/>
        <v>18</v>
      </c>
      <c r="H5" s="105">
        <f t="shared" si="1"/>
        <v>4.5</v>
      </c>
      <c r="I5" s="43">
        <f t="shared" si="2"/>
        <v>5</v>
      </c>
      <c r="J5" s="43">
        <f t="shared" si="3"/>
        <v>4</v>
      </c>
      <c r="K5" s="108">
        <v>34</v>
      </c>
      <c r="L5" s="43" t="str">
        <f t="shared" si="4"/>
        <v>Reprovado(a)</v>
      </c>
    </row>
    <row r="6" spans="1:12" x14ac:dyDescent="0.25">
      <c r="A6" s="43">
        <v>4</v>
      </c>
      <c r="B6" s="5" t="s">
        <v>213</v>
      </c>
      <c r="C6" s="43">
        <v>6</v>
      </c>
      <c r="D6" s="43">
        <v>6</v>
      </c>
      <c r="E6" s="43">
        <v>5</v>
      </c>
      <c r="F6" s="43">
        <v>7</v>
      </c>
      <c r="G6" s="43">
        <f t="shared" si="0"/>
        <v>24</v>
      </c>
      <c r="H6" s="105">
        <f t="shared" si="1"/>
        <v>6</v>
      </c>
      <c r="I6" s="43">
        <f t="shared" si="2"/>
        <v>7</v>
      </c>
      <c r="J6" s="43">
        <f t="shared" si="3"/>
        <v>5</v>
      </c>
      <c r="K6" s="108">
        <v>16</v>
      </c>
      <c r="L6" s="43" t="str">
        <f t="shared" si="4"/>
        <v>Recuperação</v>
      </c>
    </row>
    <row r="7" spans="1:12" x14ac:dyDescent="0.25">
      <c r="A7" s="43">
        <v>5</v>
      </c>
      <c r="B7" s="5" t="s">
        <v>214</v>
      </c>
      <c r="C7" s="43">
        <v>8</v>
      </c>
      <c r="D7" s="43">
        <v>5</v>
      </c>
      <c r="E7" s="43">
        <v>10</v>
      </c>
      <c r="F7" s="43">
        <v>5</v>
      </c>
      <c r="G7" s="43">
        <f t="shared" si="0"/>
        <v>28</v>
      </c>
      <c r="H7" s="105">
        <f t="shared" si="1"/>
        <v>7</v>
      </c>
      <c r="I7" s="43">
        <f t="shared" si="2"/>
        <v>10</v>
      </c>
      <c r="J7" s="43">
        <f t="shared" si="3"/>
        <v>5</v>
      </c>
      <c r="K7" s="108">
        <v>52</v>
      </c>
      <c r="L7" s="43" t="str">
        <f t="shared" si="4"/>
        <v>Reprovado(a)</v>
      </c>
    </row>
    <row r="8" spans="1:12" x14ac:dyDescent="0.25">
      <c r="A8" s="43">
        <v>6</v>
      </c>
      <c r="B8" s="5" t="s">
        <v>59</v>
      </c>
      <c r="C8" s="43">
        <v>9</v>
      </c>
      <c r="D8" s="43">
        <v>7</v>
      </c>
      <c r="E8" s="43">
        <v>7</v>
      </c>
      <c r="F8" s="43">
        <v>9</v>
      </c>
      <c r="G8" s="43">
        <f t="shared" si="0"/>
        <v>32</v>
      </c>
      <c r="H8" s="105">
        <f t="shared" si="1"/>
        <v>8</v>
      </c>
      <c r="I8" s="43">
        <f t="shared" si="2"/>
        <v>9</v>
      </c>
      <c r="J8" s="43">
        <f t="shared" si="3"/>
        <v>7</v>
      </c>
      <c r="K8" s="108">
        <v>0</v>
      </c>
      <c r="L8" s="43" t="str">
        <f t="shared" si="4"/>
        <v>Aprovado(a)</v>
      </c>
    </row>
    <row r="9" spans="1:12" x14ac:dyDescent="0.25">
      <c r="A9" s="43">
        <v>7</v>
      </c>
      <c r="B9" s="5" t="s">
        <v>58</v>
      </c>
      <c r="C9" s="43">
        <v>7</v>
      </c>
      <c r="D9" s="43">
        <v>8</v>
      </c>
      <c r="E9" s="43">
        <v>7</v>
      </c>
      <c r="F9" s="43">
        <v>8</v>
      </c>
      <c r="G9" s="43">
        <f t="shared" si="0"/>
        <v>30</v>
      </c>
      <c r="H9" s="105">
        <f t="shared" si="1"/>
        <v>7.5</v>
      </c>
      <c r="I9" s="43">
        <f t="shared" si="2"/>
        <v>8</v>
      </c>
      <c r="J9" s="43">
        <f t="shared" si="3"/>
        <v>7</v>
      </c>
      <c r="K9" s="108">
        <v>0</v>
      </c>
      <c r="L9" s="43" t="str">
        <f t="shared" si="4"/>
        <v>Aprovado(a)</v>
      </c>
    </row>
    <row r="10" spans="1:12" x14ac:dyDescent="0.25">
      <c r="A10" s="43">
        <v>8</v>
      </c>
      <c r="B10" s="5" t="s">
        <v>215</v>
      </c>
      <c r="C10" s="43">
        <v>4</v>
      </c>
      <c r="D10" s="43">
        <v>9</v>
      </c>
      <c r="E10" s="43">
        <v>7</v>
      </c>
      <c r="F10" s="43">
        <v>7</v>
      </c>
      <c r="G10" s="43">
        <f t="shared" si="0"/>
        <v>27</v>
      </c>
      <c r="H10" s="105">
        <f t="shared" si="1"/>
        <v>6.75</v>
      </c>
      <c r="I10" s="43">
        <f t="shared" si="2"/>
        <v>9</v>
      </c>
      <c r="J10" s="43">
        <f t="shared" si="3"/>
        <v>4</v>
      </c>
      <c r="K10" s="108">
        <v>8</v>
      </c>
      <c r="L10" s="43" t="str">
        <f t="shared" si="4"/>
        <v>Recuperação</v>
      </c>
    </row>
    <row r="11" spans="1:12" x14ac:dyDescent="0.25">
      <c r="A11" s="43">
        <v>9</v>
      </c>
      <c r="B11" s="5" t="s">
        <v>123</v>
      </c>
      <c r="C11" s="43">
        <v>3</v>
      </c>
      <c r="D11" s="43">
        <v>5</v>
      </c>
      <c r="E11" s="43">
        <v>6</v>
      </c>
      <c r="F11" s="43">
        <v>3</v>
      </c>
      <c r="G11" s="43">
        <f t="shared" si="0"/>
        <v>17</v>
      </c>
      <c r="H11" s="105">
        <f t="shared" si="1"/>
        <v>4.25</v>
      </c>
      <c r="I11" s="43">
        <f t="shared" si="2"/>
        <v>6</v>
      </c>
      <c r="J11" s="43">
        <f t="shared" si="3"/>
        <v>3</v>
      </c>
      <c r="K11" s="108">
        <v>60</v>
      </c>
      <c r="L11" s="43" t="str">
        <f t="shared" si="4"/>
        <v>Reprovado(a)</v>
      </c>
    </row>
    <row r="12" spans="1:12" x14ac:dyDescent="0.25">
      <c r="A12" s="43">
        <v>10</v>
      </c>
      <c r="B12" s="5" t="s">
        <v>216</v>
      </c>
      <c r="C12" s="43">
        <v>10</v>
      </c>
      <c r="D12" s="43">
        <v>10</v>
      </c>
      <c r="E12" s="43">
        <v>9</v>
      </c>
      <c r="F12" s="43">
        <v>10</v>
      </c>
      <c r="G12" s="43">
        <f t="shared" si="0"/>
        <v>39</v>
      </c>
      <c r="H12" s="105">
        <f t="shared" si="1"/>
        <v>9.75</v>
      </c>
      <c r="I12" s="43">
        <f t="shared" si="2"/>
        <v>10</v>
      </c>
      <c r="J12" s="43">
        <f t="shared" si="3"/>
        <v>9</v>
      </c>
      <c r="K12" s="108">
        <v>24</v>
      </c>
      <c r="L12" s="43" t="str">
        <f t="shared" si="4"/>
        <v>Aprovado(a)</v>
      </c>
    </row>
    <row r="13" spans="1:12" x14ac:dyDescent="0.25">
      <c r="A13" s="43">
        <v>11</v>
      </c>
      <c r="B13" s="5" t="s">
        <v>217</v>
      </c>
      <c r="C13" s="43">
        <v>10</v>
      </c>
      <c r="D13" s="43">
        <v>9</v>
      </c>
      <c r="E13" s="43">
        <v>8</v>
      </c>
      <c r="F13" s="43">
        <v>10</v>
      </c>
      <c r="G13" s="43">
        <f t="shared" si="0"/>
        <v>37</v>
      </c>
      <c r="H13" s="105">
        <f t="shared" si="1"/>
        <v>9.25</v>
      </c>
      <c r="I13" s="43">
        <f t="shared" si="2"/>
        <v>10</v>
      </c>
      <c r="J13" s="43">
        <f t="shared" si="3"/>
        <v>8</v>
      </c>
      <c r="K13" s="108">
        <v>50</v>
      </c>
      <c r="L13" s="43" t="str">
        <f t="shared" si="4"/>
        <v>Reprovado(a)</v>
      </c>
    </row>
    <row r="14" spans="1:12" x14ac:dyDescent="0.25">
      <c r="A14" s="43">
        <v>12</v>
      </c>
      <c r="B14" s="5" t="s">
        <v>218</v>
      </c>
      <c r="C14" s="43">
        <v>8</v>
      </c>
      <c r="D14" s="43">
        <v>9</v>
      </c>
      <c r="E14" s="43">
        <v>9</v>
      </c>
      <c r="F14" s="43">
        <v>7</v>
      </c>
      <c r="G14" s="43">
        <f t="shared" si="0"/>
        <v>33</v>
      </c>
      <c r="H14" s="105">
        <f t="shared" si="1"/>
        <v>8.25</v>
      </c>
      <c r="I14" s="43">
        <f t="shared" si="2"/>
        <v>9</v>
      </c>
      <c r="J14" s="43">
        <f t="shared" si="3"/>
        <v>7</v>
      </c>
      <c r="K14" s="108">
        <v>2</v>
      </c>
      <c r="L14" s="43" t="str">
        <f t="shared" si="4"/>
        <v>Aprovado(a)</v>
      </c>
    </row>
    <row r="15" spans="1:12" x14ac:dyDescent="0.25">
      <c r="A15" s="43">
        <v>13</v>
      </c>
      <c r="B15" s="5" t="s">
        <v>219</v>
      </c>
      <c r="C15" s="43">
        <v>7</v>
      </c>
      <c r="D15" s="43">
        <v>9</v>
      </c>
      <c r="E15" s="43">
        <v>5</v>
      </c>
      <c r="F15" s="43">
        <v>7</v>
      </c>
      <c r="G15" s="43">
        <f t="shared" si="0"/>
        <v>28</v>
      </c>
      <c r="H15" s="105">
        <f t="shared" si="1"/>
        <v>7</v>
      </c>
      <c r="I15" s="43">
        <f t="shared" si="2"/>
        <v>9</v>
      </c>
      <c r="J15" s="43">
        <f t="shared" si="3"/>
        <v>5</v>
      </c>
      <c r="K15" s="108">
        <v>0</v>
      </c>
      <c r="L15" s="43" t="str">
        <f t="shared" si="4"/>
        <v>Aprovado(a)</v>
      </c>
    </row>
    <row r="16" spans="1:12" x14ac:dyDescent="0.25">
      <c r="A16" s="43">
        <v>14</v>
      </c>
      <c r="B16" s="5" t="s">
        <v>174</v>
      </c>
      <c r="C16" s="43">
        <v>7</v>
      </c>
      <c r="D16" s="43">
        <v>9</v>
      </c>
      <c r="E16" s="43">
        <v>4</v>
      </c>
      <c r="F16" s="43">
        <v>7</v>
      </c>
      <c r="G16" s="43">
        <f t="shared" si="0"/>
        <v>27</v>
      </c>
      <c r="H16" s="105">
        <f t="shared" si="1"/>
        <v>6.75</v>
      </c>
      <c r="I16" s="43">
        <f t="shared" si="2"/>
        <v>9</v>
      </c>
      <c r="J16" s="43">
        <f t="shared" si="3"/>
        <v>4</v>
      </c>
      <c r="K16" s="108">
        <v>10</v>
      </c>
      <c r="L16" s="43" t="str">
        <f t="shared" si="4"/>
        <v>Recuperação</v>
      </c>
    </row>
    <row r="17" spans="1:13" x14ac:dyDescent="0.25">
      <c r="A17" s="43">
        <v>15</v>
      </c>
      <c r="B17" s="5" t="s">
        <v>220</v>
      </c>
      <c r="C17" s="43">
        <v>4</v>
      </c>
      <c r="D17" s="43">
        <v>6</v>
      </c>
      <c r="E17" s="43">
        <v>5</v>
      </c>
      <c r="F17" s="43">
        <v>4</v>
      </c>
      <c r="G17" s="43">
        <f t="shared" si="0"/>
        <v>19</v>
      </c>
      <c r="H17" s="105">
        <f t="shared" si="1"/>
        <v>4.75</v>
      </c>
      <c r="I17" s="43">
        <f t="shared" si="2"/>
        <v>6</v>
      </c>
      <c r="J17" s="43">
        <f t="shared" si="3"/>
        <v>4</v>
      </c>
      <c r="K17" s="108">
        <v>66</v>
      </c>
      <c r="L17" s="43" t="str">
        <f t="shared" si="4"/>
        <v>Reprovado(a)</v>
      </c>
    </row>
    <row r="19" spans="1:13" ht="18.75" x14ac:dyDescent="0.4">
      <c r="L19" s="206" t="s">
        <v>221</v>
      </c>
      <c r="M19" s="206"/>
    </row>
    <row r="20" spans="1:13" ht="18.75" x14ac:dyDescent="0.4">
      <c r="L20" s="104" t="s">
        <v>222</v>
      </c>
      <c r="M20" s="14">
        <v>200</v>
      </c>
    </row>
    <row r="21" spans="1:13" ht="18.75" x14ac:dyDescent="0.4">
      <c r="L21" s="104" t="s">
        <v>223</v>
      </c>
      <c r="M21" s="14">
        <f>M20*25%</f>
        <v>50</v>
      </c>
    </row>
    <row r="22" spans="1:13" ht="18.75" x14ac:dyDescent="0.4">
      <c r="L22" s="104" t="s">
        <v>224</v>
      </c>
      <c r="M22" s="14">
        <f>COUNTA(B3:B17)</f>
        <v>15</v>
      </c>
    </row>
    <row r="23" spans="1:13" ht="18.75" x14ac:dyDescent="0.4">
      <c r="L23" s="104" t="s">
        <v>225</v>
      </c>
      <c r="M23" s="136">
        <f ca="1">TODAY()</f>
        <v>44009</v>
      </c>
    </row>
    <row r="24" spans="1:13" ht="18.75" x14ac:dyDescent="0.4">
      <c r="L24" s="104" t="s">
        <v>305</v>
      </c>
      <c r="M24" s="137">
        <v>7</v>
      </c>
    </row>
    <row r="25" spans="1:13" ht="18.75" x14ac:dyDescent="0.4">
      <c r="L25" s="104" t="s">
        <v>362</v>
      </c>
      <c r="M25" s="137">
        <v>5</v>
      </c>
    </row>
  </sheetData>
  <mergeCells count="2">
    <mergeCell ref="A1:L1"/>
    <mergeCell ref="L19:M19"/>
  </mergeCells>
  <conditionalFormatting sqref="C3:H17">
    <cfRule type="cellIs" dxfId="18" priority="7" operator="greaterThanOrEqual">
      <formula>$M$24</formula>
    </cfRule>
    <cfRule type="cellIs" dxfId="17" priority="8" operator="lessThan">
      <formula>$M$24</formula>
    </cfRule>
  </conditionalFormatting>
  <conditionalFormatting sqref="K3:K17">
    <cfRule type="cellIs" dxfId="16" priority="4" operator="lessThan">
      <formula>$M$21</formula>
    </cfRule>
    <cfRule type="cellIs" dxfId="15" priority="5" operator="greaterThanOrEqual">
      <formula>$M$21</formula>
    </cfRule>
  </conditionalFormatting>
  <conditionalFormatting sqref="L3:L17">
    <cfRule type="containsText" dxfId="14" priority="1" operator="containsText" text="Reprovado(a)">
      <formula>NOT(ISERROR(SEARCH("Reprovado(a)",L3)))</formula>
    </cfRule>
    <cfRule type="containsText" dxfId="13" priority="2" operator="containsText" text="Recuperação">
      <formula>NOT(ISERROR(SEARCH("Recuperação",L3)))</formula>
    </cfRule>
    <cfRule type="containsText" dxfId="12" priority="3" operator="containsText" text="Aprovado(a)">
      <formula>NOT(ISERROR(SEARCH("Aprovado(a)",L3)))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70" zoomScaleNormal="70" workbookViewId="0">
      <selection activeCell="K24" sqref="K24"/>
    </sheetView>
  </sheetViews>
  <sheetFormatPr defaultRowHeight="18.75" x14ac:dyDescent="0.3"/>
  <cols>
    <col min="1" max="1" width="9.140625" style="115"/>
    <col min="2" max="2" width="10.140625" style="115" bestFit="1" customWidth="1"/>
    <col min="3" max="3" width="26.28515625" style="115" customWidth="1"/>
    <col min="4" max="4" width="21.85546875" style="115" customWidth="1"/>
    <col min="5" max="5" width="18.42578125" style="121" customWidth="1"/>
    <col min="6" max="6" width="15.7109375" style="115" customWidth="1"/>
    <col min="7" max="7" width="19.140625" style="121" bestFit="1" customWidth="1"/>
    <col min="8" max="8" width="20.28515625" style="115" bestFit="1" customWidth="1"/>
    <col min="9" max="9" width="9.140625" style="115"/>
    <col min="10" max="10" width="40.85546875" style="115" customWidth="1"/>
    <col min="11" max="11" width="35.7109375" style="116" customWidth="1"/>
    <col min="12" max="16384" width="9.140625" style="115"/>
  </cols>
  <sheetData>
    <row r="1" spans="1:11" x14ac:dyDescent="0.3">
      <c r="A1" s="207" t="s">
        <v>252</v>
      </c>
      <c r="B1" s="113" t="s">
        <v>94</v>
      </c>
      <c r="C1" s="113" t="s">
        <v>3</v>
      </c>
      <c r="D1" s="113" t="s">
        <v>226</v>
      </c>
      <c r="E1" s="114" t="s">
        <v>227</v>
      </c>
      <c r="F1" s="113" t="s">
        <v>4</v>
      </c>
      <c r="G1" s="114" t="s">
        <v>228</v>
      </c>
      <c r="H1" s="113" t="s">
        <v>229</v>
      </c>
    </row>
    <row r="2" spans="1:11" x14ac:dyDescent="0.3">
      <c r="A2" s="207"/>
      <c r="B2" s="117">
        <v>1</v>
      </c>
      <c r="C2" s="118" t="s">
        <v>230</v>
      </c>
      <c r="D2" s="118" t="s">
        <v>231</v>
      </c>
      <c r="E2" s="119">
        <v>100</v>
      </c>
      <c r="F2" s="117">
        <v>100</v>
      </c>
      <c r="G2" s="119">
        <f>E2+(E2*$K$12)</f>
        <v>160</v>
      </c>
      <c r="H2" s="120">
        <v>55071</v>
      </c>
    </row>
    <row r="3" spans="1:11" x14ac:dyDescent="0.3">
      <c r="A3" s="207"/>
      <c r="B3" s="117">
        <v>2</v>
      </c>
      <c r="C3" s="118" t="s">
        <v>232</v>
      </c>
      <c r="D3" s="118" t="s">
        <v>231</v>
      </c>
      <c r="E3" s="119">
        <v>200</v>
      </c>
      <c r="F3" s="117">
        <v>10</v>
      </c>
      <c r="G3" s="119">
        <f t="shared" ref="G3:G23" si="0">E3+(E3*$K$12)</f>
        <v>320</v>
      </c>
      <c r="H3" s="120">
        <v>53242</v>
      </c>
    </row>
    <row r="4" spans="1:11" x14ac:dyDescent="0.3">
      <c r="A4" s="207"/>
      <c r="B4" s="117">
        <v>3</v>
      </c>
      <c r="C4" s="118" t="s">
        <v>233</v>
      </c>
      <c r="D4" s="118" t="s">
        <v>234</v>
      </c>
      <c r="E4" s="119">
        <v>50</v>
      </c>
      <c r="F4" s="117">
        <v>20</v>
      </c>
      <c r="G4" s="119">
        <f t="shared" si="0"/>
        <v>80</v>
      </c>
      <c r="H4" s="120">
        <v>43225</v>
      </c>
    </row>
    <row r="5" spans="1:11" x14ac:dyDescent="0.3">
      <c r="A5" s="207"/>
      <c r="B5" s="117">
        <v>4</v>
      </c>
      <c r="C5" s="118" t="s">
        <v>235</v>
      </c>
      <c r="D5" s="118" t="s">
        <v>236</v>
      </c>
      <c r="E5" s="119">
        <v>50</v>
      </c>
      <c r="F5" s="117">
        <v>30</v>
      </c>
      <c r="G5" s="119">
        <f t="shared" si="0"/>
        <v>80</v>
      </c>
      <c r="H5" s="120">
        <v>42495</v>
      </c>
    </row>
    <row r="6" spans="1:11" x14ac:dyDescent="0.3">
      <c r="A6" s="207"/>
      <c r="B6" s="117">
        <v>5</v>
      </c>
      <c r="C6" s="118" t="s">
        <v>237</v>
      </c>
      <c r="D6" s="118" t="s">
        <v>231</v>
      </c>
      <c r="E6" s="119">
        <v>100</v>
      </c>
      <c r="F6" s="117">
        <v>50</v>
      </c>
      <c r="G6" s="119">
        <f t="shared" si="0"/>
        <v>160</v>
      </c>
      <c r="H6" s="120">
        <v>42957</v>
      </c>
    </row>
    <row r="7" spans="1:11" x14ac:dyDescent="0.3">
      <c r="A7" s="207"/>
      <c r="B7" s="117">
        <v>6</v>
      </c>
      <c r="C7" s="118" t="s">
        <v>238</v>
      </c>
      <c r="D7" s="118" t="s">
        <v>234</v>
      </c>
      <c r="E7" s="119">
        <v>100</v>
      </c>
      <c r="F7" s="117">
        <v>45</v>
      </c>
      <c r="G7" s="119">
        <f t="shared" si="0"/>
        <v>160</v>
      </c>
      <c r="H7" s="120">
        <v>42653</v>
      </c>
    </row>
    <row r="8" spans="1:11" x14ac:dyDescent="0.3">
      <c r="A8" s="207"/>
      <c r="B8" s="117">
        <v>7</v>
      </c>
      <c r="C8" s="118" t="s">
        <v>239</v>
      </c>
      <c r="D8" s="118" t="s">
        <v>234</v>
      </c>
      <c r="E8" s="119">
        <v>200</v>
      </c>
      <c r="F8" s="117">
        <v>80</v>
      </c>
      <c r="G8" s="119">
        <f t="shared" si="0"/>
        <v>320</v>
      </c>
      <c r="H8" s="120">
        <v>43860</v>
      </c>
    </row>
    <row r="9" spans="1:11" x14ac:dyDescent="0.3">
      <c r="A9" s="207"/>
      <c r="B9" s="117">
        <v>8</v>
      </c>
      <c r="C9" s="118" t="s">
        <v>240</v>
      </c>
      <c r="D9" s="118" t="s">
        <v>236</v>
      </c>
      <c r="E9" s="119">
        <v>200</v>
      </c>
      <c r="F9" s="117">
        <v>80</v>
      </c>
      <c r="G9" s="119">
        <f t="shared" si="0"/>
        <v>320</v>
      </c>
      <c r="H9" s="120">
        <v>53021</v>
      </c>
    </row>
    <row r="10" spans="1:11" x14ac:dyDescent="0.3">
      <c r="A10" s="207"/>
      <c r="B10" s="117">
        <v>9</v>
      </c>
      <c r="C10" s="118" t="s">
        <v>183</v>
      </c>
      <c r="D10" s="118" t="s">
        <v>241</v>
      </c>
      <c r="E10" s="119">
        <v>150</v>
      </c>
      <c r="F10" s="117">
        <v>58</v>
      </c>
      <c r="G10" s="119">
        <f t="shared" si="0"/>
        <v>240</v>
      </c>
      <c r="H10" s="120">
        <v>44114</v>
      </c>
    </row>
    <row r="11" spans="1:11" x14ac:dyDescent="0.3">
      <c r="A11" s="207"/>
      <c r="B11" s="117">
        <v>10</v>
      </c>
      <c r="C11" s="118" t="s">
        <v>184</v>
      </c>
      <c r="D11" s="118" t="s">
        <v>241</v>
      </c>
      <c r="E11" s="119">
        <v>140</v>
      </c>
      <c r="F11" s="117">
        <v>75</v>
      </c>
      <c r="G11" s="119">
        <f t="shared" si="0"/>
        <v>224</v>
      </c>
      <c r="H11" s="120">
        <v>42653</v>
      </c>
    </row>
    <row r="12" spans="1:11" x14ac:dyDescent="0.3">
      <c r="A12" s="207"/>
      <c r="B12" s="117">
        <v>11</v>
      </c>
      <c r="C12" s="118" t="s">
        <v>242</v>
      </c>
      <c r="D12" s="118" t="s">
        <v>231</v>
      </c>
      <c r="E12" s="119">
        <v>80</v>
      </c>
      <c r="F12" s="117">
        <v>48</v>
      </c>
      <c r="G12" s="119">
        <f t="shared" si="0"/>
        <v>128</v>
      </c>
      <c r="H12" s="120">
        <v>43107</v>
      </c>
      <c r="J12" s="109" t="s">
        <v>253</v>
      </c>
      <c r="K12" s="110">
        <v>0.6</v>
      </c>
    </row>
    <row r="13" spans="1:11" x14ac:dyDescent="0.3">
      <c r="A13" s="207"/>
      <c r="B13" s="117">
        <v>12</v>
      </c>
      <c r="C13" s="118" t="s">
        <v>243</v>
      </c>
      <c r="D13" s="118" t="s">
        <v>234</v>
      </c>
      <c r="E13" s="119">
        <v>160</v>
      </c>
      <c r="F13" s="117">
        <v>100</v>
      </c>
      <c r="G13" s="119">
        <f t="shared" si="0"/>
        <v>256</v>
      </c>
      <c r="H13" s="120">
        <v>43498</v>
      </c>
      <c r="J13" s="109" t="s">
        <v>254</v>
      </c>
      <c r="K13" s="111">
        <f ca="1">TODAY()</f>
        <v>44009</v>
      </c>
    </row>
    <row r="14" spans="1:11" x14ac:dyDescent="0.3">
      <c r="A14" s="207"/>
      <c r="B14" s="117">
        <v>13</v>
      </c>
      <c r="C14" s="118" t="s">
        <v>179</v>
      </c>
      <c r="D14" s="118" t="s">
        <v>234</v>
      </c>
      <c r="E14" s="119">
        <v>200</v>
      </c>
      <c r="F14" s="117">
        <v>99</v>
      </c>
      <c r="G14" s="119">
        <f t="shared" si="0"/>
        <v>320</v>
      </c>
      <c r="H14" s="120">
        <v>51186</v>
      </c>
      <c r="J14" s="109" t="s">
        <v>255</v>
      </c>
      <c r="K14" s="112">
        <f>COUNTA(C2:C23)</f>
        <v>22</v>
      </c>
    </row>
    <row r="15" spans="1:11" x14ac:dyDescent="0.3">
      <c r="A15" s="207"/>
      <c r="B15" s="117">
        <v>14</v>
      </c>
      <c r="C15" s="118" t="s">
        <v>180</v>
      </c>
      <c r="D15" s="118" t="s">
        <v>234</v>
      </c>
      <c r="E15" s="119">
        <v>300</v>
      </c>
      <c r="F15" s="117">
        <v>95</v>
      </c>
      <c r="G15" s="119">
        <f t="shared" si="0"/>
        <v>480</v>
      </c>
      <c r="H15" s="120">
        <v>43545</v>
      </c>
      <c r="J15" s="109" t="s">
        <v>256</v>
      </c>
      <c r="K15" s="112">
        <f>SUM(F2:F23)</f>
        <v>2592</v>
      </c>
    </row>
    <row r="16" spans="1:11" x14ac:dyDescent="0.3">
      <c r="A16" s="207"/>
      <c r="B16" s="117">
        <v>15</v>
      </c>
      <c r="C16" s="118" t="s">
        <v>244</v>
      </c>
      <c r="D16" s="118" t="s">
        <v>231</v>
      </c>
      <c r="E16" s="119">
        <v>80</v>
      </c>
      <c r="F16" s="117">
        <v>200</v>
      </c>
      <c r="G16" s="119">
        <f t="shared" si="0"/>
        <v>128</v>
      </c>
      <c r="H16" s="120">
        <v>51186</v>
      </c>
      <c r="J16" s="109" t="s">
        <v>257</v>
      </c>
      <c r="K16" s="122">
        <f>AVERAGE(G2:G23)</f>
        <v>230.18181818181819</v>
      </c>
    </row>
    <row r="17" spans="1:11" x14ac:dyDescent="0.3">
      <c r="A17" s="207"/>
      <c r="B17" s="117">
        <v>16</v>
      </c>
      <c r="C17" s="118" t="s">
        <v>184</v>
      </c>
      <c r="D17" s="118" t="s">
        <v>241</v>
      </c>
      <c r="E17" s="119">
        <v>450</v>
      </c>
      <c r="F17" s="117">
        <v>150</v>
      </c>
      <c r="G17" s="119">
        <f t="shared" si="0"/>
        <v>720</v>
      </c>
      <c r="H17" s="120">
        <v>43545</v>
      </c>
      <c r="J17" s="109" t="s">
        <v>258</v>
      </c>
      <c r="K17" s="122">
        <f>MAX(G2:G23)</f>
        <v>720</v>
      </c>
    </row>
    <row r="18" spans="1:11" x14ac:dyDescent="0.3">
      <c r="A18" s="207"/>
      <c r="B18" s="117">
        <v>17</v>
      </c>
      <c r="C18" s="118" t="s">
        <v>245</v>
      </c>
      <c r="D18" s="118" t="s">
        <v>241</v>
      </c>
      <c r="E18" s="119">
        <v>40</v>
      </c>
      <c r="F18" s="117">
        <v>352</v>
      </c>
      <c r="G18" s="119">
        <f t="shared" si="0"/>
        <v>64</v>
      </c>
      <c r="H18" s="120">
        <v>42786</v>
      </c>
      <c r="J18" s="109" t="s">
        <v>259</v>
      </c>
      <c r="K18" s="122">
        <f>MIN(G2:G23)</f>
        <v>48</v>
      </c>
    </row>
    <row r="19" spans="1:11" x14ac:dyDescent="0.3">
      <c r="A19" s="207"/>
      <c r="B19" s="117">
        <v>18</v>
      </c>
      <c r="C19" s="118" t="s">
        <v>246</v>
      </c>
      <c r="D19" s="118" t="s">
        <v>241</v>
      </c>
      <c r="E19" s="119">
        <v>30</v>
      </c>
      <c r="F19" s="117">
        <v>300</v>
      </c>
      <c r="G19" s="119">
        <f t="shared" si="0"/>
        <v>48</v>
      </c>
      <c r="H19" s="120">
        <v>42896</v>
      </c>
      <c r="J19" s="109" t="s">
        <v>260</v>
      </c>
      <c r="K19" s="112">
        <f>MIN(F2:F23)</f>
        <v>10</v>
      </c>
    </row>
    <row r="20" spans="1:11" x14ac:dyDescent="0.3">
      <c r="A20" s="207"/>
      <c r="B20" s="117">
        <v>19</v>
      </c>
      <c r="C20" s="118" t="s">
        <v>247</v>
      </c>
      <c r="D20" s="118" t="s">
        <v>248</v>
      </c>
      <c r="E20" s="119">
        <v>60</v>
      </c>
      <c r="F20" s="117">
        <v>100</v>
      </c>
      <c r="G20" s="119">
        <f t="shared" si="0"/>
        <v>96</v>
      </c>
      <c r="H20" s="120">
        <v>42653</v>
      </c>
      <c r="J20" s="109" t="s">
        <v>261</v>
      </c>
      <c r="K20" s="123">
        <f>AVERAGE(F2:F23)</f>
        <v>117.81818181818181</v>
      </c>
    </row>
    <row r="21" spans="1:11" x14ac:dyDescent="0.3">
      <c r="A21" s="207"/>
      <c r="B21" s="117">
        <v>20</v>
      </c>
      <c r="C21" s="118" t="s">
        <v>249</v>
      </c>
      <c r="D21" s="118" t="s">
        <v>248</v>
      </c>
      <c r="E21" s="119">
        <v>75</v>
      </c>
      <c r="F21" s="117">
        <v>300</v>
      </c>
      <c r="G21" s="119">
        <f t="shared" si="0"/>
        <v>120</v>
      </c>
      <c r="H21" s="120">
        <v>53112</v>
      </c>
      <c r="J21" s="109" t="s">
        <v>262</v>
      </c>
      <c r="K21" s="111">
        <f>MAX(H2:H23)</f>
        <v>55071</v>
      </c>
    </row>
    <row r="22" spans="1:11" x14ac:dyDescent="0.3">
      <c r="A22" s="207"/>
      <c r="B22" s="117">
        <v>21</v>
      </c>
      <c r="C22" s="118" t="s">
        <v>250</v>
      </c>
      <c r="D22" s="118" t="s">
        <v>236</v>
      </c>
      <c r="E22" s="119">
        <v>200</v>
      </c>
      <c r="F22" s="117">
        <v>200</v>
      </c>
      <c r="G22" s="119">
        <f t="shared" si="0"/>
        <v>320</v>
      </c>
      <c r="H22" s="120">
        <v>42531</v>
      </c>
      <c r="J22" s="109" t="s">
        <v>263</v>
      </c>
      <c r="K22" s="111">
        <f>MIN(H2:H23)</f>
        <v>42495</v>
      </c>
    </row>
    <row r="23" spans="1:11" x14ac:dyDescent="0.3">
      <c r="A23" s="207"/>
      <c r="B23" s="117">
        <v>22</v>
      </c>
      <c r="C23" s="118" t="s">
        <v>251</v>
      </c>
      <c r="D23" s="118" t="s">
        <v>236</v>
      </c>
      <c r="E23" s="119">
        <v>200</v>
      </c>
      <c r="F23" s="117">
        <v>100</v>
      </c>
      <c r="G23" s="119">
        <f t="shared" si="0"/>
        <v>320</v>
      </c>
      <c r="H23" s="120">
        <v>42500</v>
      </c>
      <c r="J23" s="109" t="s">
        <v>264</v>
      </c>
      <c r="K23" s="122">
        <f>SUM(G2:G23)-SUM(E2:E23)</f>
        <v>1899</v>
      </c>
    </row>
  </sheetData>
  <mergeCells count="1">
    <mergeCell ref="A1:A2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3" sqref="H13"/>
    </sheetView>
  </sheetViews>
  <sheetFormatPr defaultRowHeight="15" x14ac:dyDescent="0.25"/>
  <cols>
    <col min="1" max="3" width="25.7109375" customWidth="1"/>
  </cols>
  <sheetData>
    <row r="1" spans="1:3" s="124" customFormat="1" ht="21" x14ac:dyDescent="0.35">
      <c r="A1" s="208" t="s">
        <v>265</v>
      </c>
      <c r="B1" s="208"/>
      <c r="C1" s="208"/>
    </row>
    <row r="2" spans="1:3" s="124" customFormat="1" ht="21" x14ac:dyDescent="0.35">
      <c r="A2" s="126" t="s">
        <v>266</v>
      </c>
      <c r="B2" s="126" t="s">
        <v>267</v>
      </c>
      <c r="C2" s="126" t="s">
        <v>268</v>
      </c>
    </row>
    <row r="3" spans="1:3" x14ac:dyDescent="0.25">
      <c r="A3" s="127" t="s">
        <v>139</v>
      </c>
      <c r="B3" s="14">
        <v>3000</v>
      </c>
      <c r="C3" s="14">
        <v>40</v>
      </c>
    </row>
    <row r="4" spans="1:3" x14ac:dyDescent="0.25">
      <c r="A4" s="127" t="s">
        <v>140</v>
      </c>
      <c r="B4" s="14">
        <v>2000</v>
      </c>
      <c r="C4" s="14">
        <v>60</v>
      </c>
    </row>
    <row r="5" spans="1:3" x14ac:dyDescent="0.25">
      <c r="A5" s="127" t="s">
        <v>269</v>
      </c>
      <c r="B5" s="14">
        <v>500</v>
      </c>
      <c r="C5" s="14">
        <v>20</v>
      </c>
    </row>
    <row r="6" spans="1:3" x14ac:dyDescent="0.25">
      <c r="A6" s="127" t="s">
        <v>270</v>
      </c>
      <c r="B6" s="14">
        <v>1000</v>
      </c>
      <c r="C6" s="14">
        <v>40</v>
      </c>
    </row>
    <row r="7" spans="1:3" x14ac:dyDescent="0.25">
      <c r="A7" s="127" t="s">
        <v>271</v>
      </c>
      <c r="B7" s="14">
        <v>2000</v>
      </c>
      <c r="C7" s="14">
        <v>25</v>
      </c>
    </row>
    <row r="8" spans="1:3" x14ac:dyDescent="0.25">
      <c r="A8" s="127" t="s">
        <v>141</v>
      </c>
      <c r="B8" s="14">
        <v>1500</v>
      </c>
      <c r="C8" s="14">
        <v>20</v>
      </c>
    </row>
    <row r="9" spans="1:3" x14ac:dyDescent="0.25">
      <c r="A9" s="127" t="s">
        <v>142</v>
      </c>
      <c r="B9" s="14">
        <v>1200</v>
      </c>
      <c r="C9" s="14">
        <v>20</v>
      </c>
    </row>
    <row r="10" spans="1:3" x14ac:dyDescent="0.25">
      <c r="A10" s="127" t="s">
        <v>272</v>
      </c>
      <c r="B10" s="14">
        <v>500</v>
      </c>
      <c r="C10" s="14">
        <v>10</v>
      </c>
    </row>
    <row r="11" spans="1:3" x14ac:dyDescent="0.25">
      <c r="A11" s="127" t="s">
        <v>273</v>
      </c>
      <c r="B11" s="14">
        <v>1000</v>
      </c>
      <c r="C11" s="14">
        <v>15</v>
      </c>
    </row>
    <row r="12" spans="1:3" x14ac:dyDescent="0.25">
      <c r="A12" s="127" t="s">
        <v>138</v>
      </c>
      <c r="B12" s="14">
        <v>500</v>
      </c>
      <c r="C12" s="14">
        <v>25</v>
      </c>
    </row>
  </sheetData>
  <mergeCells count="1">
    <mergeCell ref="A1:C1"/>
  </mergeCells>
  <conditionalFormatting sqref="B3:B1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{103C207E-99CD-4E58-BEF9-CD33CEEDE6CD}</x14:id>
        </ext>
      </extLst>
    </cfRule>
  </conditionalFormatting>
  <conditionalFormatting sqref="C3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{85CB6F4A-5667-4987-BE91-FDE3AEE9EFE5}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3C207E-99CD-4E58-BEF9-CD33CEEDE6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>
          <x14:cfRule type="dataBar" id="{85CB6F4A-5667-4987-BE91-FDE3AEE9E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1" sqref="G11"/>
    </sheetView>
  </sheetViews>
  <sheetFormatPr defaultRowHeight="15" x14ac:dyDescent="0.25"/>
  <cols>
    <col min="1" max="1" width="23.140625" bestFit="1" customWidth="1"/>
    <col min="2" max="2" width="16.42578125" customWidth="1"/>
    <col min="3" max="3" width="16" style="107" bestFit="1" customWidth="1"/>
    <col min="4" max="4" width="20.7109375" style="24" customWidth="1"/>
    <col min="5" max="5" width="22.140625" style="24" customWidth="1"/>
  </cols>
  <sheetData>
    <row r="1" spans="1:5" ht="26.25" x14ac:dyDescent="0.4">
      <c r="A1" s="209" t="s">
        <v>274</v>
      </c>
      <c r="B1" s="209"/>
      <c r="C1" s="209"/>
      <c r="D1" s="209"/>
      <c r="E1" s="209"/>
    </row>
    <row r="2" spans="1:5" ht="21" x14ac:dyDescent="0.35">
      <c r="A2" s="128" t="s">
        <v>275</v>
      </c>
      <c r="B2" s="128" t="s">
        <v>276</v>
      </c>
      <c r="C2" s="129" t="s">
        <v>267</v>
      </c>
      <c r="D2" s="130" t="s">
        <v>29</v>
      </c>
      <c r="E2" s="130" t="s">
        <v>178</v>
      </c>
    </row>
    <row r="3" spans="1:5" x14ac:dyDescent="0.25">
      <c r="A3" s="5" t="s">
        <v>277</v>
      </c>
      <c r="B3" s="100">
        <v>42439</v>
      </c>
      <c r="C3" s="43">
        <v>10</v>
      </c>
      <c r="D3" s="20">
        <v>30</v>
      </c>
      <c r="E3" s="20">
        <f>D3*C3</f>
        <v>300</v>
      </c>
    </row>
    <row r="4" spans="1:5" x14ac:dyDescent="0.25">
      <c r="A4" s="5" t="s">
        <v>278</v>
      </c>
      <c r="B4" s="100">
        <v>42434</v>
      </c>
      <c r="C4" s="43">
        <v>2</v>
      </c>
      <c r="D4" s="20">
        <v>2500</v>
      </c>
      <c r="E4" s="20">
        <f t="shared" ref="E4:E17" si="0">D4*C4</f>
        <v>5000</v>
      </c>
    </row>
    <row r="5" spans="1:5" x14ac:dyDescent="0.25">
      <c r="A5" s="5" t="s">
        <v>9</v>
      </c>
      <c r="B5" s="100">
        <v>41346</v>
      </c>
      <c r="C5" s="43">
        <v>5</v>
      </c>
      <c r="D5" s="20">
        <v>300</v>
      </c>
      <c r="E5" s="20">
        <f t="shared" si="0"/>
        <v>1500</v>
      </c>
    </row>
    <row r="6" spans="1:5" x14ac:dyDescent="0.25">
      <c r="A6" s="5" t="s">
        <v>279</v>
      </c>
      <c r="B6" s="100">
        <v>42431</v>
      </c>
      <c r="C6" s="43">
        <v>10</v>
      </c>
      <c r="D6" s="20">
        <v>3000</v>
      </c>
      <c r="E6" s="20">
        <f t="shared" si="0"/>
        <v>30000</v>
      </c>
    </row>
    <row r="7" spans="1:5" x14ac:dyDescent="0.25">
      <c r="A7" s="5" t="s">
        <v>280</v>
      </c>
      <c r="B7" s="100">
        <v>42439</v>
      </c>
      <c r="C7" s="43">
        <v>10</v>
      </c>
      <c r="D7" s="20">
        <v>1000</v>
      </c>
      <c r="E7" s="20">
        <f t="shared" si="0"/>
        <v>10000</v>
      </c>
    </row>
    <row r="8" spans="1:5" x14ac:dyDescent="0.25">
      <c r="A8" s="5" t="s">
        <v>281</v>
      </c>
      <c r="B8" s="100">
        <v>42439</v>
      </c>
      <c r="C8" s="43">
        <v>10</v>
      </c>
      <c r="D8" s="20">
        <v>500</v>
      </c>
      <c r="E8" s="20">
        <f t="shared" si="0"/>
        <v>5000</v>
      </c>
    </row>
    <row r="9" spans="1:5" x14ac:dyDescent="0.25">
      <c r="A9" s="5" t="s">
        <v>282</v>
      </c>
      <c r="B9" s="100">
        <v>42442</v>
      </c>
      <c r="C9" s="43">
        <v>10</v>
      </c>
      <c r="D9" s="20">
        <v>600</v>
      </c>
      <c r="E9" s="20">
        <f t="shared" si="0"/>
        <v>6000</v>
      </c>
    </row>
    <row r="10" spans="1:5" x14ac:dyDescent="0.25">
      <c r="A10" s="5" t="s">
        <v>283</v>
      </c>
      <c r="B10" s="100">
        <v>42434</v>
      </c>
      <c r="C10" s="43">
        <v>10</v>
      </c>
      <c r="D10" s="20">
        <v>45</v>
      </c>
      <c r="E10" s="20">
        <f t="shared" si="0"/>
        <v>450</v>
      </c>
    </row>
    <row r="11" spans="1:5" x14ac:dyDescent="0.25">
      <c r="A11" s="5" t="s">
        <v>284</v>
      </c>
      <c r="B11" s="100">
        <v>41346</v>
      </c>
      <c r="C11" s="43">
        <v>5</v>
      </c>
      <c r="D11" s="20">
        <v>100</v>
      </c>
      <c r="E11" s="20">
        <f t="shared" si="0"/>
        <v>500</v>
      </c>
    </row>
    <row r="12" spans="1:5" x14ac:dyDescent="0.25">
      <c r="A12" s="5" t="s">
        <v>285</v>
      </c>
      <c r="B12" s="100">
        <v>42431</v>
      </c>
      <c r="C12" s="43">
        <v>20</v>
      </c>
      <c r="D12" s="20">
        <v>250</v>
      </c>
      <c r="E12" s="20">
        <f t="shared" si="0"/>
        <v>5000</v>
      </c>
    </row>
    <row r="13" spans="1:5" x14ac:dyDescent="0.25">
      <c r="A13" s="5" t="s">
        <v>286</v>
      </c>
      <c r="B13" s="100">
        <v>42439</v>
      </c>
      <c r="C13" s="43">
        <v>5</v>
      </c>
      <c r="D13" s="20">
        <v>100</v>
      </c>
      <c r="E13" s="20">
        <f t="shared" si="0"/>
        <v>500</v>
      </c>
    </row>
    <row r="14" spans="1:5" x14ac:dyDescent="0.25">
      <c r="A14" s="5" t="s">
        <v>277</v>
      </c>
      <c r="B14" s="100">
        <v>42442</v>
      </c>
      <c r="C14" s="43">
        <v>30</v>
      </c>
      <c r="D14" s="20">
        <v>30</v>
      </c>
      <c r="E14" s="20">
        <f t="shared" si="0"/>
        <v>900</v>
      </c>
    </row>
    <row r="15" spans="1:5" x14ac:dyDescent="0.25">
      <c r="A15" s="5" t="s">
        <v>278</v>
      </c>
      <c r="B15" s="100">
        <v>42442</v>
      </c>
      <c r="C15" s="43">
        <v>15</v>
      </c>
      <c r="D15" s="20">
        <v>2500</v>
      </c>
      <c r="E15" s="20">
        <f t="shared" si="0"/>
        <v>37500</v>
      </c>
    </row>
    <row r="16" spans="1:5" x14ac:dyDescent="0.25">
      <c r="A16" s="5" t="s">
        <v>287</v>
      </c>
      <c r="B16" s="100">
        <v>42439</v>
      </c>
      <c r="C16" s="43">
        <v>5</v>
      </c>
      <c r="D16" s="20">
        <v>200</v>
      </c>
      <c r="E16" s="20">
        <f t="shared" si="0"/>
        <v>1000</v>
      </c>
    </row>
    <row r="17" spans="1:5" x14ac:dyDescent="0.25">
      <c r="A17" s="5" t="s">
        <v>288</v>
      </c>
      <c r="B17" s="100">
        <v>42442</v>
      </c>
      <c r="C17" s="43">
        <v>2</v>
      </c>
      <c r="D17" s="20">
        <v>350</v>
      </c>
      <c r="E17" s="20">
        <f t="shared" si="0"/>
        <v>700</v>
      </c>
    </row>
    <row r="19" spans="1:5" ht="18.75" x14ac:dyDescent="0.3">
      <c r="A19" s="210" t="s">
        <v>20</v>
      </c>
      <c r="B19" s="210"/>
      <c r="C19" s="112">
        <f>SUM(C3:C17)</f>
        <v>149</v>
      </c>
      <c r="D19" s="131">
        <f>SUM(D3:D17)</f>
        <v>11505</v>
      </c>
      <c r="E19" s="131">
        <f>SUM(E3:E17)</f>
        <v>104350</v>
      </c>
    </row>
    <row r="20" spans="1:5" ht="18.75" x14ac:dyDescent="0.3">
      <c r="A20" s="210" t="s">
        <v>151</v>
      </c>
      <c r="B20" s="210"/>
      <c r="C20" s="123">
        <f>AVERAGE(C3:C17)</f>
        <v>9.9333333333333336</v>
      </c>
      <c r="D20" s="131">
        <f>AVERAGE(D3:D17)</f>
        <v>767</v>
      </c>
      <c r="E20" s="131">
        <f>AVERAGE(E3:E17)</f>
        <v>6956.666666666667</v>
      </c>
    </row>
    <row r="21" spans="1:5" ht="18.75" x14ac:dyDescent="0.3">
      <c r="A21" s="210" t="s">
        <v>193</v>
      </c>
      <c r="B21" s="210"/>
      <c r="C21" s="112">
        <f>MAX(C3:C17)</f>
        <v>30</v>
      </c>
      <c r="D21" s="131">
        <f>MAX(D3:D17)</f>
        <v>3000</v>
      </c>
      <c r="E21" s="131">
        <f>MAX(E3:E17)</f>
        <v>37500</v>
      </c>
    </row>
    <row r="22" spans="1:5" ht="18.75" x14ac:dyDescent="0.3">
      <c r="A22" s="210" t="s">
        <v>194</v>
      </c>
      <c r="B22" s="210"/>
      <c r="C22" s="112">
        <f>MIN(C3:C17)</f>
        <v>2</v>
      </c>
      <c r="D22" s="131">
        <f>MIN(D3:D17)</f>
        <v>30</v>
      </c>
      <c r="E22" s="131">
        <f>MIN(E3:E17)</f>
        <v>300</v>
      </c>
    </row>
  </sheetData>
  <mergeCells count="5">
    <mergeCell ref="A1:E1"/>
    <mergeCell ref="A19:B19"/>
    <mergeCell ref="A20:B20"/>
    <mergeCell ref="A21:B21"/>
    <mergeCell ref="A22:B22"/>
  </mergeCells>
  <conditionalFormatting sqref="A3:A17">
    <cfRule type="duplicateValues" dxfId="11" priority="4"/>
  </conditionalFormatting>
  <conditionalFormatting sqref="C3:C1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{0D96CFC1-FAC6-461F-A119-9252C446D569}</x14:id>
        </ext>
      </extLst>
    </cfRule>
  </conditionalFormatting>
  <conditionalFormatting sqref="D3: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{4680E991-2D8F-40B3-8405-4AB3DE909FBB}</x14:id>
        </ext>
      </extLst>
    </cfRule>
  </conditionalFormatting>
  <conditionalFormatting sqref="E3:E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{AF5AFD64-1EE1-4A56-930F-B33457EEDFE2}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6CFC1-FAC6-461F-A119-9252C446D5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>
          <x14:cfRule type="dataBar" id="{4680E991-2D8F-40B3-8405-4AB3DE909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  <x14:conditionalFormatting xmlns:xm="http://schemas.microsoft.com/office/excel/2006/main">
          <x14:cfRule type="dataBar" id="{AF5AFD64-1EE1-4A56-930F-B33457EED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5.85546875" bestFit="1" customWidth="1"/>
    <col min="5" max="5" width="13" customWidth="1"/>
    <col min="6" max="6" width="9.85546875" bestFit="1" customWidth="1"/>
  </cols>
  <sheetData>
    <row r="1" spans="1:7" ht="21" x14ac:dyDescent="0.35">
      <c r="A1" s="125" t="s">
        <v>3</v>
      </c>
      <c r="B1" s="125" t="s">
        <v>267</v>
      </c>
      <c r="D1" s="132"/>
      <c r="E1" s="132"/>
      <c r="F1" s="132"/>
      <c r="G1" s="132"/>
    </row>
    <row r="2" spans="1:7" x14ac:dyDescent="0.25">
      <c r="A2" s="5" t="s">
        <v>230</v>
      </c>
      <c r="B2" s="5">
        <v>30</v>
      </c>
      <c r="D2" s="132"/>
      <c r="E2" s="14" t="s">
        <v>299</v>
      </c>
      <c r="F2" s="133" t="s">
        <v>300</v>
      </c>
      <c r="G2" s="132"/>
    </row>
    <row r="3" spans="1:7" x14ac:dyDescent="0.25">
      <c r="A3" s="5" t="s">
        <v>232</v>
      </c>
      <c r="B3" s="5">
        <v>100</v>
      </c>
      <c r="D3" s="132"/>
      <c r="E3" s="14" t="s">
        <v>301</v>
      </c>
      <c r="F3" s="134" t="s">
        <v>302</v>
      </c>
      <c r="G3" s="132"/>
    </row>
    <row r="4" spans="1:7" x14ac:dyDescent="0.25">
      <c r="A4" s="5" t="s">
        <v>233</v>
      </c>
      <c r="B4" s="5">
        <v>50</v>
      </c>
      <c r="D4" s="132"/>
      <c r="E4" s="14" t="s">
        <v>303</v>
      </c>
      <c r="F4" s="135" t="s">
        <v>304</v>
      </c>
      <c r="G4" s="132"/>
    </row>
    <row r="5" spans="1:7" x14ac:dyDescent="0.25">
      <c r="A5" s="5" t="s">
        <v>235</v>
      </c>
      <c r="B5" s="5">
        <v>10</v>
      </c>
      <c r="D5" s="132"/>
      <c r="E5" s="132"/>
      <c r="F5" s="132"/>
      <c r="G5" s="132"/>
    </row>
    <row r="6" spans="1:7" x14ac:dyDescent="0.25">
      <c r="A6" s="5" t="s">
        <v>237</v>
      </c>
      <c r="B6" s="5">
        <v>5</v>
      </c>
    </row>
    <row r="7" spans="1:7" x14ac:dyDescent="0.25">
      <c r="A7" s="5" t="s">
        <v>238</v>
      </c>
      <c r="B7" s="5">
        <v>15</v>
      </c>
    </row>
    <row r="8" spans="1:7" x14ac:dyDescent="0.25">
      <c r="A8" s="5" t="s">
        <v>239</v>
      </c>
      <c r="B8" s="5">
        <v>35</v>
      </c>
    </row>
    <row r="9" spans="1:7" x14ac:dyDescent="0.25">
      <c r="A9" s="5" t="s">
        <v>240</v>
      </c>
      <c r="B9" s="5">
        <v>500</v>
      </c>
    </row>
    <row r="10" spans="1:7" x14ac:dyDescent="0.25">
      <c r="A10" s="5" t="s">
        <v>183</v>
      </c>
      <c r="B10" s="5">
        <v>200</v>
      </c>
    </row>
    <row r="11" spans="1:7" x14ac:dyDescent="0.25">
      <c r="A11" s="5" t="s">
        <v>184</v>
      </c>
      <c r="B11" s="5">
        <v>200</v>
      </c>
    </row>
    <row r="12" spans="1:7" x14ac:dyDescent="0.25">
      <c r="A12" s="5" t="s">
        <v>289</v>
      </c>
      <c r="B12" s="5">
        <v>10</v>
      </c>
    </row>
    <row r="13" spans="1:7" x14ac:dyDescent="0.25">
      <c r="A13" s="5" t="s">
        <v>243</v>
      </c>
      <c r="B13" s="5">
        <v>30</v>
      </c>
    </row>
    <row r="14" spans="1:7" x14ac:dyDescent="0.25">
      <c r="A14" s="5" t="s">
        <v>179</v>
      </c>
      <c r="B14" s="5">
        <v>25</v>
      </c>
    </row>
    <row r="15" spans="1:7" x14ac:dyDescent="0.25">
      <c r="A15" s="5" t="s">
        <v>180</v>
      </c>
      <c r="B15" s="5">
        <v>100</v>
      </c>
    </row>
    <row r="16" spans="1:7" x14ac:dyDescent="0.25">
      <c r="A16" s="5" t="s">
        <v>244</v>
      </c>
      <c r="B16" s="5">
        <v>-50</v>
      </c>
    </row>
    <row r="17" spans="1:2" x14ac:dyDescent="0.25">
      <c r="A17" s="5" t="s">
        <v>184</v>
      </c>
      <c r="B17" s="5">
        <v>30</v>
      </c>
    </row>
    <row r="18" spans="1:2" x14ac:dyDescent="0.25">
      <c r="A18" s="5" t="s">
        <v>245</v>
      </c>
      <c r="B18" s="5">
        <v>-30</v>
      </c>
    </row>
    <row r="19" spans="1:2" x14ac:dyDescent="0.25">
      <c r="A19" s="5" t="s">
        <v>290</v>
      </c>
      <c r="B19" s="5">
        <v>300</v>
      </c>
    </row>
    <row r="20" spans="1:2" x14ac:dyDescent="0.25">
      <c r="A20" s="5" t="s">
        <v>291</v>
      </c>
      <c r="B20" s="5">
        <v>15</v>
      </c>
    </row>
    <row r="21" spans="1:2" x14ac:dyDescent="0.25">
      <c r="A21" s="5" t="s">
        <v>249</v>
      </c>
      <c r="B21" s="5">
        <v>25</v>
      </c>
    </row>
    <row r="22" spans="1:2" x14ac:dyDescent="0.25">
      <c r="A22" s="5" t="s">
        <v>250</v>
      </c>
      <c r="B22" s="5">
        <f>100</f>
        <v>100</v>
      </c>
    </row>
    <row r="23" spans="1:2" x14ac:dyDescent="0.25">
      <c r="A23" s="5" t="s">
        <v>251</v>
      </c>
      <c r="B23" s="5">
        <v>150</v>
      </c>
    </row>
    <row r="24" spans="1:2" x14ac:dyDescent="0.25">
      <c r="A24" s="5" t="s">
        <v>292</v>
      </c>
      <c r="B24" s="5">
        <v>15</v>
      </c>
    </row>
    <row r="25" spans="1:2" x14ac:dyDescent="0.25">
      <c r="A25" s="5" t="s">
        <v>293</v>
      </c>
      <c r="B25" s="5">
        <v>-6</v>
      </c>
    </row>
    <row r="26" spans="1:2" x14ac:dyDescent="0.25">
      <c r="A26" s="5" t="s">
        <v>294</v>
      </c>
      <c r="B26" s="5">
        <v>6</v>
      </c>
    </row>
    <row r="27" spans="1:2" x14ac:dyDescent="0.25">
      <c r="A27" s="5" t="s">
        <v>295</v>
      </c>
      <c r="B27" s="5">
        <v>60</v>
      </c>
    </row>
    <row r="28" spans="1:2" x14ac:dyDescent="0.25">
      <c r="A28" s="5" t="s">
        <v>296</v>
      </c>
      <c r="B28" s="5">
        <v>31</v>
      </c>
    </row>
    <row r="29" spans="1:2" x14ac:dyDescent="0.25">
      <c r="A29" s="5" t="s">
        <v>297</v>
      </c>
      <c r="B29" s="5">
        <v>29</v>
      </c>
    </row>
    <row r="30" spans="1:2" x14ac:dyDescent="0.25">
      <c r="A30" s="5" t="s">
        <v>298</v>
      </c>
      <c r="B30" s="5">
        <v>55</v>
      </c>
    </row>
  </sheetData>
  <conditionalFormatting sqref="B2:B30">
    <cfRule type="cellIs" dxfId="10" priority="1" operator="lessThanOrEqual">
      <formula>0</formula>
    </cfRule>
    <cfRule type="cellIs" dxfId="9" priority="2" operator="between">
      <formula>1</formula>
      <formula>29</formula>
    </cfRule>
    <cfRule type="cellIs" dxfId="8" priority="3" operator="greaterThanOrEqual">
      <formula>30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1" sqref="C11"/>
    </sheetView>
  </sheetViews>
  <sheetFormatPr defaultRowHeight="15" x14ac:dyDescent="0.25"/>
  <cols>
    <col min="1" max="1" width="25.85546875" bestFit="1" customWidth="1"/>
    <col min="2" max="2" width="13.5703125" customWidth="1"/>
    <col min="3" max="3" width="16.42578125" bestFit="1" customWidth="1"/>
    <col min="4" max="4" width="15.85546875" customWidth="1"/>
  </cols>
  <sheetData>
    <row r="1" spans="1:4" ht="23.25" x14ac:dyDescent="0.35">
      <c r="A1" s="212" t="s">
        <v>306</v>
      </c>
      <c r="B1" s="213"/>
      <c r="C1" s="213"/>
      <c r="D1" s="214"/>
    </row>
    <row r="2" spans="1:4" ht="23.25" x14ac:dyDescent="0.35">
      <c r="A2" s="139" t="s">
        <v>3</v>
      </c>
      <c r="B2" s="139" t="s">
        <v>307</v>
      </c>
      <c r="C2" s="139" t="s">
        <v>308</v>
      </c>
      <c r="D2" s="139" t="s">
        <v>178</v>
      </c>
    </row>
    <row r="3" spans="1:4" x14ac:dyDescent="0.25">
      <c r="A3" s="5" t="s">
        <v>184</v>
      </c>
      <c r="B3" s="8">
        <v>40</v>
      </c>
      <c r="C3" s="89">
        <v>2.5</v>
      </c>
      <c r="D3" s="89">
        <f>C3*B3</f>
        <v>100</v>
      </c>
    </row>
    <row r="4" spans="1:4" x14ac:dyDescent="0.25">
      <c r="A4" s="5" t="s">
        <v>245</v>
      </c>
      <c r="B4" s="8">
        <v>200</v>
      </c>
      <c r="C4" s="89">
        <v>1.5</v>
      </c>
      <c r="D4" s="89">
        <f t="shared" ref="D4:D13" si="0">C4*B4</f>
        <v>300</v>
      </c>
    </row>
    <row r="5" spans="1:4" x14ac:dyDescent="0.25">
      <c r="A5" s="5" t="s">
        <v>309</v>
      </c>
      <c r="B5" s="8">
        <v>30</v>
      </c>
      <c r="C5" s="89">
        <v>2.5</v>
      </c>
      <c r="D5" s="89">
        <f t="shared" si="0"/>
        <v>75</v>
      </c>
    </row>
    <row r="6" spans="1:4" x14ac:dyDescent="0.25">
      <c r="A6" s="5" t="s">
        <v>310</v>
      </c>
      <c r="B6" s="8">
        <v>20</v>
      </c>
      <c r="C6" s="89">
        <v>2.5</v>
      </c>
      <c r="D6" s="89">
        <f t="shared" si="0"/>
        <v>50</v>
      </c>
    </row>
    <row r="7" spans="1:4" x14ac:dyDescent="0.25">
      <c r="A7" s="5" t="s">
        <v>311</v>
      </c>
      <c r="B7" s="8">
        <v>80</v>
      </c>
      <c r="C7" s="89">
        <v>2.5</v>
      </c>
      <c r="D7" s="89">
        <f t="shared" si="0"/>
        <v>200</v>
      </c>
    </row>
    <row r="8" spans="1:4" x14ac:dyDescent="0.25">
      <c r="A8" s="5" t="s">
        <v>312</v>
      </c>
      <c r="B8" s="8">
        <v>50</v>
      </c>
      <c r="C8" s="89">
        <v>2.5</v>
      </c>
      <c r="D8" s="89">
        <f t="shared" si="0"/>
        <v>125</v>
      </c>
    </row>
    <row r="9" spans="1:4" x14ac:dyDescent="0.25">
      <c r="A9" s="5" t="s">
        <v>313</v>
      </c>
      <c r="B9" s="8">
        <v>80</v>
      </c>
      <c r="C9" s="89">
        <v>2.5</v>
      </c>
      <c r="D9" s="89">
        <f t="shared" si="0"/>
        <v>200</v>
      </c>
    </row>
    <row r="10" spans="1:4" x14ac:dyDescent="0.25">
      <c r="A10" s="5" t="s">
        <v>314</v>
      </c>
      <c r="B10" s="8">
        <v>5</v>
      </c>
      <c r="C10" s="89">
        <v>3</v>
      </c>
      <c r="D10" s="89">
        <f t="shared" si="0"/>
        <v>15</v>
      </c>
    </row>
    <row r="11" spans="1:4" x14ac:dyDescent="0.25">
      <c r="A11" s="5" t="s">
        <v>315</v>
      </c>
      <c r="B11" s="8">
        <v>2</v>
      </c>
      <c r="C11" s="89">
        <v>7.5</v>
      </c>
      <c r="D11" s="89">
        <f t="shared" si="0"/>
        <v>15</v>
      </c>
    </row>
    <row r="12" spans="1:4" x14ac:dyDescent="0.25">
      <c r="A12" s="5" t="s">
        <v>316</v>
      </c>
      <c r="B12" s="8">
        <v>5</v>
      </c>
      <c r="C12" s="89">
        <v>4.5</v>
      </c>
      <c r="D12" s="89">
        <f t="shared" si="0"/>
        <v>22.5</v>
      </c>
    </row>
    <row r="13" spans="1:4" x14ac:dyDescent="0.25">
      <c r="A13" s="5" t="s">
        <v>317</v>
      </c>
      <c r="B13" s="8">
        <v>20</v>
      </c>
      <c r="C13" s="89">
        <v>3</v>
      </c>
      <c r="D13" s="89">
        <f t="shared" si="0"/>
        <v>60</v>
      </c>
    </row>
    <row r="14" spans="1:4" ht="21" x14ac:dyDescent="0.35">
      <c r="A14" s="211" t="s">
        <v>20</v>
      </c>
      <c r="B14" s="211"/>
      <c r="C14" s="211"/>
      <c r="D14" s="141">
        <f>SUM(D3:D13)</f>
        <v>1162.5</v>
      </c>
    </row>
  </sheetData>
  <mergeCells count="2">
    <mergeCell ref="A14:C14"/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34.5703125" customWidth="1"/>
    <col min="2" max="2" width="30.7109375" customWidth="1"/>
  </cols>
  <sheetData>
    <row r="1" spans="1:2" ht="23.25" x14ac:dyDescent="0.35">
      <c r="A1" s="212" t="s">
        <v>318</v>
      </c>
      <c r="B1" s="214"/>
    </row>
    <row r="2" spans="1:2" ht="23.25" x14ac:dyDescent="0.25">
      <c r="A2" s="142" t="s">
        <v>319</v>
      </c>
      <c r="B2" s="142" t="s">
        <v>320</v>
      </c>
    </row>
    <row r="3" spans="1:2" x14ac:dyDescent="0.25">
      <c r="A3" s="5" t="s">
        <v>321</v>
      </c>
      <c r="B3" s="89">
        <v>50</v>
      </c>
    </row>
    <row r="4" spans="1:2" x14ac:dyDescent="0.25">
      <c r="A4" s="5" t="s">
        <v>322</v>
      </c>
      <c r="B4" s="89">
        <v>75</v>
      </c>
    </row>
    <row r="5" spans="1:2" x14ac:dyDescent="0.25">
      <c r="A5" s="5" t="s">
        <v>323</v>
      </c>
      <c r="B5" s="89">
        <v>300</v>
      </c>
    </row>
    <row r="6" spans="1:2" x14ac:dyDescent="0.25">
      <c r="A6" s="5" t="s">
        <v>324</v>
      </c>
      <c r="B6" s="89">
        <v>50</v>
      </c>
    </row>
    <row r="7" spans="1:2" x14ac:dyDescent="0.25">
      <c r="A7" s="5" t="s">
        <v>325</v>
      </c>
      <c r="B7" s="89">
        <v>600</v>
      </c>
    </row>
    <row r="8" spans="1:2" x14ac:dyDescent="0.25">
      <c r="A8" s="5" t="s">
        <v>326</v>
      </c>
      <c r="B8" s="89">
        <v>80</v>
      </c>
    </row>
    <row r="9" spans="1:2" ht="21" x14ac:dyDescent="0.35">
      <c r="A9" s="138" t="s">
        <v>20</v>
      </c>
      <c r="B9" s="141">
        <f>SUM(B3:B8)</f>
        <v>1155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1" max="1" width="34.5703125" customWidth="1"/>
    <col min="2" max="2" width="30.7109375" customWidth="1"/>
  </cols>
  <sheetData>
    <row r="1" spans="1:2" ht="23.25" x14ac:dyDescent="0.35">
      <c r="A1" s="212" t="s">
        <v>327</v>
      </c>
      <c r="B1" s="214"/>
    </row>
    <row r="2" spans="1:2" ht="23.25" x14ac:dyDescent="0.25">
      <c r="A2" s="142" t="s">
        <v>319</v>
      </c>
      <c r="B2" s="142" t="s">
        <v>320</v>
      </c>
    </row>
    <row r="3" spans="1:2" x14ac:dyDescent="0.25">
      <c r="A3" s="5" t="s">
        <v>328</v>
      </c>
      <c r="B3" s="89">
        <f>'Plan Venda LRR - Aula 07'!D14</f>
        <v>1162.5</v>
      </c>
    </row>
    <row r="4" spans="1:2" x14ac:dyDescent="0.25">
      <c r="A4" s="5" t="s">
        <v>329</v>
      </c>
      <c r="B4" s="89">
        <f>'Plan Despesas LRR - Aula 07'!B9</f>
        <v>1155</v>
      </c>
    </row>
    <row r="5" spans="1:2" ht="21" x14ac:dyDescent="0.35">
      <c r="A5" s="138" t="s">
        <v>20</v>
      </c>
      <c r="B5" s="143">
        <f>'Plan Venda LRR - Aula 07'!D14-'Plan Despesas LRR - Aula 07'!B9</f>
        <v>7.5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B1" workbookViewId="0">
      <selection sqref="A1:E1"/>
    </sheetView>
  </sheetViews>
  <sheetFormatPr defaultRowHeight="15" x14ac:dyDescent="0.25"/>
  <cols>
    <col min="1" max="1" width="19.28515625" bestFit="1" customWidth="1"/>
    <col min="2" max="2" width="12.5703125" style="107" bestFit="1" customWidth="1"/>
    <col min="3" max="3" width="10" style="107" bestFit="1" customWidth="1"/>
    <col min="4" max="4" width="18.7109375" style="107" bestFit="1" customWidth="1"/>
    <col min="5" max="5" width="19.42578125" style="107" bestFit="1" customWidth="1"/>
  </cols>
  <sheetData>
    <row r="1" spans="1:5" ht="21" x14ac:dyDescent="0.25">
      <c r="A1" s="215" t="s">
        <v>330</v>
      </c>
      <c r="B1" s="215"/>
      <c r="C1" s="215"/>
      <c r="D1" s="215"/>
      <c r="E1" s="215"/>
    </row>
    <row r="2" spans="1:5" ht="15.75" x14ac:dyDescent="0.25">
      <c r="A2" s="144" t="s">
        <v>176</v>
      </c>
      <c r="B2" s="144" t="s">
        <v>267</v>
      </c>
      <c r="C2" s="144" t="s">
        <v>331</v>
      </c>
      <c r="D2" s="144" t="s">
        <v>332</v>
      </c>
      <c r="E2" s="144" t="s">
        <v>333</v>
      </c>
    </row>
    <row r="3" spans="1:5" x14ac:dyDescent="0.25">
      <c r="A3" s="5" t="s">
        <v>334</v>
      </c>
      <c r="B3" s="43">
        <v>100</v>
      </c>
      <c r="C3" s="43">
        <v>50</v>
      </c>
      <c r="D3" s="43">
        <f>B3-C3</f>
        <v>50</v>
      </c>
      <c r="E3" s="43" t="str">
        <f>IF(D3&lt;=0,"Acabou o Produto","Estoque Normal")</f>
        <v>Estoque Normal</v>
      </c>
    </row>
    <row r="4" spans="1:5" x14ac:dyDescent="0.25">
      <c r="A4" s="5" t="s">
        <v>335</v>
      </c>
      <c r="B4" s="43">
        <v>50</v>
      </c>
      <c r="C4" s="43">
        <v>30</v>
      </c>
      <c r="D4" s="43">
        <f t="shared" ref="D4:D19" si="0">B4-C4</f>
        <v>20</v>
      </c>
      <c r="E4" s="43" t="str">
        <f t="shared" ref="E4:E19" si="1">IF(D4&lt;=0,"Acabou o Produto","Estoque Normal")</f>
        <v>Estoque Normal</v>
      </c>
    </row>
    <row r="5" spans="1:5" x14ac:dyDescent="0.25">
      <c r="A5" s="5" t="s">
        <v>336</v>
      </c>
      <c r="B5" s="43">
        <v>200</v>
      </c>
      <c r="C5" s="43">
        <v>100</v>
      </c>
      <c r="D5" s="43">
        <f t="shared" si="0"/>
        <v>100</v>
      </c>
      <c r="E5" s="43" t="str">
        <f t="shared" si="1"/>
        <v>Estoque Normal</v>
      </c>
    </row>
    <row r="6" spans="1:5" x14ac:dyDescent="0.25">
      <c r="A6" s="5" t="s">
        <v>337</v>
      </c>
      <c r="B6" s="43">
        <v>200</v>
      </c>
      <c r="C6" s="43">
        <v>150</v>
      </c>
      <c r="D6" s="43">
        <f t="shared" si="0"/>
        <v>50</v>
      </c>
      <c r="E6" s="43" t="str">
        <f t="shared" si="1"/>
        <v>Estoque Normal</v>
      </c>
    </row>
    <row r="7" spans="1:5" x14ac:dyDescent="0.25">
      <c r="A7" s="5" t="s">
        <v>338</v>
      </c>
      <c r="B7" s="43">
        <v>200</v>
      </c>
      <c r="C7" s="43">
        <v>180</v>
      </c>
      <c r="D7" s="43">
        <f t="shared" si="0"/>
        <v>20</v>
      </c>
      <c r="E7" s="43" t="str">
        <f t="shared" si="1"/>
        <v>Estoque Normal</v>
      </c>
    </row>
    <row r="8" spans="1:5" x14ac:dyDescent="0.25">
      <c r="A8" s="5" t="s">
        <v>339</v>
      </c>
      <c r="B8" s="43">
        <v>100</v>
      </c>
      <c r="C8" s="43">
        <v>40</v>
      </c>
      <c r="D8" s="43">
        <f t="shared" si="0"/>
        <v>60</v>
      </c>
      <c r="E8" s="43" t="str">
        <f t="shared" si="1"/>
        <v>Estoque Normal</v>
      </c>
    </row>
    <row r="9" spans="1:5" x14ac:dyDescent="0.25">
      <c r="A9" s="5" t="s">
        <v>340</v>
      </c>
      <c r="B9" s="43">
        <v>100</v>
      </c>
      <c r="C9" s="43">
        <v>90</v>
      </c>
      <c r="D9" s="43">
        <f t="shared" si="0"/>
        <v>10</v>
      </c>
      <c r="E9" s="43" t="str">
        <f t="shared" si="1"/>
        <v>Estoque Normal</v>
      </c>
    </row>
    <row r="10" spans="1:5" x14ac:dyDescent="0.25">
      <c r="A10" s="5" t="s">
        <v>341</v>
      </c>
      <c r="B10" s="43">
        <v>100</v>
      </c>
      <c r="C10" s="43">
        <v>80</v>
      </c>
      <c r="D10" s="43">
        <f t="shared" si="0"/>
        <v>20</v>
      </c>
      <c r="E10" s="43" t="str">
        <f t="shared" si="1"/>
        <v>Estoque Normal</v>
      </c>
    </row>
    <row r="11" spans="1:5" x14ac:dyDescent="0.25">
      <c r="A11" s="5" t="s">
        <v>50</v>
      </c>
      <c r="B11" s="43">
        <v>20</v>
      </c>
      <c r="C11" s="43">
        <v>10</v>
      </c>
      <c r="D11" s="43">
        <f t="shared" si="0"/>
        <v>10</v>
      </c>
      <c r="E11" s="43" t="str">
        <f t="shared" si="1"/>
        <v>Estoque Normal</v>
      </c>
    </row>
    <row r="12" spans="1:5" x14ac:dyDescent="0.25">
      <c r="A12" s="5" t="s">
        <v>342</v>
      </c>
      <c r="B12" s="43">
        <v>50</v>
      </c>
      <c r="C12" s="43">
        <v>40</v>
      </c>
      <c r="D12" s="43">
        <f t="shared" si="0"/>
        <v>10</v>
      </c>
      <c r="E12" s="43" t="str">
        <f t="shared" si="1"/>
        <v>Estoque Normal</v>
      </c>
    </row>
    <row r="13" spans="1:5" x14ac:dyDescent="0.25">
      <c r="A13" s="5" t="s">
        <v>343</v>
      </c>
      <c r="B13" s="43">
        <v>50</v>
      </c>
      <c r="C13" s="43">
        <v>15</v>
      </c>
      <c r="D13" s="43">
        <f t="shared" si="0"/>
        <v>35</v>
      </c>
      <c r="E13" s="43" t="str">
        <f t="shared" si="1"/>
        <v>Estoque Normal</v>
      </c>
    </row>
    <row r="14" spans="1:5" x14ac:dyDescent="0.25">
      <c r="A14" s="5" t="s">
        <v>345</v>
      </c>
      <c r="B14" s="43">
        <v>30</v>
      </c>
      <c r="C14" s="43">
        <v>25</v>
      </c>
      <c r="D14" s="43">
        <f t="shared" si="0"/>
        <v>5</v>
      </c>
      <c r="E14" s="43" t="str">
        <f t="shared" si="1"/>
        <v>Estoque Normal</v>
      </c>
    </row>
    <row r="15" spans="1:5" x14ac:dyDescent="0.25">
      <c r="A15" s="5" t="s">
        <v>344</v>
      </c>
      <c r="B15" s="43">
        <v>50</v>
      </c>
      <c r="C15" s="43">
        <v>35</v>
      </c>
      <c r="D15" s="43">
        <f t="shared" si="0"/>
        <v>15</v>
      </c>
      <c r="E15" s="43" t="str">
        <f t="shared" si="1"/>
        <v>Estoque Normal</v>
      </c>
    </row>
    <row r="16" spans="1:5" x14ac:dyDescent="0.25">
      <c r="A16" s="5" t="s">
        <v>346</v>
      </c>
      <c r="B16" s="43">
        <v>10</v>
      </c>
      <c r="C16" s="43">
        <v>5</v>
      </c>
      <c r="D16" s="43">
        <f t="shared" si="0"/>
        <v>5</v>
      </c>
      <c r="E16" s="43" t="str">
        <f t="shared" si="1"/>
        <v>Estoque Normal</v>
      </c>
    </row>
    <row r="17" spans="1:5" x14ac:dyDescent="0.25">
      <c r="A17" s="5" t="s">
        <v>347</v>
      </c>
      <c r="B17" s="43">
        <v>50</v>
      </c>
      <c r="C17" s="43">
        <v>40</v>
      </c>
      <c r="D17" s="43">
        <f t="shared" si="0"/>
        <v>10</v>
      </c>
      <c r="E17" s="43" t="str">
        <f t="shared" si="1"/>
        <v>Estoque Normal</v>
      </c>
    </row>
    <row r="18" spans="1:5" x14ac:dyDescent="0.25">
      <c r="A18" s="5" t="s">
        <v>348</v>
      </c>
      <c r="B18" s="43">
        <v>20</v>
      </c>
      <c r="C18" s="43">
        <v>10</v>
      </c>
      <c r="D18" s="43">
        <f t="shared" si="0"/>
        <v>10</v>
      </c>
      <c r="E18" s="43" t="str">
        <f t="shared" si="1"/>
        <v>Estoque Normal</v>
      </c>
    </row>
    <row r="19" spans="1:5" x14ac:dyDescent="0.25">
      <c r="A19" s="5" t="s">
        <v>349</v>
      </c>
      <c r="B19" s="43">
        <v>10</v>
      </c>
      <c r="C19" s="43">
        <v>2</v>
      </c>
      <c r="D19" s="43">
        <f t="shared" si="0"/>
        <v>8</v>
      </c>
      <c r="E19" s="43" t="str">
        <f t="shared" si="1"/>
        <v>Estoque Normal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4" sqref="E4"/>
    </sheetView>
  </sheetViews>
  <sheetFormatPr defaultRowHeight="15" x14ac:dyDescent="0.25"/>
  <cols>
    <col min="1" max="1" width="13.140625" customWidth="1"/>
    <col min="2" max="2" width="17.7109375" customWidth="1"/>
    <col min="3" max="3" width="15.28515625" customWidth="1"/>
  </cols>
  <sheetData>
    <row r="1" spans="1:3" ht="38.25" customHeight="1" x14ac:dyDescent="0.25">
      <c r="A1" s="170" t="s">
        <v>95</v>
      </c>
      <c r="B1" s="170"/>
      <c r="C1" s="170"/>
    </row>
    <row r="2" spans="1:3" ht="36" customHeight="1" x14ac:dyDescent="0.25">
      <c r="A2" s="45" t="s">
        <v>94</v>
      </c>
      <c r="B2" s="45" t="s">
        <v>96</v>
      </c>
      <c r="C2" s="45" t="s">
        <v>97</v>
      </c>
    </row>
    <row r="3" spans="1:3" x14ac:dyDescent="0.25">
      <c r="A3" s="46">
        <v>1</v>
      </c>
      <c r="B3" s="47" t="s">
        <v>98</v>
      </c>
      <c r="C3" s="48" t="s">
        <v>102</v>
      </c>
    </row>
    <row r="4" spans="1:3" x14ac:dyDescent="0.25">
      <c r="A4" s="43">
        <v>2</v>
      </c>
      <c r="B4" s="41" t="s">
        <v>99</v>
      </c>
      <c r="C4" s="44" t="s">
        <v>103</v>
      </c>
    </row>
    <row r="5" spans="1:3" x14ac:dyDescent="0.25">
      <c r="A5" s="46">
        <v>3</v>
      </c>
      <c r="B5" s="47" t="s">
        <v>100</v>
      </c>
      <c r="C5" s="48" t="s">
        <v>103</v>
      </c>
    </row>
    <row r="6" spans="1:3" x14ac:dyDescent="0.25">
      <c r="A6" s="43">
        <v>4</v>
      </c>
      <c r="B6" s="41" t="s">
        <v>101</v>
      </c>
      <c r="C6" s="44" t="s">
        <v>104</v>
      </c>
    </row>
    <row r="7" spans="1:3" x14ac:dyDescent="0.25">
      <c r="A7" s="46">
        <v>5</v>
      </c>
      <c r="B7" s="47" t="s">
        <v>105</v>
      </c>
      <c r="C7" s="48" t="s">
        <v>106</v>
      </c>
    </row>
    <row r="8" spans="1:3" x14ac:dyDescent="0.25">
      <c r="A8" s="43">
        <v>6</v>
      </c>
      <c r="B8" s="41" t="s">
        <v>107</v>
      </c>
      <c r="C8" s="44" t="s">
        <v>102</v>
      </c>
    </row>
    <row r="9" spans="1:3" x14ac:dyDescent="0.25">
      <c r="A9" s="46">
        <v>7</v>
      </c>
      <c r="B9" s="47" t="s">
        <v>108</v>
      </c>
      <c r="C9" s="48" t="s">
        <v>109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C1"/>
    </sheetView>
  </sheetViews>
  <sheetFormatPr defaultRowHeight="15" x14ac:dyDescent="0.25"/>
  <cols>
    <col min="1" max="1" width="17.85546875" customWidth="1"/>
    <col min="2" max="2" width="17.42578125" customWidth="1"/>
    <col min="3" max="3" width="33.85546875" customWidth="1"/>
    <col min="6" max="6" width="18.28515625" bestFit="1" customWidth="1"/>
  </cols>
  <sheetData>
    <row r="1" spans="1:6" ht="23.25" x14ac:dyDescent="0.35">
      <c r="A1" s="216" t="s">
        <v>350</v>
      </c>
      <c r="B1" s="216"/>
      <c r="C1" s="216"/>
    </row>
    <row r="2" spans="1:6" ht="18.75" x14ac:dyDescent="0.3">
      <c r="A2" s="146" t="s">
        <v>351</v>
      </c>
      <c r="B2" s="146" t="s">
        <v>350</v>
      </c>
      <c r="C2" s="146" t="s">
        <v>352</v>
      </c>
      <c r="E2" s="146" t="s">
        <v>353</v>
      </c>
      <c r="F2" s="147">
        <v>50000</v>
      </c>
    </row>
    <row r="3" spans="1:6" x14ac:dyDescent="0.25">
      <c r="A3" s="5" t="s">
        <v>354</v>
      </c>
      <c r="B3" s="89">
        <v>10000</v>
      </c>
      <c r="C3" s="5" t="str">
        <f>IF(B3&gt;=$F$2,"Parabéns, você bateu a meta","Continue vendendo...")</f>
        <v>Continue vendendo...</v>
      </c>
    </row>
    <row r="4" spans="1:6" x14ac:dyDescent="0.25">
      <c r="A4" s="5" t="s">
        <v>59</v>
      </c>
      <c r="B4" s="89">
        <v>15000</v>
      </c>
      <c r="C4" s="5" t="str">
        <f t="shared" ref="C4:C12" si="0">IF(B4&gt;=$F$2,"Parabéns, você bateu a meta","Continue vendendo...")</f>
        <v>Continue vendendo...</v>
      </c>
    </row>
    <row r="5" spans="1:6" x14ac:dyDescent="0.25">
      <c r="A5" s="5" t="s">
        <v>355</v>
      </c>
      <c r="B5" s="89">
        <v>70000</v>
      </c>
      <c r="C5" s="5" t="str">
        <f t="shared" si="0"/>
        <v>Parabéns, você bateu a meta</v>
      </c>
    </row>
    <row r="6" spans="1:6" x14ac:dyDescent="0.25">
      <c r="A6" s="5" t="s">
        <v>356</v>
      </c>
      <c r="B6" s="89">
        <v>100000</v>
      </c>
      <c r="C6" s="5" t="str">
        <f t="shared" si="0"/>
        <v>Parabéns, você bateu a meta</v>
      </c>
    </row>
    <row r="7" spans="1:6" x14ac:dyDescent="0.25">
      <c r="A7" s="5" t="s">
        <v>121</v>
      </c>
      <c r="B7" s="89">
        <v>50000</v>
      </c>
      <c r="C7" s="5" t="str">
        <f t="shared" si="0"/>
        <v>Parabéns, você bateu a meta</v>
      </c>
    </row>
    <row r="8" spans="1:6" x14ac:dyDescent="0.25">
      <c r="A8" s="5" t="s">
        <v>357</v>
      </c>
      <c r="B8" s="89">
        <v>40000</v>
      </c>
      <c r="C8" s="5" t="str">
        <f t="shared" si="0"/>
        <v>Continue vendendo...</v>
      </c>
    </row>
    <row r="9" spans="1:6" x14ac:dyDescent="0.25">
      <c r="A9" s="5" t="s">
        <v>358</v>
      </c>
      <c r="B9" s="89">
        <v>95000</v>
      </c>
      <c r="C9" s="5" t="str">
        <f t="shared" si="0"/>
        <v>Parabéns, você bateu a meta</v>
      </c>
    </row>
    <row r="10" spans="1:6" x14ac:dyDescent="0.25">
      <c r="A10" s="5" t="s">
        <v>359</v>
      </c>
      <c r="B10" s="89">
        <v>60000</v>
      </c>
      <c r="C10" s="5" t="str">
        <f t="shared" si="0"/>
        <v>Parabéns, você bateu a meta</v>
      </c>
    </row>
    <row r="11" spans="1:6" x14ac:dyDescent="0.25">
      <c r="A11" s="5" t="s">
        <v>360</v>
      </c>
      <c r="B11" s="89">
        <v>5000</v>
      </c>
      <c r="C11" s="5" t="str">
        <f t="shared" si="0"/>
        <v>Continue vendendo...</v>
      </c>
    </row>
    <row r="12" spans="1:6" x14ac:dyDescent="0.25">
      <c r="A12" s="5" t="s">
        <v>361</v>
      </c>
      <c r="B12" s="89">
        <v>30000</v>
      </c>
      <c r="C12" s="5" t="str">
        <f t="shared" si="0"/>
        <v>Continue vendendo...</v>
      </c>
    </row>
  </sheetData>
  <mergeCells count="1">
    <mergeCell ref="A1:C1"/>
  </mergeCells>
  <conditionalFormatting sqref="C3:C12">
    <cfRule type="containsText" dxfId="7" priority="1" operator="containsText" text="parabéns">
      <formula>NOT(ISERROR(SEARCH("parabéns",C3)))</formula>
    </cfRule>
    <cfRule type="containsText" dxfId="6" priority="2" operator="containsText" text="continue">
      <formula>NOT(ISERROR(SEARCH("continue",C3)))</formula>
    </cfRule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D1"/>
    </sheetView>
  </sheetViews>
  <sheetFormatPr defaultRowHeight="15" x14ac:dyDescent="0.25"/>
  <cols>
    <col min="1" max="1" width="24" customWidth="1"/>
    <col min="2" max="2" width="18.85546875" style="145" customWidth="1"/>
    <col min="3" max="3" width="13.140625" style="1" customWidth="1"/>
    <col min="4" max="4" width="26.140625" style="145" bestFit="1" customWidth="1"/>
  </cols>
  <sheetData>
    <row r="1" spans="1:8" ht="26.25" x14ac:dyDescent="0.4">
      <c r="A1" s="217" t="s">
        <v>363</v>
      </c>
      <c r="B1" s="217"/>
      <c r="C1" s="217"/>
      <c r="D1" s="217"/>
    </row>
    <row r="2" spans="1:8" ht="18.75" x14ac:dyDescent="0.25">
      <c r="A2" s="150" t="s">
        <v>364</v>
      </c>
      <c r="B2" s="151" t="s">
        <v>29</v>
      </c>
      <c r="C2" s="150" t="s">
        <v>365</v>
      </c>
      <c r="D2" s="151" t="s">
        <v>366</v>
      </c>
      <c r="G2" s="149" t="s">
        <v>367</v>
      </c>
      <c r="H2" s="148">
        <v>7.0000000000000007E-2</v>
      </c>
    </row>
    <row r="3" spans="1:8" x14ac:dyDescent="0.25">
      <c r="A3" s="5" t="s">
        <v>210</v>
      </c>
      <c r="B3" s="89">
        <v>500</v>
      </c>
      <c r="C3" s="106" t="s">
        <v>367</v>
      </c>
      <c r="D3" s="89">
        <f>IF(C3=$G$2,B3-(B3*$H$2),IF(C3=$G$3,B3-(B3*$H$3),B3-(B3*$H$4)))</f>
        <v>465</v>
      </c>
      <c r="G3" s="149" t="s">
        <v>368</v>
      </c>
      <c r="H3" s="148">
        <v>0.04</v>
      </c>
    </row>
    <row r="4" spans="1:8" x14ac:dyDescent="0.25">
      <c r="A4" s="5" t="s">
        <v>369</v>
      </c>
      <c r="B4" s="89">
        <v>100</v>
      </c>
      <c r="C4" s="106" t="s">
        <v>368</v>
      </c>
      <c r="D4" s="89">
        <f t="shared" ref="D4:D17" si="0">IF(C4=$G$2,B4-(B4*$H$2),IF(C4=$G$3,B4-(B4*$H$3),B4-(B4*$H$4)))</f>
        <v>96</v>
      </c>
      <c r="G4" s="149" t="s">
        <v>119</v>
      </c>
      <c r="H4" s="148">
        <v>0.01</v>
      </c>
    </row>
    <row r="5" spans="1:8" x14ac:dyDescent="0.25">
      <c r="A5" s="5" t="s">
        <v>212</v>
      </c>
      <c r="B5" s="89">
        <v>300</v>
      </c>
      <c r="C5" s="106" t="s">
        <v>119</v>
      </c>
      <c r="D5" s="89">
        <f t="shared" si="0"/>
        <v>297</v>
      </c>
    </row>
    <row r="6" spans="1:8" x14ac:dyDescent="0.25">
      <c r="A6" s="5" t="s">
        <v>213</v>
      </c>
      <c r="B6" s="89">
        <v>4000</v>
      </c>
      <c r="C6" s="106" t="s">
        <v>367</v>
      </c>
      <c r="D6" s="89">
        <f t="shared" si="0"/>
        <v>3720</v>
      </c>
    </row>
    <row r="7" spans="1:8" x14ac:dyDescent="0.25">
      <c r="A7" s="5" t="s">
        <v>214</v>
      </c>
      <c r="B7" s="89">
        <v>600</v>
      </c>
      <c r="C7" s="106" t="s">
        <v>119</v>
      </c>
      <c r="D7" s="89">
        <f t="shared" si="0"/>
        <v>594</v>
      </c>
    </row>
    <row r="8" spans="1:8" x14ac:dyDescent="0.25">
      <c r="A8" s="5" t="s">
        <v>59</v>
      </c>
      <c r="B8" s="89">
        <v>900</v>
      </c>
      <c r="C8" s="106" t="s">
        <v>119</v>
      </c>
      <c r="D8" s="89">
        <f t="shared" si="0"/>
        <v>891</v>
      </c>
    </row>
    <row r="9" spans="1:8" x14ac:dyDescent="0.25">
      <c r="A9" s="5" t="s">
        <v>58</v>
      </c>
      <c r="B9" s="89">
        <v>1200</v>
      </c>
      <c r="C9" s="106" t="s">
        <v>367</v>
      </c>
      <c r="D9" s="89">
        <f t="shared" si="0"/>
        <v>1116</v>
      </c>
    </row>
    <row r="10" spans="1:8" x14ac:dyDescent="0.25">
      <c r="A10" s="5" t="s">
        <v>215</v>
      </c>
      <c r="B10" s="89">
        <v>700</v>
      </c>
      <c r="C10" s="106" t="s">
        <v>119</v>
      </c>
      <c r="D10" s="89">
        <f t="shared" si="0"/>
        <v>693</v>
      </c>
    </row>
    <row r="11" spans="1:8" x14ac:dyDescent="0.25">
      <c r="A11" s="5" t="s">
        <v>123</v>
      </c>
      <c r="B11" s="89">
        <v>987</v>
      </c>
      <c r="C11" s="106" t="s">
        <v>368</v>
      </c>
      <c r="D11" s="89">
        <f t="shared" si="0"/>
        <v>947.52</v>
      </c>
    </row>
    <row r="12" spans="1:8" x14ac:dyDescent="0.25">
      <c r="A12" s="5" t="s">
        <v>216</v>
      </c>
      <c r="B12" s="89">
        <v>254</v>
      </c>
      <c r="C12" s="106" t="s">
        <v>119</v>
      </c>
      <c r="D12" s="89">
        <f t="shared" si="0"/>
        <v>251.46</v>
      </c>
    </row>
    <row r="13" spans="1:8" x14ac:dyDescent="0.25">
      <c r="A13" s="5" t="s">
        <v>217</v>
      </c>
      <c r="B13" s="89">
        <v>100</v>
      </c>
      <c r="C13" s="106" t="s">
        <v>119</v>
      </c>
      <c r="D13" s="89">
        <f t="shared" si="0"/>
        <v>99</v>
      </c>
    </row>
    <row r="14" spans="1:8" x14ac:dyDescent="0.25">
      <c r="A14" s="5" t="s">
        <v>218</v>
      </c>
      <c r="B14" s="89">
        <v>52</v>
      </c>
      <c r="C14" s="106" t="s">
        <v>119</v>
      </c>
      <c r="D14" s="89">
        <f t="shared" si="0"/>
        <v>51.48</v>
      </c>
    </row>
    <row r="15" spans="1:8" x14ac:dyDescent="0.25">
      <c r="A15" s="5" t="s">
        <v>219</v>
      </c>
      <c r="B15" s="89">
        <v>600</v>
      </c>
      <c r="C15" s="106" t="s">
        <v>367</v>
      </c>
      <c r="D15" s="89">
        <f t="shared" si="0"/>
        <v>558</v>
      </c>
    </row>
    <row r="16" spans="1:8" x14ac:dyDescent="0.25">
      <c r="A16" s="5" t="s">
        <v>174</v>
      </c>
      <c r="B16" s="89">
        <v>482</v>
      </c>
      <c r="C16" s="106" t="s">
        <v>368</v>
      </c>
      <c r="D16" s="89">
        <f t="shared" si="0"/>
        <v>462.72</v>
      </c>
    </row>
    <row r="17" spans="1:4" x14ac:dyDescent="0.25">
      <c r="A17" s="5" t="s">
        <v>370</v>
      </c>
      <c r="B17" s="89">
        <v>94</v>
      </c>
      <c r="C17" s="106" t="s">
        <v>119</v>
      </c>
      <c r="D17" s="89">
        <f t="shared" si="0"/>
        <v>93.06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E1"/>
    </sheetView>
  </sheetViews>
  <sheetFormatPr defaultRowHeight="15" x14ac:dyDescent="0.25"/>
  <cols>
    <col min="1" max="1" width="22.7109375" customWidth="1"/>
    <col min="2" max="2" width="18.140625" customWidth="1"/>
    <col min="3" max="3" width="12.140625" customWidth="1"/>
    <col min="4" max="4" width="17.7109375" customWidth="1"/>
    <col min="5" max="5" width="20.140625" style="145" bestFit="1" customWidth="1"/>
    <col min="7" max="7" width="16.5703125" customWidth="1"/>
    <col min="8" max="8" width="16.7109375" customWidth="1"/>
    <col min="9" max="9" width="12" customWidth="1"/>
  </cols>
  <sheetData>
    <row r="1" spans="1:9" ht="31.5" x14ac:dyDescent="0.25">
      <c r="A1" s="218" t="s">
        <v>371</v>
      </c>
      <c r="B1" s="218"/>
      <c r="C1" s="218"/>
      <c r="D1" s="218"/>
      <c r="E1" s="218"/>
      <c r="F1" s="152"/>
    </row>
    <row r="2" spans="1:9" ht="37.5" x14ac:dyDescent="0.25">
      <c r="A2" s="153" t="s">
        <v>372</v>
      </c>
      <c r="B2" s="154" t="s">
        <v>373</v>
      </c>
      <c r="C2" s="153" t="s">
        <v>111</v>
      </c>
      <c r="D2" s="153" t="s">
        <v>374</v>
      </c>
      <c r="E2" s="155" t="s">
        <v>375</v>
      </c>
      <c r="G2" s="156" t="s">
        <v>381</v>
      </c>
      <c r="H2" s="155">
        <v>100</v>
      </c>
    </row>
    <row r="3" spans="1:9" x14ac:dyDescent="0.25">
      <c r="A3" s="5" t="s">
        <v>59</v>
      </c>
      <c r="B3" s="100">
        <v>38046</v>
      </c>
      <c r="C3" s="157">
        <f ca="1">(TODAY()-B3)/365</f>
        <v>16.336986301369862</v>
      </c>
      <c r="D3" s="43" t="str">
        <f ca="1">IF(C3&gt;=100,$H$10,IF(C3&gt;65,$H$9,IF(C3&gt;18,$H$8,IF(C3&gt;12,$H$7,IF(C3&gt;1,$H$6,IF(C3&gt;0,$H$5,$H$4))))))</f>
        <v>Adolescente</v>
      </c>
      <c r="E3" s="89">
        <f ca="1">IF(D3=$H$6,$H$2-($H$2*$I$6),IF(D3=$H$7,$H$2-($H$2*$I$7),IF(D3=$H$8,$H$2,IF(D3=$H$9,$H$2-($H$2*$I$9),$H$2*0))))</f>
        <v>80</v>
      </c>
    </row>
    <row r="4" spans="1:9" x14ac:dyDescent="0.25">
      <c r="A4" s="5" t="s">
        <v>214</v>
      </c>
      <c r="B4" s="100">
        <v>18264</v>
      </c>
      <c r="C4" s="157">
        <f t="shared" ref="C4:C12" ca="1" si="0">(TODAY()-B4)/365</f>
        <v>70.534246575342465</v>
      </c>
      <c r="D4" s="43" t="str">
        <f t="shared" ref="D4:D12" ca="1" si="1">IF(C4&gt;=100,$H$10,IF(C4&gt;65,$H$9,IF(C4&gt;18,$H$8,IF(C4&gt;12,$H$7,IF(C4&gt;1,$H$6,IF(C4&gt;0,$H$5,$H$4))))))</f>
        <v>Idoso</v>
      </c>
      <c r="E4" s="89">
        <f t="shared" ref="E4:E12" ca="1" si="2">IF(D4=$H$6,$H$2-($H$2*$I$6),IF(D4=$H$7,$H$2-($H$2*$I$7),IF(D4=$H$8,$H$2,IF(D4=$H$9,$H$2-($H$2*$I$9),$H$2*0))))</f>
        <v>10</v>
      </c>
      <c r="G4" s="5" t="s">
        <v>382</v>
      </c>
      <c r="H4" s="5" t="s">
        <v>383</v>
      </c>
      <c r="I4" s="148">
        <v>1</v>
      </c>
    </row>
    <row r="5" spans="1:9" x14ac:dyDescent="0.25">
      <c r="A5" s="5" t="s">
        <v>376</v>
      </c>
      <c r="B5" s="100">
        <v>5967</v>
      </c>
      <c r="C5" s="157">
        <f t="shared" ca="1" si="0"/>
        <v>104.22465753424657</v>
      </c>
      <c r="D5" s="43" t="str">
        <f t="shared" ca="1" si="1"/>
        <v>Ancião</v>
      </c>
      <c r="E5" s="89">
        <f t="shared" ca="1" si="2"/>
        <v>0</v>
      </c>
      <c r="G5" s="5" t="s">
        <v>386</v>
      </c>
      <c r="H5" s="5" t="s">
        <v>384</v>
      </c>
      <c r="I5" s="148">
        <v>1</v>
      </c>
    </row>
    <row r="6" spans="1:9" x14ac:dyDescent="0.25">
      <c r="A6" s="5" t="s">
        <v>58</v>
      </c>
      <c r="B6" s="100">
        <v>28947</v>
      </c>
      <c r="C6" s="157">
        <f t="shared" ca="1" si="0"/>
        <v>41.265753424657532</v>
      </c>
      <c r="D6" s="43" t="str">
        <f t="shared" ca="1" si="1"/>
        <v>Adulto</v>
      </c>
      <c r="E6" s="89">
        <f t="shared" ca="1" si="2"/>
        <v>100</v>
      </c>
      <c r="G6" s="5" t="s">
        <v>385</v>
      </c>
      <c r="H6" s="5" t="s">
        <v>387</v>
      </c>
      <c r="I6" s="148">
        <v>0.5</v>
      </c>
    </row>
    <row r="7" spans="1:9" x14ac:dyDescent="0.25">
      <c r="A7" s="5" t="s">
        <v>62</v>
      </c>
      <c r="B7" s="100">
        <v>14864</v>
      </c>
      <c r="C7" s="157">
        <f t="shared" ca="1" si="0"/>
        <v>79.849315068493155</v>
      </c>
      <c r="D7" s="43" t="str">
        <f t="shared" ca="1" si="1"/>
        <v>Idoso</v>
      </c>
      <c r="E7" s="89">
        <f t="shared" ca="1" si="2"/>
        <v>10</v>
      </c>
      <c r="G7" s="5" t="s">
        <v>388</v>
      </c>
      <c r="H7" s="5" t="s">
        <v>389</v>
      </c>
      <c r="I7" s="148">
        <v>0.2</v>
      </c>
    </row>
    <row r="8" spans="1:9" x14ac:dyDescent="0.25">
      <c r="A8" s="5" t="s">
        <v>377</v>
      </c>
      <c r="B8" s="100">
        <v>3897</v>
      </c>
      <c r="C8" s="157">
        <f t="shared" ca="1" si="0"/>
        <v>109.8958904109589</v>
      </c>
      <c r="D8" s="43" t="str">
        <f t="shared" ca="1" si="1"/>
        <v>Ancião</v>
      </c>
      <c r="E8" s="89">
        <f t="shared" ca="1" si="2"/>
        <v>0</v>
      </c>
      <c r="G8" s="5" t="s">
        <v>390</v>
      </c>
      <c r="H8" s="5" t="s">
        <v>391</v>
      </c>
      <c r="I8" s="148">
        <v>0</v>
      </c>
    </row>
    <row r="9" spans="1:9" x14ac:dyDescent="0.25">
      <c r="A9" s="5" t="s">
        <v>378</v>
      </c>
      <c r="B9" s="100">
        <v>33217</v>
      </c>
      <c r="C9" s="157">
        <f t="shared" ca="1" si="0"/>
        <v>29.567123287671233</v>
      </c>
      <c r="D9" s="43" t="str">
        <f t="shared" ca="1" si="1"/>
        <v>Adulto</v>
      </c>
      <c r="E9" s="89">
        <f t="shared" ca="1" si="2"/>
        <v>100</v>
      </c>
      <c r="G9" s="5" t="s">
        <v>392</v>
      </c>
      <c r="H9" s="5" t="s">
        <v>393</v>
      </c>
      <c r="I9" s="148">
        <v>0.9</v>
      </c>
    </row>
    <row r="10" spans="1:9" x14ac:dyDescent="0.25">
      <c r="A10" s="5" t="s">
        <v>379</v>
      </c>
      <c r="B10" s="100">
        <v>36526</v>
      </c>
      <c r="C10" s="157">
        <f t="shared" ca="1" si="0"/>
        <v>20.5013698630137</v>
      </c>
      <c r="D10" s="43" t="str">
        <f t="shared" ca="1" si="1"/>
        <v>Adulto</v>
      </c>
      <c r="E10" s="89">
        <f t="shared" ca="1" si="2"/>
        <v>100</v>
      </c>
      <c r="G10" s="5" t="s">
        <v>394</v>
      </c>
      <c r="H10" s="5" t="s">
        <v>395</v>
      </c>
      <c r="I10" s="148">
        <v>1</v>
      </c>
    </row>
    <row r="11" spans="1:9" x14ac:dyDescent="0.25">
      <c r="A11" s="5" t="s">
        <v>380</v>
      </c>
      <c r="B11" s="100">
        <v>29484</v>
      </c>
      <c r="C11" s="157">
        <f t="shared" ca="1" si="0"/>
        <v>39.794520547945204</v>
      </c>
      <c r="D11" s="43" t="str">
        <f t="shared" ca="1" si="1"/>
        <v>Adulto</v>
      </c>
      <c r="E11" s="89">
        <f t="shared" ca="1" si="2"/>
        <v>100</v>
      </c>
    </row>
    <row r="12" spans="1:9" x14ac:dyDescent="0.25">
      <c r="A12" s="5" t="s">
        <v>370</v>
      </c>
      <c r="B12" s="100">
        <v>42588</v>
      </c>
      <c r="C12" s="157">
        <f t="shared" ca="1" si="0"/>
        <v>3.893150684931507</v>
      </c>
      <c r="D12" s="43" t="str">
        <f t="shared" ca="1" si="1"/>
        <v>Criança</v>
      </c>
      <c r="E12" s="89">
        <f t="shared" ca="1" si="2"/>
        <v>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" x14ac:dyDescent="0.25"/>
  <cols>
    <col min="1" max="1" width="17.42578125" bestFit="1" customWidth="1"/>
    <col min="2" max="2" width="9.140625" style="1"/>
    <col min="3" max="3" width="30.28515625" style="1" customWidth="1"/>
  </cols>
  <sheetData>
    <row r="1" spans="1:6" ht="18.75" x14ac:dyDescent="0.4">
      <c r="A1" s="160" t="s">
        <v>160</v>
      </c>
      <c r="B1" s="160" t="s">
        <v>396</v>
      </c>
      <c r="C1" s="160" t="s">
        <v>397</v>
      </c>
    </row>
    <row r="2" spans="1:6" x14ac:dyDescent="0.25">
      <c r="A2" s="5" t="s">
        <v>58</v>
      </c>
      <c r="B2" s="140" t="s">
        <v>398</v>
      </c>
      <c r="C2" s="140">
        <f>IF(B2=$E$7,$F$7,IF(B2=$E$8,$F$8,IF(B2=$E$9,$F$9,IF(B2=$E$10,$F$10,IF(B2=$E$11,$F$11,IF(B2=$E$12,$F$12,"Indique a sala CORRETA"))))))</f>
        <v>10</v>
      </c>
    </row>
    <row r="3" spans="1:6" x14ac:dyDescent="0.25">
      <c r="A3" s="5" t="s">
        <v>399</v>
      </c>
      <c r="B3" s="140" t="s">
        <v>400</v>
      </c>
      <c r="C3" s="140">
        <f t="shared" ref="C3:C14" si="0">IF(B3=$E$7,$F$7,IF(B3=$E$8,$F$8,IF(B3=$E$9,$F$9,IF(B3=$E$10,$F$10,IF(B3=$E$11,$F$11,IF(B3=$E$12,$F$12,"Indique a sala CORRETA"))))))</f>
        <v>18</v>
      </c>
    </row>
    <row r="4" spans="1:6" x14ac:dyDescent="0.25">
      <c r="A4" s="5" t="s">
        <v>378</v>
      </c>
      <c r="B4" s="140" t="s">
        <v>401</v>
      </c>
      <c r="C4" s="140">
        <f t="shared" si="0"/>
        <v>17</v>
      </c>
    </row>
    <row r="5" spans="1:6" x14ac:dyDescent="0.25">
      <c r="A5" s="5" t="s">
        <v>62</v>
      </c>
      <c r="B5" s="140" t="s">
        <v>402</v>
      </c>
      <c r="C5" s="140">
        <f t="shared" si="0"/>
        <v>22</v>
      </c>
    </row>
    <row r="6" spans="1:6" ht="15.75" x14ac:dyDescent="0.25">
      <c r="A6" s="5" t="s">
        <v>59</v>
      </c>
      <c r="B6" s="140" t="s">
        <v>402</v>
      </c>
      <c r="C6" s="140">
        <f t="shared" si="0"/>
        <v>22</v>
      </c>
      <c r="E6" s="219" t="s">
        <v>411</v>
      </c>
      <c r="F6" s="219"/>
    </row>
    <row r="7" spans="1:6" x14ac:dyDescent="0.25">
      <c r="A7" s="5" t="s">
        <v>380</v>
      </c>
      <c r="B7" s="140" t="s">
        <v>401</v>
      </c>
      <c r="C7" s="140">
        <f t="shared" si="0"/>
        <v>17</v>
      </c>
      <c r="E7" s="159" t="s">
        <v>398</v>
      </c>
      <c r="F7" s="159">
        <v>10</v>
      </c>
    </row>
    <row r="8" spans="1:6" x14ac:dyDescent="0.25">
      <c r="A8" s="5" t="s">
        <v>403</v>
      </c>
      <c r="B8" s="140" t="s">
        <v>404</v>
      </c>
      <c r="C8" s="140">
        <f t="shared" si="0"/>
        <v>2</v>
      </c>
      <c r="E8" s="43" t="s">
        <v>400</v>
      </c>
      <c r="F8" s="43">
        <v>18</v>
      </c>
    </row>
    <row r="9" spans="1:6" x14ac:dyDescent="0.25">
      <c r="A9" s="5" t="s">
        <v>377</v>
      </c>
      <c r="B9" s="140" t="s">
        <v>398</v>
      </c>
      <c r="C9" s="140">
        <f t="shared" si="0"/>
        <v>10</v>
      </c>
      <c r="E9" s="159" t="s">
        <v>401</v>
      </c>
      <c r="F9" s="159">
        <v>17</v>
      </c>
    </row>
    <row r="10" spans="1:6" x14ac:dyDescent="0.25">
      <c r="A10" s="5" t="s">
        <v>405</v>
      </c>
      <c r="B10" s="140" t="s">
        <v>400</v>
      </c>
      <c r="C10" s="140">
        <f t="shared" si="0"/>
        <v>18</v>
      </c>
      <c r="E10" s="43" t="s">
        <v>402</v>
      </c>
      <c r="F10" s="43">
        <v>22</v>
      </c>
    </row>
    <row r="11" spans="1:6" x14ac:dyDescent="0.25">
      <c r="A11" s="5" t="s">
        <v>406</v>
      </c>
      <c r="B11" s="140" t="s">
        <v>398</v>
      </c>
      <c r="C11" s="140">
        <f t="shared" si="0"/>
        <v>10</v>
      </c>
      <c r="E11" s="159" t="s">
        <v>404</v>
      </c>
      <c r="F11" s="159">
        <v>2</v>
      </c>
    </row>
    <row r="12" spans="1:6" x14ac:dyDescent="0.25">
      <c r="A12" s="5" t="s">
        <v>407</v>
      </c>
      <c r="B12" s="140" t="s">
        <v>400</v>
      </c>
      <c r="C12" s="140">
        <f t="shared" si="0"/>
        <v>18</v>
      </c>
      <c r="E12" s="43" t="s">
        <v>409</v>
      </c>
      <c r="F12" s="43">
        <v>30</v>
      </c>
    </row>
    <row r="13" spans="1:6" x14ac:dyDescent="0.25">
      <c r="A13" s="5" t="s">
        <v>408</v>
      </c>
      <c r="B13" s="140" t="s">
        <v>409</v>
      </c>
      <c r="C13" s="140">
        <f t="shared" si="0"/>
        <v>30</v>
      </c>
    </row>
    <row r="14" spans="1:6" x14ac:dyDescent="0.25">
      <c r="A14" s="5" t="s">
        <v>410</v>
      </c>
      <c r="B14" s="140" t="s">
        <v>398</v>
      </c>
      <c r="C14" s="140">
        <f t="shared" si="0"/>
        <v>10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B4" workbookViewId="0">
      <selection activeCell="B6" sqref="B6"/>
    </sheetView>
  </sheetViews>
  <sheetFormatPr defaultRowHeight="15" x14ac:dyDescent="0.25"/>
  <cols>
    <col min="1" max="1" width="18.140625" bestFit="1" customWidth="1"/>
    <col min="2" max="2" width="15.140625" customWidth="1"/>
    <col min="3" max="3" width="18.7109375" customWidth="1"/>
    <col min="4" max="4" width="23.5703125" customWidth="1"/>
    <col min="5" max="5" width="20.42578125" customWidth="1"/>
  </cols>
  <sheetData>
    <row r="1" spans="1:5" ht="28.5" x14ac:dyDescent="0.45">
      <c r="A1" s="221" t="s">
        <v>412</v>
      </c>
      <c r="B1" s="221"/>
      <c r="C1" s="221"/>
      <c r="D1" s="221"/>
      <c r="E1" s="221"/>
    </row>
    <row r="2" spans="1:5" ht="18.75" x14ac:dyDescent="0.3">
      <c r="A2" s="222" t="s">
        <v>2</v>
      </c>
      <c r="B2" s="222"/>
      <c r="C2" s="222"/>
      <c r="D2" s="222"/>
      <c r="E2" s="222"/>
    </row>
    <row r="4" spans="1:5" x14ac:dyDescent="0.25">
      <c r="B4" s="161" t="s">
        <v>413</v>
      </c>
      <c r="D4" s="161" t="s">
        <v>416</v>
      </c>
      <c r="E4" s="161" t="s">
        <v>417</v>
      </c>
    </row>
    <row r="5" spans="1:5" x14ac:dyDescent="0.25">
      <c r="A5" s="5" t="s">
        <v>414</v>
      </c>
      <c r="B5" s="162">
        <v>1000</v>
      </c>
      <c r="D5" s="164">
        <f>VLOOKUP($B$5,C12:E14,2,TRUE)</f>
        <v>0.15</v>
      </c>
      <c r="E5" s="164">
        <f>VLOOKUP($B$5,C12:E14,3)</f>
        <v>0.09</v>
      </c>
    </row>
    <row r="6" spans="1:5" x14ac:dyDescent="0.25">
      <c r="A6" s="5" t="s">
        <v>415</v>
      </c>
      <c r="B6" s="89">
        <f>D6+E6</f>
        <v>240</v>
      </c>
      <c r="D6" s="165">
        <f>B5*D5</f>
        <v>150</v>
      </c>
      <c r="E6" s="165">
        <f>$B$5*E5</f>
        <v>90</v>
      </c>
    </row>
    <row r="7" spans="1:5" x14ac:dyDescent="0.25">
      <c r="A7" s="5" t="s">
        <v>422</v>
      </c>
      <c r="B7" s="91">
        <f>B5-B6</f>
        <v>760</v>
      </c>
    </row>
    <row r="10" spans="1:5" x14ac:dyDescent="0.25">
      <c r="C10" s="220" t="s">
        <v>418</v>
      </c>
      <c r="D10" s="220"/>
      <c r="E10" s="220"/>
    </row>
    <row r="11" spans="1:5" x14ac:dyDescent="0.25">
      <c r="C11" s="163" t="s">
        <v>419</v>
      </c>
      <c r="D11" s="163" t="s">
        <v>420</v>
      </c>
      <c r="E11" s="163" t="s">
        <v>421</v>
      </c>
    </row>
    <row r="12" spans="1:5" x14ac:dyDescent="0.25">
      <c r="C12" s="89">
        <v>0</v>
      </c>
      <c r="D12" s="148">
        <v>0</v>
      </c>
      <c r="E12" s="148">
        <v>0.08</v>
      </c>
    </row>
    <row r="13" spans="1:5" x14ac:dyDescent="0.25">
      <c r="C13" s="89">
        <v>900</v>
      </c>
      <c r="D13" s="148">
        <v>0.15</v>
      </c>
      <c r="E13" s="148">
        <v>0.09</v>
      </c>
    </row>
    <row r="14" spans="1:5" x14ac:dyDescent="0.25">
      <c r="C14" s="89">
        <v>1800</v>
      </c>
      <c r="D14" s="148">
        <v>0.25</v>
      </c>
      <c r="E14" s="148">
        <v>0.1</v>
      </c>
    </row>
  </sheetData>
  <mergeCells count="3">
    <mergeCell ref="C10:E10"/>
    <mergeCell ref="A1:E1"/>
    <mergeCell ref="A2:E2"/>
  </mergeCells>
  <hyperlinks>
    <hyperlink ref="A2" r:id="rId1"/>
  </hyperlink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I1" workbookViewId="0">
      <selection activeCell="M13" sqref="M13"/>
    </sheetView>
  </sheetViews>
  <sheetFormatPr defaultRowHeight="15" x14ac:dyDescent="0.25"/>
  <cols>
    <col min="1" max="1" width="3.42578125" customWidth="1"/>
    <col min="2" max="2" width="35.28515625" customWidth="1"/>
    <col min="3" max="8" width="12.7109375" customWidth="1"/>
    <col min="9" max="9" width="16.85546875" customWidth="1"/>
    <col min="12" max="12" width="9.7109375" customWidth="1"/>
    <col min="13" max="13" width="11.42578125" bestFit="1" customWidth="1"/>
  </cols>
  <sheetData>
    <row r="1" spans="1:13" ht="24.75" x14ac:dyDescent="0.25">
      <c r="A1" s="223" t="s">
        <v>439</v>
      </c>
      <c r="B1" s="224"/>
      <c r="C1" s="224"/>
      <c r="D1" s="224"/>
      <c r="E1" s="224"/>
      <c r="F1" s="224"/>
      <c r="G1" s="224"/>
      <c r="H1" s="224"/>
      <c r="I1" s="225"/>
    </row>
    <row r="2" spans="1:13" x14ac:dyDescent="0.25">
      <c r="A2" s="167" t="s">
        <v>423</v>
      </c>
      <c r="B2" s="167" t="s">
        <v>51</v>
      </c>
      <c r="C2" s="167" t="s">
        <v>161</v>
      </c>
      <c r="D2" s="167" t="s">
        <v>162</v>
      </c>
      <c r="E2" s="167" t="s">
        <v>163</v>
      </c>
      <c r="F2" s="167" t="s">
        <v>164</v>
      </c>
      <c r="G2" s="167" t="s">
        <v>151</v>
      </c>
      <c r="H2" s="167" t="s">
        <v>424</v>
      </c>
      <c r="I2" s="167" t="s">
        <v>425</v>
      </c>
      <c r="L2" s="226" t="s">
        <v>440</v>
      </c>
      <c r="M2" s="227"/>
    </row>
    <row r="3" spans="1:13" x14ac:dyDescent="0.25">
      <c r="A3" s="5">
        <v>1</v>
      </c>
      <c r="B3" s="44" t="s">
        <v>426</v>
      </c>
      <c r="C3" s="43">
        <v>2</v>
      </c>
      <c r="D3" s="43">
        <v>2</v>
      </c>
      <c r="E3" s="43">
        <v>2</v>
      </c>
      <c r="F3" s="43">
        <v>2</v>
      </c>
      <c r="G3" s="43">
        <f>AVERAGE(C3:F3)</f>
        <v>2</v>
      </c>
      <c r="H3" s="43" t="str">
        <f>VLOOKUP(G3,$L$4:$M$8,2)</f>
        <v>E</v>
      </c>
      <c r="I3" s="43" t="str">
        <f>IF(G3&gt;=$L$7,"Aprovado(a)",IF(G3&lt;$L$6,"Reprovado(a)","Recuperação"))</f>
        <v>Reprovado(a)</v>
      </c>
      <c r="L3" s="166" t="s">
        <v>151</v>
      </c>
      <c r="M3" s="166" t="s">
        <v>424</v>
      </c>
    </row>
    <row r="4" spans="1:13" x14ac:dyDescent="0.25">
      <c r="A4" s="5">
        <v>2</v>
      </c>
      <c r="B4" s="44" t="s">
        <v>427</v>
      </c>
      <c r="C4" s="43">
        <v>8</v>
      </c>
      <c r="D4" s="43">
        <v>7.9</v>
      </c>
      <c r="E4" s="43">
        <v>5</v>
      </c>
      <c r="F4" s="43">
        <v>6.5</v>
      </c>
      <c r="G4" s="157">
        <f t="shared" ref="G4:G17" si="0">AVERAGE(C4:F4)</f>
        <v>6.85</v>
      </c>
      <c r="H4" s="43" t="str">
        <f t="shared" ref="H4:H17" si="1">VLOOKUP(G4,$L$4:$M$8,2)</f>
        <v>C</v>
      </c>
      <c r="I4" s="43" t="str">
        <f t="shared" ref="I4:I17" si="2">IF(G4&gt;=$L$7,"Aprovado(a)",IF(G4&lt;$L$6,"Reprovado(a)","Recuperação"))</f>
        <v>Recuperação</v>
      </c>
      <c r="L4" s="43">
        <v>0</v>
      </c>
      <c r="M4" s="43" t="s">
        <v>404</v>
      </c>
    </row>
    <row r="5" spans="1:13" x14ac:dyDescent="0.25">
      <c r="A5" s="5">
        <v>3</v>
      </c>
      <c r="B5" s="44" t="s">
        <v>428</v>
      </c>
      <c r="C5" s="43">
        <v>8.4</v>
      </c>
      <c r="D5" s="43">
        <v>7.3</v>
      </c>
      <c r="E5" s="43">
        <v>8.1</v>
      </c>
      <c r="F5" s="43">
        <v>6.7</v>
      </c>
      <c r="G5" s="157">
        <f t="shared" si="0"/>
        <v>7.6249999999999991</v>
      </c>
      <c r="H5" s="43" t="str">
        <f t="shared" si="1"/>
        <v>B</v>
      </c>
      <c r="I5" s="43" t="str">
        <f t="shared" si="2"/>
        <v>Aprovado(a)</v>
      </c>
      <c r="L5" s="43">
        <v>2.5</v>
      </c>
      <c r="M5" s="43" t="s">
        <v>402</v>
      </c>
    </row>
    <row r="6" spans="1:13" x14ac:dyDescent="0.25">
      <c r="A6" s="5">
        <v>4</v>
      </c>
      <c r="B6" s="44" t="s">
        <v>429</v>
      </c>
      <c r="C6" s="43">
        <v>9</v>
      </c>
      <c r="D6" s="43">
        <v>5.75</v>
      </c>
      <c r="E6" s="43">
        <v>8</v>
      </c>
      <c r="F6" s="43">
        <v>7.5</v>
      </c>
      <c r="G6" s="157">
        <f t="shared" si="0"/>
        <v>7.5625</v>
      </c>
      <c r="H6" s="43" t="str">
        <f t="shared" si="1"/>
        <v>B</v>
      </c>
      <c r="I6" s="43" t="str">
        <f t="shared" si="2"/>
        <v>Aprovado(a)</v>
      </c>
      <c r="L6" s="43">
        <v>5</v>
      </c>
      <c r="M6" s="43" t="s">
        <v>401</v>
      </c>
    </row>
    <row r="7" spans="1:13" x14ac:dyDescent="0.25">
      <c r="A7" s="5">
        <v>5</v>
      </c>
      <c r="B7" s="44" t="s">
        <v>430</v>
      </c>
      <c r="C7" s="43">
        <v>9.3000000000000007</v>
      </c>
      <c r="D7" s="43">
        <v>6.25</v>
      </c>
      <c r="E7" s="43">
        <v>7.75</v>
      </c>
      <c r="F7" s="43">
        <v>8.75</v>
      </c>
      <c r="G7" s="168">
        <f t="shared" si="0"/>
        <v>8.0124999999999993</v>
      </c>
      <c r="H7" s="43" t="str">
        <f t="shared" si="1"/>
        <v>B</v>
      </c>
      <c r="I7" s="43" t="str">
        <f t="shared" si="2"/>
        <v>Aprovado(a)</v>
      </c>
      <c r="L7" s="43">
        <v>7.5</v>
      </c>
      <c r="M7" s="43" t="s">
        <v>400</v>
      </c>
    </row>
    <row r="8" spans="1:13" x14ac:dyDescent="0.25">
      <c r="A8" s="5">
        <v>6</v>
      </c>
      <c r="B8" s="44" t="s">
        <v>431</v>
      </c>
      <c r="C8" s="43">
        <v>10</v>
      </c>
      <c r="D8" s="43">
        <v>10</v>
      </c>
      <c r="E8" s="43">
        <v>10</v>
      </c>
      <c r="F8" s="43">
        <v>10</v>
      </c>
      <c r="G8" s="43">
        <f t="shared" si="0"/>
        <v>10</v>
      </c>
      <c r="H8" s="43" t="str">
        <f t="shared" si="1"/>
        <v>A</v>
      </c>
      <c r="I8" s="43" t="str">
        <f t="shared" si="2"/>
        <v>Aprovado(a)</v>
      </c>
      <c r="L8" s="43">
        <v>9</v>
      </c>
      <c r="M8" s="43" t="s">
        <v>398</v>
      </c>
    </row>
    <row r="9" spans="1:13" x14ac:dyDescent="0.25">
      <c r="A9" s="5">
        <v>7</v>
      </c>
      <c r="B9" s="44" t="s">
        <v>432</v>
      </c>
      <c r="C9" s="43">
        <v>2.9</v>
      </c>
      <c r="D9" s="43">
        <v>3.9</v>
      </c>
      <c r="E9" s="43">
        <v>2.2999999999999998</v>
      </c>
      <c r="F9" s="43">
        <v>3.7</v>
      </c>
      <c r="G9" s="157">
        <f t="shared" si="0"/>
        <v>3.2</v>
      </c>
      <c r="H9" s="43" t="str">
        <f t="shared" si="1"/>
        <v>D</v>
      </c>
      <c r="I9" s="43" t="str">
        <f t="shared" si="2"/>
        <v>Reprovado(a)</v>
      </c>
    </row>
    <row r="10" spans="1:13" x14ac:dyDescent="0.25">
      <c r="A10" s="5">
        <v>8</v>
      </c>
      <c r="B10" s="44" t="s">
        <v>59</v>
      </c>
      <c r="C10" s="43">
        <v>5.2</v>
      </c>
      <c r="D10" s="43">
        <v>5</v>
      </c>
      <c r="E10" s="43">
        <v>4.8</v>
      </c>
      <c r="F10" s="43">
        <v>5</v>
      </c>
      <c r="G10" s="43">
        <f t="shared" si="0"/>
        <v>5</v>
      </c>
      <c r="H10" s="43" t="str">
        <f t="shared" si="1"/>
        <v>C</v>
      </c>
      <c r="I10" s="43" t="str">
        <f t="shared" si="2"/>
        <v>Recuperação</v>
      </c>
    </row>
    <row r="11" spans="1:13" x14ac:dyDescent="0.25">
      <c r="A11" s="5">
        <v>9</v>
      </c>
      <c r="B11" s="44" t="s">
        <v>58</v>
      </c>
      <c r="C11" s="43">
        <v>6.8</v>
      </c>
      <c r="D11" s="43">
        <v>5.7</v>
      </c>
      <c r="E11" s="43">
        <v>5.2</v>
      </c>
      <c r="F11" s="43">
        <v>4</v>
      </c>
      <c r="G11" s="157">
        <f t="shared" si="0"/>
        <v>5.4249999999999998</v>
      </c>
      <c r="H11" s="43" t="str">
        <f t="shared" si="1"/>
        <v>C</v>
      </c>
      <c r="I11" s="43" t="str">
        <f t="shared" si="2"/>
        <v>Recuperação</v>
      </c>
      <c r="L11" s="228" t="s">
        <v>441</v>
      </c>
      <c r="M11" s="228"/>
    </row>
    <row r="12" spans="1:13" x14ac:dyDescent="0.25">
      <c r="A12" s="5">
        <v>10</v>
      </c>
      <c r="B12" s="44" t="s">
        <v>433</v>
      </c>
      <c r="C12" s="43">
        <v>5</v>
      </c>
      <c r="D12" s="43">
        <v>4</v>
      </c>
      <c r="E12" s="43">
        <v>4</v>
      </c>
      <c r="F12" s="43">
        <v>3</v>
      </c>
      <c r="G12" s="43">
        <f t="shared" si="0"/>
        <v>4</v>
      </c>
      <c r="H12" s="43" t="str">
        <f t="shared" si="1"/>
        <v>D</v>
      </c>
      <c r="I12" s="43" t="str">
        <f t="shared" si="2"/>
        <v>Reprovado(a)</v>
      </c>
      <c r="L12" s="166" t="s">
        <v>424</v>
      </c>
      <c r="M12" s="166" t="s">
        <v>267</v>
      </c>
    </row>
    <row r="13" spans="1:13" x14ac:dyDescent="0.25">
      <c r="A13" s="5">
        <v>11</v>
      </c>
      <c r="B13" s="44" t="s">
        <v>434</v>
      </c>
      <c r="C13" s="43">
        <v>10</v>
      </c>
      <c r="D13" s="43">
        <v>7</v>
      </c>
      <c r="E13" s="43">
        <v>8</v>
      </c>
      <c r="F13" s="43">
        <v>9</v>
      </c>
      <c r="G13" s="157">
        <f t="shared" si="0"/>
        <v>8.5</v>
      </c>
      <c r="H13" s="43" t="str">
        <f t="shared" si="1"/>
        <v>B</v>
      </c>
      <c r="I13" s="43" t="str">
        <f t="shared" si="2"/>
        <v>Aprovado(a)</v>
      </c>
      <c r="L13" s="43" t="s">
        <v>404</v>
      </c>
      <c r="M13" s="43"/>
    </row>
    <row r="14" spans="1:13" x14ac:dyDescent="0.25">
      <c r="A14" s="5">
        <v>12</v>
      </c>
      <c r="B14" s="44" t="s">
        <v>435</v>
      </c>
      <c r="C14" s="43">
        <v>7.3</v>
      </c>
      <c r="D14" s="43">
        <v>8</v>
      </c>
      <c r="E14" s="43">
        <v>9.5</v>
      </c>
      <c r="F14" s="43">
        <v>8.3000000000000007</v>
      </c>
      <c r="G14" s="157">
        <f t="shared" si="0"/>
        <v>8.2750000000000004</v>
      </c>
      <c r="H14" s="43" t="str">
        <f t="shared" si="1"/>
        <v>B</v>
      </c>
      <c r="I14" s="43" t="str">
        <f t="shared" si="2"/>
        <v>Aprovado(a)</v>
      </c>
      <c r="L14" s="43" t="s">
        <v>402</v>
      </c>
      <c r="M14" s="43"/>
    </row>
    <row r="15" spans="1:13" x14ac:dyDescent="0.25">
      <c r="A15" s="5">
        <v>13</v>
      </c>
      <c r="B15" s="44" t="s">
        <v>436</v>
      </c>
      <c r="C15" s="43">
        <v>3.5</v>
      </c>
      <c r="D15" s="43">
        <v>4.5</v>
      </c>
      <c r="E15" s="43">
        <v>5.5</v>
      </c>
      <c r="F15" s="43">
        <v>6.5</v>
      </c>
      <c r="G15" s="43">
        <f t="shared" si="0"/>
        <v>5</v>
      </c>
      <c r="H15" s="43" t="str">
        <f t="shared" si="1"/>
        <v>C</v>
      </c>
      <c r="I15" s="43" t="str">
        <f t="shared" si="2"/>
        <v>Recuperação</v>
      </c>
      <c r="L15" s="43" t="s">
        <v>401</v>
      </c>
      <c r="M15" s="43"/>
    </row>
    <row r="16" spans="1:13" x14ac:dyDescent="0.25">
      <c r="A16" s="5">
        <v>14</v>
      </c>
      <c r="B16" s="44" t="s">
        <v>437</v>
      </c>
      <c r="C16" s="43">
        <v>3.6</v>
      </c>
      <c r="D16" s="43">
        <v>4.5</v>
      </c>
      <c r="E16" s="43">
        <v>6.3</v>
      </c>
      <c r="F16" s="43">
        <v>3.5</v>
      </c>
      <c r="G16" s="157">
        <f t="shared" si="0"/>
        <v>4.4749999999999996</v>
      </c>
      <c r="H16" s="43" t="str">
        <f t="shared" si="1"/>
        <v>D</v>
      </c>
      <c r="I16" s="43" t="str">
        <f t="shared" si="2"/>
        <v>Reprovado(a)</v>
      </c>
      <c r="L16" s="43" t="s">
        <v>400</v>
      </c>
      <c r="M16" s="43"/>
    </row>
    <row r="17" spans="1:13" x14ac:dyDescent="0.25">
      <c r="A17" s="5">
        <v>15</v>
      </c>
      <c r="B17" s="44" t="s">
        <v>438</v>
      </c>
      <c r="C17" s="43">
        <v>9</v>
      </c>
      <c r="D17" s="43">
        <v>8.6999999999999993</v>
      </c>
      <c r="E17" s="43">
        <v>4.2</v>
      </c>
      <c r="F17" s="43">
        <v>7.8</v>
      </c>
      <c r="G17" s="157">
        <f t="shared" si="0"/>
        <v>7.4249999999999998</v>
      </c>
      <c r="H17" s="43" t="str">
        <f t="shared" si="1"/>
        <v>C</v>
      </c>
      <c r="I17" s="43" t="str">
        <f t="shared" si="2"/>
        <v>Recuperação</v>
      </c>
      <c r="L17" s="43" t="s">
        <v>398</v>
      </c>
      <c r="M17" s="43"/>
    </row>
    <row r="18" spans="1:13" x14ac:dyDescent="0.25">
      <c r="L18" s="107"/>
      <c r="M18" s="107"/>
    </row>
  </sheetData>
  <mergeCells count="3">
    <mergeCell ref="A1:I1"/>
    <mergeCell ref="L2:M2"/>
    <mergeCell ref="L11:M11"/>
  </mergeCells>
  <conditionalFormatting sqref="C3:G17">
    <cfRule type="cellIs" dxfId="5" priority="4" operator="between">
      <formula>$L$6</formula>
      <formula>$L$7</formula>
    </cfRule>
    <cfRule type="cellIs" dxfId="4" priority="5" operator="lessThan">
      <formula>$L$6</formula>
    </cfRule>
    <cfRule type="cellIs" dxfId="3" priority="6" operator="greaterThanOrEqual">
      <formula>$L$7</formula>
    </cfRule>
  </conditionalFormatting>
  <conditionalFormatting sqref="I3:I17">
    <cfRule type="containsText" dxfId="2" priority="1" operator="containsText" text="reprovado">
      <formula>NOT(ISERROR(SEARCH("reprovado",I3)))</formula>
    </cfRule>
    <cfRule type="containsText" dxfId="1" priority="2" operator="containsText" text="recuperação">
      <formula>NOT(ISERROR(SEARCH("recuperação",I3)))</formula>
    </cfRule>
    <cfRule type="containsText" dxfId="0" priority="3" operator="containsText" text="aprovado">
      <formula>NOT(ISERROR(SEARCH("aprovado",I3)))</formula>
    </cfRule>
  </conditionalFormatting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2" width="23.7109375" customWidth="1"/>
    <col min="3" max="3" width="6.28515625" bestFit="1" customWidth="1"/>
    <col min="4" max="4" width="33.5703125" bestFit="1" customWidth="1"/>
    <col min="5" max="5" width="34.7109375" bestFit="1" customWidth="1"/>
    <col min="6" max="6" width="7.85546875" customWidth="1"/>
    <col min="7" max="7" width="40.7109375" bestFit="1" customWidth="1"/>
  </cols>
  <sheetData>
    <row r="1" spans="1:7" ht="18.75" x14ac:dyDescent="0.3">
      <c r="A1" s="238" t="s">
        <v>442</v>
      </c>
      <c r="B1" s="239"/>
      <c r="C1" s="239"/>
      <c r="D1" s="239"/>
      <c r="E1" s="239"/>
      <c r="F1" s="239"/>
      <c r="G1" s="240"/>
    </row>
    <row r="2" spans="1:7" ht="18.75" x14ac:dyDescent="0.4">
      <c r="A2" s="241" t="s">
        <v>443</v>
      </c>
      <c r="B2" s="235" t="s">
        <v>444</v>
      </c>
      <c r="C2" s="235"/>
      <c r="D2" s="234" t="s">
        <v>445</v>
      </c>
      <c r="E2" s="236" t="s">
        <v>446</v>
      </c>
      <c r="F2" s="237"/>
      <c r="G2" s="242" t="s">
        <v>447</v>
      </c>
    </row>
    <row r="3" spans="1:7" x14ac:dyDescent="0.25">
      <c r="A3" s="243" t="s">
        <v>58</v>
      </c>
      <c r="B3" s="12">
        <v>200</v>
      </c>
      <c r="C3" s="231" t="s">
        <v>471</v>
      </c>
      <c r="D3" s="158" t="str">
        <f>VLOOKUP(B3,$A$15:$B$17,2)</f>
        <v>Máximo</v>
      </c>
      <c r="E3" s="12">
        <v>70</v>
      </c>
      <c r="F3" s="233" t="s">
        <v>471</v>
      </c>
      <c r="G3" s="244" t="str">
        <f>VLOOKUP(E3,LDL,2)</f>
        <v>Ótimo</v>
      </c>
    </row>
    <row r="4" spans="1:7" x14ac:dyDescent="0.25">
      <c r="A4" s="243" t="s">
        <v>448</v>
      </c>
      <c r="B4" s="12">
        <v>210</v>
      </c>
      <c r="C4" s="231" t="s">
        <v>471</v>
      </c>
      <c r="D4" s="158" t="str">
        <f t="shared" ref="D4:D12" si="0">VLOOKUP(B4,$A$15:$B$17,2)</f>
        <v>Máximo</v>
      </c>
      <c r="E4" s="12">
        <v>100</v>
      </c>
      <c r="F4" s="233" t="s">
        <v>471</v>
      </c>
      <c r="G4" s="244" t="str">
        <f>VLOOKUP(E4,LDL,2)</f>
        <v>Desejável</v>
      </c>
    </row>
    <row r="5" spans="1:7" x14ac:dyDescent="0.25">
      <c r="A5" s="243" t="s">
        <v>59</v>
      </c>
      <c r="B5" s="12">
        <v>200</v>
      </c>
      <c r="C5" s="231" t="s">
        <v>471</v>
      </c>
      <c r="D5" s="158" t="str">
        <f t="shared" si="0"/>
        <v>Máximo</v>
      </c>
      <c r="E5" s="12">
        <v>120</v>
      </c>
      <c r="F5" s="233" t="s">
        <v>471</v>
      </c>
      <c r="G5" s="244" t="str">
        <f>VLOOKUP(E5,LDL,2)</f>
        <v>Desejável</v>
      </c>
    </row>
    <row r="6" spans="1:7" x14ac:dyDescent="0.25">
      <c r="A6" s="243" t="s">
        <v>449</v>
      </c>
      <c r="B6" s="12">
        <v>250</v>
      </c>
      <c r="C6" s="231" t="s">
        <v>471</v>
      </c>
      <c r="D6" s="158" t="str">
        <f t="shared" si="0"/>
        <v>Alto</v>
      </c>
      <c r="E6" s="12">
        <v>130</v>
      </c>
      <c r="F6" s="233" t="s">
        <v>471</v>
      </c>
      <c r="G6" s="244" t="str">
        <f>VLOOKUP(E6,LDL,2)</f>
        <v>Máximo</v>
      </c>
    </row>
    <row r="7" spans="1:7" x14ac:dyDescent="0.25">
      <c r="A7" s="243" t="s">
        <v>450</v>
      </c>
      <c r="B7" s="12">
        <v>400</v>
      </c>
      <c r="C7" s="231" t="s">
        <v>471</v>
      </c>
      <c r="D7" s="158" t="str">
        <f t="shared" si="0"/>
        <v>Alto</v>
      </c>
      <c r="E7" s="12">
        <v>180</v>
      </c>
      <c r="F7" s="233" t="s">
        <v>471</v>
      </c>
      <c r="G7" s="244" t="str">
        <f>VLOOKUP(E7,LDL,2)</f>
        <v>Alto</v>
      </c>
    </row>
    <row r="8" spans="1:7" x14ac:dyDescent="0.25">
      <c r="A8" s="243" t="s">
        <v>62</v>
      </c>
      <c r="B8" s="12">
        <v>400</v>
      </c>
      <c r="C8" s="231" t="s">
        <v>471</v>
      </c>
      <c r="D8" s="158" t="str">
        <f t="shared" si="0"/>
        <v>Alto</v>
      </c>
      <c r="E8" s="12">
        <v>120</v>
      </c>
      <c r="F8" s="233" t="s">
        <v>471</v>
      </c>
      <c r="G8" s="244" t="str">
        <f>VLOOKUP(E8,LDL,2)</f>
        <v>Desejável</v>
      </c>
    </row>
    <row r="9" spans="1:7" x14ac:dyDescent="0.25">
      <c r="A9" s="243" t="s">
        <v>378</v>
      </c>
      <c r="B9" s="12">
        <v>220</v>
      </c>
      <c r="C9" s="231" t="s">
        <v>471</v>
      </c>
      <c r="D9" s="158" t="str">
        <f t="shared" si="0"/>
        <v>Máximo</v>
      </c>
      <c r="E9" s="12">
        <v>130</v>
      </c>
      <c r="F9" s="233" t="s">
        <v>471</v>
      </c>
      <c r="G9" s="244" t="str">
        <f>VLOOKUP(E9,LDL,2)</f>
        <v>Máximo</v>
      </c>
    </row>
    <row r="10" spans="1:7" x14ac:dyDescent="0.25">
      <c r="A10" s="243" t="s">
        <v>451</v>
      </c>
      <c r="B10" s="12">
        <v>150</v>
      </c>
      <c r="C10" s="231" t="s">
        <v>471</v>
      </c>
      <c r="D10" s="158" t="str">
        <f t="shared" si="0"/>
        <v>Desejável</v>
      </c>
      <c r="E10" s="12">
        <v>50</v>
      </c>
      <c r="F10" s="233" t="s">
        <v>471</v>
      </c>
      <c r="G10" s="244" t="str">
        <f>VLOOKUP(E10,LDL,2)</f>
        <v>Ótimo</v>
      </c>
    </row>
    <row r="11" spans="1:7" x14ac:dyDescent="0.25">
      <c r="A11" s="243" t="s">
        <v>452</v>
      </c>
      <c r="B11" s="12">
        <v>150</v>
      </c>
      <c r="C11" s="231" t="s">
        <v>471</v>
      </c>
      <c r="D11" s="158" t="str">
        <f t="shared" si="0"/>
        <v>Desejável</v>
      </c>
      <c r="E11" s="12">
        <v>130</v>
      </c>
      <c r="F11" s="233" t="s">
        <v>471</v>
      </c>
      <c r="G11" s="244" t="str">
        <f>VLOOKUP(E11,LDL,2)</f>
        <v>Máximo</v>
      </c>
    </row>
    <row r="12" spans="1:7" ht="15.75" thickBot="1" x14ac:dyDescent="0.3">
      <c r="A12" s="245" t="s">
        <v>453</v>
      </c>
      <c r="B12" s="246">
        <v>500</v>
      </c>
      <c r="C12" s="247" t="s">
        <v>471</v>
      </c>
      <c r="D12" s="248" t="str">
        <f t="shared" si="0"/>
        <v>Alto</v>
      </c>
      <c r="E12" s="246">
        <v>250</v>
      </c>
      <c r="F12" s="249" t="s">
        <v>471</v>
      </c>
      <c r="G12" s="250" t="str">
        <f>VLOOKUP(E12,LDL,2)</f>
        <v>Muito Alto</v>
      </c>
    </row>
    <row r="13" spans="1:7" ht="15.75" thickBot="1" x14ac:dyDescent="0.3"/>
    <row r="14" spans="1:7" ht="18.75" x14ac:dyDescent="0.4">
      <c r="A14" s="251" t="s">
        <v>454</v>
      </c>
      <c r="B14" s="252"/>
      <c r="C14" s="229"/>
      <c r="D14" s="259" t="s">
        <v>460</v>
      </c>
      <c r="E14" s="260" t="s">
        <v>461</v>
      </c>
    </row>
    <row r="15" spans="1:7" x14ac:dyDescent="0.25">
      <c r="A15" s="253">
        <v>0</v>
      </c>
      <c r="B15" s="254" t="s">
        <v>455</v>
      </c>
      <c r="C15" s="230"/>
      <c r="D15" s="243" t="s">
        <v>455</v>
      </c>
      <c r="E15" s="261" t="s">
        <v>462</v>
      </c>
    </row>
    <row r="16" spans="1:7" x14ac:dyDescent="0.25">
      <c r="A16" s="253">
        <v>200</v>
      </c>
      <c r="B16" s="254" t="s">
        <v>193</v>
      </c>
      <c r="C16" s="230"/>
      <c r="D16" s="243" t="s">
        <v>193</v>
      </c>
      <c r="E16" s="261" t="s">
        <v>463</v>
      </c>
    </row>
    <row r="17" spans="1:5" ht="15.75" thickBot="1" x14ac:dyDescent="0.3">
      <c r="A17" s="255">
        <v>240</v>
      </c>
      <c r="B17" s="256" t="s">
        <v>456</v>
      </c>
      <c r="C17" s="230"/>
      <c r="D17" s="245" t="s">
        <v>456</v>
      </c>
      <c r="E17" s="262" t="s">
        <v>464</v>
      </c>
    </row>
    <row r="18" spans="1:5" ht="15.75" thickBot="1" x14ac:dyDescent="0.3"/>
    <row r="19" spans="1:5" ht="18.75" x14ac:dyDescent="0.4">
      <c r="A19" s="257" t="s">
        <v>457</v>
      </c>
      <c r="B19" s="258"/>
      <c r="C19" s="229"/>
      <c r="D19" s="259" t="s">
        <v>457</v>
      </c>
      <c r="E19" s="260" t="s">
        <v>465</v>
      </c>
    </row>
    <row r="20" spans="1:5" x14ac:dyDescent="0.25">
      <c r="A20" s="253">
        <v>0</v>
      </c>
      <c r="B20" s="254" t="s">
        <v>458</v>
      </c>
      <c r="C20" s="230"/>
      <c r="D20" s="243" t="s">
        <v>458</v>
      </c>
      <c r="E20" s="261" t="s">
        <v>466</v>
      </c>
    </row>
    <row r="21" spans="1:5" x14ac:dyDescent="0.25">
      <c r="A21" s="253">
        <v>100</v>
      </c>
      <c r="B21" s="254" t="s">
        <v>455</v>
      </c>
      <c r="C21" s="230"/>
      <c r="D21" s="243" t="s">
        <v>455</v>
      </c>
      <c r="E21" s="261" t="s">
        <v>467</v>
      </c>
    </row>
    <row r="22" spans="1:5" x14ac:dyDescent="0.25">
      <c r="A22" s="253">
        <v>130</v>
      </c>
      <c r="B22" s="254" t="s">
        <v>193</v>
      </c>
      <c r="C22" s="230"/>
      <c r="D22" s="243" t="s">
        <v>193</v>
      </c>
      <c r="E22" s="261" t="s">
        <v>468</v>
      </c>
    </row>
    <row r="23" spans="1:5" x14ac:dyDescent="0.25">
      <c r="A23" s="253">
        <v>160</v>
      </c>
      <c r="B23" s="254" t="s">
        <v>456</v>
      </c>
      <c r="C23" s="230"/>
      <c r="D23" s="243" t="s">
        <v>456</v>
      </c>
      <c r="E23" s="261" t="s">
        <v>469</v>
      </c>
    </row>
    <row r="24" spans="1:5" ht="15.75" thickBot="1" x14ac:dyDescent="0.3">
      <c r="A24" s="255">
        <v>190</v>
      </c>
      <c r="B24" s="256" t="s">
        <v>459</v>
      </c>
      <c r="C24" s="230"/>
      <c r="D24" s="245" t="s">
        <v>459</v>
      </c>
      <c r="E24" s="262" t="s">
        <v>470</v>
      </c>
    </row>
  </sheetData>
  <mergeCells count="5">
    <mergeCell ref="E2:F2"/>
    <mergeCell ref="A1:G1"/>
    <mergeCell ref="A14:B14"/>
    <mergeCell ref="A19:B19"/>
    <mergeCell ref="B2:C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34.7109375" bestFit="1" customWidth="1"/>
    <col min="3" max="3" width="6.28515625" bestFit="1" customWidth="1"/>
    <col min="4" max="4" width="17" customWidth="1"/>
  </cols>
  <sheetData>
    <row r="1" spans="1:4" ht="22.5" x14ac:dyDescent="0.45">
      <c r="A1" s="267" t="s">
        <v>472</v>
      </c>
      <c r="B1" s="268"/>
      <c r="C1" s="268"/>
      <c r="D1" s="269"/>
    </row>
    <row r="2" spans="1:4" ht="18.75" x14ac:dyDescent="0.4">
      <c r="A2" s="241" t="s">
        <v>443</v>
      </c>
      <c r="B2" s="235" t="s">
        <v>473</v>
      </c>
      <c r="C2" s="235"/>
      <c r="D2" s="242" t="s">
        <v>425</v>
      </c>
    </row>
    <row r="3" spans="1:4" x14ac:dyDescent="0.25">
      <c r="A3" s="243" t="s">
        <v>58</v>
      </c>
      <c r="B3" s="12">
        <v>149</v>
      </c>
      <c r="C3" s="231" t="s">
        <v>471</v>
      </c>
      <c r="D3" s="244" t="str">
        <f>VLOOKUP(B3,TRI,2)</f>
        <v>Desejável</v>
      </c>
    </row>
    <row r="4" spans="1:4" x14ac:dyDescent="0.25">
      <c r="A4" s="243" t="s">
        <v>448</v>
      </c>
      <c r="B4" s="12">
        <v>200</v>
      </c>
      <c r="C4" s="231" t="s">
        <v>471</v>
      </c>
      <c r="D4" s="244" t="str">
        <f>VLOOKUP(B4,TRI,2)</f>
        <v>Alto</v>
      </c>
    </row>
    <row r="5" spans="1:4" x14ac:dyDescent="0.25">
      <c r="A5" s="243" t="s">
        <v>59</v>
      </c>
      <c r="B5" s="12">
        <v>500</v>
      </c>
      <c r="C5" s="231" t="s">
        <v>471</v>
      </c>
      <c r="D5" s="244" t="str">
        <f>VLOOKUP(B5,TRI,2)</f>
        <v>Muit Alto</v>
      </c>
    </row>
    <row r="6" spans="1:4" x14ac:dyDescent="0.25">
      <c r="A6" s="243" t="s">
        <v>474</v>
      </c>
      <c r="B6" s="12">
        <v>505</v>
      </c>
      <c r="C6" s="231" t="s">
        <v>471</v>
      </c>
      <c r="D6" s="244" t="str">
        <f>VLOOKUP(B6,TRI,2)</f>
        <v>Muit Alto</v>
      </c>
    </row>
    <row r="7" spans="1:4" x14ac:dyDescent="0.25">
      <c r="A7" s="243" t="s">
        <v>450</v>
      </c>
      <c r="B7" s="12">
        <v>210</v>
      </c>
      <c r="C7" s="231" t="s">
        <v>471</v>
      </c>
      <c r="D7" s="244" t="str">
        <f>VLOOKUP(B7,TRI,2)</f>
        <v>Alto</v>
      </c>
    </row>
    <row r="8" spans="1:4" x14ac:dyDescent="0.25">
      <c r="A8" s="243" t="s">
        <v>62</v>
      </c>
      <c r="B8" s="12">
        <v>500</v>
      </c>
      <c r="C8" s="231" t="s">
        <v>471</v>
      </c>
      <c r="D8" s="244" t="str">
        <f>VLOOKUP(B8,TRI,2)</f>
        <v>Muit Alto</v>
      </c>
    </row>
    <row r="9" spans="1:4" x14ac:dyDescent="0.25">
      <c r="A9" s="243" t="s">
        <v>378</v>
      </c>
      <c r="B9" s="12">
        <v>250</v>
      </c>
      <c r="C9" s="231" t="s">
        <v>471</v>
      </c>
      <c r="D9" s="244" t="str">
        <f>VLOOKUP(B9,TRI,2)</f>
        <v>Alto</v>
      </c>
    </row>
    <row r="10" spans="1:4" x14ac:dyDescent="0.25">
      <c r="A10" s="243" t="s">
        <v>451</v>
      </c>
      <c r="B10" s="12">
        <v>100</v>
      </c>
      <c r="C10" s="231" t="s">
        <v>471</v>
      </c>
      <c r="D10" s="244" t="str">
        <f>VLOOKUP(B10,TRI,2)</f>
        <v>Desejável</v>
      </c>
    </row>
    <row r="11" spans="1:4" x14ac:dyDescent="0.25">
      <c r="A11" s="243" t="s">
        <v>452</v>
      </c>
      <c r="B11" s="12">
        <v>499</v>
      </c>
      <c r="C11" s="231" t="s">
        <v>471</v>
      </c>
      <c r="D11" s="244" t="str">
        <f>VLOOKUP(B11,TRI,2)</f>
        <v>Alto</v>
      </c>
    </row>
    <row r="12" spans="1:4" ht="15.75" thickBot="1" x14ac:dyDescent="0.3">
      <c r="A12" s="245" t="s">
        <v>453</v>
      </c>
      <c r="B12" s="246">
        <v>500</v>
      </c>
      <c r="C12" s="247" t="s">
        <v>471</v>
      </c>
      <c r="D12" s="250" t="str">
        <f>VLOOKUP(B12,TRI,2)</f>
        <v>Muit Alto</v>
      </c>
    </row>
    <row r="13" spans="1:4" ht="15.75" thickBot="1" x14ac:dyDescent="0.3"/>
    <row r="14" spans="1:4" ht="18.75" x14ac:dyDescent="0.4">
      <c r="A14" s="251" t="s">
        <v>475</v>
      </c>
      <c r="B14" s="252"/>
    </row>
    <row r="15" spans="1:4" x14ac:dyDescent="0.25">
      <c r="A15" s="253">
        <v>0</v>
      </c>
      <c r="B15" s="254" t="s">
        <v>455</v>
      </c>
    </row>
    <row r="16" spans="1:4" x14ac:dyDescent="0.25">
      <c r="A16" s="253">
        <v>150</v>
      </c>
      <c r="B16" s="254" t="s">
        <v>193</v>
      </c>
    </row>
    <row r="17" spans="1:2" x14ac:dyDescent="0.25">
      <c r="A17" s="253">
        <v>200</v>
      </c>
      <c r="B17" s="254" t="s">
        <v>456</v>
      </c>
    </row>
    <row r="18" spans="1:2" ht="15.75" thickBot="1" x14ac:dyDescent="0.3">
      <c r="A18" s="255">
        <v>500</v>
      </c>
      <c r="B18" s="256" t="s">
        <v>476</v>
      </c>
    </row>
    <row r="19" spans="1:2" ht="15.75" thickBot="1" x14ac:dyDescent="0.3"/>
    <row r="20" spans="1:2" ht="18.75" x14ac:dyDescent="0.4">
      <c r="A20" s="263" t="s">
        <v>475</v>
      </c>
      <c r="B20" s="264" t="s">
        <v>461</v>
      </c>
    </row>
    <row r="21" spans="1:2" x14ac:dyDescent="0.25">
      <c r="A21" s="265" t="s">
        <v>455</v>
      </c>
      <c r="B21" s="254" t="s">
        <v>477</v>
      </c>
    </row>
    <row r="22" spans="1:2" x14ac:dyDescent="0.25">
      <c r="A22" s="265" t="s">
        <v>193</v>
      </c>
      <c r="B22" s="254" t="s">
        <v>478</v>
      </c>
    </row>
    <row r="23" spans="1:2" x14ac:dyDescent="0.25">
      <c r="A23" s="265" t="s">
        <v>456</v>
      </c>
      <c r="B23" s="254" t="s">
        <v>479</v>
      </c>
    </row>
    <row r="24" spans="1:2" ht="15.75" thickBot="1" x14ac:dyDescent="0.3">
      <c r="A24" s="266" t="s">
        <v>476</v>
      </c>
      <c r="B24" s="256" t="s">
        <v>480</v>
      </c>
    </row>
  </sheetData>
  <mergeCells count="3">
    <mergeCell ref="A1:D1"/>
    <mergeCell ref="A14:B14"/>
    <mergeCell ref="B2:C2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2" workbookViewId="0">
      <selection activeCell="A18" sqref="A18"/>
    </sheetView>
  </sheetViews>
  <sheetFormatPr defaultRowHeight="15" x14ac:dyDescent="0.25"/>
  <cols>
    <col min="1" max="1" width="22.28515625" customWidth="1"/>
    <col min="2" max="2" width="29.5703125" bestFit="1" customWidth="1"/>
    <col min="4" max="4" width="14" bestFit="1" customWidth="1"/>
    <col min="5" max="5" width="11.28515625" bestFit="1" customWidth="1"/>
    <col min="6" max="6" width="20.7109375" bestFit="1" customWidth="1"/>
  </cols>
  <sheetData>
    <row r="1" spans="1:6" ht="31.5" x14ac:dyDescent="0.6">
      <c r="A1" s="270" t="s">
        <v>481</v>
      </c>
      <c r="B1" s="270"/>
      <c r="C1" s="270"/>
      <c r="D1" s="270"/>
      <c r="E1" s="270"/>
      <c r="F1" s="270"/>
    </row>
    <row r="2" spans="1:6" ht="31.5" x14ac:dyDescent="0.6">
      <c r="A2" s="270" t="s">
        <v>482</v>
      </c>
      <c r="B2" s="270"/>
      <c r="C2" s="270"/>
      <c r="D2" s="270"/>
      <c r="E2" s="270"/>
      <c r="F2" s="270"/>
    </row>
    <row r="4" spans="1:6" ht="19.5" x14ac:dyDescent="0.4">
      <c r="A4" s="271" t="s">
        <v>3</v>
      </c>
      <c r="B4" s="271" t="s">
        <v>483</v>
      </c>
    </row>
    <row r="5" spans="1:6" x14ac:dyDescent="0.25">
      <c r="A5" s="5" t="s">
        <v>185</v>
      </c>
      <c r="B5" s="5">
        <v>100</v>
      </c>
    </row>
    <row r="6" spans="1:6" x14ac:dyDescent="0.25">
      <c r="A6" s="5" t="s">
        <v>484</v>
      </c>
      <c r="B6" s="5">
        <v>150</v>
      </c>
    </row>
    <row r="7" spans="1:6" x14ac:dyDescent="0.25">
      <c r="A7" s="5" t="s">
        <v>185</v>
      </c>
      <c r="B7" s="5">
        <v>100</v>
      </c>
    </row>
    <row r="8" spans="1:6" ht="19.5" x14ac:dyDescent="0.4">
      <c r="A8" s="5" t="s">
        <v>484</v>
      </c>
      <c r="B8" s="5">
        <v>200</v>
      </c>
      <c r="D8" s="271" t="s">
        <v>3</v>
      </c>
      <c r="E8" s="271" t="s">
        <v>3</v>
      </c>
      <c r="F8" s="271" t="s">
        <v>486</v>
      </c>
    </row>
    <row r="9" spans="1:6" x14ac:dyDescent="0.25">
      <c r="A9" s="5" t="s">
        <v>185</v>
      </c>
      <c r="B9" s="5">
        <v>100</v>
      </c>
      <c r="D9" s="5" t="s">
        <v>185</v>
      </c>
      <c r="E9" s="5">
        <f>COUNTIF($A$5:$A$14,D9)</f>
        <v>5</v>
      </c>
      <c r="F9" s="5">
        <f>SUMIF($A$5:$A$14,D9,$B$5:$B$14)</f>
        <v>650</v>
      </c>
    </row>
    <row r="10" spans="1:6" x14ac:dyDescent="0.25">
      <c r="A10" s="5" t="s">
        <v>485</v>
      </c>
      <c r="B10" s="5">
        <v>250</v>
      </c>
      <c r="D10" s="5" t="s">
        <v>484</v>
      </c>
      <c r="E10" s="5">
        <f t="shared" ref="E10:E11" si="0">COUNTIF($A$5:$A$14,D10)</f>
        <v>3</v>
      </c>
      <c r="F10" s="5">
        <f t="shared" ref="F10:F11" si="1">SUMIF($A$5:$A$14,D10,$B$5:$B$14)</f>
        <v>500</v>
      </c>
    </row>
    <row r="11" spans="1:6" x14ac:dyDescent="0.25">
      <c r="A11" s="5" t="s">
        <v>185</v>
      </c>
      <c r="B11" s="5">
        <v>250</v>
      </c>
      <c r="D11" s="5" t="s">
        <v>485</v>
      </c>
      <c r="E11" s="5">
        <f t="shared" si="0"/>
        <v>2</v>
      </c>
      <c r="F11" s="5">
        <f t="shared" si="1"/>
        <v>450</v>
      </c>
    </row>
    <row r="12" spans="1:6" x14ac:dyDescent="0.25">
      <c r="A12" s="5" t="s">
        <v>484</v>
      </c>
      <c r="B12" s="5">
        <v>150</v>
      </c>
    </row>
    <row r="13" spans="1:6" x14ac:dyDescent="0.25">
      <c r="A13" s="5" t="s">
        <v>185</v>
      </c>
      <c r="B13" s="5">
        <v>100</v>
      </c>
    </row>
    <row r="14" spans="1:6" x14ac:dyDescent="0.25">
      <c r="A14" s="5" t="s">
        <v>485</v>
      </c>
      <c r="B14" s="5">
        <v>200</v>
      </c>
    </row>
    <row r="15" spans="1:6" ht="6.75" customHeight="1" x14ac:dyDescent="0.25">
      <c r="A15" s="3"/>
      <c r="B15" s="232"/>
    </row>
    <row r="16" spans="1:6" x14ac:dyDescent="0.25">
      <c r="A16" s="272" t="s">
        <v>20</v>
      </c>
      <c r="B16" s="5">
        <f>SUM(B5:B14)</f>
        <v>1600</v>
      </c>
    </row>
    <row r="18" spans="1:1" x14ac:dyDescent="0.25">
      <c r="A18" s="273">
        <f ca="1">NOW()</f>
        <v>44009.629405902779</v>
      </c>
    </row>
  </sheetData>
  <mergeCells count="2">
    <mergeCell ref="A2:F2"/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5" sqref="E15"/>
    </sheetView>
  </sheetViews>
  <sheetFormatPr defaultRowHeight="15" x14ac:dyDescent="0.25"/>
  <cols>
    <col min="1" max="1" width="17.140625" customWidth="1"/>
    <col min="2" max="2" width="13.28515625" customWidth="1"/>
    <col min="3" max="3" width="11.42578125" customWidth="1"/>
    <col min="4" max="4" width="14" customWidth="1"/>
    <col min="5" max="5" width="15.28515625" customWidth="1"/>
    <col min="6" max="6" width="12" customWidth="1"/>
    <col min="7" max="7" width="15.85546875" customWidth="1"/>
  </cols>
  <sheetData>
    <row r="1" spans="1:7" ht="39.75" customHeight="1" thickTop="1" x14ac:dyDescent="0.25">
      <c r="A1" s="171" t="s">
        <v>110</v>
      </c>
      <c r="B1" s="172"/>
      <c r="C1" s="172"/>
      <c r="D1" s="172"/>
      <c r="E1" s="172"/>
      <c r="F1" s="172"/>
      <c r="G1" s="173"/>
    </row>
    <row r="2" spans="1:7" ht="29.25" customHeight="1" x14ac:dyDescent="0.25">
      <c r="A2" s="61" t="s">
        <v>51</v>
      </c>
      <c r="B2" s="62" t="s">
        <v>111</v>
      </c>
      <c r="C2" s="62" t="s">
        <v>112</v>
      </c>
      <c r="D2" s="62" t="s">
        <v>113</v>
      </c>
      <c r="E2" s="62" t="s">
        <v>114</v>
      </c>
      <c r="F2" s="62" t="s">
        <v>115</v>
      </c>
      <c r="G2" s="63" t="s">
        <v>116</v>
      </c>
    </row>
    <row r="3" spans="1:7" x14ac:dyDescent="0.25">
      <c r="A3" s="51" t="s">
        <v>58</v>
      </c>
      <c r="B3" s="52">
        <v>36</v>
      </c>
      <c r="C3" s="52">
        <v>100</v>
      </c>
      <c r="D3" s="53">
        <v>1.87</v>
      </c>
      <c r="E3" s="54" t="s">
        <v>117</v>
      </c>
      <c r="F3" s="49" t="s">
        <v>118</v>
      </c>
      <c r="G3" s="50" t="s">
        <v>118</v>
      </c>
    </row>
    <row r="4" spans="1:7" x14ac:dyDescent="0.25">
      <c r="A4" s="51" t="s">
        <v>59</v>
      </c>
      <c r="B4" s="52">
        <v>18</v>
      </c>
      <c r="C4" s="52">
        <v>50</v>
      </c>
      <c r="D4" s="53">
        <v>1.6</v>
      </c>
      <c r="E4" s="54" t="s">
        <v>119</v>
      </c>
      <c r="F4" s="49" t="s">
        <v>120</v>
      </c>
      <c r="G4" s="50" t="s">
        <v>118</v>
      </c>
    </row>
    <row r="5" spans="1:7" x14ac:dyDescent="0.25">
      <c r="A5" s="51" t="s">
        <v>121</v>
      </c>
      <c r="B5" s="52">
        <v>35</v>
      </c>
      <c r="C5" s="52">
        <v>60</v>
      </c>
      <c r="D5" s="53">
        <v>1.65</v>
      </c>
      <c r="E5" s="54" t="s">
        <v>119</v>
      </c>
      <c r="F5" s="49" t="s">
        <v>118</v>
      </c>
      <c r="G5" s="50" t="s">
        <v>122</v>
      </c>
    </row>
    <row r="6" spans="1:7" x14ac:dyDescent="0.25">
      <c r="A6" s="51" t="s">
        <v>123</v>
      </c>
      <c r="B6" s="52">
        <v>45</v>
      </c>
      <c r="C6" s="52">
        <v>80</v>
      </c>
      <c r="D6" s="53">
        <v>1.7</v>
      </c>
      <c r="E6" s="54" t="s">
        <v>124</v>
      </c>
      <c r="F6" s="49" t="s">
        <v>118</v>
      </c>
      <c r="G6" s="50" t="s">
        <v>118</v>
      </c>
    </row>
    <row r="7" spans="1:7" x14ac:dyDescent="0.25">
      <c r="A7" s="51" t="s">
        <v>125</v>
      </c>
      <c r="B7" s="52">
        <v>55</v>
      </c>
      <c r="C7" s="52">
        <v>70</v>
      </c>
      <c r="D7" s="53">
        <v>1.5</v>
      </c>
      <c r="E7" s="54" t="s">
        <v>119</v>
      </c>
      <c r="F7" s="49" t="s">
        <v>118</v>
      </c>
      <c r="G7" s="50" t="s">
        <v>118</v>
      </c>
    </row>
    <row r="8" spans="1:7" x14ac:dyDescent="0.25">
      <c r="A8" s="51" t="s">
        <v>126</v>
      </c>
      <c r="B8" s="52">
        <v>70</v>
      </c>
      <c r="C8" s="52">
        <v>65</v>
      </c>
      <c r="D8" s="53">
        <v>1.58</v>
      </c>
      <c r="E8" s="54" t="s">
        <v>117</v>
      </c>
      <c r="F8" s="49" t="s">
        <v>120</v>
      </c>
      <c r="G8" s="50" t="s">
        <v>118</v>
      </c>
    </row>
    <row r="9" spans="1:7" ht="15.75" thickBot="1" x14ac:dyDescent="0.3">
      <c r="A9" s="55" t="s">
        <v>127</v>
      </c>
      <c r="B9" s="56">
        <v>45</v>
      </c>
      <c r="C9" s="56">
        <v>98</v>
      </c>
      <c r="D9" s="57">
        <v>1.8</v>
      </c>
      <c r="E9" s="58" t="s">
        <v>124</v>
      </c>
      <c r="F9" s="59" t="s">
        <v>118</v>
      </c>
      <c r="G9" s="60" t="s">
        <v>118</v>
      </c>
    </row>
    <row r="10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1" sqref="G11"/>
    </sheetView>
  </sheetViews>
  <sheetFormatPr defaultRowHeight="15" x14ac:dyDescent="0.25"/>
  <cols>
    <col min="1" max="1" width="4.5703125" bestFit="1" customWidth="1"/>
    <col min="2" max="2" width="21.85546875" customWidth="1"/>
    <col min="3" max="5" width="11.7109375" customWidth="1"/>
  </cols>
  <sheetData>
    <row r="1" spans="1:5" ht="27" customHeight="1" x14ac:dyDescent="0.25">
      <c r="A1" s="178" t="s">
        <v>128</v>
      </c>
      <c r="B1" s="179"/>
      <c r="C1" s="179"/>
      <c r="D1" s="179"/>
      <c r="E1" s="180"/>
    </row>
    <row r="2" spans="1:5" ht="30" customHeight="1" x14ac:dyDescent="0.25">
      <c r="A2" s="174" t="s">
        <v>129</v>
      </c>
      <c r="B2" s="175"/>
      <c r="C2" s="71" t="s">
        <v>130</v>
      </c>
      <c r="D2" s="71" t="s">
        <v>131</v>
      </c>
      <c r="E2" s="72" t="s">
        <v>132</v>
      </c>
    </row>
    <row r="3" spans="1:5" ht="30" customHeight="1" thickBot="1" x14ac:dyDescent="0.3">
      <c r="A3" s="176"/>
      <c r="B3" s="177"/>
      <c r="C3" s="73" t="s">
        <v>133</v>
      </c>
      <c r="D3" s="73" t="s">
        <v>134</v>
      </c>
      <c r="E3" s="74" t="s">
        <v>135</v>
      </c>
    </row>
    <row r="4" spans="1:5" ht="18" customHeight="1" x14ac:dyDescent="0.25">
      <c r="A4" s="181" t="s">
        <v>136</v>
      </c>
      <c r="B4" s="64" t="s">
        <v>137</v>
      </c>
      <c r="C4" s="65">
        <v>100</v>
      </c>
      <c r="D4" s="65">
        <v>80</v>
      </c>
      <c r="E4" s="66">
        <v>90</v>
      </c>
    </row>
    <row r="5" spans="1:5" ht="18" customHeight="1" x14ac:dyDescent="0.25">
      <c r="A5" s="182"/>
      <c r="B5" s="5" t="s">
        <v>138</v>
      </c>
      <c r="C5" s="43">
        <v>200</v>
      </c>
      <c r="D5" s="43">
        <v>300</v>
      </c>
      <c r="E5" s="67">
        <v>250</v>
      </c>
    </row>
    <row r="6" spans="1:5" ht="18" customHeight="1" x14ac:dyDescent="0.25">
      <c r="A6" s="182"/>
      <c r="B6" s="5" t="s">
        <v>139</v>
      </c>
      <c r="C6" s="43">
        <v>300</v>
      </c>
      <c r="D6" s="43">
        <v>300</v>
      </c>
      <c r="E6" s="67">
        <v>400</v>
      </c>
    </row>
    <row r="7" spans="1:5" ht="18" customHeight="1" x14ac:dyDescent="0.25">
      <c r="A7" s="182"/>
      <c r="B7" s="5" t="s">
        <v>140</v>
      </c>
      <c r="C7" s="43">
        <v>150</v>
      </c>
      <c r="D7" s="43">
        <v>200</v>
      </c>
      <c r="E7" s="67">
        <v>250</v>
      </c>
    </row>
    <row r="8" spans="1:5" ht="18" customHeight="1" x14ac:dyDescent="0.25">
      <c r="A8" s="182"/>
      <c r="B8" s="5" t="s">
        <v>141</v>
      </c>
      <c r="C8" s="43">
        <v>200</v>
      </c>
      <c r="D8" s="43">
        <v>230</v>
      </c>
      <c r="E8" s="67">
        <v>240</v>
      </c>
    </row>
    <row r="9" spans="1:5" ht="18" customHeight="1" thickBot="1" x14ac:dyDescent="0.3">
      <c r="A9" s="183"/>
      <c r="B9" s="68" t="s">
        <v>142</v>
      </c>
      <c r="C9" s="69">
        <v>100</v>
      </c>
      <c r="D9" s="69">
        <v>150</v>
      </c>
      <c r="E9" s="70">
        <v>175</v>
      </c>
    </row>
    <row r="10" spans="1:5" ht="18" customHeight="1" x14ac:dyDescent="0.25">
      <c r="A10" s="184" t="s">
        <v>143</v>
      </c>
      <c r="B10" s="64" t="s">
        <v>137</v>
      </c>
      <c r="C10" s="65">
        <v>30</v>
      </c>
      <c r="D10" s="65">
        <v>40</v>
      </c>
      <c r="E10" s="66">
        <v>100</v>
      </c>
    </row>
    <row r="11" spans="1:5" ht="18" customHeight="1" x14ac:dyDescent="0.25">
      <c r="A11" s="185"/>
      <c r="B11" s="5" t="s">
        <v>138</v>
      </c>
      <c r="C11" s="43">
        <v>50</v>
      </c>
      <c r="D11" s="43">
        <v>60</v>
      </c>
      <c r="E11" s="67">
        <v>150</v>
      </c>
    </row>
    <row r="12" spans="1:5" ht="18" customHeight="1" x14ac:dyDescent="0.25">
      <c r="A12" s="185"/>
      <c r="B12" s="5" t="s">
        <v>139</v>
      </c>
      <c r="C12" s="43">
        <v>150</v>
      </c>
      <c r="D12" s="43">
        <v>160</v>
      </c>
      <c r="E12" s="67">
        <v>230</v>
      </c>
    </row>
    <row r="13" spans="1:5" ht="18" customHeight="1" x14ac:dyDescent="0.25">
      <c r="A13" s="185"/>
      <c r="B13" s="5" t="s">
        <v>140</v>
      </c>
      <c r="C13" s="43">
        <v>100</v>
      </c>
      <c r="D13" s="43">
        <v>120</v>
      </c>
      <c r="E13" s="67">
        <v>100</v>
      </c>
    </row>
    <row r="14" spans="1:5" ht="18" customHeight="1" x14ac:dyDescent="0.25">
      <c r="A14" s="185"/>
      <c r="B14" s="5" t="s">
        <v>141</v>
      </c>
      <c r="C14" s="43">
        <v>50</v>
      </c>
      <c r="D14" s="43">
        <v>100</v>
      </c>
      <c r="E14" s="67">
        <v>120</v>
      </c>
    </row>
    <row r="15" spans="1:5" ht="18" customHeight="1" thickBot="1" x14ac:dyDescent="0.3">
      <c r="A15" s="186"/>
      <c r="B15" s="68" t="s">
        <v>142</v>
      </c>
      <c r="C15" s="69">
        <v>30</v>
      </c>
      <c r="D15" s="69">
        <v>100</v>
      </c>
      <c r="E15" s="70">
        <v>200</v>
      </c>
    </row>
  </sheetData>
  <mergeCells count="4">
    <mergeCell ref="A2:B3"/>
    <mergeCell ref="A1:E1"/>
    <mergeCell ref="A4:A9"/>
    <mergeCell ref="A10:A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60" zoomScaleNormal="160" workbookViewId="0">
      <selection activeCell="B10" sqref="B10"/>
    </sheetView>
  </sheetViews>
  <sheetFormatPr defaultRowHeight="15" x14ac:dyDescent="0.25"/>
  <cols>
    <col min="1" max="2" width="13.7109375" style="2" customWidth="1"/>
    <col min="3" max="3" width="2.7109375" style="2" customWidth="1"/>
    <col min="4" max="4" width="6.140625" style="2" customWidth="1"/>
    <col min="5" max="16384" width="9.140625" style="2"/>
  </cols>
  <sheetData>
    <row r="1" spans="1:4" x14ac:dyDescent="0.25">
      <c r="A1" s="14" t="s">
        <v>144</v>
      </c>
      <c r="B1" s="14" t="s">
        <v>145</v>
      </c>
    </row>
    <row r="2" spans="1:4" x14ac:dyDescent="0.25">
      <c r="A2" s="14">
        <v>30</v>
      </c>
      <c r="B2" s="14">
        <v>5</v>
      </c>
    </row>
    <row r="4" spans="1:4" x14ac:dyDescent="0.25">
      <c r="A4" s="75" t="s">
        <v>146</v>
      </c>
      <c r="B4" s="14">
        <f>$A$2+$B$2</f>
        <v>35</v>
      </c>
      <c r="D4" s="76" t="s">
        <v>152</v>
      </c>
    </row>
    <row r="5" spans="1:4" x14ac:dyDescent="0.25">
      <c r="A5" s="77" t="s">
        <v>147</v>
      </c>
      <c r="B5" s="14">
        <f>$A$2-$B$2</f>
        <v>25</v>
      </c>
      <c r="D5" s="78" t="s">
        <v>153</v>
      </c>
    </row>
    <row r="6" spans="1:4" x14ac:dyDescent="0.25">
      <c r="A6" s="79" t="s">
        <v>148</v>
      </c>
      <c r="B6" s="14">
        <f>$A$2/$B$2</f>
        <v>6</v>
      </c>
      <c r="D6" s="80" t="s">
        <v>155</v>
      </c>
    </row>
    <row r="7" spans="1:4" x14ac:dyDescent="0.25">
      <c r="A7" s="81" t="s">
        <v>149</v>
      </c>
      <c r="B7" s="14">
        <f>$A$2*$B$2</f>
        <v>150</v>
      </c>
      <c r="D7" s="82" t="s">
        <v>154</v>
      </c>
    </row>
    <row r="8" spans="1:4" x14ac:dyDescent="0.25">
      <c r="A8" s="83" t="s">
        <v>150</v>
      </c>
      <c r="B8" s="14">
        <f>$A$2^$B$2</f>
        <v>24300000</v>
      </c>
      <c r="D8" s="84" t="s">
        <v>156</v>
      </c>
    </row>
    <row r="9" spans="1:4" x14ac:dyDescent="0.25">
      <c r="A9" s="85" t="s">
        <v>151</v>
      </c>
      <c r="B9" s="14">
        <f>($A$2+$B$2)/2</f>
        <v>17.5</v>
      </c>
      <c r="D9" s="86" t="s">
        <v>157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6" sqref="E6"/>
    </sheetView>
  </sheetViews>
  <sheetFormatPr defaultRowHeight="15" x14ac:dyDescent="0.25"/>
  <cols>
    <col min="3" max="3" width="23" customWidth="1"/>
    <col min="10" max="10" width="10.7109375" customWidth="1"/>
  </cols>
  <sheetData>
    <row r="1" spans="1:10" ht="27" customHeight="1" x14ac:dyDescent="0.25">
      <c r="A1" s="187" t="s">
        <v>158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27" customHeight="1" x14ac:dyDescent="0.25">
      <c r="A2" s="88"/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88"/>
    </row>
    <row r="3" spans="1:10" ht="27" customHeight="1" x14ac:dyDescent="0.25">
      <c r="A3" s="88"/>
      <c r="B3" s="41">
        <v>1</v>
      </c>
      <c r="C3" s="5" t="s">
        <v>167</v>
      </c>
      <c r="D3" s="43">
        <v>10</v>
      </c>
      <c r="E3" s="43">
        <v>8</v>
      </c>
      <c r="F3" s="43">
        <v>8</v>
      </c>
      <c r="G3" s="43">
        <v>10</v>
      </c>
      <c r="H3" s="43">
        <f>SUM(D3:G3)</f>
        <v>36</v>
      </c>
      <c r="I3" s="87">
        <f>H3/4</f>
        <v>9</v>
      </c>
      <c r="J3" s="88"/>
    </row>
    <row r="4" spans="1:10" ht="27" customHeight="1" x14ac:dyDescent="0.25">
      <c r="A4" s="88"/>
      <c r="B4" s="41">
        <v>2</v>
      </c>
      <c r="C4" s="5" t="s">
        <v>168</v>
      </c>
      <c r="D4" s="43">
        <v>9</v>
      </c>
      <c r="E4" s="43">
        <v>8</v>
      </c>
      <c r="F4" s="43">
        <v>7</v>
      </c>
      <c r="G4" s="43">
        <v>10</v>
      </c>
      <c r="H4" s="43">
        <f t="shared" ref="H4:H12" si="0">SUM(D4:G4)</f>
        <v>34</v>
      </c>
      <c r="I4" s="87">
        <f t="shared" ref="I4:I12" si="1">H4/4</f>
        <v>8.5</v>
      </c>
      <c r="J4" s="88"/>
    </row>
    <row r="5" spans="1:10" ht="27" customHeight="1" x14ac:dyDescent="0.25">
      <c r="A5" s="88"/>
      <c r="B5" s="41">
        <v>3</v>
      </c>
      <c r="C5" s="5" t="s">
        <v>59</v>
      </c>
      <c r="D5" s="43">
        <v>10</v>
      </c>
      <c r="E5" s="43">
        <v>8</v>
      </c>
      <c r="F5" s="43">
        <v>4</v>
      </c>
      <c r="G5" s="43">
        <v>5</v>
      </c>
      <c r="H5" s="43">
        <f t="shared" si="0"/>
        <v>27</v>
      </c>
      <c r="I5" s="87">
        <f t="shared" si="1"/>
        <v>6.75</v>
      </c>
      <c r="J5" s="88"/>
    </row>
    <row r="6" spans="1:10" ht="27" customHeight="1" x14ac:dyDescent="0.25">
      <c r="A6" s="88"/>
      <c r="B6" s="41">
        <v>4</v>
      </c>
      <c r="C6" s="5" t="s">
        <v>169</v>
      </c>
      <c r="D6" s="43">
        <v>2</v>
      </c>
      <c r="E6" s="43">
        <v>3</v>
      </c>
      <c r="F6" s="43">
        <v>4</v>
      </c>
      <c r="G6" s="43">
        <v>4</v>
      </c>
      <c r="H6" s="43">
        <f t="shared" si="0"/>
        <v>13</v>
      </c>
      <c r="I6" s="87">
        <f t="shared" si="1"/>
        <v>3.25</v>
      </c>
      <c r="J6" s="88"/>
    </row>
    <row r="7" spans="1:10" ht="27" customHeight="1" x14ac:dyDescent="0.25">
      <c r="A7" s="88"/>
      <c r="B7" s="41">
        <v>5</v>
      </c>
      <c r="C7" s="5" t="s">
        <v>170</v>
      </c>
      <c r="D7" s="43">
        <v>5</v>
      </c>
      <c r="E7" s="43">
        <v>4</v>
      </c>
      <c r="F7" s="43">
        <v>5</v>
      </c>
      <c r="G7" s="43">
        <v>4</v>
      </c>
      <c r="H7" s="43">
        <f t="shared" si="0"/>
        <v>18</v>
      </c>
      <c r="I7" s="87">
        <f t="shared" si="1"/>
        <v>4.5</v>
      </c>
      <c r="J7" s="88"/>
    </row>
    <row r="8" spans="1:10" ht="27" customHeight="1" x14ac:dyDescent="0.25">
      <c r="A8" s="88"/>
      <c r="B8" s="41">
        <v>6</v>
      </c>
      <c r="C8" s="5" t="s">
        <v>171</v>
      </c>
      <c r="D8" s="43">
        <v>8</v>
      </c>
      <c r="E8" s="43">
        <v>8</v>
      </c>
      <c r="F8" s="43">
        <v>8</v>
      </c>
      <c r="G8" s="43">
        <v>8</v>
      </c>
      <c r="H8" s="43">
        <f t="shared" si="0"/>
        <v>32</v>
      </c>
      <c r="I8" s="87">
        <f t="shared" si="1"/>
        <v>8</v>
      </c>
      <c r="J8" s="88"/>
    </row>
    <row r="9" spans="1:10" ht="27" customHeight="1" x14ac:dyDescent="0.25">
      <c r="A9" s="88"/>
      <c r="B9" s="41">
        <v>7</v>
      </c>
      <c r="C9" s="5" t="s">
        <v>172</v>
      </c>
      <c r="D9" s="43">
        <v>7</v>
      </c>
      <c r="E9" s="43">
        <v>10</v>
      </c>
      <c r="F9" s="43">
        <v>7</v>
      </c>
      <c r="G9" s="43">
        <v>5</v>
      </c>
      <c r="H9" s="43">
        <f t="shared" si="0"/>
        <v>29</v>
      </c>
      <c r="I9" s="87">
        <f t="shared" si="1"/>
        <v>7.25</v>
      </c>
      <c r="J9" s="88"/>
    </row>
    <row r="10" spans="1:10" ht="27" customHeight="1" x14ac:dyDescent="0.25">
      <c r="A10" s="88"/>
      <c r="B10" s="41">
        <v>8</v>
      </c>
      <c r="C10" s="5" t="s">
        <v>173</v>
      </c>
      <c r="D10" s="43">
        <v>5</v>
      </c>
      <c r="E10" s="43">
        <v>7</v>
      </c>
      <c r="F10" s="43">
        <v>5</v>
      </c>
      <c r="G10" s="43">
        <v>5</v>
      </c>
      <c r="H10" s="43">
        <f t="shared" si="0"/>
        <v>22</v>
      </c>
      <c r="I10" s="87">
        <f t="shared" si="1"/>
        <v>5.5</v>
      </c>
      <c r="J10" s="88"/>
    </row>
    <row r="11" spans="1:10" ht="27" customHeight="1" x14ac:dyDescent="0.25">
      <c r="A11" s="88"/>
      <c r="B11" s="41">
        <v>9</v>
      </c>
      <c r="C11" s="5" t="s">
        <v>58</v>
      </c>
      <c r="D11" s="43">
        <v>5</v>
      </c>
      <c r="E11" s="43">
        <v>5</v>
      </c>
      <c r="F11" s="43">
        <v>5</v>
      </c>
      <c r="G11" s="43">
        <v>5</v>
      </c>
      <c r="H11" s="43">
        <f t="shared" si="0"/>
        <v>20</v>
      </c>
      <c r="I11" s="87">
        <f t="shared" si="1"/>
        <v>5</v>
      </c>
      <c r="J11" s="88"/>
    </row>
    <row r="12" spans="1:10" ht="27" customHeight="1" x14ac:dyDescent="0.25">
      <c r="A12" s="88"/>
      <c r="B12" s="41">
        <v>10</v>
      </c>
      <c r="C12" s="5" t="s">
        <v>174</v>
      </c>
      <c r="D12" s="43">
        <v>10</v>
      </c>
      <c r="E12" s="43">
        <v>10</v>
      </c>
      <c r="F12" s="43">
        <v>10</v>
      </c>
      <c r="G12" s="43">
        <v>10</v>
      </c>
      <c r="H12" s="43">
        <f t="shared" si="0"/>
        <v>40</v>
      </c>
      <c r="I12" s="87">
        <f t="shared" si="1"/>
        <v>10</v>
      </c>
      <c r="J12" s="88"/>
    </row>
    <row r="13" spans="1:10" ht="27" customHeight="1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RowHeight="15" x14ac:dyDescent="0.25"/>
  <cols>
    <col min="1" max="1" width="17.42578125" customWidth="1"/>
    <col min="2" max="3" width="15.7109375" customWidth="1"/>
    <col min="4" max="4" width="21.7109375" customWidth="1"/>
  </cols>
  <sheetData>
    <row r="1" spans="1:4" ht="26.25" x14ac:dyDescent="0.25">
      <c r="A1" s="188" t="s">
        <v>175</v>
      </c>
      <c r="B1" s="189"/>
      <c r="C1" s="189"/>
      <c r="D1" s="190"/>
    </row>
    <row r="2" spans="1:4" x14ac:dyDescent="0.25">
      <c r="A2" s="90" t="s">
        <v>176</v>
      </c>
      <c r="B2" s="90" t="s">
        <v>177</v>
      </c>
      <c r="C2" s="90" t="s">
        <v>29</v>
      </c>
      <c r="D2" s="90" t="s">
        <v>178</v>
      </c>
    </row>
    <row r="3" spans="1:4" x14ac:dyDescent="0.25">
      <c r="A3" s="5" t="s">
        <v>180</v>
      </c>
      <c r="B3" s="43">
        <v>4</v>
      </c>
      <c r="C3" s="89">
        <v>3</v>
      </c>
      <c r="D3" s="91">
        <f>C3*B3</f>
        <v>12</v>
      </c>
    </row>
    <row r="4" spans="1:4" x14ac:dyDescent="0.25">
      <c r="A4" s="5" t="s">
        <v>179</v>
      </c>
      <c r="B4" s="43">
        <v>1</v>
      </c>
      <c r="C4" s="89">
        <v>10.5</v>
      </c>
      <c r="D4" s="91">
        <f t="shared" ref="D4:D10" si="0">C4*B4</f>
        <v>10.5</v>
      </c>
    </row>
    <row r="5" spans="1:4" x14ac:dyDescent="0.25">
      <c r="A5" s="5" t="s">
        <v>181</v>
      </c>
      <c r="B5" s="43">
        <v>5</v>
      </c>
      <c r="C5" s="89">
        <v>1</v>
      </c>
      <c r="D5" s="91">
        <f t="shared" si="0"/>
        <v>5</v>
      </c>
    </row>
    <row r="6" spans="1:4" x14ac:dyDescent="0.25">
      <c r="A6" s="5" t="s">
        <v>182</v>
      </c>
      <c r="B6" s="43">
        <v>2</v>
      </c>
      <c r="C6" s="89">
        <v>2.75</v>
      </c>
      <c r="D6" s="91">
        <f t="shared" si="0"/>
        <v>5.5</v>
      </c>
    </row>
    <row r="7" spans="1:4" x14ac:dyDescent="0.25">
      <c r="A7" s="5" t="s">
        <v>183</v>
      </c>
      <c r="B7" s="43">
        <v>2</v>
      </c>
      <c r="C7" s="89">
        <v>1.25</v>
      </c>
      <c r="D7" s="91">
        <f t="shared" si="0"/>
        <v>2.5</v>
      </c>
    </row>
    <row r="8" spans="1:4" x14ac:dyDescent="0.25">
      <c r="A8" s="5" t="s">
        <v>184</v>
      </c>
      <c r="B8" s="43">
        <v>1</v>
      </c>
      <c r="C8" s="89">
        <v>5</v>
      </c>
      <c r="D8" s="91">
        <f t="shared" si="0"/>
        <v>5</v>
      </c>
    </row>
    <row r="9" spans="1:4" x14ac:dyDescent="0.25">
      <c r="A9" s="5" t="s">
        <v>185</v>
      </c>
      <c r="B9" s="43">
        <v>10</v>
      </c>
      <c r="C9" s="89">
        <v>2.7</v>
      </c>
      <c r="D9" s="91">
        <f t="shared" si="0"/>
        <v>27</v>
      </c>
    </row>
    <row r="10" spans="1:4" x14ac:dyDescent="0.25">
      <c r="A10" s="5" t="s">
        <v>186</v>
      </c>
      <c r="B10" s="43">
        <v>100</v>
      </c>
      <c r="C10" s="89">
        <v>1.25</v>
      </c>
      <c r="D10" s="91">
        <f t="shared" si="0"/>
        <v>125</v>
      </c>
    </row>
    <row r="12" spans="1:4" x14ac:dyDescent="0.25">
      <c r="A12" s="191" t="s">
        <v>187</v>
      </c>
      <c r="B12" s="191"/>
      <c r="C12" s="191"/>
      <c r="D12" s="92">
        <f>SUM(D3:D10)</f>
        <v>192.5</v>
      </c>
    </row>
    <row r="13" spans="1:4" ht="26.25" x14ac:dyDescent="0.4">
      <c r="A13" s="5" t="s">
        <v>41</v>
      </c>
      <c r="B13" s="192">
        <v>0.1</v>
      </c>
      <c r="C13" s="192"/>
      <c r="D13" s="93">
        <f>D12*B13</f>
        <v>19.25</v>
      </c>
    </row>
    <row r="14" spans="1:4" ht="26.25" x14ac:dyDescent="0.4">
      <c r="A14" s="191" t="s">
        <v>188</v>
      </c>
      <c r="B14" s="191"/>
      <c r="C14" s="191"/>
      <c r="D14" s="94">
        <f>D12-D13</f>
        <v>173.25</v>
      </c>
    </row>
  </sheetData>
  <mergeCells count="4">
    <mergeCell ref="A1:D1"/>
    <mergeCell ref="A12:C12"/>
    <mergeCell ref="B13:C13"/>
    <mergeCell ref="A14:C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workbookViewId="0">
      <selection activeCell="J12" sqref="J12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12.7109375" bestFit="1" customWidth="1"/>
    <col min="4" max="4" width="16.5703125" customWidth="1"/>
    <col min="5" max="5" width="17.85546875" bestFit="1" customWidth="1"/>
    <col min="6" max="6" width="16.5703125" bestFit="1" customWidth="1"/>
  </cols>
  <sheetData>
    <row r="1" spans="1:7" ht="33" customHeight="1" x14ac:dyDescent="0.25">
      <c r="A1" s="193" t="s">
        <v>0</v>
      </c>
      <c r="B1" s="193"/>
      <c r="C1" s="193"/>
      <c r="D1" s="193"/>
      <c r="E1" s="193"/>
      <c r="F1" s="193"/>
    </row>
    <row r="2" spans="1:7" ht="8.25" customHeight="1" x14ac:dyDescent="0.25">
      <c r="A2" s="5"/>
      <c r="B2" s="5"/>
      <c r="C2" s="5"/>
      <c r="D2" s="5"/>
      <c r="E2" s="5"/>
      <c r="F2" s="5"/>
    </row>
    <row r="3" spans="1:7" ht="18.75" x14ac:dyDescent="0.3">
      <c r="A3" s="6" t="s">
        <v>1</v>
      </c>
      <c r="B3" s="19">
        <v>3.77</v>
      </c>
      <c r="C3" s="194" t="s">
        <v>2</v>
      </c>
      <c r="D3" s="194"/>
      <c r="E3" s="194"/>
      <c r="F3" s="194"/>
    </row>
    <row r="4" spans="1:7" x14ac:dyDescent="0.25">
      <c r="A4" s="5"/>
      <c r="B4" s="5"/>
      <c r="C4" s="5"/>
      <c r="D4" s="5"/>
      <c r="E4" s="5"/>
      <c r="F4" s="5"/>
    </row>
    <row r="5" spans="1:7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</row>
    <row r="6" spans="1:7" x14ac:dyDescent="0.25">
      <c r="A6" s="5" t="s">
        <v>9</v>
      </c>
      <c r="B6" s="7">
        <v>2</v>
      </c>
      <c r="C6" s="17">
        <v>10</v>
      </c>
      <c r="D6" s="20">
        <f>C6*$B$3</f>
        <v>37.700000000000003</v>
      </c>
      <c r="E6" s="17">
        <f>C6*B6</f>
        <v>20</v>
      </c>
      <c r="F6" s="20">
        <f>D6*B6</f>
        <v>75.400000000000006</v>
      </c>
    </row>
    <row r="7" spans="1:7" x14ac:dyDescent="0.25">
      <c r="A7" s="5" t="s">
        <v>10</v>
      </c>
      <c r="B7" s="7">
        <v>3</v>
      </c>
      <c r="C7" s="17">
        <v>100</v>
      </c>
      <c r="D7" s="20">
        <f t="shared" ref="D7:D12" si="0">C7*$B$3</f>
        <v>377</v>
      </c>
      <c r="E7" s="17">
        <f t="shared" ref="E7:E12" si="1">C7*B7</f>
        <v>300</v>
      </c>
      <c r="F7" s="20">
        <f t="shared" ref="F7:F12" si="2">D7*B7</f>
        <v>1131</v>
      </c>
    </row>
    <row r="8" spans="1:7" x14ac:dyDescent="0.25">
      <c r="A8" s="5" t="s">
        <v>11</v>
      </c>
      <c r="B8" s="7">
        <v>30</v>
      </c>
      <c r="C8" s="17">
        <v>30</v>
      </c>
      <c r="D8" s="20">
        <f t="shared" si="0"/>
        <v>113.1</v>
      </c>
      <c r="E8" s="17">
        <f t="shared" si="1"/>
        <v>900</v>
      </c>
      <c r="F8" s="20">
        <f t="shared" si="2"/>
        <v>3393</v>
      </c>
    </row>
    <row r="9" spans="1:7" x14ac:dyDescent="0.25">
      <c r="A9" s="5" t="s">
        <v>12</v>
      </c>
      <c r="B9" s="7">
        <v>4</v>
      </c>
      <c r="C9" s="17">
        <v>1000</v>
      </c>
      <c r="D9" s="20">
        <f t="shared" si="0"/>
        <v>3770</v>
      </c>
      <c r="E9" s="17">
        <f t="shared" si="1"/>
        <v>4000</v>
      </c>
      <c r="F9" s="20">
        <f t="shared" si="2"/>
        <v>15080</v>
      </c>
    </row>
    <row r="10" spans="1:7" x14ac:dyDescent="0.25">
      <c r="A10" s="5" t="s">
        <v>13</v>
      </c>
      <c r="B10" s="7">
        <v>5</v>
      </c>
      <c r="C10" s="17">
        <v>1500</v>
      </c>
      <c r="D10" s="20">
        <f t="shared" si="0"/>
        <v>5655</v>
      </c>
      <c r="E10" s="17">
        <f t="shared" si="1"/>
        <v>7500</v>
      </c>
      <c r="F10" s="20">
        <f t="shared" si="2"/>
        <v>28275</v>
      </c>
    </row>
    <row r="11" spans="1:7" x14ac:dyDescent="0.25">
      <c r="A11" s="5" t="s">
        <v>14</v>
      </c>
      <c r="B11" s="7">
        <v>6</v>
      </c>
      <c r="C11" s="17">
        <v>300</v>
      </c>
      <c r="D11" s="20">
        <f t="shared" si="0"/>
        <v>1131</v>
      </c>
      <c r="E11" s="17">
        <f t="shared" si="1"/>
        <v>1800</v>
      </c>
      <c r="F11" s="20">
        <f t="shared" si="2"/>
        <v>6786</v>
      </c>
    </row>
    <row r="12" spans="1:7" s="4" customFormat="1" x14ac:dyDescent="0.25">
      <c r="A12" s="9" t="s">
        <v>15</v>
      </c>
      <c r="B12" s="13">
        <v>10</v>
      </c>
      <c r="C12" s="18">
        <v>15</v>
      </c>
      <c r="D12" s="20">
        <f t="shared" si="0"/>
        <v>56.55</v>
      </c>
      <c r="E12" s="17">
        <f t="shared" si="1"/>
        <v>150</v>
      </c>
      <c r="F12" s="95">
        <f t="shared" si="2"/>
        <v>565.5</v>
      </c>
      <c r="G12" s="3"/>
    </row>
    <row r="13" spans="1:7" s="4" customFormat="1" ht="6" customHeight="1" x14ac:dyDescent="0.25">
      <c r="A13" s="12"/>
      <c r="B13" s="11"/>
      <c r="C13" s="11"/>
      <c r="D13" s="11"/>
      <c r="E13" s="11"/>
      <c r="F13" s="11"/>
      <c r="G13" s="3"/>
    </row>
    <row r="14" spans="1:7" s="4" customFormat="1" ht="15.75" thickBot="1" x14ac:dyDescent="0.3">
      <c r="A14" s="195" t="s">
        <v>16</v>
      </c>
      <c r="B14" s="195"/>
      <c r="C14" s="195"/>
      <c r="D14" s="195"/>
      <c r="E14" s="21">
        <f>SUM(E6:E12)</f>
        <v>14670</v>
      </c>
      <c r="F14" s="96">
        <f>SUM(F6:F12)</f>
        <v>55305.9</v>
      </c>
      <c r="G14" s="3"/>
    </row>
    <row r="15" spans="1:7" s="4" customFormat="1" ht="15.75" thickBot="1" x14ac:dyDescent="0.3">
      <c r="A15" s="15" t="s">
        <v>17</v>
      </c>
      <c r="B15" s="16">
        <v>0.27</v>
      </c>
      <c r="C15" s="199"/>
      <c r="D15" s="200"/>
      <c r="E15" s="201"/>
      <c r="F15" s="97">
        <f>F14*B15</f>
        <v>14932.593000000001</v>
      </c>
      <c r="G15" s="3"/>
    </row>
    <row r="16" spans="1:7" s="4" customFormat="1" x14ac:dyDescent="0.25">
      <c r="A16" s="196" t="s">
        <v>18</v>
      </c>
      <c r="B16" s="196"/>
      <c r="C16" s="196"/>
      <c r="D16" s="196"/>
      <c r="E16" s="196"/>
      <c r="F16" s="98">
        <f>SUM(F14:F15)</f>
        <v>70238.493000000002</v>
      </c>
      <c r="G16" s="3"/>
    </row>
    <row r="17" spans="1:7" s="4" customFormat="1" ht="2.25" customHeight="1" x14ac:dyDescent="0.25">
      <c r="A17" s="12"/>
      <c r="B17" s="11"/>
      <c r="C17" s="11"/>
      <c r="D17" s="11"/>
      <c r="E17" s="11"/>
      <c r="F17" s="11"/>
      <c r="G17" s="3"/>
    </row>
    <row r="18" spans="1:7" s="4" customFormat="1" x14ac:dyDescent="0.25">
      <c r="A18" s="10" t="s">
        <v>19</v>
      </c>
      <c r="B18" s="197" t="s">
        <v>22</v>
      </c>
      <c r="C18" s="197"/>
      <c r="D18" s="197"/>
      <c r="E18" s="197"/>
      <c r="F18" s="198"/>
      <c r="G18" s="3"/>
    </row>
    <row r="19" spans="1:7" x14ac:dyDescent="0.25">
      <c r="A19" s="5" t="s">
        <v>7</v>
      </c>
      <c r="B19" s="191" t="s">
        <v>23</v>
      </c>
      <c r="C19" s="191"/>
      <c r="D19" s="191"/>
      <c r="E19" s="191"/>
      <c r="F19" s="191"/>
    </row>
    <row r="20" spans="1:7" x14ac:dyDescent="0.25">
      <c r="A20" s="5" t="s">
        <v>8</v>
      </c>
      <c r="B20" s="191" t="s">
        <v>24</v>
      </c>
      <c r="C20" s="191"/>
      <c r="D20" s="191"/>
      <c r="E20" s="191"/>
      <c r="F20" s="191"/>
    </row>
    <row r="21" spans="1:7" x14ac:dyDescent="0.25">
      <c r="A21" s="5" t="s">
        <v>20</v>
      </c>
      <c r="B21" s="191" t="s">
        <v>25</v>
      </c>
      <c r="C21" s="191"/>
      <c r="D21" s="191"/>
      <c r="E21" s="191"/>
      <c r="F21" s="191"/>
    </row>
    <row r="22" spans="1:7" x14ac:dyDescent="0.25">
      <c r="A22" s="5" t="s">
        <v>21</v>
      </c>
      <c r="B22" s="191" t="s">
        <v>26</v>
      </c>
      <c r="C22" s="191"/>
      <c r="D22" s="191"/>
      <c r="E22" s="191"/>
      <c r="F22" s="191"/>
    </row>
    <row r="23" spans="1:7" x14ac:dyDescent="0.25">
      <c r="A23" s="5" t="s">
        <v>18</v>
      </c>
      <c r="B23" s="191" t="s">
        <v>27</v>
      </c>
      <c r="C23" s="191"/>
      <c r="D23" s="191"/>
      <c r="E23" s="191"/>
      <c r="F23" s="191"/>
    </row>
  </sheetData>
  <mergeCells count="11">
    <mergeCell ref="B20:F20"/>
    <mergeCell ref="B21:F21"/>
    <mergeCell ref="B22:F22"/>
    <mergeCell ref="B23:F23"/>
    <mergeCell ref="C15:E15"/>
    <mergeCell ref="B19:F19"/>
    <mergeCell ref="A1:F1"/>
    <mergeCell ref="C3:F3"/>
    <mergeCell ref="A14:D14"/>
    <mergeCell ref="A16:E16"/>
    <mergeCell ref="B18:F18"/>
  </mergeCells>
  <hyperlinks>
    <hyperlink ref="C3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6" sqref="E6"/>
    </sheetView>
  </sheetViews>
  <sheetFormatPr defaultRowHeight="15" x14ac:dyDescent="0.25"/>
  <cols>
    <col min="1" max="1" width="23.85546875" bestFit="1" customWidth="1"/>
    <col min="2" max="2" width="13.140625" customWidth="1"/>
    <col min="4" max="4" width="23.85546875" bestFit="1" customWidth="1"/>
    <col min="5" max="5" width="20.28515625" customWidth="1"/>
    <col min="6" max="6" width="22" customWidth="1"/>
  </cols>
  <sheetData>
    <row r="1" spans="1:6" ht="33.75" x14ac:dyDescent="0.5">
      <c r="A1" s="202" t="s">
        <v>28</v>
      </c>
      <c r="B1" s="202"/>
      <c r="C1" s="202"/>
      <c r="D1" s="202"/>
      <c r="E1" s="202"/>
    </row>
    <row r="2" spans="1:6" x14ac:dyDescent="0.25">
      <c r="A2" s="23" t="s">
        <v>3</v>
      </c>
      <c r="B2" s="23" t="s">
        <v>29</v>
      </c>
      <c r="C2" s="23" t="s">
        <v>4</v>
      </c>
      <c r="D2" s="23" t="s">
        <v>30</v>
      </c>
      <c r="E2" s="23" t="s">
        <v>31</v>
      </c>
    </row>
    <row r="3" spans="1:6" x14ac:dyDescent="0.25">
      <c r="A3" s="5" t="s">
        <v>32</v>
      </c>
      <c r="B3" s="20">
        <v>100</v>
      </c>
      <c r="C3" s="7">
        <v>1</v>
      </c>
      <c r="D3" s="20">
        <f>C3*B3</f>
        <v>100</v>
      </c>
      <c r="E3" s="20">
        <f>D3*$B$13</f>
        <v>10</v>
      </c>
    </row>
    <row r="4" spans="1:6" x14ac:dyDescent="0.25">
      <c r="A4" s="5" t="s">
        <v>33</v>
      </c>
      <c r="B4" s="20">
        <v>10</v>
      </c>
      <c r="C4" s="7">
        <v>2</v>
      </c>
      <c r="D4" s="20">
        <f t="shared" ref="D4:D9" si="0">C4*B4</f>
        <v>20</v>
      </c>
      <c r="E4" s="20">
        <f t="shared" ref="E4:E9" si="1">D4*$B$13</f>
        <v>2</v>
      </c>
    </row>
    <row r="5" spans="1:6" x14ac:dyDescent="0.25">
      <c r="A5" s="5" t="s">
        <v>34</v>
      </c>
      <c r="B5" s="20">
        <v>30</v>
      </c>
      <c r="C5" s="7">
        <v>1</v>
      </c>
      <c r="D5" s="20">
        <f t="shared" si="0"/>
        <v>30</v>
      </c>
      <c r="E5" s="20">
        <f t="shared" si="1"/>
        <v>3</v>
      </c>
    </row>
    <row r="6" spans="1:6" x14ac:dyDescent="0.25">
      <c r="A6" s="5" t="s">
        <v>35</v>
      </c>
      <c r="B6" s="20">
        <v>20</v>
      </c>
      <c r="C6" s="7">
        <v>2</v>
      </c>
      <c r="D6" s="20">
        <f t="shared" si="0"/>
        <v>40</v>
      </c>
      <c r="E6" s="20">
        <f t="shared" si="1"/>
        <v>4</v>
      </c>
    </row>
    <row r="7" spans="1:6" x14ac:dyDescent="0.25">
      <c r="A7" s="5" t="s">
        <v>36</v>
      </c>
      <c r="B7" s="20">
        <v>50</v>
      </c>
      <c r="C7" s="7">
        <v>1</v>
      </c>
      <c r="D7" s="20">
        <f t="shared" si="0"/>
        <v>50</v>
      </c>
      <c r="E7" s="20">
        <f t="shared" si="1"/>
        <v>5</v>
      </c>
    </row>
    <row r="8" spans="1:6" x14ac:dyDescent="0.25">
      <c r="A8" s="5" t="s">
        <v>37</v>
      </c>
      <c r="B8" s="20">
        <v>20</v>
      </c>
      <c r="C8" s="7">
        <v>5</v>
      </c>
      <c r="D8" s="20">
        <f t="shared" si="0"/>
        <v>100</v>
      </c>
      <c r="E8" s="20">
        <f t="shared" si="1"/>
        <v>10</v>
      </c>
    </row>
    <row r="9" spans="1:6" x14ac:dyDescent="0.25">
      <c r="A9" s="5" t="s">
        <v>38</v>
      </c>
      <c r="B9" s="20">
        <v>35</v>
      </c>
      <c r="C9" s="7">
        <v>1</v>
      </c>
      <c r="D9" s="20">
        <f t="shared" si="0"/>
        <v>35</v>
      </c>
      <c r="E9" s="20">
        <f t="shared" si="1"/>
        <v>3.5</v>
      </c>
    </row>
    <row r="10" spans="1:6" x14ac:dyDescent="0.25">
      <c r="D10" s="24"/>
      <c r="E10" s="24"/>
    </row>
    <row r="11" spans="1:6" x14ac:dyDescent="0.25">
      <c r="A11" s="22" t="s">
        <v>39</v>
      </c>
      <c r="B11" s="7">
        <f>SUM(C3:C9)</f>
        <v>13</v>
      </c>
      <c r="D11" s="5" t="s">
        <v>30</v>
      </c>
      <c r="E11" s="203" t="s">
        <v>44</v>
      </c>
      <c r="F11" s="203"/>
    </row>
    <row r="12" spans="1:6" x14ac:dyDescent="0.25">
      <c r="A12" s="22" t="s">
        <v>40</v>
      </c>
      <c r="B12" s="25">
        <f>SUM(D3:D9)</f>
        <v>375</v>
      </c>
      <c r="D12" s="5" t="s">
        <v>31</v>
      </c>
      <c r="E12" s="203" t="s">
        <v>45</v>
      </c>
      <c r="F12" s="203"/>
    </row>
    <row r="13" spans="1:6" ht="21" x14ac:dyDescent="0.35">
      <c r="A13" s="22" t="s">
        <v>41</v>
      </c>
      <c r="B13" s="99">
        <v>0.1</v>
      </c>
      <c r="D13" s="5" t="s">
        <v>39</v>
      </c>
      <c r="E13" s="203" t="s">
        <v>46</v>
      </c>
      <c r="F13" s="203"/>
    </row>
    <row r="14" spans="1:6" x14ac:dyDescent="0.25">
      <c r="A14" s="22" t="s">
        <v>42</v>
      </c>
      <c r="B14" s="25">
        <f>SUM(E3:E9)</f>
        <v>37.5</v>
      </c>
      <c r="D14" s="5" t="s">
        <v>40</v>
      </c>
      <c r="E14" s="203" t="s">
        <v>47</v>
      </c>
      <c r="F14" s="203"/>
    </row>
    <row r="15" spans="1:6" x14ac:dyDescent="0.25">
      <c r="A15" s="22" t="s">
        <v>43</v>
      </c>
      <c r="B15" s="25">
        <f>B12-B14</f>
        <v>337.5</v>
      </c>
      <c r="D15" s="5" t="s">
        <v>42</v>
      </c>
      <c r="E15" s="203" t="s">
        <v>48</v>
      </c>
      <c r="F15" s="203"/>
    </row>
    <row r="16" spans="1:6" x14ac:dyDescent="0.25">
      <c r="D16" s="5" t="s">
        <v>43</v>
      </c>
      <c r="E16" s="203" t="s">
        <v>49</v>
      </c>
      <c r="F16" s="203"/>
    </row>
  </sheetData>
  <mergeCells count="7">
    <mergeCell ref="A1:E1"/>
    <mergeCell ref="E16:F16"/>
    <mergeCell ref="E15:F15"/>
    <mergeCell ref="E14:F14"/>
    <mergeCell ref="E13:F13"/>
    <mergeCell ref="E12:F12"/>
    <mergeCell ref="E11:F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28</vt:i4>
      </vt:variant>
      <vt:variant>
        <vt:lpstr>Intervalos nomeados</vt:lpstr>
      </vt:variant>
      <vt:variant>
        <vt:i4>2</vt:i4>
      </vt:variant>
    </vt:vector>
  </HeadingPairs>
  <TitlesOfParts>
    <vt:vector size="30" baseType="lpstr">
      <vt:lpstr>Plan Agenda - Aula 02</vt:lpstr>
      <vt:lpstr>Plan Carros - Aula 03</vt:lpstr>
      <vt:lpstr>Dad</vt:lpstr>
      <vt:lpstr>Plan Cursos EaD - Aula 03</vt:lpstr>
      <vt:lpstr>Plan Operações Mat - Aula 04</vt:lpstr>
      <vt:lpstr>Plan Escola Feliz - Aula 04</vt:lpstr>
      <vt:lpstr>Planilha9</vt:lpstr>
      <vt:lpstr>Plan Muamba Feliz - Aula 05</vt:lpstr>
      <vt:lpstr>Plan PetShop Lais - Aula 05</vt:lpstr>
      <vt:lpstr>Plan Funções - Aula 05</vt:lpstr>
      <vt:lpstr>Plan Escolar - Aula 05</vt:lpstr>
      <vt:lpstr>Plan Atacadista - Aula 05</vt:lpstr>
      <vt:lpstr>Plan Curso AulaEaD - Aula 06</vt:lpstr>
      <vt:lpstr>Plan Vendas - Aula 06</vt:lpstr>
      <vt:lpstr>Plan Estoque - Aula 06</vt:lpstr>
      <vt:lpstr>Plan Venda LRR - Aula 07</vt:lpstr>
      <vt:lpstr>Plan Despesas LRR - Aula 07</vt:lpstr>
      <vt:lpstr>Plan Resultado LRR - Aula 07</vt:lpstr>
      <vt:lpstr>Plan Esstoque - Aula 09</vt:lpstr>
      <vt:lpstr>Plan Metas - Aula 09</vt:lpstr>
      <vt:lpstr>Plan Planos - Aula 09</vt:lpstr>
      <vt:lpstr>Plan Idade - Aula 09</vt:lpstr>
      <vt:lpstr>Plan Alunos - Aula 09</vt:lpstr>
      <vt:lpstr>Plan PROCV - Aula 10</vt:lpstr>
      <vt:lpstr>Plan 5ª Série - Aula 10</vt:lpstr>
      <vt:lpstr>Plan Colesterol - Aula 10</vt:lpstr>
      <vt:lpstr>Plan Triglicerídios - Aula 10</vt:lpstr>
      <vt:lpstr>Plan Somase - Aula 11</vt:lpstr>
      <vt:lpstr>LDL</vt:lpstr>
      <vt:lpstr>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2020-06-20T19:35:46Z</dcterms:created>
  <dcterms:modified xsi:type="dcterms:W3CDTF">2020-06-28T18:27:15Z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4c8a0924-bf96-475a-8f49-d878527585fd</vt:lpwstr>
  </property>
</Properties>
</file>