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  <sheet state="visible" name="Лист4" sheetId="4" r:id="rId7"/>
    <sheet state="visible" name="Лист5" sheetId="5" r:id="rId8"/>
    <sheet state="visible" name="ПлащиТ5" sheetId="6" r:id="rId9"/>
    <sheet state="visible" name="Лист5_1" sheetId="7" r:id="rId10"/>
    <sheet state="visible" name="Лист5_2" sheetId="8" r:id="rId11"/>
    <sheet state="visible" name="Лист5_3" sheetId="9" r:id="rId12"/>
    <sheet state="visible" name="Лист5_4" sheetId="10" r:id="rId13"/>
    <sheet state="visible" name="Лист6" sheetId="11" r:id="rId14"/>
    <sheet state="visible" name="Лист7" sheetId="12" r:id="rId15"/>
    <sheet state="visible" name="Лист8" sheetId="13" r:id="rId16"/>
  </sheets>
  <definedNames>
    <definedName hidden="1" localSheetId="1" name="_xlnm._FilterDatabase">'Лист2'!$A$1:$H$42</definedName>
  </definedNames>
  <calcPr/>
</workbook>
</file>

<file path=xl/sharedStrings.xml><?xml version="1.0" encoding="utf-8"?>
<sst xmlns="http://schemas.openxmlformats.org/spreadsheetml/2006/main" count="1354" uniqueCount="302">
  <si>
    <t>Цена водорослей</t>
  </si>
  <si>
    <t>Цена разделанной рыбы на аукционе(8%!!!)</t>
  </si>
  <si>
    <t>Рыбы</t>
  </si>
  <si>
    <t>Получаемая разделанная рыба</t>
  </si>
  <si>
    <t>Цена продажи рыбы</t>
  </si>
  <si>
    <t>Получаемая сумма разделанной рыбы</t>
  </si>
  <si>
    <t>Цена за единицу разделанной рыбы</t>
  </si>
  <si>
    <t>Доход при продаже разделанной рыбы(за единицу)</t>
  </si>
  <si>
    <t>Красноперка</t>
  </si>
  <si>
    <t xml:space="preserve">Полосатый карп </t>
  </si>
  <si>
    <t>Альбионский окунь</t>
  </si>
  <si>
    <t>Голубая Щука</t>
  </si>
  <si>
    <t>Пятнистая форель</t>
  </si>
  <si>
    <t>Яркоперый судак</t>
  </si>
  <si>
    <t>Мешкожаберный сом</t>
  </si>
  <si>
    <t xml:space="preserve">Речной осетр </t>
  </si>
  <si>
    <t>Сельдь обыкновенная</t>
  </si>
  <si>
    <t>Полосатая скумбрия</t>
  </si>
  <si>
    <t>Мелководная камбала</t>
  </si>
  <si>
    <t>Голубая треска</t>
  </si>
  <si>
    <t>Пятнистая зубатка</t>
  </si>
  <si>
    <t>Твердокрылый лосось</t>
  </si>
  <si>
    <t>Голубой тунец</t>
  </si>
  <si>
    <t>Меч-рыба</t>
  </si>
  <si>
    <t>Речной угорь</t>
  </si>
  <si>
    <t>Красноводный угорь</t>
  </si>
  <si>
    <t>Мелководный краб</t>
  </si>
  <si>
    <t>Сухопутный краб</t>
  </si>
  <si>
    <t>Грязекраб</t>
  </si>
  <si>
    <t>Синеглазка</t>
  </si>
  <si>
    <t>Горная слпоглазка</t>
  </si>
  <si>
    <t>Морозный смертеглаз</t>
  </si>
  <si>
    <t>Пестроногий подкаменщик</t>
  </si>
  <si>
    <t>Камышовый</t>
  </si>
  <si>
    <t>Громокрылый</t>
  </si>
  <si>
    <t>Илистый моллюск</t>
  </si>
  <si>
    <t>Грязевой</t>
  </si>
  <si>
    <t xml:space="preserve">Черноводный </t>
  </si>
  <si>
    <t>Дымчатый окунь</t>
  </si>
  <si>
    <t>Мглистый</t>
  </si>
  <si>
    <t>Мелководный кальмар</t>
  </si>
  <si>
    <t>Срединный осьминог</t>
  </si>
  <si>
    <t>Глубинный кракен</t>
  </si>
  <si>
    <t>Акула</t>
  </si>
  <si>
    <t>Соус</t>
  </si>
  <si>
    <t>Цена продажи на аукционе</t>
  </si>
  <si>
    <t>Цена (%)</t>
  </si>
  <si>
    <t>Количество рыбы</t>
  </si>
  <si>
    <t>Количество водорослей</t>
  </si>
  <si>
    <t>Цена продажи за вычетом водорослей</t>
  </si>
  <si>
    <t>Необходимая цена за единицу рыбы</t>
  </si>
  <si>
    <t xml:space="preserve">Основной </t>
  </si>
  <si>
    <t>Необычный</t>
  </si>
  <si>
    <t>Особый</t>
  </si>
  <si>
    <t>Т1</t>
  </si>
  <si>
    <t>Накидка</t>
  </si>
  <si>
    <t>Герб</t>
  </si>
  <si>
    <t>Сердце</t>
  </si>
  <si>
    <t>Выгода</t>
  </si>
  <si>
    <t>Плащ</t>
  </si>
  <si>
    <t>Martlock</t>
  </si>
  <si>
    <t>ThetFord</t>
  </si>
  <si>
    <t>Bridgewatch</t>
  </si>
  <si>
    <t>Lymhurst</t>
  </si>
  <si>
    <t>Fort Sterling</t>
  </si>
  <si>
    <t>Нежити</t>
  </si>
  <si>
    <t>Хранителей</t>
  </si>
  <si>
    <t>Морганы</t>
  </si>
  <si>
    <t>Т2</t>
  </si>
  <si>
    <t>Т3</t>
  </si>
  <si>
    <t>Жесткая кожа</t>
  </si>
  <si>
    <t>Грубая шкура</t>
  </si>
  <si>
    <t>Толстая кожа</t>
  </si>
  <si>
    <t>Тонкая шкура</t>
  </si>
  <si>
    <t>Обработанная кожа</t>
  </si>
  <si>
    <t>Средняя шкура</t>
  </si>
  <si>
    <t>Выделанная кожа</t>
  </si>
  <si>
    <t>Тяжелая шкура</t>
  </si>
  <si>
    <t>Fort</t>
  </si>
  <si>
    <t>Bri</t>
  </si>
  <si>
    <t>Lym</t>
  </si>
  <si>
    <t>Thet</t>
  </si>
  <si>
    <t>Город</t>
  </si>
  <si>
    <t>Сердце Горы</t>
  </si>
  <si>
    <t>Продажа</t>
  </si>
  <si>
    <t>%</t>
  </si>
  <si>
    <t>Заказ на продажу</t>
  </si>
  <si>
    <t>Caerleon</t>
  </si>
  <si>
    <t>Mart</t>
  </si>
  <si>
    <t>Bridg</t>
  </si>
  <si>
    <t>Накидка знатока Bri</t>
  </si>
  <si>
    <t>Накидка знатока Fort</t>
  </si>
  <si>
    <t>Накидка знатока Lym</t>
  </si>
  <si>
    <t>Накидка знатока Mar</t>
  </si>
  <si>
    <t>Накидка знатока Thet</t>
  </si>
  <si>
    <t>Плащ города Caer</t>
  </si>
  <si>
    <t xml:space="preserve">Плащ еретиков </t>
  </si>
  <si>
    <t>Плащ нежити</t>
  </si>
  <si>
    <t>Плащ хранителей</t>
  </si>
  <si>
    <t>Плащ морганы</t>
  </si>
  <si>
    <t>Плащ демонов</t>
  </si>
  <si>
    <t>Плащ Brec</t>
  </si>
  <si>
    <t>Авалонский плащ</t>
  </si>
  <si>
    <t>Заказ</t>
  </si>
  <si>
    <t>Заказ(%)</t>
  </si>
  <si>
    <t>Цена крафта</t>
  </si>
  <si>
    <t>Прибыль</t>
  </si>
  <si>
    <t>1_0</t>
  </si>
  <si>
    <t>2_0</t>
  </si>
  <si>
    <t>3_0</t>
  </si>
  <si>
    <t>4_0</t>
  </si>
  <si>
    <t>1_1</t>
  </si>
  <si>
    <t>2_1</t>
  </si>
  <si>
    <t>3_1</t>
  </si>
  <si>
    <t>4_1</t>
  </si>
  <si>
    <t>1_2</t>
  </si>
  <si>
    <t>2_2</t>
  </si>
  <si>
    <t>3_2</t>
  </si>
  <si>
    <t>4_2</t>
  </si>
  <si>
    <t>1_3</t>
  </si>
  <si>
    <t>2_3</t>
  </si>
  <si>
    <t>3_3</t>
  </si>
  <si>
    <t>4_3</t>
  </si>
  <si>
    <t>Продажа(%)</t>
  </si>
  <si>
    <t>Сердце лозы</t>
  </si>
  <si>
    <t>Горы</t>
  </si>
  <si>
    <t>Теневое</t>
  </si>
  <si>
    <t>Звериное</t>
  </si>
  <si>
    <t>Каменное</t>
  </si>
  <si>
    <t>Древесное</t>
  </si>
  <si>
    <t>Сказочный огонь</t>
  </si>
  <si>
    <t>Авалонская энергия</t>
  </si>
  <si>
    <t>Руна</t>
  </si>
  <si>
    <t>Душа</t>
  </si>
  <si>
    <t>Реликт</t>
  </si>
  <si>
    <t>2_4</t>
  </si>
  <si>
    <t>Герб Bri</t>
  </si>
  <si>
    <t>Герб Fort</t>
  </si>
  <si>
    <t>Герб Lym</t>
  </si>
  <si>
    <t>Герб Mar</t>
  </si>
  <si>
    <t>3_4</t>
  </si>
  <si>
    <t>Герб Thet</t>
  </si>
  <si>
    <t>Герб Caer</t>
  </si>
  <si>
    <t>Герб еретиков</t>
  </si>
  <si>
    <t>Герб нежити</t>
  </si>
  <si>
    <t>Герб хранителей</t>
  </si>
  <si>
    <t>Герб морганы</t>
  </si>
  <si>
    <t>Герб демонов</t>
  </si>
  <si>
    <t>Герб Brec</t>
  </si>
  <si>
    <t>Герб авалона</t>
  </si>
  <si>
    <t>Цена продажи</t>
  </si>
  <si>
    <t>Цена улучшений</t>
  </si>
  <si>
    <t>Цена улучшения</t>
  </si>
  <si>
    <t>Выгодная цена</t>
  </si>
  <si>
    <t>0_1</t>
  </si>
  <si>
    <t>0_2</t>
  </si>
  <si>
    <t>0_3</t>
  </si>
  <si>
    <t>0_4</t>
  </si>
  <si>
    <t>0_5</t>
  </si>
  <si>
    <t>1_4</t>
  </si>
  <si>
    <t>1_5</t>
  </si>
  <si>
    <t>2_5</t>
  </si>
  <si>
    <t>3_5</t>
  </si>
  <si>
    <t>4_4</t>
  </si>
  <si>
    <t>4_5</t>
  </si>
  <si>
    <t>Морковь</t>
  </si>
  <si>
    <t>Бобы</t>
  </si>
  <si>
    <t>Пшеница</t>
  </si>
  <si>
    <t>Молоко</t>
  </si>
  <si>
    <t>Ярколист</t>
  </si>
  <si>
    <t>Ворсянка</t>
  </si>
  <si>
    <t>Темногриб</t>
  </si>
  <si>
    <t>Гусиные яйца</t>
  </si>
  <si>
    <t>Вендор</t>
  </si>
  <si>
    <t>Аук</t>
  </si>
  <si>
    <t>Аук выращенное</t>
  </si>
  <si>
    <t>Семена</t>
  </si>
  <si>
    <t>Выращенное</t>
  </si>
  <si>
    <t>Цыплята</t>
  </si>
  <si>
    <t>Козленок</t>
  </si>
  <si>
    <t>Гусенок</t>
  </si>
  <si>
    <t>Репа</t>
  </si>
  <si>
    <t>Капуста</t>
  </si>
  <si>
    <t>Картофель</t>
  </si>
  <si>
    <t>Бычок т3</t>
  </si>
  <si>
    <t>т4</t>
  </si>
  <si>
    <t>Лопух</t>
  </si>
  <si>
    <t>т5</t>
  </si>
  <si>
    <t>Жеребенок т3</t>
  </si>
  <si>
    <t>Еда</t>
  </si>
  <si>
    <t xml:space="preserve">Заказ </t>
  </si>
  <si>
    <t>Заказ(%)*17</t>
  </si>
  <si>
    <t>Заказ(%)*12</t>
  </si>
  <si>
    <t>Продажа(%) *17</t>
  </si>
  <si>
    <t>Продажа(%) *12</t>
  </si>
  <si>
    <t>Цена крафта единицы</t>
  </si>
  <si>
    <t>Прибыль *17</t>
  </si>
  <si>
    <t>Прибыль *12</t>
  </si>
  <si>
    <t>Прибыль продажа *17</t>
  </si>
  <si>
    <t>Прибыль продажа *12</t>
  </si>
  <si>
    <t>Ингредиенты</t>
  </si>
  <si>
    <t>Жареная рыба</t>
  </si>
  <si>
    <t>Продукт</t>
  </si>
  <si>
    <t>Цена аука</t>
  </si>
  <si>
    <t>Множитель</t>
  </si>
  <si>
    <t>Моковный суп(х10)</t>
  </si>
  <si>
    <t>Курица</t>
  </si>
  <si>
    <t>Основной рыбный соус</t>
  </si>
  <si>
    <t>Суп из илистых</t>
  </si>
  <si>
    <t>Куриное мясо</t>
  </si>
  <si>
    <t>Необычный рыбный соус</t>
  </si>
  <si>
    <t>Салат с бобами(х10)</t>
  </si>
  <si>
    <t>Куриные яйца</t>
  </si>
  <si>
    <t>Салат с мелоководным</t>
  </si>
  <si>
    <t>Коза</t>
  </si>
  <si>
    <t>Мглистый окунь</t>
  </si>
  <si>
    <t>Особый рыбный соус</t>
  </si>
  <si>
    <t>Пшеничная похлебка(х10)</t>
  </si>
  <si>
    <t>Козлятина</t>
  </si>
  <si>
    <t xml:space="preserve">Камышовый </t>
  </si>
  <si>
    <t>Пирог с курицей(х10)</t>
  </si>
  <si>
    <t>Козье масло</t>
  </si>
  <si>
    <t>Пирог с синеглазкой</t>
  </si>
  <si>
    <t>Козье молоко</t>
  </si>
  <si>
    <t>Омлет с курицей(х10)</t>
  </si>
  <si>
    <t>Гусыня</t>
  </si>
  <si>
    <t>Черноводный моллюск</t>
  </si>
  <si>
    <t>Омлет с мелководным</t>
  </si>
  <si>
    <t>Гусятина</t>
  </si>
  <si>
    <t>Пестроногий</t>
  </si>
  <si>
    <t>Жареный цыпленок(х10)</t>
  </si>
  <si>
    <t>Красноводный</t>
  </si>
  <si>
    <t>Рубка</t>
  </si>
  <si>
    <t>Жареный дымчатый</t>
  </si>
  <si>
    <t>Овца</t>
  </si>
  <si>
    <t>Мельница</t>
  </si>
  <si>
    <t>Салат с репой(х10)</t>
  </si>
  <si>
    <t>Баранина</t>
  </si>
  <si>
    <t>Салат со срединным</t>
  </si>
  <si>
    <t>Овечье молоко</t>
  </si>
  <si>
    <t>Жаркое из козлятины(х10)</t>
  </si>
  <si>
    <t>Овечье Масло</t>
  </si>
  <si>
    <t>Жаркое из речного</t>
  </si>
  <si>
    <t>Коровье молоко</t>
  </si>
  <si>
    <t>Авалонское жаркое из козлятины(х10)</t>
  </si>
  <si>
    <t>Свинина</t>
  </si>
  <si>
    <t>Сэндвич с козлятиной(х10)</t>
  </si>
  <si>
    <t>Свинья</t>
  </si>
  <si>
    <t>Зубчатый лопух</t>
  </si>
  <si>
    <t>Сэндвич с пестроногим</t>
  </si>
  <si>
    <t>Драконья ворсянка</t>
  </si>
  <si>
    <t>Капустный суп(х10)</t>
  </si>
  <si>
    <t>Туманная наперстянка</t>
  </si>
  <si>
    <t>Суп из черноводных</t>
  </si>
  <si>
    <t>Царский огнецвет</t>
  </si>
  <si>
    <t>Пирог с гусятитной(х10)</t>
  </si>
  <si>
    <t>Упырий тысячеслистник</t>
  </si>
  <si>
    <t>Омлет с гусятиной(х10)</t>
  </si>
  <si>
    <t>Омлет с сухопутным</t>
  </si>
  <si>
    <t>Жареный гусь(х10)</t>
  </si>
  <si>
    <t>Сноп пшеницы</t>
  </si>
  <si>
    <t>Жареный мглистый</t>
  </si>
  <si>
    <t>Мука</t>
  </si>
  <si>
    <t>Картофельный салат(х10)</t>
  </si>
  <si>
    <t>Хлеб</t>
  </si>
  <si>
    <t>Салат с глубинным</t>
  </si>
  <si>
    <t>Салат с глубинным т1</t>
  </si>
  <si>
    <t>Салат с глубинным т2</t>
  </si>
  <si>
    <t>Салат с глубинным т3</t>
  </si>
  <si>
    <t>Кукурузный початок</t>
  </si>
  <si>
    <t>Жаркое из баранины(х10)</t>
  </si>
  <si>
    <t>Тыква</t>
  </si>
  <si>
    <t>Жаркое из красноводного</t>
  </si>
  <si>
    <t>Жаркое из красноводного т1</t>
  </si>
  <si>
    <t>Жаркое из красноводного т2</t>
  </si>
  <si>
    <t>Авалонское из баранины(х10)</t>
  </si>
  <si>
    <t>Сэндвич с бараниной(х10)</t>
  </si>
  <si>
    <t>Сэндвич с камышовым</t>
  </si>
  <si>
    <t>Авалонский с баран(х10)</t>
  </si>
  <si>
    <t>Пирог со свининой</t>
  </si>
  <si>
    <t>Малый эликсир здоровья(х5)</t>
  </si>
  <si>
    <t>Малый эликсир энергии(х5)</t>
  </si>
  <si>
    <t>Малое зелье гиганта(х5)</t>
  </si>
  <si>
    <t>Малый эликсир защиты(х5)</t>
  </si>
  <si>
    <t>Малая вязкая настойка</t>
  </si>
  <si>
    <t>Эликсир здоровья</t>
  </si>
  <si>
    <t>Эликсир энергии</t>
  </si>
  <si>
    <t>Малый эликсир яда</t>
  </si>
  <si>
    <t>Зелье гиганта</t>
  </si>
  <si>
    <t>Эликсир защиты</t>
  </si>
  <si>
    <t>Вязкая настойка</t>
  </si>
  <si>
    <t>Большой эликсир здоровья</t>
  </si>
  <si>
    <t>Большой эликсир энергии</t>
  </si>
  <si>
    <t>Эликсир яда</t>
  </si>
  <si>
    <t>Большое зелье гиганта</t>
  </si>
  <si>
    <t>Большой эликсир защиты</t>
  </si>
  <si>
    <t>Большая вязкая настойка</t>
  </si>
  <si>
    <t>Большой эликсир яда</t>
  </si>
  <si>
    <t>Эликсир невидимости</t>
  </si>
  <si>
    <t>Картофельный самогон</t>
  </si>
  <si>
    <t>Кукурузный самогон</t>
  </si>
  <si>
    <t>Тыквенный самогон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</si>
</sst>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sz val="9.0"/>
      <color rgb="FF000000"/>
      <name val="&quot;Google Sans Mono&quot;"/>
    </font>
    <font>
      <sz val="11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999999"/>
        <bgColor rgb="FF999999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666666"/>
        <bgColor rgb="FF666666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274E13"/>
        <bgColor rgb="FF274E13"/>
      </patternFill>
    </fill>
    <fill>
      <patternFill patternType="solid">
        <fgColor rgb="FF6D9EEB"/>
        <bgColor rgb="FF6D9EEB"/>
      </patternFill>
    </fill>
    <fill>
      <patternFill patternType="solid">
        <fgColor rgb="FF1155CC"/>
        <bgColor rgb="FF1155CC"/>
      </patternFill>
    </fill>
  </fills>
  <borders count="73">
    <border/>
    <border>
      <left/>
      <right/>
      <top/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thick">
        <color rgb="FF000000"/>
      </left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</border>
    <border>
      <right style="thick">
        <color rgb="FF000000"/>
      </right>
    </border>
    <border>
      <left style="thick">
        <color rgb="FF000000"/>
      </left>
      <right style="medium">
        <color rgb="FF000000"/>
      </right>
      <bottom style="thick">
        <color rgb="FF000000"/>
      </bottom>
    </border>
    <border>
      <bottom style="thick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medium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/>
      <bottom/>
    </border>
    <border>
      <left style="thick">
        <color rgb="FF000000"/>
      </left>
      <right style="medium">
        <color rgb="FF000000"/>
      </right>
      <top/>
      <bottom/>
    </border>
    <border>
      <right/>
      <top/>
      <bottom/>
    </border>
    <border>
      <left/>
      <right style="thick">
        <color rgb="FF000000"/>
      </right>
      <top/>
      <bottom/>
    </border>
    <border>
      <left style="thick">
        <color rgb="FF000000"/>
      </left>
      <right/>
      <top/>
      <bottom/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right style="medium">
        <color rgb="FF000000"/>
      </right>
      <top style="thick">
        <color rgb="FF000000"/>
      </top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right style="thick">
        <color rgb="FF000000"/>
      </right>
      <top style="thin">
        <color rgb="FF000000"/>
      </top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/>
      <bottom style="thick">
        <color rgb="FF000000"/>
      </bottom>
    </border>
    <border>
      <left style="thick">
        <color rgb="FF000000"/>
      </left>
      <right style="medium">
        <color rgb="FF000000"/>
      </right>
      <top/>
      <bottom style="thick">
        <color rgb="FF000000"/>
      </bottom>
    </border>
    <border>
      <right/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  <border>
      <left style="thick">
        <color rgb="FF000000"/>
      </left>
      <right/>
      <top/>
      <bottom style="thick">
        <color rgb="FF000000"/>
      </bottom>
    </border>
    <border>
      <left style="medium">
        <color rgb="FF000000"/>
      </left>
      <top style="thick">
        <color rgb="FF000000"/>
      </top>
    </border>
    <border>
      <left style="thick">
        <color rgb="FF000000"/>
      </left>
      <top/>
      <bottom/>
    </border>
    <border>
      <left style="thick">
        <color rgb="FF000000"/>
      </left>
      <top/>
      <bottom style="thick">
        <color rgb="FF000000"/>
      </bottom>
    </border>
    <border>
      <left style="medium">
        <color rgb="FF000000"/>
      </left>
      <right/>
      <top/>
      <bottom style="thick">
        <color rgb="FF000000"/>
      </bottom>
    </border>
  </borders>
  <cellStyleXfs count="1">
    <xf borderId="0" fillId="0" fontId="0" numFmtId="0" applyAlignment="1" applyFont="1"/>
  </cellStyleXfs>
  <cellXfs count="2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4" xfId="0" applyAlignment="1" applyFont="1" applyNumberFormat="1">
      <alignment readingOrder="0"/>
    </xf>
    <xf borderId="0" fillId="0" fontId="1" numFmtId="0" xfId="0" applyFont="1"/>
    <xf borderId="1" fillId="2" fontId="2" numFmtId="0" xfId="0" applyAlignment="1" applyBorder="1" applyFill="1" applyFont="1">
      <alignment readingOrder="0"/>
    </xf>
    <xf borderId="1" fillId="2" fontId="2" numFmtId="2" xfId="0" applyBorder="1" applyFont="1" applyNumberFormat="1"/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0" fillId="0" fontId="2" numFmtId="0" xfId="0" applyAlignment="1" applyFont="1">
      <alignment readingOrder="0"/>
    </xf>
    <xf borderId="6" fillId="0" fontId="2" numFmtId="2" xfId="0" applyBorder="1" applyFont="1" applyNumberFormat="1"/>
    <xf borderId="7" fillId="3" fontId="2" numFmtId="0" xfId="0" applyBorder="1" applyFill="1" applyFont="1"/>
    <xf borderId="8" fillId="0" fontId="2" numFmtId="0" xfId="0" applyBorder="1" applyFont="1"/>
    <xf borderId="9" fillId="0" fontId="2" numFmtId="0" xfId="0" applyBorder="1" applyFont="1"/>
    <xf borderId="9" fillId="0" fontId="1" numFmtId="0" xfId="0" applyAlignment="1" applyBorder="1" applyFont="1">
      <alignment readingOrder="0"/>
    </xf>
    <xf borderId="9" fillId="0" fontId="2" numFmtId="0" xfId="0" applyAlignment="1" applyBorder="1" applyFont="1">
      <alignment shrinkToFit="0" wrapText="1"/>
    </xf>
    <xf borderId="10" fillId="0" fontId="1" numFmtId="0" xfId="0" applyAlignment="1" applyBorder="1" applyFont="1">
      <alignment readingOrder="0" shrinkToFit="0" wrapText="1"/>
    </xf>
    <xf borderId="11" fillId="0" fontId="2" numFmtId="0" xfId="0" applyBorder="1" applyFont="1"/>
    <xf borderId="12" fillId="0" fontId="1" numFmtId="0" xfId="0" applyBorder="1" applyFont="1"/>
    <xf borderId="13" fillId="0" fontId="2" numFmtId="0" xfId="0" applyBorder="1" applyFont="1"/>
    <xf borderId="14" fillId="0" fontId="2" numFmtId="0" xfId="0" applyAlignment="1" applyBorder="1" applyFont="1">
      <alignment readingOrder="0"/>
    </xf>
    <xf borderId="14" fillId="0" fontId="1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4" fontId="2" numFmtId="0" xfId="0" applyBorder="1" applyFill="1" applyFont="1"/>
    <xf borderId="1" fillId="4" fontId="2" numFmtId="0" xfId="0" applyBorder="1" applyFont="1"/>
    <xf borderId="23" fillId="4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26" fillId="4" fontId="2" numFmtId="0" xfId="0" applyBorder="1" applyFont="1"/>
    <xf borderId="0" fillId="5" fontId="1" numFmtId="0" xfId="0" applyFill="1" applyFont="1"/>
    <xf borderId="27" fillId="0" fontId="1" numFmtId="0" xfId="0" applyAlignment="1" applyBorder="1" applyFont="1">
      <alignment horizontal="center"/>
    </xf>
    <xf borderId="28" fillId="0" fontId="3" numFmtId="0" xfId="0" applyBorder="1" applyFont="1"/>
    <xf borderId="29" fillId="0" fontId="3" numFmtId="0" xfId="0" applyBorder="1" applyFont="1"/>
    <xf borderId="27" fillId="0" fontId="1" numFmtId="0" xfId="0" applyAlignment="1" applyBorder="1" applyFont="1">
      <alignment horizontal="center" readingOrder="0"/>
    </xf>
    <xf borderId="7" fillId="6" fontId="1" numFmtId="0" xfId="0" applyAlignment="1" applyBorder="1" applyFill="1" applyFont="1">
      <alignment readingOrder="0"/>
    </xf>
    <xf borderId="12" fillId="0" fontId="1" numFmtId="0" xfId="0" applyAlignment="1" applyBorder="1" applyFont="1">
      <alignment readingOrder="0"/>
    </xf>
    <xf borderId="7" fillId="6" fontId="1" numFmtId="0" xfId="0" applyBorder="1" applyFont="1"/>
    <xf borderId="0" fillId="7" fontId="1" numFmtId="0" xfId="0" applyFill="1" applyFont="1"/>
    <xf borderId="30" fillId="6" fontId="1" numFmtId="0" xfId="0" applyAlignment="1" applyBorder="1" applyFont="1">
      <alignment readingOrder="0"/>
    </xf>
    <xf borderId="31" fillId="5" fontId="1" numFmtId="0" xfId="0" applyAlignment="1" applyBorder="1" applyFont="1">
      <alignment readingOrder="0"/>
    </xf>
    <xf borderId="31" fillId="8" fontId="1" numFmtId="0" xfId="0" applyAlignment="1" applyBorder="1" applyFill="1" applyFont="1">
      <alignment readingOrder="0"/>
    </xf>
    <xf borderId="32" fillId="8" fontId="1" numFmtId="0" xfId="0" applyAlignment="1" applyBorder="1" applyFont="1">
      <alignment readingOrder="0"/>
    </xf>
    <xf borderId="0" fillId="7" fontId="1" numFmtId="0" xfId="0" applyAlignment="1" applyFont="1">
      <alignment readingOrder="0"/>
    </xf>
    <xf borderId="0" fillId="9" fontId="1" numFmtId="0" xfId="0" applyFill="1" applyFont="1"/>
    <xf borderId="30" fillId="8" fontId="1" numFmtId="0" xfId="0" applyAlignment="1" applyBorder="1" applyFont="1">
      <alignment readingOrder="0"/>
    </xf>
    <xf borderId="31" fillId="9" fontId="1" numFmtId="0" xfId="0" applyBorder="1" applyFont="1"/>
    <xf borderId="32" fillId="0" fontId="1" numFmtId="0" xfId="0" applyBorder="1" applyFont="1"/>
    <xf borderId="33" fillId="6" fontId="1" numFmtId="0" xfId="0" applyAlignment="1" applyBorder="1" applyFont="1">
      <alignment readingOrder="0"/>
    </xf>
    <xf borderId="14" fillId="9" fontId="1" numFmtId="0" xfId="0" applyBorder="1" applyFont="1"/>
    <xf borderId="34" fillId="0" fontId="1" numFmtId="0" xfId="0" applyBorder="1" applyFont="1"/>
    <xf borderId="14" fillId="5" fontId="1" numFmtId="0" xfId="0" applyBorder="1" applyFont="1"/>
    <xf borderId="0" fillId="0" fontId="1" numFmtId="4" xfId="0" applyFont="1" applyNumberFormat="1"/>
    <xf borderId="27" fillId="5" fontId="1" numFmtId="0" xfId="0" applyBorder="1" applyFont="1"/>
    <xf borderId="29" fillId="6" fontId="2" numFmtId="0" xfId="0" applyAlignment="1" applyBorder="1" applyFont="1">
      <alignment horizontal="right" readingOrder="0" vertical="bottom"/>
    </xf>
    <xf borderId="0" fillId="5" fontId="2" numFmtId="0" xfId="0" applyAlignment="1" applyFont="1">
      <alignment vertical="bottom"/>
    </xf>
    <xf borderId="0" fillId="6" fontId="2" numFmtId="0" xfId="0" applyAlignment="1" applyFont="1">
      <alignment horizontal="right" readingOrder="0" vertical="bottom"/>
    </xf>
    <xf borderId="7" fillId="5" fontId="1" numFmtId="0" xfId="0" applyBorder="1" applyFont="1"/>
    <xf borderId="12" fillId="6" fontId="2" numFmtId="0" xfId="0" applyAlignment="1" applyBorder="1" applyFont="1">
      <alignment horizontal="right" readingOrder="0" vertical="bottom"/>
    </xf>
    <xf borderId="7" fillId="5" fontId="1" numFmtId="0" xfId="0" applyAlignment="1" applyBorder="1" applyFont="1">
      <alignment readingOrder="0"/>
    </xf>
    <xf borderId="33" fillId="5" fontId="1" numFmtId="0" xfId="0" applyAlignment="1" applyBorder="1" applyFont="1">
      <alignment readingOrder="0"/>
    </xf>
    <xf borderId="34" fillId="6" fontId="2" numFmtId="0" xfId="0" applyAlignment="1" applyBorder="1" applyFont="1">
      <alignment horizontal="right" readingOrder="0" vertical="bottom"/>
    </xf>
    <xf borderId="27" fillId="5" fontId="1" numFmtId="0" xfId="0" applyAlignment="1" applyBorder="1" applyFont="1">
      <alignment readingOrder="0"/>
    </xf>
    <xf borderId="0" fillId="0" fontId="2" numFmtId="0" xfId="0" applyAlignment="1" applyFont="1">
      <alignment vertical="bottom"/>
    </xf>
    <xf borderId="0" fillId="5" fontId="1" numFmtId="0" xfId="0" applyAlignment="1" applyFont="1">
      <alignment readingOrder="0"/>
    </xf>
    <xf borderId="35" fillId="0" fontId="1" numFmtId="0" xfId="0" applyAlignment="1" applyBorder="1" applyFont="1">
      <alignment readingOrder="0"/>
    </xf>
    <xf borderId="36" fillId="0" fontId="1" numFmtId="0" xfId="0" applyAlignment="1" applyBorder="1" applyFont="1">
      <alignment readingOrder="0"/>
    </xf>
    <xf borderId="37" fillId="0" fontId="1" numFmtId="0" xfId="0" applyAlignment="1" applyBorder="1" applyFont="1">
      <alignment readingOrder="0"/>
    </xf>
    <xf borderId="35" fillId="5" fontId="2" numFmtId="0" xfId="0" applyAlignment="1" applyBorder="1" applyFont="1">
      <alignment readingOrder="0" vertical="bottom"/>
    </xf>
    <xf borderId="36" fillId="6" fontId="2" numFmtId="0" xfId="0" applyAlignment="1" applyBorder="1" applyFont="1">
      <alignment horizontal="right" readingOrder="0" vertical="bottom"/>
    </xf>
    <xf borderId="35" fillId="0" fontId="1" numFmtId="0" xfId="0" applyBorder="1" applyFont="1"/>
    <xf borderId="36" fillId="0" fontId="1" numFmtId="0" xfId="0" applyBorder="1" applyFont="1"/>
    <xf borderId="37" fillId="7" fontId="1" numFmtId="0" xfId="0" applyBorder="1" applyFont="1"/>
    <xf borderId="0" fillId="5" fontId="2" numFmtId="0" xfId="0" applyAlignment="1" applyFont="1">
      <alignment readingOrder="0" vertical="bottom"/>
    </xf>
    <xf borderId="38" fillId="6" fontId="2" numFmtId="0" xfId="0" applyAlignment="1" applyBorder="1" applyFont="1">
      <alignment horizontal="right" readingOrder="0" vertical="bottom"/>
    </xf>
    <xf borderId="38" fillId="0" fontId="1" numFmtId="0" xfId="0" applyBorder="1" applyFont="1"/>
    <xf borderId="6" fillId="7" fontId="1" numFmtId="0" xfId="0" applyBorder="1" applyFont="1"/>
    <xf borderId="0" fillId="3" fontId="1" numFmtId="0" xfId="0" applyFont="1"/>
    <xf borderId="38" fillId="3" fontId="1" numFmtId="0" xfId="0" applyBorder="1" applyFont="1"/>
    <xf borderId="18" fillId="5" fontId="2" numFmtId="0" xfId="0" applyAlignment="1" applyBorder="1" applyFont="1">
      <alignment readingOrder="0" vertical="bottom"/>
    </xf>
    <xf borderId="39" fillId="6" fontId="2" numFmtId="0" xfId="0" applyAlignment="1" applyBorder="1" applyFont="1">
      <alignment horizontal="right" readingOrder="0" vertical="bottom"/>
    </xf>
    <xf borderId="18" fillId="3" fontId="1" numFmtId="0" xfId="0" applyBorder="1" applyFont="1"/>
    <xf borderId="39" fillId="3" fontId="1" numFmtId="0" xfId="0" applyBorder="1" applyFont="1"/>
    <xf borderId="38" fillId="10" fontId="1" numFmtId="0" xfId="0" applyBorder="1" applyFill="1" applyFont="1"/>
    <xf borderId="38" fillId="11" fontId="1" numFmtId="0" xfId="0" applyBorder="1" applyFill="1" applyFont="1"/>
    <xf borderId="38" fillId="12" fontId="1" numFmtId="0" xfId="0" applyBorder="1" applyFill="1" applyFont="1"/>
    <xf borderId="38" fillId="13" fontId="1" numFmtId="0" xfId="0" applyBorder="1" applyFill="1" applyFont="1"/>
    <xf borderId="18" fillId="7" fontId="1" numFmtId="0" xfId="0" applyBorder="1" applyFont="1"/>
    <xf borderId="39" fillId="14" fontId="1" numFmtId="0" xfId="0" applyBorder="1" applyFill="1" applyFont="1"/>
    <xf borderId="40" fillId="5" fontId="1" numFmtId="0" xfId="0" applyAlignment="1" applyBorder="1" applyFont="1">
      <alignment readingOrder="0"/>
    </xf>
    <xf borderId="37" fillId="6" fontId="2" numFmtId="0" xfId="0" applyAlignment="1" applyBorder="1" applyFont="1">
      <alignment horizontal="right" readingOrder="0" vertical="bottom"/>
    </xf>
    <xf borderId="5" fillId="5" fontId="1" numFmtId="0" xfId="0" applyAlignment="1" applyBorder="1" applyFont="1">
      <alignment readingOrder="0"/>
    </xf>
    <xf borderId="6" fillId="6" fontId="2" numFmtId="0" xfId="0" applyAlignment="1" applyBorder="1" applyFont="1">
      <alignment horizontal="right" readingOrder="0" vertical="bottom"/>
    </xf>
    <xf borderId="38" fillId="6" fontId="2" numFmtId="0" xfId="0" applyAlignment="1" applyBorder="1" applyFont="1">
      <alignment vertical="bottom"/>
    </xf>
    <xf borderId="39" fillId="6" fontId="2" numFmtId="0" xfId="0" applyAlignment="1" applyBorder="1" applyFont="1">
      <alignment vertical="bottom"/>
    </xf>
    <xf borderId="24" fillId="5" fontId="1" numFmtId="0" xfId="0" applyAlignment="1" applyBorder="1" applyFont="1">
      <alignment readingOrder="0"/>
    </xf>
    <xf borderId="19" fillId="6" fontId="2" numFmtId="0" xfId="0" applyAlignment="1" applyBorder="1" applyFont="1">
      <alignment horizontal="right" readingOrder="0" vertical="bottom"/>
    </xf>
    <xf borderId="14" fillId="7" fontId="1" numFmtId="0" xfId="0" applyAlignment="1" applyBorder="1" applyFont="1">
      <alignment readingOrder="0"/>
    </xf>
    <xf borderId="0" fillId="6" fontId="1" numFmtId="0" xfId="0" applyAlignment="1" applyFont="1">
      <alignment readingOrder="0"/>
    </xf>
    <xf borderId="34" fillId="6" fontId="1" numFmtId="0" xfId="0" applyAlignment="1" applyBorder="1" applyFont="1">
      <alignment readingOrder="0"/>
    </xf>
    <xf borderId="28" fillId="9" fontId="1" numFmtId="0" xfId="0" applyBorder="1" applyFont="1"/>
    <xf borderId="0" fillId="3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8" fontId="1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6" fontId="2" numFmtId="0" xfId="0" applyAlignment="1" applyFont="1">
      <alignment readingOrder="0" vertical="bottom"/>
    </xf>
    <xf borderId="41" fillId="0" fontId="1" numFmtId="0" xfId="0" applyBorder="1" applyFont="1"/>
    <xf borderId="42" fillId="0" fontId="1" numFmtId="0" xfId="0" applyBorder="1" applyFont="1"/>
    <xf borderId="28" fillId="0" fontId="1" numFmtId="0" xfId="0" applyBorder="1" applyFont="1"/>
    <xf borderId="29" fillId="0" fontId="1" numFmtId="0" xfId="0" applyBorder="1" applyFont="1"/>
    <xf borderId="27" fillId="0" fontId="1" numFmtId="0" xfId="0" applyBorder="1" applyFont="1"/>
    <xf borderId="29" fillId="0" fontId="1" numFmtId="0" xfId="0" applyAlignment="1" applyBorder="1" applyFont="1">
      <alignment readingOrder="0"/>
    </xf>
    <xf borderId="27" fillId="0" fontId="1" numFmtId="0" xfId="0" applyAlignment="1" applyBorder="1" applyFont="1">
      <alignment readingOrder="0"/>
    </xf>
    <xf borderId="0" fillId="0" fontId="4" numFmtId="0" xfId="0" applyAlignment="1" applyFont="1">
      <alignment horizontal="center" vertical="center"/>
    </xf>
    <xf borderId="43" fillId="8" fontId="2" numFmtId="0" xfId="0" applyBorder="1" applyFont="1"/>
    <xf borderId="44" fillId="6" fontId="2" numFmtId="0" xfId="0" applyAlignment="1" applyBorder="1" applyFont="1">
      <alignment readingOrder="0"/>
    </xf>
    <xf borderId="45" fillId="7" fontId="2" numFmtId="0" xfId="0" applyBorder="1" applyFont="1"/>
    <xf borderId="46" fillId="7" fontId="2" numFmtId="0" xfId="0" applyBorder="1" applyFont="1"/>
    <xf borderId="47" fillId="5" fontId="2" numFmtId="0" xfId="0" applyBorder="1" applyFont="1"/>
    <xf borderId="46" fillId="6" fontId="2" numFmtId="0" xfId="0" applyBorder="1" applyFont="1"/>
    <xf borderId="47" fillId="4" fontId="2" numFmtId="0" xfId="0" applyBorder="1" applyFont="1"/>
    <xf borderId="12" fillId="4" fontId="5" numFmtId="0" xfId="0" applyBorder="1" applyFont="1"/>
    <xf borderId="45" fillId="4" fontId="2" numFmtId="0" xfId="0" applyBorder="1" applyFont="1"/>
    <xf borderId="46" fillId="4" fontId="2" numFmtId="0" xfId="0" applyBorder="1" applyFont="1"/>
    <xf borderId="48" fillId="0" fontId="2" numFmtId="0" xfId="0" applyBorder="1" applyFont="1"/>
    <xf borderId="49" fillId="0" fontId="2" numFmtId="0" xfId="0" applyBorder="1" applyFont="1"/>
    <xf borderId="29" fillId="0" fontId="2" numFmtId="0" xfId="0" applyBorder="1" applyFont="1"/>
    <xf borderId="28" fillId="0" fontId="2" numFmtId="0" xfId="0" applyBorder="1" applyFont="1"/>
    <xf borderId="50" fillId="0" fontId="2" numFmtId="0" xfId="0" applyBorder="1" applyFont="1"/>
    <xf borderId="51" fillId="0" fontId="2" numFmtId="0" xfId="0" applyBorder="1" applyFont="1"/>
    <xf borderId="52" fillId="0" fontId="2" numFmtId="0" xfId="0" applyBorder="1" applyFont="1"/>
    <xf borderId="53" fillId="0" fontId="2" numFmtId="0" xfId="0" applyBorder="1" applyFont="1"/>
    <xf borderId="27" fillId="5" fontId="2" numFmtId="0" xfId="0" applyBorder="1" applyFont="1"/>
    <xf borderId="28" fillId="6" fontId="2" numFmtId="0" xfId="0" applyAlignment="1" applyBorder="1" applyFont="1">
      <alignment readingOrder="0"/>
    </xf>
    <xf borderId="28" fillId="7" fontId="2" numFmtId="0" xfId="0" applyBorder="1" applyFont="1"/>
    <xf borderId="28" fillId="6" fontId="2" numFmtId="0" xfId="0" applyBorder="1" applyFont="1"/>
    <xf borderId="29" fillId="7" fontId="2" numFmtId="0" xfId="0" applyBorder="1" applyFont="1"/>
    <xf borderId="41" fillId="0" fontId="2" numFmtId="0" xfId="0" applyBorder="1" applyFont="1"/>
    <xf borderId="7" fillId="5" fontId="2" numFmtId="0" xfId="0" applyBorder="1" applyFont="1"/>
    <xf borderId="0" fillId="6" fontId="2" numFmtId="0" xfId="0" applyAlignment="1" applyFont="1">
      <alignment readingOrder="0"/>
    </xf>
    <xf borderId="0" fillId="7" fontId="2" numFmtId="0" xfId="0" applyFont="1"/>
    <xf borderId="0" fillId="6" fontId="2" numFmtId="0" xfId="0" applyFont="1"/>
    <xf borderId="12" fillId="7" fontId="2" numFmtId="0" xfId="0" applyBorder="1" applyFont="1"/>
    <xf borderId="12" fillId="0" fontId="2" numFmtId="0" xfId="0" applyBorder="1" applyFont="1"/>
    <xf borderId="54" fillId="0" fontId="2" numFmtId="0" xfId="0" applyBorder="1" applyFont="1"/>
    <xf borderId="55" fillId="5" fontId="2" numFmtId="0" xfId="0" applyBorder="1" applyFont="1"/>
    <xf borderId="56" fillId="6" fontId="2" numFmtId="0" xfId="0" applyAlignment="1" applyBorder="1" applyFont="1">
      <alignment readingOrder="0"/>
    </xf>
    <xf borderId="56" fillId="7" fontId="2" numFmtId="0" xfId="0" applyBorder="1" applyFont="1"/>
    <xf borderId="12" fillId="0" fontId="2" numFmtId="0" xfId="0" applyAlignment="1" applyBorder="1" applyFont="1">
      <alignment readingOrder="0"/>
    </xf>
    <xf borderId="54" fillId="0" fontId="2" numFmtId="0" xfId="0" applyAlignment="1" applyBorder="1" applyFont="1">
      <alignment readingOrder="0"/>
    </xf>
    <xf borderId="57" fillId="5" fontId="2" numFmtId="0" xfId="0" applyBorder="1" applyFont="1"/>
    <xf borderId="58" fillId="6" fontId="2" numFmtId="0" xfId="0" applyAlignment="1" applyBorder="1" applyFont="1">
      <alignment readingOrder="0"/>
    </xf>
    <xf borderId="58" fillId="7" fontId="2" numFmtId="0" xfId="0" applyBorder="1" applyFont="1"/>
    <xf borderId="59" fillId="0" fontId="2" numFmtId="0" xfId="0" applyBorder="1" applyFont="1"/>
    <xf borderId="46" fillId="6" fontId="2" numFmtId="0" xfId="0" applyAlignment="1" applyBorder="1" applyFont="1">
      <alignment readingOrder="0"/>
    </xf>
    <xf borderId="54" fillId="8" fontId="1" numFmtId="0" xfId="0" applyBorder="1" applyFont="1"/>
    <xf borderId="12" fillId="7" fontId="1" numFmtId="0" xfId="0" applyBorder="1" applyFont="1"/>
    <xf borderId="12" fillId="6" fontId="1" numFmtId="0" xfId="0" applyAlignment="1" applyBorder="1" applyFont="1">
      <alignment readingOrder="0"/>
    </xf>
    <xf borderId="34" fillId="0" fontId="2" numFmtId="0" xfId="0" applyBorder="1" applyFont="1"/>
    <xf borderId="11" fillId="6" fontId="1" numFmtId="0" xfId="0" applyAlignment="1" applyBorder="1" applyFont="1">
      <alignment readingOrder="0"/>
    </xf>
    <xf borderId="11" fillId="6" fontId="2" numFmtId="0" xfId="0" applyAlignment="1" applyBorder="1" applyFont="1">
      <alignment readingOrder="0"/>
    </xf>
    <xf borderId="33" fillId="5" fontId="2" numFmtId="0" xfId="0" applyBorder="1" applyFont="1"/>
    <xf borderId="14" fillId="6" fontId="2" numFmtId="0" xfId="0" applyBorder="1" applyFont="1"/>
    <xf borderId="34" fillId="7" fontId="2" numFmtId="0" xfId="0" applyBorder="1" applyFont="1"/>
    <xf borderId="43" fillId="8" fontId="2" numFmtId="0" xfId="0" applyAlignment="1" applyBorder="1" applyFont="1">
      <alignment shrinkToFit="0" wrapText="1"/>
    </xf>
    <xf borderId="60" fillId="5" fontId="2" numFmtId="0" xfId="0" applyBorder="1" applyFont="1"/>
    <xf borderId="18" fillId="6" fontId="2" numFmtId="0" xfId="0" applyAlignment="1" applyBorder="1" applyFont="1">
      <alignment readingOrder="0"/>
    </xf>
    <xf borderId="61" fillId="7" fontId="2" numFmtId="0" xfId="0" applyBorder="1" applyFont="1"/>
    <xf borderId="62" fillId="7" fontId="2" numFmtId="0" xfId="0" applyBorder="1" applyFont="1"/>
    <xf borderId="63" fillId="7" fontId="2" numFmtId="0" xfId="0" applyBorder="1" applyFont="1"/>
    <xf borderId="33" fillId="5" fontId="1" numFmtId="0" xfId="0" applyBorder="1" applyFont="1"/>
    <xf borderId="34" fillId="7" fontId="1" numFmtId="0" xfId="0" applyBorder="1" applyFont="1"/>
    <xf borderId="14" fillId="6" fontId="2" numFmtId="0" xfId="0" applyAlignment="1" applyBorder="1" applyFont="1">
      <alignment readingOrder="0"/>
    </xf>
    <xf borderId="45" fillId="0" fontId="2" numFmtId="0" xfId="0" applyBorder="1" applyFont="1"/>
    <xf borderId="1" fillId="0" fontId="2" numFmtId="0" xfId="0" applyBorder="1" applyFont="1"/>
    <xf borderId="64" fillId="8" fontId="2" numFmtId="0" xfId="0" applyBorder="1" applyFont="1"/>
    <xf borderId="65" fillId="6" fontId="2" numFmtId="0" xfId="0" applyAlignment="1" applyBorder="1" applyFont="1">
      <alignment readingOrder="0"/>
    </xf>
    <xf borderId="66" fillId="7" fontId="2" numFmtId="0" xfId="0" applyBorder="1" applyFont="1"/>
    <xf borderId="67" fillId="7" fontId="2" numFmtId="0" xfId="0" applyBorder="1" applyFont="1"/>
    <xf borderId="68" fillId="5" fontId="2" numFmtId="0" xfId="0" applyBorder="1" applyFont="1"/>
    <xf borderId="67" fillId="6" fontId="2" numFmtId="0" xfId="0" applyAlignment="1" applyBorder="1" applyFont="1">
      <alignment readingOrder="0"/>
    </xf>
    <xf borderId="69" fillId="0" fontId="1" numFmtId="0" xfId="0" applyBorder="1" applyFont="1"/>
    <xf borderId="28" fillId="0" fontId="1" numFmtId="0" xfId="0" applyAlignment="1" applyBorder="1" applyFont="1">
      <alignment readingOrder="0"/>
    </xf>
    <xf borderId="70" fillId="6" fontId="2" numFmtId="0" xfId="0" applyAlignment="1" applyBorder="1" applyFont="1">
      <alignment readingOrder="0"/>
    </xf>
    <xf borderId="26" fillId="9" fontId="6" numFmtId="0" xfId="0" applyBorder="1" applyFont="1"/>
    <xf borderId="46" fillId="9" fontId="6" numFmtId="0" xfId="0" applyBorder="1" applyFont="1"/>
    <xf borderId="47" fillId="7" fontId="2" numFmtId="0" xfId="0" applyBorder="1" applyFont="1"/>
    <xf borderId="0" fillId="0" fontId="1" numFmtId="3" xfId="0" applyAlignment="1" applyFont="1" applyNumberFormat="1">
      <alignment readingOrder="0"/>
    </xf>
    <xf borderId="71" fillId="6" fontId="2" numFmtId="0" xfId="0" applyAlignment="1" applyBorder="1" applyFont="1">
      <alignment readingOrder="0"/>
    </xf>
    <xf borderId="72" fillId="9" fontId="6" numFmtId="0" xfId="0" applyBorder="1" applyFont="1"/>
    <xf borderId="67" fillId="9" fontId="6" numFmtId="0" xfId="0" applyBorder="1" applyFont="1"/>
    <xf borderId="68" fillId="7" fontId="2" numFmtId="0" xfId="0" applyBorder="1" applyFont="1"/>
    <xf borderId="68" fillId="4" fontId="2" numFmtId="0" xfId="0" applyBorder="1" applyFont="1"/>
    <xf borderId="34" fillId="4" fontId="5" numFmtId="0" xfId="0" applyBorder="1" applyFont="1"/>
    <xf borderId="66" fillId="4" fontId="2" numFmtId="0" xfId="0" applyBorder="1" applyFont="1"/>
    <xf borderId="67" fillId="4" fontId="2" numFmtId="0" xfId="0" applyBorder="1" applyFont="1"/>
  </cellXfs>
  <cellStyles count="1">
    <cellStyle xfId="0" name="Normal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71"/>
    <col customWidth="1" min="2" max="2" width="30.14"/>
    <col customWidth="1" min="3" max="3" width="20.14"/>
    <col customWidth="1" min="4" max="4" width="37.14"/>
    <col customWidth="1" min="5" max="5" width="37.29"/>
    <col customWidth="1" min="6" max="6" width="50.14"/>
    <col customWidth="1" min="7" max="26" width="8.71"/>
  </cols>
  <sheetData>
    <row r="1">
      <c r="D1" s="1">
        <v>6744397.0</v>
      </c>
    </row>
    <row r="2">
      <c r="C2" s="2"/>
    </row>
    <row r="3">
      <c r="D3" s="3"/>
    </row>
    <row r="4">
      <c r="A4" s="4" t="s">
        <v>0</v>
      </c>
      <c r="B4" s="5">
        <v>278.0</v>
      </c>
    </row>
    <row r="5">
      <c r="A5" s="4" t="s">
        <v>1</v>
      </c>
      <c r="B5" s="6">
        <f>0.92*C5</f>
        <v>141.68</v>
      </c>
      <c r="C5" s="1">
        <v>154.0</v>
      </c>
    </row>
    <row r="7">
      <c r="A7" s="7" t="s">
        <v>2</v>
      </c>
      <c r="B7" s="8" t="s">
        <v>3</v>
      </c>
      <c r="C7" s="8" t="s">
        <v>4</v>
      </c>
      <c r="D7" s="8" t="s">
        <v>5</v>
      </c>
      <c r="E7" s="8" t="s">
        <v>6</v>
      </c>
      <c r="F7" s="9" t="s">
        <v>7</v>
      </c>
    </row>
    <row r="8">
      <c r="A8" s="10" t="s">
        <v>8</v>
      </c>
      <c r="B8" s="2">
        <v>1.0</v>
      </c>
      <c r="C8" s="11">
        <v>163.0</v>
      </c>
      <c r="D8" s="2">
        <f t="shared" ref="D8:D43" si="1">$B$5*B8</f>
        <v>141.68</v>
      </c>
      <c r="E8" s="2">
        <f t="shared" ref="E8:E43" si="2">C8/B8</f>
        <v>163</v>
      </c>
      <c r="F8" s="12">
        <f t="shared" ref="F8:F43" si="3">$B$5-E8</f>
        <v>-21.32</v>
      </c>
    </row>
    <row r="9">
      <c r="A9" s="10" t="s">
        <v>9</v>
      </c>
      <c r="B9" s="2">
        <v>2.0</v>
      </c>
      <c r="C9" s="11">
        <v>271.0</v>
      </c>
      <c r="D9" s="2">
        <f t="shared" si="1"/>
        <v>283.36</v>
      </c>
      <c r="E9" s="2">
        <f t="shared" si="2"/>
        <v>135.5</v>
      </c>
      <c r="F9" s="12">
        <f t="shared" si="3"/>
        <v>6.18</v>
      </c>
    </row>
    <row r="10">
      <c r="A10" s="10" t="s">
        <v>10</v>
      </c>
      <c r="B10" s="2">
        <v>3.0</v>
      </c>
      <c r="C10" s="11">
        <v>448.0</v>
      </c>
      <c r="D10" s="2">
        <f t="shared" si="1"/>
        <v>425.04</v>
      </c>
      <c r="E10" s="2">
        <f t="shared" si="2"/>
        <v>149.3333333</v>
      </c>
      <c r="F10" s="12">
        <f t="shared" si="3"/>
        <v>-7.653333333</v>
      </c>
    </row>
    <row r="11">
      <c r="A11" s="10" t="s">
        <v>11</v>
      </c>
      <c r="B11" s="2">
        <v>4.0</v>
      </c>
      <c r="C11" s="11">
        <v>600.0</v>
      </c>
      <c r="D11" s="2">
        <f t="shared" si="1"/>
        <v>566.72</v>
      </c>
      <c r="E11" s="2">
        <f t="shared" si="2"/>
        <v>150</v>
      </c>
      <c r="F11" s="12">
        <f t="shared" si="3"/>
        <v>-8.32</v>
      </c>
    </row>
    <row r="12">
      <c r="A12" s="10" t="s">
        <v>12</v>
      </c>
      <c r="B12" s="2">
        <v>6.0</v>
      </c>
      <c r="C12" s="11">
        <v>837.0</v>
      </c>
      <c r="D12" s="2">
        <f t="shared" si="1"/>
        <v>850.08</v>
      </c>
      <c r="E12" s="2">
        <f t="shared" si="2"/>
        <v>139.5</v>
      </c>
      <c r="F12" s="12">
        <f t="shared" si="3"/>
        <v>2.18</v>
      </c>
    </row>
    <row r="13">
      <c r="A13" s="10" t="s">
        <v>13</v>
      </c>
      <c r="B13" s="2">
        <v>8.0</v>
      </c>
      <c r="C13" s="11">
        <v>1256.0</v>
      </c>
      <c r="D13" s="2">
        <f t="shared" si="1"/>
        <v>1133.44</v>
      </c>
      <c r="E13" s="2">
        <f t="shared" si="2"/>
        <v>157</v>
      </c>
      <c r="F13" s="12">
        <f t="shared" si="3"/>
        <v>-15.32</v>
      </c>
    </row>
    <row r="14">
      <c r="A14" s="10" t="s">
        <v>14</v>
      </c>
      <c r="B14" s="2">
        <v>10.0</v>
      </c>
      <c r="C14" s="11">
        <v>1633.0</v>
      </c>
      <c r="D14" s="2">
        <f t="shared" si="1"/>
        <v>1416.8</v>
      </c>
      <c r="E14" s="2">
        <f t="shared" si="2"/>
        <v>163.3</v>
      </c>
      <c r="F14" s="12">
        <f t="shared" si="3"/>
        <v>-21.62</v>
      </c>
    </row>
    <row r="15">
      <c r="A15" s="10" t="s">
        <v>15</v>
      </c>
      <c r="B15" s="2">
        <v>14.0</v>
      </c>
      <c r="C15" s="11">
        <v>3899.0</v>
      </c>
      <c r="D15" s="2">
        <f t="shared" si="1"/>
        <v>1983.52</v>
      </c>
      <c r="E15" s="2">
        <f t="shared" si="2"/>
        <v>278.5</v>
      </c>
      <c r="F15" s="12">
        <f t="shared" si="3"/>
        <v>-136.82</v>
      </c>
    </row>
    <row r="16">
      <c r="A16" s="10" t="s">
        <v>16</v>
      </c>
      <c r="B16" s="2">
        <v>1.0</v>
      </c>
      <c r="C16" s="11">
        <v>187.0</v>
      </c>
      <c r="D16" s="2">
        <f t="shared" si="1"/>
        <v>141.68</v>
      </c>
      <c r="E16" s="2">
        <f t="shared" si="2"/>
        <v>187</v>
      </c>
      <c r="F16" s="12">
        <f t="shared" si="3"/>
        <v>-45.32</v>
      </c>
    </row>
    <row r="17">
      <c r="A17" s="10" t="s">
        <v>17</v>
      </c>
      <c r="B17" s="2">
        <v>2.0</v>
      </c>
      <c r="C17" s="11">
        <v>278.0</v>
      </c>
      <c r="D17" s="2">
        <f t="shared" si="1"/>
        <v>283.36</v>
      </c>
      <c r="E17" s="2">
        <f t="shared" si="2"/>
        <v>139</v>
      </c>
      <c r="F17" s="12">
        <f t="shared" si="3"/>
        <v>2.68</v>
      </c>
    </row>
    <row r="18">
      <c r="A18" s="10" t="s">
        <v>18</v>
      </c>
      <c r="B18" s="2">
        <v>3.0</v>
      </c>
      <c r="C18" s="11">
        <v>452.0</v>
      </c>
      <c r="D18" s="2">
        <f t="shared" si="1"/>
        <v>425.04</v>
      </c>
      <c r="E18" s="2">
        <f t="shared" si="2"/>
        <v>150.6666667</v>
      </c>
      <c r="F18" s="12">
        <f t="shared" si="3"/>
        <v>-8.986666667</v>
      </c>
    </row>
    <row r="19">
      <c r="A19" s="10" t="s">
        <v>19</v>
      </c>
      <c r="B19" s="2">
        <v>4.0</v>
      </c>
      <c r="C19" s="11">
        <v>578.0</v>
      </c>
      <c r="D19" s="2">
        <f t="shared" si="1"/>
        <v>566.72</v>
      </c>
      <c r="E19" s="2">
        <f t="shared" si="2"/>
        <v>144.5</v>
      </c>
      <c r="F19" s="12">
        <f t="shared" si="3"/>
        <v>-2.82</v>
      </c>
    </row>
    <row r="20">
      <c r="A20" s="10" t="s">
        <v>20</v>
      </c>
      <c r="B20" s="2">
        <v>6.0</v>
      </c>
      <c r="C20" s="11">
        <v>1006.0</v>
      </c>
      <c r="D20" s="2">
        <f t="shared" si="1"/>
        <v>850.08</v>
      </c>
      <c r="E20" s="2">
        <f t="shared" si="2"/>
        <v>167.6666667</v>
      </c>
      <c r="F20" s="12">
        <f t="shared" si="3"/>
        <v>-25.98666667</v>
      </c>
    </row>
    <row r="21" ht="15.75" customHeight="1">
      <c r="A21" s="10" t="s">
        <v>21</v>
      </c>
      <c r="B21" s="2">
        <v>8.0</v>
      </c>
      <c r="C21" s="11">
        <v>1590.0</v>
      </c>
      <c r="D21" s="2">
        <f t="shared" si="1"/>
        <v>1133.44</v>
      </c>
      <c r="E21" s="2">
        <f t="shared" si="2"/>
        <v>198.75</v>
      </c>
      <c r="F21" s="12">
        <f t="shared" si="3"/>
        <v>-57.07</v>
      </c>
    </row>
    <row r="22" ht="15.75" customHeight="1">
      <c r="A22" s="10" t="s">
        <v>22</v>
      </c>
      <c r="B22" s="2">
        <v>10.0</v>
      </c>
      <c r="C22" s="11">
        <v>1653.0</v>
      </c>
      <c r="D22" s="2">
        <f t="shared" si="1"/>
        <v>1416.8</v>
      </c>
      <c r="E22" s="2">
        <f t="shared" si="2"/>
        <v>165.3</v>
      </c>
      <c r="F22" s="12">
        <f t="shared" si="3"/>
        <v>-23.62</v>
      </c>
    </row>
    <row r="23" ht="15.75" customHeight="1">
      <c r="A23" s="10" t="s">
        <v>23</v>
      </c>
      <c r="B23" s="2">
        <v>14.0</v>
      </c>
      <c r="C23" s="11">
        <v>4531.0</v>
      </c>
      <c r="D23" s="2">
        <f t="shared" si="1"/>
        <v>1983.52</v>
      </c>
      <c r="E23" s="2">
        <f t="shared" si="2"/>
        <v>323.6428571</v>
      </c>
      <c r="F23" s="12">
        <f t="shared" si="3"/>
        <v>-181.9628571</v>
      </c>
    </row>
    <row r="24" ht="15.75" customHeight="1">
      <c r="A24" s="10" t="s">
        <v>24</v>
      </c>
      <c r="B24" s="2">
        <v>10.0</v>
      </c>
      <c r="C24" s="11">
        <v>1499.0</v>
      </c>
      <c r="D24" s="2">
        <f t="shared" si="1"/>
        <v>1416.8</v>
      </c>
      <c r="E24" s="2">
        <f t="shared" si="2"/>
        <v>149.9</v>
      </c>
      <c r="F24" s="12">
        <f t="shared" si="3"/>
        <v>-8.22</v>
      </c>
    </row>
    <row r="25" ht="15.75" customHeight="1">
      <c r="A25" s="10" t="s">
        <v>25</v>
      </c>
      <c r="B25" s="2">
        <v>20.0</v>
      </c>
      <c r="C25" s="11">
        <v>3494.0</v>
      </c>
      <c r="D25" s="2">
        <f t="shared" si="1"/>
        <v>2833.6</v>
      </c>
      <c r="E25" s="2">
        <f t="shared" si="2"/>
        <v>174.7</v>
      </c>
      <c r="F25" s="12">
        <f t="shared" si="3"/>
        <v>-33.02</v>
      </c>
    </row>
    <row r="26" ht="15.75" customHeight="1">
      <c r="A26" s="10" t="s">
        <v>26</v>
      </c>
      <c r="B26" s="2">
        <v>10.0</v>
      </c>
      <c r="C26" s="11">
        <v>1390.0</v>
      </c>
      <c r="D26" s="2">
        <f t="shared" si="1"/>
        <v>1416.8</v>
      </c>
      <c r="E26" s="2">
        <f t="shared" si="2"/>
        <v>139</v>
      </c>
      <c r="F26" s="12">
        <f t="shared" si="3"/>
        <v>2.68</v>
      </c>
    </row>
    <row r="27" ht="15.75" customHeight="1">
      <c r="A27" s="10" t="s">
        <v>27</v>
      </c>
      <c r="B27" s="2">
        <v>20.0</v>
      </c>
      <c r="C27" s="11">
        <v>3496.0</v>
      </c>
      <c r="D27" s="2">
        <f t="shared" si="1"/>
        <v>2833.6</v>
      </c>
      <c r="E27" s="2">
        <f t="shared" si="2"/>
        <v>174.8</v>
      </c>
      <c r="F27" s="12">
        <f t="shared" si="3"/>
        <v>-33.12</v>
      </c>
    </row>
    <row r="28" ht="15.75" customHeight="1">
      <c r="A28" s="10" t="s">
        <v>28</v>
      </c>
      <c r="B28" s="2">
        <v>30.0</v>
      </c>
      <c r="C28" s="11">
        <v>5100.0</v>
      </c>
      <c r="D28" s="2">
        <f t="shared" si="1"/>
        <v>4250.4</v>
      </c>
      <c r="E28" s="2">
        <f t="shared" si="2"/>
        <v>170</v>
      </c>
      <c r="F28" s="12">
        <f t="shared" si="3"/>
        <v>-28.32</v>
      </c>
    </row>
    <row r="29" ht="15.75" customHeight="1">
      <c r="A29" s="10" t="s">
        <v>29</v>
      </c>
      <c r="B29" s="2">
        <v>10.0</v>
      </c>
      <c r="C29" s="11">
        <v>1799.0</v>
      </c>
      <c r="D29" s="2">
        <f t="shared" si="1"/>
        <v>1416.8</v>
      </c>
      <c r="E29" s="2">
        <f t="shared" si="2"/>
        <v>179.9</v>
      </c>
      <c r="F29" s="12">
        <f t="shared" si="3"/>
        <v>-38.22</v>
      </c>
    </row>
    <row r="30" ht="15.75" customHeight="1">
      <c r="A30" s="10" t="s">
        <v>30</v>
      </c>
      <c r="B30" s="2">
        <v>20.0</v>
      </c>
      <c r="C30" s="11">
        <v>3448.0</v>
      </c>
      <c r="D30" s="2">
        <f t="shared" si="1"/>
        <v>2833.6</v>
      </c>
      <c r="E30" s="2">
        <f t="shared" si="2"/>
        <v>172.4</v>
      </c>
      <c r="F30" s="12">
        <f t="shared" si="3"/>
        <v>-30.72</v>
      </c>
    </row>
    <row r="31" ht="15.75" customHeight="1">
      <c r="A31" s="10" t="s">
        <v>31</v>
      </c>
      <c r="B31" s="2">
        <v>30.0</v>
      </c>
      <c r="C31" s="11">
        <v>7299.0</v>
      </c>
      <c r="D31" s="2">
        <f t="shared" si="1"/>
        <v>4250.4</v>
      </c>
      <c r="E31" s="2">
        <f t="shared" si="2"/>
        <v>243.3</v>
      </c>
      <c r="F31" s="12">
        <f t="shared" si="3"/>
        <v>-101.62</v>
      </c>
    </row>
    <row r="32" ht="15.75" customHeight="1">
      <c r="A32" s="10" t="s">
        <v>32</v>
      </c>
      <c r="B32" s="2">
        <v>10.0</v>
      </c>
      <c r="C32" s="11">
        <v>1397.0</v>
      </c>
      <c r="D32" s="2">
        <f t="shared" si="1"/>
        <v>1416.8</v>
      </c>
      <c r="E32" s="2">
        <f t="shared" si="2"/>
        <v>139.7</v>
      </c>
      <c r="F32" s="12">
        <f t="shared" si="3"/>
        <v>1.98</v>
      </c>
    </row>
    <row r="33" ht="15.75" customHeight="1">
      <c r="A33" s="10" t="s">
        <v>33</v>
      </c>
      <c r="B33" s="2">
        <v>20.0</v>
      </c>
      <c r="C33" s="11">
        <v>3399.0</v>
      </c>
      <c r="D33" s="2">
        <f t="shared" si="1"/>
        <v>2833.6</v>
      </c>
      <c r="E33" s="2">
        <f t="shared" si="2"/>
        <v>169.95</v>
      </c>
      <c r="F33" s="12">
        <f t="shared" si="3"/>
        <v>-28.27</v>
      </c>
    </row>
    <row r="34" ht="15.75" customHeight="1">
      <c r="A34" s="10" t="s">
        <v>34</v>
      </c>
      <c r="B34" s="2">
        <v>30.0</v>
      </c>
      <c r="C34" s="11">
        <v>5280.0</v>
      </c>
      <c r="D34" s="2">
        <f t="shared" si="1"/>
        <v>4250.4</v>
      </c>
      <c r="E34" s="2">
        <f t="shared" si="2"/>
        <v>176</v>
      </c>
      <c r="F34" s="12">
        <f t="shared" si="3"/>
        <v>-34.32</v>
      </c>
    </row>
    <row r="35" ht="15.75" customHeight="1">
      <c r="A35" s="10" t="s">
        <v>35</v>
      </c>
      <c r="B35" s="2">
        <v>10.0</v>
      </c>
      <c r="C35" s="11">
        <v>1400.0</v>
      </c>
      <c r="D35" s="2">
        <f t="shared" si="1"/>
        <v>1416.8</v>
      </c>
      <c r="E35" s="2">
        <f t="shared" si="2"/>
        <v>140</v>
      </c>
      <c r="F35" s="12">
        <f t="shared" si="3"/>
        <v>1.68</v>
      </c>
    </row>
    <row r="36" ht="15.75" customHeight="1">
      <c r="A36" s="10" t="s">
        <v>36</v>
      </c>
      <c r="B36" s="2">
        <v>20.0</v>
      </c>
      <c r="C36" s="11">
        <v>3169.0</v>
      </c>
      <c r="D36" s="2">
        <f t="shared" si="1"/>
        <v>2833.6</v>
      </c>
      <c r="E36" s="2">
        <f t="shared" si="2"/>
        <v>158.45</v>
      </c>
      <c r="F36" s="12">
        <f t="shared" si="3"/>
        <v>-16.77</v>
      </c>
    </row>
    <row r="37" ht="15.75" customHeight="1">
      <c r="A37" s="10" t="s">
        <v>37</v>
      </c>
      <c r="B37" s="2">
        <v>30.0</v>
      </c>
      <c r="C37" s="11">
        <v>4950.0</v>
      </c>
      <c r="D37" s="2">
        <f t="shared" si="1"/>
        <v>4250.4</v>
      </c>
      <c r="E37" s="2">
        <f t="shared" si="2"/>
        <v>165</v>
      </c>
      <c r="F37" s="12">
        <f t="shared" si="3"/>
        <v>-23.32</v>
      </c>
    </row>
    <row r="38" ht="15.75" customHeight="1">
      <c r="A38" s="10" t="s">
        <v>38</v>
      </c>
      <c r="B38" s="2">
        <v>10.0</v>
      </c>
      <c r="C38" s="11">
        <v>1539.0</v>
      </c>
      <c r="D38" s="2">
        <f t="shared" si="1"/>
        <v>1416.8</v>
      </c>
      <c r="E38" s="2">
        <f t="shared" si="2"/>
        <v>153.9</v>
      </c>
      <c r="F38" s="12">
        <f t="shared" si="3"/>
        <v>-12.22</v>
      </c>
    </row>
    <row r="39" ht="15.75" customHeight="1">
      <c r="A39" s="10" t="s">
        <v>39</v>
      </c>
      <c r="B39" s="2">
        <v>20.0</v>
      </c>
      <c r="C39" s="11">
        <v>3290.0</v>
      </c>
      <c r="D39" s="2">
        <f t="shared" si="1"/>
        <v>2833.6</v>
      </c>
      <c r="E39" s="2">
        <f t="shared" si="2"/>
        <v>164.5</v>
      </c>
      <c r="F39" s="12">
        <f t="shared" si="3"/>
        <v>-22.82</v>
      </c>
    </row>
    <row r="40" ht="15.75" customHeight="1">
      <c r="A40" s="10" t="s">
        <v>40</v>
      </c>
      <c r="B40" s="2">
        <v>10.0</v>
      </c>
      <c r="C40" s="11">
        <v>1800.0</v>
      </c>
      <c r="D40" s="2">
        <f t="shared" si="1"/>
        <v>1416.8</v>
      </c>
      <c r="E40" s="2">
        <f t="shared" si="2"/>
        <v>180</v>
      </c>
      <c r="F40" s="12">
        <f t="shared" si="3"/>
        <v>-38.32</v>
      </c>
    </row>
    <row r="41" ht="15.75" customHeight="1">
      <c r="A41" s="10" t="s">
        <v>41</v>
      </c>
      <c r="B41" s="2">
        <v>20.0</v>
      </c>
      <c r="C41" s="11">
        <v>3500.0</v>
      </c>
      <c r="D41" s="2">
        <f t="shared" si="1"/>
        <v>2833.6</v>
      </c>
      <c r="E41" s="2">
        <f t="shared" si="2"/>
        <v>175</v>
      </c>
      <c r="F41" s="12">
        <f t="shared" si="3"/>
        <v>-33.32</v>
      </c>
    </row>
    <row r="42" ht="15.75" customHeight="1">
      <c r="A42" s="13" t="s">
        <v>42</v>
      </c>
      <c r="B42" s="1">
        <v>30.0</v>
      </c>
      <c r="C42" s="1">
        <v>24422.0</v>
      </c>
      <c r="D42" s="2">
        <f t="shared" si="1"/>
        <v>4250.4</v>
      </c>
      <c r="E42" s="2">
        <f t="shared" si="2"/>
        <v>814.0666667</v>
      </c>
      <c r="F42" s="12">
        <f t="shared" si="3"/>
        <v>-672.3866667</v>
      </c>
    </row>
    <row r="43" ht="15.75" customHeight="1">
      <c r="A43" s="10" t="s">
        <v>43</v>
      </c>
      <c r="B43" s="11">
        <v>200.0</v>
      </c>
      <c r="C43" s="11">
        <v>59977.0</v>
      </c>
      <c r="D43" s="2">
        <f t="shared" si="1"/>
        <v>28336</v>
      </c>
      <c r="E43" s="2">
        <f t="shared" si="2"/>
        <v>299.885</v>
      </c>
      <c r="F43" s="12">
        <f t="shared" si="3"/>
        <v>-158.205</v>
      </c>
    </row>
    <row r="44" ht="15.75" customHeight="1">
      <c r="A44" s="14" t="s">
        <v>44</v>
      </c>
      <c r="B44" s="15" t="s">
        <v>45</v>
      </c>
      <c r="C44" s="16" t="s">
        <v>46</v>
      </c>
      <c r="D44" s="15" t="s">
        <v>47</v>
      </c>
      <c r="E44" s="15" t="s">
        <v>48</v>
      </c>
      <c r="F44" s="15" t="s">
        <v>49</v>
      </c>
      <c r="G44" s="17" t="s">
        <v>4</v>
      </c>
      <c r="H44" s="18" t="s">
        <v>50</v>
      </c>
    </row>
    <row r="45" ht="15.75" customHeight="1">
      <c r="A45" s="19" t="s">
        <v>51</v>
      </c>
      <c r="B45" s="1">
        <v>2403.0</v>
      </c>
      <c r="C45" s="4">
        <f t="shared" ref="C45:C47" si="4">B45*0.92</f>
        <v>2210.76</v>
      </c>
      <c r="D45" s="2">
        <v>15.0</v>
      </c>
      <c r="E45" s="2">
        <v>1.0</v>
      </c>
      <c r="F45" s="2">
        <f t="shared" ref="F45:F47" si="5">C45-E45*$B$4</f>
        <v>1932.76</v>
      </c>
      <c r="G45" s="2">
        <f t="shared" ref="G45:G47" si="6">$B$5*D45</f>
        <v>2125.2</v>
      </c>
      <c r="H45" s="20">
        <f t="shared" ref="H45:H47" si="7">F45/D45</f>
        <v>128.8506667</v>
      </c>
    </row>
    <row r="46" ht="15.75" customHeight="1">
      <c r="A46" s="19" t="s">
        <v>52</v>
      </c>
      <c r="B46" s="1">
        <v>7643.0</v>
      </c>
      <c r="C46" s="4">
        <f t="shared" si="4"/>
        <v>7031.56</v>
      </c>
      <c r="D46" s="2">
        <v>45.0</v>
      </c>
      <c r="E46" s="2">
        <v>3.0</v>
      </c>
      <c r="F46" s="2">
        <f t="shared" si="5"/>
        <v>6197.56</v>
      </c>
      <c r="G46" s="2">
        <f t="shared" si="6"/>
        <v>6375.6</v>
      </c>
      <c r="H46" s="20">
        <f t="shared" si="7"/>
        <v>137.7235556</v>
      </c>
    </row>
    <row r="47" ht="15.75" customHeight="1">
      <c r="A47" s="21" t="s">
        <v>53</v>
      </c>
      <c r="B47" s="22">
        <v>22061.0</v>
      </c>
      <c r="C47" s="23">
        <f t="shared" si="4"/>
        <v>20296.12</v>
      </c>
      <c r="D47" s="24">
        <v>135.0</v>
      </c>
      <c r="E47" s="24">
        <v>9.0</v>
      </c>
      <c r="F47" s="24">
        <f t="shared" si="5"/>
        <v>17794.12</v>
      </c>
      <c r="G47" s="24">
        <f t="shared" si="6"/>
        <v>19126.8</v>
      </c>
      <c r="H47" s="20">
        <f t="shared" si="7"/>
        <v>131.8082963</v>
      </c>
    </row>
    <row r="48" ht="15.75" customHeight="1"/>
    <row r="49" ht="15.75" customHeight="1">
      <c r="C49" s="2"/>
    </row>
    <row r="50" ht="15.75" customHeight="1">
      <c r="C50" s="2"/>
    </row>
    <row r="51" ht="15.75" customHeight="1">
      <c r="C51" s="2"/>
    </row>
    <row r="52" ht="15.75" customHeight="1"/>
    <row r="53" ht="15.75" customHeight="1"/>
    <row r="54" ht="15.75" customHeight="1"/>
    <row r="55" ht="15.75" customHeight="1">
      <c r="D55" s="3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>
      <c r="G78" s="2"/>
    </row>
    <row r="79" ht="15.75" customHeight="1">
      <c r="A79" s="25"/>
      <c r="B79" s="8"/>
      <c r="C79" s="8"/>
      <c r="D79" s="8"/>
      <c r="E79" s="8"/>
      <c r="F79" s="9"/>
    </row>
    <row r="80" ht="15.75" customHeight="1">
      <c r="A80" s="26"/>
      <c r="B80" s="2"/>
      <c r="C80" s="2"/>
      <c r="D80" s="2"/>
      <c r="E80" s="2"/>
      <c r="F80" s="27"/>
    </row>
    <row r="81" ht="15.75" customHeight="1">
      <c r="A81" s="26"/>
      <c r="B81" s="2"/>
      <c r="C81" s="2"/>
      <c r="D81" s="2"/>
      <c r="E81" s="2"/>
      <c r="F81" s="27"/>
    </row>
    <row r="82" ht="15.75" customHeight="1">
      <c r="A82" s="26"/>
      <c r="B82" s="2"/>
      <c r="C82" s="2"/>
      <c r="D82" s="2"/>
      <c r="E82" s="2"/>
      <c r="F82" s="27"/>
    </row>
    <row r="83" ht="15.75" customHeight="1">
      <c r="A83" s="26"/>
      <c r="B83" s="2"/>
      <c r="C83" s="2"/>
      <c r="D83" s="2"/>
      <c r="E83" s="2"/>
      <c r="F83" s="27"/>
    </row>
    <row r="84" ht="15.75" customHeight="1">
      <c r="A84" s="28"/>
      <c r="B84" s="29"/>
      <c r="C84" s="29"/>
      <c r="D84" s="29"/>
      <c r="E84" s="29"/>
      <c r="F84" s="30"/>
    </row>
    <row r="85" ht="15.75" customHeight="1"/>
    <row r="86" ht="15.75" customHeight="1"/>
    <row r="87" ht="15.75" customHeight="1"/>
    <row r="88" ht="15.75" customHeight="1"/>
    <row r="89" ht="15.75" customHeight="1">
      <c r="A89" s="25"/>
      <c r="B89" s="8"/>
      <c r="C89" s="8"/>
      <c r="D89" s="8"/>
      <c r="E89" s="8"/>
      <c r="F89" s="9"/>
    </row>
    <row r="90" ht="15.75" customHeight="1">
      <c r="A90" s="26"/>
      <c r="B90" s="2"/>
      <c r="C90" s="2"/>
      <c r="D90" s="2"/>
      <c r="E90" s="2"/>
      <c r="F90" s="27"/>
    </row>
    <row r="91" ht="15.75" customHeight="1">
      <c r="A91" s="26"/>
      <c r="B91" s="2"/>
      <c r="C91" s="2"/>
      <c r="D91" s="2"/>
      <c r="E91" s="2"/>
      <c r="F91" s="27"/>
    </row>
    <row r="92" ht="15.75" customHeight="1">
      <c r="A92" s="26"/>
      <c r="B92" s="2"/>
      <c r="C92" s="2"/>
      <c r="D92" s="2"/>
      <c r="E92" s="2"/>
      <c r="F92" s="27"/>
    </row>
    <row r="93" ht="15.75" customHeight="1">
      <c r="A93" s="26"/>
      <c r="B93" s="2"/>
      <c r="C93" s="2"/>
      <c r="D93" s="2"/>
      <c r="E93" s="2"/>
      <c r="F93" s="27"/>
    </row>
    <row r="94" ht="15.75" customHeight="1">
      <c r="A94" s="28"/>
      <c r="B94" s="29"/>
      <c r="C94" s="29"/>
      <c r="D94" s="29"/>
      <c r="E94" s="29"/>
      <c r="F94" s="30"/>
    </row>
    <row r="95" ht="15.75" customHeight="1"/>
    <row r="96" ht="15.75" customHeight="1"/>
    <row r="97" ht="15.75" customHeight="1">
      <c r="A97" s="25"/>
      <c r="B97" s="8"/>
      <c r="C97" s="8"/>
      <c r="D97" s="8"/>
      <c r="E97" s="8"/>
      <c r="F97" s="9"/>
    </row>
    <row r="98" ht="15.75" customHeight="1">
      <c r="A98" s="26"/>
      <c r="E98" s="2"/>
      <c r="F98" s="27"/>
    </row>
    <row r="99" ht="15.75" customHeight="1">
      <c r="A99" s="26"/>
      <c r="B99" s="2"/>
      <c r="C99" s="2"/>
      <c r="D99" s="2"/>
      <c r="E99" s="2"/>
      <c r="F99" s="27"/>
    </row>
    <row r="100" ht="15.75" customHeight="1">
      <c r="A100" s="26"/>
      <c r="B100" s="2"/>
      <c r="C100" s="2"/>
      <c r="D100" s="2"/>
      <c r="E100" s="2"/>
      <c r="F100" s="27"/>
    </row>
    <row r="101" ht="15.75" customHeight="1">
      <c r="A101" s="26"/>
      <c r="B101" s="2"/>
      <c r="C101" s="2"/>
      <c r="D101" s="2"/>
      <c r="E101" s="2"/>
      <c r="F101" s="27"/>
    </row>
    <row r="102" ht="15.75" customHeight="1">
      <c r="A102" s="28"/>
      <c r="B102" s="29"/>
      <c r="C102" s="29"/>
      <c r="D102" s="29"/>
      <c r="E102" s="29"/>
      <c r="F102" s="30"/>
    </row>
    <row r="103" ht="15.75" customHeight="1"/>
    <row r="104" ht="15.75" customHeight="1"/>
    <row r="105" ht="15.75" customHeight="1">
      <c r="A105" s="25"/>
      <c r="B105" s="8"/>
      <c r="C105" s="8"/>
      <c r="D105" s="8"/>
      <c r="E105" s="8"/>
      <c r="F105" s="9"/>
    </row>
    <row r="106" ht="15.75" customHeight="1">
      <c r="A106" s="26"/>
      <c r="E106" s="2"/>
      <c r="F106" s="27"/>
    </row>
    <row r="107" ht="15.75" customHeight="1">
      <c r="A107" s="26"/>
      <c r="B107" s="2"/>
      <c r="C107" s="2"/>
      <c r="D107" s="2"/>
      <c r="E107" s="2"/>
      <c r="F107" s="27"/>
    </row>
    <row r="108" ht="15.75" customHeight="1">
      <c r="A108" s="26"/>
      <c r="B108" s="2"/>
      <c r="C108" s="2"/>
      <c r="D108" s="2"/>
      <c r="E108" s="2"/>
      <c r="F108" s="27"/>
    </row>
    <row r="109" ht="15.75" customHeight="1">
      <c r="A109" s="26"/>
      <c r="B109" s="2"/>
      <c r="C109" s="2"/>
      <c r="D109" s="2"/>
      <c r="E109" s="2"/>
      <c r="F109" s="27"/>
    </row>
    <row r="110" ht="15.75" customHeight="1">
      <c r="A110" s="28"/>
      <c r="B110" s="29"/>
      <c r="C110" s="29"/>
      <c r="D110" s="29"/>
      <c r="E110" s="29"/>
      <c r="F110" s="30"/>
    </row>
    <row r="111" ht="15.75" customHeight="1"/>
    <row r="112" ht="15.75" customHeight="1"/>
    <row r="113" ht="15.75" customHeight="1">
      <c r="A113" s="25"/>
      <c r="B113" s="8"/>
      <c r="C113" s="8"/>
      <c r="D113" s="8"/>
      <c r="E113" s="8"/>
      <c r="F113" s="9"/>
    </row>
    <row r="114" ht="15.75" customHeight="1">
      <c r="A114" s="26"/>
      <c r="B114" s="2"/>
      <c r="C114" s="2"/>
      <c r="D114" s="2"/>
      <c r="E114" s="2"/>
      <c r="F114" s="27"/>
    </row>
    <row r="115" ht="15.75" customHeight="1">
      <c r="A115" s="26"/>
      <c r="B115" s="2"/>
      <c r="C115" s="2"/>
      <c r="D115" s="2"/>
      <c r="E115" s="2"/>
      <c r="F115" s="27"/>
    </row>
    <row r="116" ht="15.75" customHeight="1">
      <c r="A116" s="26"/>
      <c r="B116" s="2"/>
      <c r="C116" s="2"/>
      <c r="D116" s="2"/>
      <c r="E116" s="2"/>
      <c r="F116" s="27"/>
    </row>
    <row r="117" ht="15.75" customHeight="1">
      <c r="A117" s="26"/>
      <c r="B117" s="2"/>
      <c r="C117" s="2"/>
      <c r="D117" s="2"/>
      <c r="E117" s="2"/>
      <c r="F117" s="27"/>
    </row>
    <row r="118" ht="15.75" customHeight="1">
      <c r="A118" s="28"/>
      <c r="B118" s="29"/>
      <c r="C118" s="29"/>
      <c r="D118" s="29"/>
      <c r="E118" s="29"/>
      <c r="F118" s="30"/>
    </row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8:E43">
    <cfRule type="cellIs" dxfId="0" priority="1" operator="greaterThan">
      <formula>$B$5</formula>
    </cfRule>
  </conditionalFormatting>
  <conditionalFormatting sqref="E8:E43">
    <cfRule type="cellIs" dxfId="1" priority="2" operator="lessThan">
      <formula>$B$5</formula>
    </cfRule>
  </conditionalFormatting>
  <conditionalFormatting sqref="F8:F43">
    <cfRule type="cellIs" dxfId="0" priority="3" operator="lessThan">
      <formula>0</formula>
    </cfRule>
  </conditionalFormatting>
  <conditionalFormatting sqref="F8:F43">
    <cfRule type="cellIs" dxfId="1" priority="4" operator="greaterThan">
      <formula>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0.71"/>
    <col customWidth="1" min="2" max="2" width="19.14"/>
    <col customWidth="1" min="3" max="3" width="12.0"/>
    <col customWidth="1" min="4" max="4" width="12.29"/>
    <col customWidth="1" min="5" max="5" width="11.0"/>
    <col customWidth="1" min="6" max="6" width="20.14"/>
    <col customWidth="1" min="7" max="7" width="12.0"/>
    <col customWidth="1" min="8" max="8" width="12.29"/>
    <col customWidth="1" min="9" max="9" width="11.0"/>
    <col customWidth="1" min="10" max="10" width="20.14"/>
    <col customWidth="1" min="11" max="11" width="12.0"/>
    <col customWidth="1" min="12" max="12" width="12.29"/>
    <col customWidth="1" min="13" max="13" width="9.43"/>
    <col customWidth="1" min="14" max="14" width="20.29"/>
    <col customWidth="1" min="15" max="15" width="12.0"/>
    <col customWidth="1" min="16" max="16" width="12.29"/>
    <col customWidth="1" min="17" max="17" width="9.43"/>
    <col customWidth="1" min="18" max="18" width="20.57"/>
    <col customWidth="1" min="19" max="19" width="12.0"/>
    <col customWidth="1" min="20" max="20" width="12.29"/>
    <col customWidth="1" min="21" max="21" width="9.43"/>
    <col customWidth="1" min="22" max="22" width="17.29"/>
    <col customWidth="1" min="23" max="23" width="12.0"/>
    <col customWidth="1" min="24" max="24" width="12.29"/>
    <col customWidth="1" min="25" max="25" width="9.43"/>
    <col customWidth="1" min="26" max="26" width="15.43"/>
    <col customWidth="1" min="27" max="27" width="12.0"/>
    <col customWidth="1" min="28" max="28" width="12.29"/>
    <col customWidth="1" min="29" max="29" width="9.43"/>
    <col customWidth="1" min="30" max="30" width="13.43"/>
    <col customWidth="1" min="31" max="31" width="12.0"/>
    <col customWidth="1" min="32" max="32" width="12.29"/>
    <col customWidth="1" min="33" max="33" width="11.0"/>
    <col customWidth="1" min="34" max="34" width="17.14"/>
    <col customWidth="1" min="35" max="35" width="12.0"/>
    <col customWidth="1" min="36" max="36" width="12.29"/>
    <col customWidth="1" min="37" max="37" width="9.43"/>
    <col customWidth="1" min="38" max="38" width="14.71"/>
    <col customWidth="1" min="39" max="39" width="12.0"/>
    <col customWidth="1" min="40" max="40" width="12.29"/>
    <col customWidth="1" min="41" max="41" width="9.43"/>
    <col customWidth="1" min="42" max="42" width="14.71"/>
    <col customWidth="1" min="43" max="43" width="12.0"/>
    <col customWidth="1" min="44" max="44" width="12.29"/>
    <col customWidth="1" min="45" max="45" width="9.43"/>
    <col customWidth="1" min="46" max="46" width="10.57"/>
    <col customWidth="1" min="47" max="47" width="12.0"/>
    <col customWidth="1" min="48" max="48" width="12.29"/>
    <col customWidth="1" min="49" max="50" width="9.43"/>
  </cols>
  <sheetData>
    <row r="1">
      <c r="A1" s="39" t="s">
        <v>55</v>
      </c>
      <c r="B1" s="40" t="s">
        <v>90</v>
      </c>
      <c r="C1" s="41"/>
      <c r="D1" s="41"/>
      <c r="E1" s="42"/>
      <c r="F1" s="43" t="s">
        <v>91</v>
      </c>
      <c r="G1" s="41"/>
      <c r="H1" s="41"/>
      <c r="I1" s="42"/>
      <c r="J1" s="40" t="s">
        <v>92</v>
      </c>
      <c r="K1" s="41"/>
      <c r="L1" s="41"/>
      <c r="M1" s="42"/>
      <c r="N1" s="40" t="s">
        <v>93</v>
      </c>
      <c r="O1" s="41"/>
      <c r="P1" s="41"/>
      <c r="Q1" s="42"/>
      <c r="R1" s="40" t="s">
        <v>94</v>
      </c>
      <c r="S1" s="41"/>
      <c r="T1" s="41"/>
      <c r="U1" s="42"/>
      <c r="V1" s="43" t="s">
        <v>95</v>
      </c>
      <c r="W1" s="41"/>
      <c r="X1" s="41"/>
      <c r="Y1" s="42"/>
      <c r="Z1" s="40" t="s">
        <v>96</v>
      </c>
      <c r="AA1" s="41"/>
      <c r="AB1" s="41"/>
      <c r="AC1" s="42"/>
      <c r="AD1" s="40" t="s">
        <v>97</v>
      </c>
      <c r="AE1" s="41"/>
      <c r="AF1" s="41"/>
      <c r="AG1" s="42"/>
      <c r="AH1" s="40" t="s">
        <v>98</v>
      </c>
      <c r="AI1" s="41"/>
      <c r="AJ1" s="41"/>
      <c r="AK1" s="42"/>
      <c r="AL1" s="40" t="s">
        <v>99</v>
      </c>
      <c r="AM1" s="41"/>
      <c r="AN1" s="41"/>
      <c r="AO1" s="42"/>
      <c r="AP1" s="40" t="s">
        <v>100</v>
      </c>
      <c r="AQ1" s="41"/>
      <c r="AR1" s="41"/>
      <c r="AS1" s="42"/>
      <c r="AT1" s="43" t="s">
        <v>101</v>
      </c>
      <c r="AU1" s="41"/>
      <c r="AV1" s="41"/>
      <c r="AW1" s="42"/>
      <c r="AX1" s="111"/>
    </row>
    <row r="2">
      <c r="A2" s="39" t="s">
        <v>56</v>
      </c>
      <c r="B2" s="44">
        <f>B52</f>
        <v>99999999999</v>
      </c>
      <c r="E2" s="20"/>
      <c r="F2" s="44">
        <f>B53</f>
        <v>450000</v>
      </c>
      <c r="I2" s="20"/>
      <c r="J2" s="44">
        <f>B54</f>
        <v>699999</v>
      </c>
      <c r="M2" s="20"/>
      <c r="N2" s="44">
        <f>B55</f>
        <v>700000</v>
      </c>
      <c r="Q2" s="45"/>
      <c r="R2" s="44">
        <f>B56</f>
        <v>99999999999</v>
      </c>
      <c r="U2" s="20"/>
      <c r="V2" s="44">
        <f>B57</f>
        <v>447998</v>
      </c>
      <c r="Y2" s="45"/>
      <c r="Z2" s="44">
        <f>B58</f>
        <v>15961</v>
      </c>
      <c r="AC2" s="20"/>
      <c r="AD2" s="44">
        <f>B59</f>
        <v>35991</v>
      </c>
      <c r="AG2" s="20"/>
      <c r="AH2" s="44">
        <f>B60</f>
        <v>28985</v>
      </c>
      <c r="AK2" s="20"/>
      <c r="AL2" s="44">
        <f>B61</f>
        <v>34983</v>
      </c>
      <c r="AO2" s="20"/>
      <c r="AP2" s="44">
        <f>B62</f>
        <v>30088</v>
      </c>
      <c r="AS2" s="45"/>
      <c r="AT2" s="44">
        <f>B63</f>
        <v>850000</v>
      </c>
      <c r="AW2" s="20"/>
    </row>
    <row r="3">
      <c r="A3" s="39" t="s">
        <v>57</v>
      </c>
      <c r="B3" s="44">
        <f>B43*10</f>
        <v>556860</v>
      </c>
      <c r="E3" s="20"/>
      <c r="F3" s="44">
        <f>B41*10</f>
        <v>545000</v>
      </c>
      <c r="I3" s="20"/>
      <c r="J3" s="44">
        <f>B45*10</f>
        <v>589950</v>
      </c>
      <c r="M3" s="20"/>
      <c r="N3" s="44">
        <f>B44*10</f>
        <v>529930</v>
      </c>
      <c r="Q3" s="20"/>
      <c r="R3" s="44">
        <f>B40*10</f>
        <v>578480</v>
      </c>
      <c r="U3" s="20"/>
      <c r="V3" s="44">
        <f>B42*10</f>
        <v>488160</v>
      </c>
      <c r="Y3" s="20"/>
      <c r="Z3" s="46">
        <f>B45*10</f>
        <v>589950</v>
      </c>
      <c r="AC3" s="20"/>
      <c r="AD3" s="44">
        <f>B41*10</f>
        <v>545000</v>
      </c>
      <c r="AG3" s="20"/>
      <c r="AH3" s="44">
        <f>B44*10</f>
        <v>529930</v>
      </c>
      <c r="AK3" s="20"/>
      <c r="AL3" s="44">
        <f>B40*10</f>
        <v>578480</v>
      </c>
      <c r="AO3" s="20"/>
      <c r="AP3" s="44">
        <f>B43*10</f>
        <v>556860</v>
      </c>
      <c r="AS3" s="20"/>
      <c r="AT3" s="44">
        <f>B46*10</f>
        <v>879920</v>
      </c>
      <c r="AW3" s="20"/>
    </row>
    <row r="4">
      <c r="A4" s="47"/>
      <c r="B4" s="48" t="s">
        <v>103</v>
      </c>
      <c r="C4" s="49" t="s">
        <v>104</v>
      </c>
      <c r="D4" s="50" t="s">
        <v>105</v>
      </c>
      <c r="E4" s="51" t="s">
        <v>106</v>
      </c>
      <c r="F4" s="48" t="s">
        <v>103</v>
      </c>
      <c r="G4" s="49" t="s">
        <v>104</v>
      </c>
      <c r="H4" s="50" t="s">
        <v>105</v>
      </c>
      <c r="I4" s="51" t="s">
        <v>106</v>
      </c>
      <c r="J4" s="48" t="s">
        <v>103</v>
      </c>
      <c r="K4" s="49" t="s">
        <v>104</v>
      </c>
      <c r="L4" s="50" t="s">
        <v>105</v>
      </c>
      <c r="M4" s="51" t="s">
        <v>106</v>
      </c>
      <c r="N4" s="48" t="s">
        <v>103</v>
      </c>
      <c r="O4" s="49" t="s">
        <v>104</v>
      </c>
      <c r="P4" s="50" t="s">
        <v>105</v>
      </c>
      <c r="Q4" s="51" t="s">
        <v>106</v>
      </c>
      <c r="R4" s="48" t="s">
        <v>103</v>
      </c>
      <c r="S4" s="49" t="s">
        <v>104</v>
      </c>
      <c r="T4" s="50" t="s">
        <v>105</v>
      </c>
      <c r="U4" s="51" t="s">
        <v>106</v>
      </c>
      <c r="V4" s="48" t="s">
        <v>103</v>
      </c>
      <c r="W4" s="49" t="s">
        <v>104</v>
      </c>
      <c r="X4" s="50" t="s">
        <v>105</v>
      </c>
      <c r="Y4" s="51" t="s">
        <v>106</v>
      </c>
      <c r="Z4" s="48" t="s">
        <v>103</v>
      </c>
      <c r="AA4" s="49" t="s">
        <v>104</v>
      </c>
      <c r="AB4" s="50" t="s">
        <v>105</v>
      </c>
      <c r="AC4" s="51" t="s">
        <v>106</v>
      </c>
      <c r="AD4" s="48" t="s">
        <v>103</v>
      </c>
      <c r="AE4" s="49" t="s">
        <v>104</v>
      </c>
      <c r="AF4" s="50" t="s">
        <v>105</v>
      </c>
      <c r="AG4" s="51" t="s">
        <v>106</v>
      </c>
      <c r="AH4" s="48" t="s">
        <v>103</v>
      </c>
      <c r="AI4" s="49" t="s">
        <v>104</v>
      </c>
      <c r="AJ4" s="50" t="s">
        <v>105</v>
      </c>
      <c r="AK4" s="51" t="s">
        <v>106</v>
      </c>
      <c r="AL4" s="48" t="s">
        <v>103</v>
      </c>
      <c r="AM4" s="49" t="s">
        <v>104</v>
      </c>
      <c r="AN4" s="50" t="s">
        <v>105</v>
      </c>
      <c r="AO4" s="51" t="s">
        <v>106</v>
      </c>
      <c r="AP4" s="48" t="s">
        <v>103</v>
      </c>
      <c r="AQ4" s="49" t="s">
        <v>104</v>
      </c>
      <c r="AR4" s="50" t="s">
        <v>105</v>
      </c>
      <c r="AS4" s="51" t="s">
        <v>106</v>
      </c>
      <c r="AT4" s="48" t="s">
        <v>103</v>
      </c>
      <c r="AU4" s="49" t="s">
        <v>104</v>
      </c>
      <c r="AV4" s="50" t="s">
        <v>105</v>
      </c>
      <c r="AW4" s="51" t="s">
        <v>106</v>
      </c>
      <c r="AX4" s="112"/>
    </row>
    <row r="5">
      <c r="A5" s="52" t="s">
        <v>107</v>
      </c>
      <c r="B5" s="44"/>
      <c r="C5" s="39">
        <f t="shared" ref="C5:C20" si="1">B5*0.895</f>
        <v>0</v>
      </c>
      <c r="D5" s="53">
        <f t="shared" ref="D5:D20" si="2">$B$2+$B$3+G40</f>
        <v>100000702816</v>
      </c>
      <c r="E5" s="20">
        <f t="shared" ref="E5:E20" si="3">C5-D5</f>
        <v>-100000702816</v>
      </c>
      <c r="F5" s="44"/>
      <c r="G5" s="39">
        <f t="shared" ref="G5:G20" si="4">F5*0.895</f>
        <v>0</v>
      </c>
      <c r="H5" s="53">
        <f t="shared" ref="H5:H20" si="5">$F$2+$F$3+G40</f>
        <v>1140957</v>
      </c>
      <c r="I5" s="20">
        <f t="shared" ref="I5:I20" si="6">G5-H5</f>
        <v>-1140957</v>
      </c>
      <c r="J5" s="46"/>
      <c r="K5" s="39">
        <f t="shared" ref="K5:K20" si="7">J5*0.895</f>
        <v>0</v>
      </c>
      <c r="L5" s="53">
        <f t="shared" ref="L5:L20" si="8">$J$2+$J$3+G40</f>
        <v>1435906</v>
      </c>
      <c r="M5" s="20">
        <f t="shared" ref="M5:M20" si="9">K5-L5</f>
        <v>-1435906</v>
      </c>
      <c r="N5" s="44"/>
      <c r="O5" s="39">
        <f t="shared" ref="O5:O20" si="10">N5*0.895</f>
        <v>0</v>
      </c>
      <c r="P5" s="53">
        <f t="shared" ref="P5:P20" si="11">$N$2+$N$3+G40</f>
        <v>1375887</v>
      </c>
      <c r="Q5" s="20">
        <f t="shared" ref="Q5:Q20" si="12">O5-P5</f>
        <v>-1375887</v>
      </c>
      <c r="R5" s="44"/>
      <c r="S5" s="39">
        <f t="shared" ref="S5:S20" si="13">R5*0.895</f>
        <v>0</v>
      </c>
      <c r="T5" s="53">
        <f t="shared" ref="T5:T20" si="14">$R$2+$R$3+G40</f>
        <v>100000724436</v>
      </c>
      <c r="U5" s="20">
        <f t="shared" ref="U5:U20" si="15">S5-T5</f>
        <v>-100000724436</v>
      </c>
      <c r="V5" s="44"/>
      <c r="W5" s="39">
        <f t="shared" ref="W5:W20" si="16">V5*0.895</f>
        <v>0</v>
      </c>
      <c r="X5" s="53">
        <f t="shared" ref="X5:X20" si="17">$V$2+$V$3+G40</f>
        <v>1082115</v>
      </c>
      <c r="Y5" s="20">
        <f t="shared" ref="Y5:Y20" si="18">W5-X5</f>
        <v>-1082115</v>
      </c>
      <c r="Z5" s="44"/>
      <c r="AA5" s="39">
        <f t="shared" ref="AA5:AA20" si="19">Z5*0.895</f>
        <v>0</v>
      </c>
      <c r="AB5" s="53">
        <f t="shared" ref="AB5:AB20" si="20">$Z$2+$Z$3+G40</f>
        <v>751868</v>
      </c>
      <c r="AC5" s="20">
        <f t="shared" ref="AC5:AC20" si="21">AA5-AB5</f>
        <v>-751868</v>
      </c>
      <c r="AD5" s="44"/>
      <c r="AE5" s="39">
        <f t="shared" ref="AE5:AE20" si="22">AD5*0.895</f>
        <v>0</v>
      </c>
      <c r="AF5" s="53">
        <f t="shared" ref="AF5:AF20" si="23">$AD$2+$AD$3+G40</f>
        <v>726948</v>
      </c>
      <c r="AG5" s="20">
        <f t="shared" ref="AG5:AG20" si="24">AE5-AF5</f>
        <v>-726948</v>
      </c>
      <c r="AH5" s="44"/>
      <c r="AI5" s="39">
        <f t="shared" ref="AI5:AI20" si="25">AH5*0.895</f>
        <v>0</v>
      </c>
      <c r="AJ5" s="53">
        <f t="shared" ref="AJ5:AJ20" si="26">$AH$2+$AH$3+G40</f>
        <v>704872</v>
      </c>
      <c r="AK5" s="20">
        <f t="shared" ref="AK5:AK20" si="27">AI5-AJ5</f>
        <v>-704872</v>
      </c>
      <c r="AL5" s="44"/>
      <c r="AM5" s="39">
        <f t="shared" ref="AM5:AM20" si="28">AL5*0.895</f>
        <v>0</v>
      </c>
      <c r="AN5" s="53">
        <f t="shared" ref="AN5:AN20" si="29">$AL$2+$AL$3+G40</f>
        <v>759420</v>
      </c>
      <c r="AO5" s="20">
        <f t="shared" ref="AO5:AO20" si="30">AM5-AN5</f>
        <v>-759420</v>
      </c>
      <c r="AP5" s="44"/>
      <c r="AQ5" s="39">
        <f t="shared" ref="AQ5:AQ20" si="31">AP5*0.895</f>
        <v>0</v>
      </c>
      <c r="AR5" s="53">
        <f t="shared" ref="AR5:AR20" si="32">$AP$2+$AP$3+G40</f>
        <v>732905</v>
      </c>
      <c r="AS5" s="20">
        <f t="shared" ref="AS5:AS20" si="33">AQ5-AR5</f>
        <v>-732905</v>
      </c>
      <c r="AT5" s="44"/>
      <c r="AU5" s="39">
        <f t="shared" ref="AU5:AU20" si="34">AT5*0.895</f>
        <v>0</v>
      </c>
      <c r="AV5" s="53">
        <f t="shared" ref="AV5:AV20" si="35">$AT$2+$AT$3+G40</f>
        <v>1875877</v>
      </c>
      <c r="AW5" s="20">
        <f t="shared" ref="AW5:AW20" si="36">AU5-AV5</f>
        <v>-1875877</v>
      </c>
    </row>
    <row r="6">
      <c r="A6" s="52" t="s">
        <v>108</v>
      </c>
      <c r="B6" s="44"/>
      <c r="C6" s="39">
        <f t="shared" si="1"/>
        <v>0</v>
      </c>
      <c r="D6" s="53">
        <f t="shared" si="2"/>
        <v>100000702829</v>
      </c>
      <c r="E6" s="20">
        <f t="shared" si="3"/>
        <v>-100000702829</v>
      </c>
      <c r="F6" s="44"/>
      <c r="G6" s="39">
        <f t="shared" si="4"/>
        <v>0</v>
      </c>
      <c r="H6" s="53">
        <f t="shared" si="5"/>
        <v>1140970</v>
      </c>
      <c r="I6" s="20">
        <f t="shared" si="6"/>
        <v>-1140970</v>
      </c>
      <c r="J6" s="46"/>
      <c r="K6" s="39">
        <f t="shared" si="7"/>
        <v>0</v>
      </c>
      <c r="L6" s="53">
        <f t="shared" si="8"/>
        <v>1435919</v>
      </c>
      <c r="M6" s="20">
        <f t="shared" si="9"/>
        <v>-1435919</v>
      </c>
      <c r="N6" s="44"/>
      <c r="O6" s="39">
        <f t="shared" si="10"/>
        <v>0</v>
      </c>
      <c r="P6" s="53">
        <f t="shared" si="11"/>
        <v>1375900</v>
      </c>
      <c r="Q6" s="20">
        <f t="shared" si="12"/>
        <v>-1375900</v>
      </c>
      <c r="R6" s="44"/>
      <c r="S6" s="39">
        <f t="shared" si="13"/>
        <v>0</v>
      </c>
      <c r="T6" s="53">
        <f t="shared" si="14"/>
        <v>100000724449</v>
      </c>
      <c r="U6" s="20">
        <f t="shared" si="15"/>
        <v>-100000724449</v>
      </c>
      <c r="V6" s="44"/>
      <c r="W6" s="39">
        <f t="shared" si="16"/>
        <v>0</v>
      </c>
      <c r="X6" s="53">
        <f t="shared" si="17"/>
        <v>1082128</v>
      </c>
      <c r="Y6" s="20">
        <f t="shared" si="18"/>
        <v>-1082128</v>
      </c>
      <c r="Z6" s="44"/>
      <c r="AA6" s="39">
        <f t="shared" si="19"/>
        <v>0</v>
      </c>
      <c r="AB6" s="53">
        <f t="shared" si="20"/>
        <v>751881</v>
      </c>
      <c r="AC6" s="20">
        <f t="shared" si="21"/>
        <v>-751881</v>
      </c>
      <c r="AD6" s="44"/>
      <c r="AE6" s="39">
        <f t="shared" si="22"/>
        <v>0</v>
      </c>
      <c r="AF6" s="53">
        <f t="shared" si="23"/>
        <v>726961</v>
      </c>
      <c r="AG6" s="20">
        <f t="shared" si="24"/>
        <v>-726961</v>
      </c>
      <c r="AH6" s="44"/>
      <c r="AI6" s="39">
        <f t="shared" si="25"/>
        <v>0</v>
      </c>
      <c r="AJ6" s="53">
        <f t="shared" si="26"/>
        <v>704885</v>
      </c>
      <c r="AK6" s="20">
        <f t="shared" si="27"/>
        <v>-704885</v>
      </c>
      <c r="AL6" s="44"/>
      <c r="AM6" s="39">
        <f t="shared" si="28"/>
        <v>0</v>
      </c>
      <c r="AN6" s="53">
        <f t="shared" si="29"/>
        <v>759433</v>
      </c>
      <c r="AO6" s="20">
        <f t="shared" si="30"/>
        <v>-759433</v>
      </c>
      <c r="AP6" s="44"/>
      <c r="AQ6" s="39">
        <f t="shared" si="31"/>
        <v>0</v>
      </c>
      <c r="AR6" s="53">
        <f t="shared" si="32"/>
        <v>732918</v>
      </c>
      <c r="AS6" s="20">
        <f t="shared" si="33"/>
        <v>-732918</v>
      </c>
      <c r="AT6" s="44"/>
      <c r="AU6" s="39">
        <f t="shared" si="34"/>
        <v>0</v>
      </c>
      <c r="AV6" s="53">
        <f t="shared" si="35"/>
        <v>1875890</v>
      </c>
      <c r="AW6" s="20">
        <f t="shared" si="36"/>
        <v>-1875890</v>
      </c>
    </row>
    <row r="7">
      <c r="A7" s="52" t="s">
        <v>109</v>
      </c>
      <c r="B7" s="44"/>
      <c r="C7" s="39">
        <f t="shared" si="1"/>
        <v>0</v>
      </c>
      <c r="D7" s="53">
        <f t="shared" si="2"/>
        <v>100000676859</v>
      </c>
      <c r="E7" s="20">
        <f t="shared" si="3"/>
        <v>-100000676859</v>
      </c>
      <c r="F7" s="44"/>
      <c r="G7" s="39">
        <f t="shared" si="4"/>
        <v>0</v>
      </c>
      <c r="H7" s="53">
        <f t="shared" si="5"/>
        <v>1115000</v>
      </c>
      <c r="I7" s="20">
        <f t="shared" si="6"/>
        <v>-1115000</v>
      </c>
      <c r="J7" s="46"/>
      <c r="K7" s="39">
        <f t="shared" si="7"/>
        <v>0</v>
      </c>
      <c r="L7" s="53">
        <f t="shared" si="8"/>
        <v>1409949</v>
      </c>
      <c r="M7" s="20">
        <f t="shared" si="9"/>
        <v>-1409949</v>
      </c>
      <c r="N7" s="44"/>
      <c r="O7" s="39">
        <f t="shared" si="10"/>
        <v>0</v>
      </c>
      <c r="P7" s="53">
        <f t="shared" si="11"/>
        <v>1349930</v>
      </c>
      <c r="Q7" s="20">
        <f t="shared" si="12"/>
        <v>-1349930</v>
      </c>
      <c r="R7" s="44"/>
      <c r="S7" s="39">
        <f t="shared" si="13"/>
        <v>0</v>
      </c>
      <c r="T7" s="53">
        <f t="shared" si="14"/>
        <v>100000698479</v>
      </c>
      <c r="U7" s="20">
        <f t="shared" si="15"/>
        <v>-100000698479</v>
      </c>
      <c r="V7" s="44"/>
      <c r="W7" s="39">
        <f t="shared" si="16"/>
        <v>0</v>
      </c>
      <c r="X7" s="53">
        <f t="shared" si="17"/>
        <v>1056158</v>
      </c>
      <c r="Y7" s="20">
        <f t="shared" si="18"/>
        <v>-1056158</v>
      </c>
      <c r="Z7" s="44"/>
      <c r="AA7" s="39">
        <f t="shared" si="19"/>
        <v>0</v>
      </c>
      <c r="AB7" s="53">
        <f t="shared" si="20"/>
        <v>725911</v>
      </c>
      <c r="AC7" s="20">
        <f t="shared" si="21"/>
        <v>-725911</v>
      </c>
      <c r="AD7" s="44"/>
      <c r="AE7" s="39">
        <f t="shared" si="22"/>
        <v>0</v>
      </c>
      <c r="AF7" s="53">
        <f t="shared" si="23"/>
        <v>700991</v>
      </c>
      <c r="AG7" s="20">
        <f t="shared" si="24"/>
        <v>-700991</v>
      </c>
      <c r="AH7" s="44"/>
      <c r="AI7" s="39">
        <f t="shared" si="25"/>
        <v>0</v>
      </c>
      <c r="AJ7" s="53">
        <f t="shared" si="26"/>
        <v>678915</v>
      </c>
      <c r="AK7" s="20">
        <f t="shared" si="27"/>
        <v>-678915</v>
      </c>
      <c r="AL7" s="44"/>
      <c r="AM7" s="39">
        <f t="shared" si="28"/>
        <v>0</v>
      </c>
      <c r="AN7" s="53">
        <f t="shared" si="29"/>
        <v>733463</v>
      </c>
      <c r="AO7" s="20">
        <f t="shared" si="30"/>
        <v>-733463</v>
      </c>
      <c r="AP7" s="44"/>
      <c r="AQ7" s="39">
        <f t="shared" si="31"/>
        <v>0</v>
      </c>
      <c r="AR7" s="53">
        <f t="shared" si="32"/>
        <v>706948</v>
      </c>
      <c r="AS7" s="20">
        <f t="shared" si="33"/>
        <v>-706948</v>
      </c>
      <c r="AT7" s="44"/>
      <c r="AU7" s="39">
        <f t="shared" si="34"/>
        <v>0</v>
      </c>
      <c r="AV7" s="53">
        <f t="shared" si="35"/>
        <v>1849920</v>
      </c>
      <c r="AW7" s="20">
        <f t="shared" si="36"/>
        <v>-1849920</v>
      </c>
    </row>
    <row r="8">
      <c r="A8" s="52" t="s">
        <v>110</v>
      </c>
      <c r="B8" s="44"/>
      <c r="C8" s="39">
        <f t="shared" si="1"/>
        <v>0</v>
      </c>
      <c r="D8" s="53">
        <f t="shared" si="2"/>
        <v>100000702844</v>
      </c>
      <c r="E8" s="20">
        <f t="shared" si="3"/>
        <v>-100000702844</v>
      </c>
      <c r="F8" s="44"/>
      <c r="G8" s="39">
        <f t="shared" si="4"/>
        <v>0</v>
      </c>
      <c r="H8" s="53">
        <f t="shared" si="5"/>
        <v>1140985</v>
      </c>
      <c r="I8" s="20">
        <f t="shared" si="6"/>
        <v>-1140985</v>
      </c>
      <c r="J8" s="46"/>
      <c r="K8" s="39">
        <f t="shared" si="7"/>
        <v>0</v>
      </c>
      <c r="L8" s="53">
        <f t="shared" si="8"/>
        <v>1435934</v>
      </c>
      <c r="M8" s="20">
        <f t="shared" si="9"/>
        <v>-1435934</v>
      </c>
      <c r="N8" s="44"/>
      <c r="O8" s="39">
        <f t="shared" si="10"/>
        <v>0</v>
      </c>
      <c r="P8" s="53">
        <f t="shared" si="11"/>
        <v>1375915</v>
      </c>
      <c r="Q8" s="20">
        <f t="shared" si="12"/>
        <v>-1375915</v>
      </c>
      <c r="R8" s="44"/>
      <c r="S8" s="39">
        <f t="shared" si="13"/>
        <v>0</v>
      </c>
      <c r="T8" s="53">
        <f t="shared" si="14"/>
        <v>100000724464</v>
      </c>
      <c r="U8" s="20">
        <f t="shared" si="15"/>
        <v>-100000724464</v>
      </c>
      <c r="V8" s="44"/>
      <c r="W8" s="39">
        <f t="shared" si="16"/>
        <v>0</v>
      </c>
      <c r="X8" s="53">
        <f t="shared" si="17"/>
        <v>1082143</v>
      </c>
      <c r="Y8" s="20">
        <f t="shared" si="18"/>
        <v>-1082143</v>
      </c>
      <c r="Z8" s="44"/>
      <c r="AA8" s="39">
        <f t="shared" si="19"/>
        <v>0</v>
      </c>
      <c r="AB8" s="53">
        <f t="shared" si="20"/>
        <v>751896</v>
      </c>
      <c r="AC8" s="20">
        <f t="shared" si="21"/>
        <v>-751896</v>
      </c>
      <c r="AD8" s="44"/>
      <c r="AE8" s="39">
        <f t="shared" si="22"/>
        <v>0</v>
      </c>
      <c r="AF8" s="53">
        <f t="shared" si="23"/>
        <v>726976</v>
      </c>
      <c r="AG8" s="20">
        <f t="shared" si="24"/>
        <v>-726976</v>
      </c>
      <c r="AH8" s="44"/>
      <c r="AI8" s="39">
        <f t="shared" si="25"/>
        <v>0</v>
      </c>
      <c r="AJ8" s="53">
        <f t="shared" si="26"/>
        <v>704900</v>
      </c>
      <c r="AK8" s="20">
        <f t="shared" si="27"/>
        <v>-704900</v>
      </c>
      <c r="AL8" s="44"/>
      <c r="AM8" s="39">
        <f t="shared" si="28"/>
        <v>0</v>
      </c>
      <c r="AN8" s="53">
        <f t="shared" si="29"/>
        <v>759448</v>
      </c>
      <c r="AO8" s="20">
        <f t="shared" si="30"/>
        <v>-759448</v>
      </c>
      <c r="AP8" s="44"/>
      <c r="AQ8" s="39">
        <f t="shared" si="31"/>
        <v>0</v>
      </c>
      <c r="AR8" s="53">
        <f t="shared" si="32"/>
        <v>732933</v>
      </c>
      <c r="AS8" s="20">
        <f t="shared" si="33"/>
        <v>-732933</v>
      </c>
      <c r="AT8" s="44"/>
      <c r="AU8" s="39">
        <f t="shared" si="34"/>
        <v>0</v>
      </c>
      <c r="AV8" s="53">
        <f t="shared" si="35"/>
        <v>1875905</v>
      </c>
      <c r="AW8" s="20">
        <f t="shared" si="36"/>
        <v>-1875905</v>
      </c>
    </row>
    <row r="9">
      <c r="A9" s="52" t="s">
        <v>111</v>
      </c>
      <c r="B9" s="44"/>
      <c r="C9" s="39">
        <f t="shared" si="1"/>
        <v>0</v>
      </c>
      <c r="D9" s="53">
        <f t="shared" si="2"/>
        <v>100000883344</v>
      </c>
      <c r="E9" s="20">
        <f t="shared" si="3"/>
        <v>-100000883344</v>
      </c>
      <c r="F9" s="44"/>
      <c r="G9" s="39">
        <f t="shared" si="4"/>
        <v>0</v>
      </c>
      <c r="H9" s="53">
        <f t="shared" si="5"/>
        <v>1321485</v>
      </c>
      <c r="I9" s="20">
        <f t="shared" si="6"/>
        <v>-1321485</v>
      </c>
      <c r="J9" s="46"/>
      <c r="K9" s="39">
        <f t="shared" si="7"/>
        <v>0</v>
      </c>
      <c r="L9" s="53">
        <f t="shared" si="8"/>
        <v>1616434</v>
      </c>
      <c r="M9" s="20">
        <f t="shared" si="9"/>
        <v>-1616434</v>
      </c>
      <c r="N9" s="44"/>
      <c r="O9" s="39">
        <f t="shared" si="10"/>
        <v>0</v>
      </c>
      <c r="P9" s="53">
        <f t="shared" si="11"/>
        <v>1556415</v>
      </c>
      <c r="Q9" s="20">
        <f t="shared" si="12"/>
        <v>-1556415</v>
      </c>
      <c r="R9" s="44"/>
      <c r="S9" s="39">
        <f t="shared" si="13"/>
        <v>0</v>
      </c>
      <c r="T9" s="53">
        <f t="shared" si="14"/>
        <v>100000904964</v>
      </c>
      <c r="U9" s="20">
        <f t="shared" si="15"/>
        <v>-100000904964</v>
      </c>
      <c r="V9" s="44"/>
      <c r="W9" s="39">
        <f t="shared" si="16"/>
        <v>0</v>
      </c>
      <c r="X9" s="53">
        <f t="shared" si="17"/>
        <v>1262643</v>
      </c>
      <c r="Y9" s="20">
        <f t="shared" si="18"/>
        <v>-1262643</v>
      </c>
      <c r="Z9" s="44"/>
      <c r="AA9" s="39">
        <f t="shared" si="19"/>
        <v>0</v>
      </c>
      <c r="AB9" s="53">
        <f t="shared" si="20"/>
        <v>932396</v>
      </c>
      <c r="AC9" s="20">
        <f t="shared" si="21"/>
        <v>-932396</v>
      </c>
      <c r="AD9" s="44"/>
      <c r="AE9" s="39">
        <f t="shared" si="22"/>
        <v>0</v>
      </c>
      <c r="AF9" s="53">
        <f t="shared" si="23"/>
        <v>907476</v>
      </c>
      <c r="AG9" s="20">
        <f t="shared" si="24"/>
        <v>-907476</v>
      </c>
      <c r="AH9" s="44"/>
      <c r="AI9" s="39">
        <f t="shared" si="25"/>
        <v>0</v>
      </c>
      <c r="AJ9" s="53">
        <f t="shared" si="26"/>
        <v>885400</v>
      </c>
      <c r="AK9" s="20">
        <f t="shared" si="27"/>
        <v>-885400</v>
      </c>
      <c r="AL9" s="44"/>
      <c r="AM9" s="39">
        <f t="shared" si="28"/>
        <v>0</v>
      </c>
      <c r="AN9" s="53">
        <f t="shared" si="29"/>
        <v>939948</v>
      </c>
      <c r="AO9" s="20">
        <f t="shared" si="30"/>
        <v>-939948</v>
      </c>
      <c r="AP9" s="44"/>
      <c r="AQ9" s="39">
        <f t="shared" si="31"/>
        <v>0</v>
      </c>
      <c r="AR9" s="53">
        <f t="shared" si="32"/>
        <v>913433</v>
      </c>
      <c r="AS9" s="20">
        <f t="shared" si="33"/>
        <v>-913433</v>
      </c>
      <c r="AT9" s="44"/>
      <c r="AU9" s="39">
        <f t="shared" si="34"/>
        <v>0</v>
      </c>
      <c r="AV9" s="53">
        <f t="shared" si="35"/>
        <v>2056405</v>
      </c>
      <c r="AW9" s="20">
        <f t="shared" si="36"/>
        <v>-2056405</v>
      </c>
    </row>
    <row r="10">
      <c r="A10" s="52" t="s">
        <v>112</v>
      </c>
      <c r="B10" s="44"/>
      <c r="C10" s="39">
        <f t="shared" si="1"/>
        <v>0</v>
      </c>
      <c r="D10" s="53">
        <f t="shared" si="2"/>
        <v>100000876852</v>
      </c>
      <c r="E10" s="20">
        <f t="shared" si="3"/>
        <v>-100000876852</v>
      </c>
      <c r="F10" s="44"/>
      <c r="G10" s="39">
        <f t="shared" si="4"/>
        <v>0</v>
      </c>
      <c r="H10" s="53">
        <f t="shared" si="5"/>
        <v>1314993</v>
      </c>
      <c r="I10" s="20">
        <f t="shared" si="6"/>
        <v>-1314993</v>
      </c>
      <c r="J10" s="46"/>
      <c r="K10" s="39">
        <f t="shared" si="7"/>
        <v>0</v>
      </c>
      <c r="L10" s="53">
        <f t="shared" si="8"/>
        <v>1609942</v>
      </c>
      <c r="M10" s="20">
        <f t="shared" si="9"/>
        <v>-1609942</v>
      </c>
      <c r="N10" s="44"/>
      <c r="O10" s="39">
        <f t="shared" si="10"/>
        <v>0</v>
      </c>
      <c r="P10" s="53">
        <f t="shared" si="11"/>
        <v>1549923</v>
      </c>
      <c r="Q10" s="20">
        <f t="shared" si="12"/>
        <v>-1549923</v>
      </c>
      <c r="R10" s="44"/>
      <c r="S10" s="39">
        <f t="shared" si="13"/>
        <v>0</v>
      </c>
      <c r="T10" s="53">
        <f t="shared" si="14"/>
        <v>100000898472</v>
      </c>
      <c r="U10" s="20">
        <f t="shared" si="15"/>
        <v>-100000898472</v>
      </c>
      <c r="V10" s="44"/>
      <c r="W10" s="39">
        <f t="shared" si="16"/>
        <v>0</v>
      </c>
      <c r="X10" s="53">
        <f t="shared" si="17"/>
        <v>1256151</v>
      </c>
      <c r="Y10" s="20">
        <f t="shared" si="18"/>
        <v>-1256151</v>
      </c>
      <c r="Z10" s="44"/>
      <c r="AA10" s="39">
        <f t="shared" si="19"/>
        <v>0</v>
      </c>
      <c r="AB10" s="53">
        <f t="shared" si="20"/>
        <v>925904</v>
      </c>
      <c r="AC10" s="20">
        <f t="shared" si="21"/>
        <v>-925904</v>
      </c>
      <c r="AD10" s="44"/>
      <c r="AE10" s="39">
        <f t="shared" si="22"/>
        <v>0</v>
      </c>
      <c r="AF10" s="53">
        <f t="shared" si="23"/>
        <v>900984</v>
      </c>
      <c r="AG10" s="20">
        <f t="shared" si="24"/>
        <v>-900984</v>
      </c>
      <c r="AH10" s="44"/>
      <c r="AI10" s="39">
        <f t="shared" si="25"/>
        <v>0</v>
      </c>
      <c r="AJ10" s="53">
        <f t="shared" si="26"/>
        <v>878908</v>
      </c>
      <c r="AK10" s="20">
        <f t="shared" si="27"/>
        <v>-878908</v>
      </c>
      <c r="AL10" s="44"/>
      <c r="AM10" s="39">
        <f t="shared" si="28"/>
        <v>0</v>
      </c>
      <c r="AN10" s="53">
        <f t="shared" si="29"/>
        <v>933456</v>
      </c>
      <c r="AO10" s="20">
        <f t="shared" si="30"/>
        <v>-933456</v>
      </c>
      <c r="AP10" s="44"/>
      <c r="AQ10" s="39">
        <f t="shared" si="31"/>
        <v>0</v>
      </c>
      <c r="AR10" s="53">
        <f t="shared" si="32"/>
        <v>906941</v>
      </c>
      <c r="AS10" s="20">
        <f t="shared" si="33"/>
        <v>-906941</v>
      </c>
      <c r="AT10" s="44"/>
      <c r="AU10" s="39">
        <f t="shared" si="34"/>
        <v>0</v>
      </c>
      <c r="AV10" s="53">
        <f t="shared" si="35"/>
        <v>2049913</v>
      </c>
      <c r="AW10" s="20">
        <f t="shared" si="36"/>
        <v>-2049913</v>
      </c>
    </row>
    <row r="11">
      <c r="A11" s="52" t="s">
        <v>113</v>
      </c>
      <c r="B11" s="44"/>
      <c r="C11" s="39">
        <f t="shared" si="1"/>
        <v>0</v>
      </c>
      <c r="D11" s="53">
        <f t="shared" si="2"/>
        <v>100000857387</v>
      </c>
      <c r="E11" s="20">
        <f t="shared" si="3"/>
        <v>-100000857387</v>
      </c>
      <c r="F11" s="44"/>
      <c r="G11" s="39">
        <f t="shared" si="4"/>
        <v>0</v>
      </c>
      <c r="H11" s="53">
        <f t="shared" si="5"/>
        <v>1295528</v>
      </c>
      <c r="I11" s="20">
        <f t="shared" si="6"/>
        <v>-1295528</v>
      </c>
      <c r="J11" s="46"/>
      <c r="K11" s="39">
        <f t="shared" si="7"/>
        <v>0</v>
      </c>
      <c r="L11" s="53">
        <f t="shared" si="8"/>
        <v>1590477</v>
      </c>
      <c r="M11" s="20">
        <f t="shared" si="9"/>
        <v>-1590477</v>
      </c>
      <c r="N11" s="44"/>
      <c r="O11" s="39">
        <f t="shared" si="10"/>
        <v>0</v>
      </c>
      <c r="P11" s="53">
        <f t="shared" si="11"/>
        <v>1530458</v>
      </c>
      <c r="Q11" s="20">
        <f t="shared" si="12"/>
        <v>-1530458</v>
      </c>
      <c r="R11" s="44"/>
      <c r="S11" s="39">
        <f t="shared" si="13"/>
        <v>0</v>
      </c>
      <c r="T11" s="53">
        <f t="shared" si="14"/>
        <v>100000879007</v>
      </c>
      <c r="U11" s="20">
        <f t="shared" si="15"/>
        <v>-100000879007</v>
      </c>
      <c r="V11" s="44"/>
      <c r="W11" s="39">
        <f t="shared" si="16"/>
        <v>0</v>
      </c>
      <c r="X11" s="53">
        <f t="shared" si="17"/>
        <v>1236686</v>
      </c>
      <c r="Y11" s="20">
        <f t="shared" si="18"/>
        <v>-1236686</v>
      </c>
      <c r="Z11" s="44"/>
      <c r="AA11" s="39">
        <f t="shared" si="19"/>
        <v>0</v>
      </c>
      <c r="AB11" s="53">
        <f t="shared" si="20"/>
        <v>906439</v>
      </c>
      <c r="AC11" s="20">
        <f t="shared" si="21"/>
        <v>-906439</v>
      </c>
      <c r="AD11" s="44"/>
      <c r="AE11" s="39">
        <f t="shared" si="22"/>
        <v>0</v>
      </c>
      <c r="AF11" s="53">
        <f t="shared" si="23"/>
        <v>881519</v>
      </c>
      <c r="AG11" s="20">
        <f t="shared" si="24"/>
        <v>-881519</v>
      </c>
      <c r="AH11" s="44"/>
      <c r="AI11" s="39">
        <f t="shared" si="25"/>
        <v>0</v>
      </c>
      <c r="AJ11" s="53">
        <f t="shared" si="26"/>
        <v>859443</v>
      </c>
      <c r="AK11" s="20">
        <f t="shared" si="27"/>
        <v>-859443</v>
      </c>
      <c r="AL11" s="44"/>
      <c r="AM11" s="39">
        <f t="shared" si="28"/>
        <v>0</v>
      </c>
      <c r="AN11" s="53">
        <f t="shared" si="29"/>
        <v>913991</v>
      </c>
      <c r="AO11" s="20">
        <f t="shared" si="30"/>
        <v>-913991</v>
      </c>
      <c r="AP11" s="44"/>
      <c r="AQ11" s="39">
        <f t="shared" si="31"/>
        <v>0</v>
      </c>
      <c r="AR11" s="53">
        <f t="shared" si="32"/>
        <v>887476</v>
      </c>
      <c r="AS11" s="20">
        <f t="shared" si="33"/>
        <v>-887476</v>
      </c>
      <c r="AT11" s="44"/>
      <c r="AU11" s="39">
        <f t="shared" si="34"/>
        <v>0</v>
      </c>
      <c r="AV11" s="53">
        <f t="shared" si="35"/>
        <v>2030448</v>
      </c>
      <c r="AW11" s="20">
        <f t="shared" si="36"/>
        <v>-2030448</v>
      </c>
    </row>
    <row r="12">
      <c r="A12" s="52" t="s">
        <v>114</v>
      </c>
      <c r="B12" s="44"/>
      <c r="C12" s="39">
        <f t="shared" si="1"/>
        <v>0</v>
      </c>
      <c r="D12" s="53">
        <f t="shared" si="2"/>
        <v>100000883372</v>
      </c>
      <c r="E12" s="20">
        <f t="shared" si="3"/>
        <v>-100000883372</v>
      </c>
      <c r="F12" s="44"/>
      <c r="G12" s="39">
        <f t="shared" si="4"/>
        <v>0</v>
      </c>
      <c r="H12" s="53">
        <f t="shared" si="5"/>
        <v>1321513</v>
      </c>
      <c r="I12" s="20">
        <f t="shared" si="6"/>
        <v>-1321513</v>
      </c>
      <c r="J12" s="46"/>
      <c r="K12" s="39">
        <f t="shared" si="7"/>
        <v>0</v>
      </c>
      <c r="L12" s="53">
        <f t="shared" si="8"/>
        <v>1616462</v>
      </c>
      <c r="M12" s="20">
        <f t="shared" si="9"/>
        <v>-1616462</v>
      </c>
      <c r="N12" s="44"/>
      <c r="O12" s="39">
        <f t="shared" si="10"/>
        <v>0</v>
      </c>
      <c r="P12" s="53">
        <f t="shared" si="11"/>
        <v>1556443</v>
      </c>
      <c r="Q12" s="20">
        <f t="shared" si="12"/>
        <v>-1556443</v>
      </c>
      <c r="R12" s="44"/>
      <c r="S12" s="39">
        <f t="shared" si="13"/>
        <v>0</v>
      </c>
      <c r="T12" s="53">
        <f t="shared" si="14"/>
        <v>100000904992</v>
      </c>
      <c r="U12" s="20">
        <f t="shared" si="15"/>
        <v>-100000904992</v>
      </c>
      <c r="V12" s="44"/>
      <c r="W12" s="39">
        <f t="shared" si="16"/>
        <v>0</v>
      </c>
      <c r="X12" s="53">
        <f t="shared" si="17"/>
        <v>1262671</v>
      </c>
      <c r="Y12" s="20">
        <f t="shared" si="18"/>
        <v>-1262671</v>
      </c>
      <c r="Z12" s="44"/>
      <c r="AA12" s="39">
        <f t="shared" si="19"/>
        <v>0</v>
      </c>
      <c r="AB12" s="53">
        <f t="shared" si="20"/>
        <v>932424</v>
      </c>
      <c r="AC12" s="20">
        <f t="shared" si="21"/>
        <v>-932424</v>
      </c>
      <c r="AD12" s="44"/>
      <c r="AE12" s="39">
        <f t="shared" si="22"/>
        <v>0</v>
      </c>
      <c r="AF12" s="53">
        <f t="shared" si="23"/>
        <v>907504</v>
      </c>
      <c r="AG12" s="20">
        <f t="shared" si="24"/>
        <v>-907504</v>
      </c>
      <c r="AH12" s="44"/>
      <c r="AI12" s="39">
        <f t="shared" si="25"/>
        <v>0</v>
      </c>
      <c r="AJ12" s="53">
        <f t="shared" si="26"/>
        <v>885428</v>
      </c>
      <c r="AK12" s="20">
        <f t="shared" si="27"/>
        <v>-885428</v>
      </c>
      <c r="AL12" s="44"/>
      <c r="AM12" s="39">
        <f t="shared" si="28"/>
        <v>0</v>
      </c>
      <c r="AN12" s="53">
        <f t="shared" si="29"/>
        <v>939976</v>
      </c>
      <c r="AO12" s="20">
        <f t="shared" si="30"/>
        <v>-939976</v>
      </c>
      <c r="AP12" s="44"/>
      <c r="AQ12" s="39">
        <f t="shared" si="31"/>
        <v>0</v>
      </c>
      <c r="AR12" s="53">
        <f t="shared" si="32"/>
        <v>913461</v>
      </c>
      <c r="AS12" s="20">
        <f t="shared" si="33"/>
        <v>-913461</v>
      </c>
      <c r="AT12" s="44"/>
      <c r="AU12" s="39">
        <f t="shared" si="34"/>
        <v>0</v>
      </c>
      <c r="AV12" s="53">
        <f t="shared" si="35"/>
        <v>2056433</v>
      </c>
      <c r="AW12" s="20">
        <f t="shared" si="36"/>
        <v>-2056433</v>
      </c>
    </row>
    <row r="13">
      <c r="A13" s="52" t="s">
        <v>115</v>
      </c>
      <c r="B13" s="44"/>
      <c r="C13" s="39">
        <f t="shared" si="1"/>
        <v>0</v>
      </c>
      <c r="D13" s="53">
        <f t="shared" si="2"/>
        <v>100001530336</v>
      </c>
      <c r="E13" s="20">
        <f t="shared" si="3"/>
        <v>-100001530336</v>
      </c>
      <c r="F13" s="44"/>
      <c r="G13" s="39">
        <f t="shared" si="4"/>
        <v>0</v>
      </c>
      <c r="H13" s="53">
        <f t="shared" si="5"/>
        <v>1968477</v>
      </c>
      <c r="I13" s="20">
        <f t="shared" si="6"/>
        <v>-1968477</v>
      </c>
      <c r="J13" s="46"/>
      <c r="K13" s="39">
        <f t="shared" si="7"/>
        <v>0</v>
      </c>
      <c r="L13" s="53">
        <f t="shared" si="8"/>
        <v>2263426</v>
      </c>
      <c r="M13" s="20">
        <f t="shared" si="9"/>
        <v>-2263426</v>
      </c>
      <c r="N13" s="44"/>
      <c r="O13" s="39">
        <f t="shared" si="10"/>
        <v>0</v>
      </c>
      <c r="P13" s="53">
        <f t="shared" si="11"/>
        <v>2203407</v>
      </c>
      <c r="Q13" s="20">
        <f t="shared" si="12"/>
        <v>-2203407</v>
      </c>
      <c r="R13" s="44"/>
      <c r="S13" s="39">
        <f t="shared" si="13"/>
        <v>0</v>
      </c>
      <c r="T13" s="53">
        <f t="shared" si="14"/>
        <v>100001551956</v>
      </c>
      <c r="U13" s="20">
        <f t="shared" si="15"/>
        <v>-100001551956</v>
      </c>
      <c r="V13" s="44"/>
      <c r="W13" s="39">
        <f t="shared" si="16"/>
        <v>0</v>
      </c>
      <c r="X13" s="53">
        <f t="shared" si="17"/>
        <v>1909635</v>
      </c>
      <c r="Y13" s="20">
        <f t="shared" si="18"/>
        <v>-1909635</v>
      </c>
      <c r="Z13" s="44"/>
      <c r="AA13" s="39">
        <f t="shared" si="19"/>
        <v>0</v>
      </c>
      <c r="AB13" s="53">
        <f t="shared" si="20"/>
        <v>1579388</v>
      </c>
      <c r="AC13" s="20">
        <f t="shared" si="21"/>
        <v>-1579388</v>
      </c>
      <c r="AD13" s="44"/>
      <c r="AE13" s="39">
        <f t="shared" si="22"/>
        <v>0</v>
      </c>
      <c r="AF13" s="53">
        <f t="shared" si="23"/>
        <v>1554468</v>
      </c>
      <c r="AG13" s="20">
        <f t="shared" si="24"/>
        <v>-1554468</v>
      </c>
      <c r="AH13" s="44"/>
      <c r="AI13" s="39">
        <f t="shared" si="25"/>
        <v>0</v>
      </c>
      <c r="AJ13" s="53">
        <f t="shared" si="26"/>
        <v>1532392</v>
      </c>
      <c r="AK13" s="20">
        <f t="shared" si="27"/>
        <v>-1532392</v>
      </c>
      <c r="AL13" s="44"/>
      <c r="AM13" s="39">
        <f t="shared" si="28"/>
        <v>0</v>
      </c>
      <c r="AN13" s="53">
        <f t="shared" si="29"/>
        <v>1586940</v>
      </c>
      <c r="AO13" s="20">
        <f t="shared" si="30"/>
        <v>-1586940</v>
      </c>
      <c r="AP13" s="44"/>
      <c r="AQ13" s="39">
        <f t="shared" si="31"/>
        <v>0</v>
      </c>
      <c r="AR13" s="53">
        <f t="shared" si="32"/>
        <v>1560425</v>
      </c>
      <c r="AS13" s="20">
        <f t="shared" si="33"/>
        <v>-1560425</v>
      </c>
      <c r="AT13" s="44"/>
      <c r="AU13" s="39">
        <f t="shared" si="34"/>
        <v>0</v>
      </c>
      <c r="AV13" s="53">
        <f t="shared" si="35"/>
        <v>2703397</v>
      </c>
      <c r="AW13" s="20">
        <f t="shared" si="36"/>
        <v>-2703397</v>
      </c>
    </row>
    <row r="14">
      <c r="A14" s="52" t="s">
        <v>116</v>
      </c>
      <c r="B14" s="44"/>
      <c r="C14" s="39">
        <f t="shared" si="1"/>
        <v>0</v>
      </c>
      <c r="D14" s="53">
        <f t="shared" si="2"/>
        <v>100001456839</v>
      </c>
      <c r="E14" s="20">
        <f t="shared" si="3"/>
        <v>-100001456839</v>
      </c>
      <c r="F14" s="44"/>
      <c r="G14" s="39">
        <f t="shared" si="4"/>
        <v>0</v>
      </c>
      <c r="H14" s="53">
        <f t="shared" si="5"/>
        <v>1894980</v>
      </c>
      <c r="I14" s="20">
        <f t="shared" si="6"/>
        <v>-1894980</v>
      </c>
      <c r="J14" s="46"/>
      <c r="K14" s="39">
        <f t="shared" si="7"/>
        <v>0</v>
      </c>
      <c r="L14" s="53">
        <f t="shared" si="8"/>
        <v>2189929</v>
      </c>
      <c r="M14" s="20">
        <f t="shared" si="9"/>
        <v>-2189929</v>
      </c>
      <c r="N14" s="44"/>
      <c r="O14" s="39">
        <f t="shared" si="10"/>
        <v>0</v>
      </c>
      <c r="P14" s="53">
        <f t="shared" si="11"/>
        <v>2129910</v>
      </c>
      <c r="Q14" s="20">
        <f t="shared" si="12"/>
        <v>-2129910</v>
      </c>
      <c r="R14" s="44"/>
      <c r="S14" s="39">
        <f t="shared" si="13"/>
        <v>0</v>
      </c>
      <c r="T14" s="53">
        <f t="shared" si="14"/>
        <v>100001478459</v>
      </c>
      <c r="U14" s="20">
        <f t="shared" si="15"/>
        <v>-100001478459</v>
      </c>
      <c r="V14" s="44"/>
      <c r="W14" s="39">
        <f t="shared" si="16"/>
        <v>0</v>
      </c>
      <c r="X14" s="53">
        <f t="shared" si="17"/>
        <v>1836138</v>
      </c>
      <c r="Y14" s="20">
        <f t="shared" si="18"/>
        <v>-1836138</v>
      </c>
      <c r="Z14" s="44"/>
      <c r="AA14" s="39">
        <f t="shared" si="19"/>
        <v>0</v>
      </c>
      <c r="AB14" s="53">
        <f t="shared" si="20"/>
        <v>1505891</v>
      </c>
      <c r="AC14" s="20">
        <f t="shared" si="21"/>
        <v>-1505891</v>
      </c>
      <c r="AD14" s="44"/>
      <c r="AE14" s="39">
        <f t="shared" si="22"/>
        <v>0</v>
      </c>
      <c r="AF14" s="53">
        <f t="shared" si="23"/>
        <v>1480971</v>
      </c>
      <c r="AG14" s="20">
        <f t="shared" si="24"/>
        <v>-1480971</v>
      </c>
      <c r="AH14" s="44"/>
      <c r="AI14" s="39">
        <f t="shared" si="25"/>
        <v>0</v>
      </c>
      <c r="AJ14" s="53">
        <f t="shared" si="26"/>
        <v>1458895</v>
      </c>
      <c r="AK14" s="20">
        <f t="shared" si="27"/>
        <v>-1458895</v>
      </c>
      <c r="AL14" s="44"/>
      <c r="AM14" s="39">
        <f t="shared" si="28"/>
        <v>0</v>
      </c>
      <c r="AN14" s="53">
        <f t="shared" si="29"/>
        <v>1513443</v>
      </c>
      <c r="AO14" s="20">
        <f t="shared" si="30"/>
        <v>-1513443</v>
      </c>
      <c r="AP14" s="44"/>
      <c r="AQ14" s="39">
        <f t="shared" si="31"/>
        <v>0</v>
      </c>
      <c r="AR14" s="53">
        <f t="shared" si="32"/>
        <v>1486928</v>
      </c>
      <c r="AS14" s="20">
        <f t="shared" si="33"/>
        <v>-1486928</v>
      </c>
      <c r="AT14" s="44"/>
      <c r="AU14" s="39">
        <f t="shared" si="34"/>
        <v>0</v>
      </c>
      <c r="AV14" s="53">
        <f t="shared" si="35"/>
        <v>2629900</v>
      </c>
      <c r="AW14" s="20">
        <f t="shared" si="36"/>
        <v>-2629900</v>
      </c>
    </row>
    <row r="15">
      <c r="A15" s="52" t="s">
        <v>117</v>
      </c>
      <c r="B15" s="44"/>
      <c r="C15" s="39">
        <f t="shared" si="1"/>
        <v>0</v>
      </c>
      <c r="D15" s="53">
        <f t="shared" si="2"/>
        <v>100001456851</v>
      </c>
      <c r="E15" s="20">
        <f t="shared" si="3"/>
        <v>-100001456851</v>
      </c>
      <c r="F15" s="44"/>
      <c r="G15" s="39">
        <f t="shared" si="4"/>
        <v>0</v>
      </c>
      <c r="H15" s="53">
        <f t="shared" si="5"/>
        <v>1894992</v>
      </c>
      <c r="I15" s="20">
        <f t="shared" si="6"/>
        <v>-1894992</v>
      </c>
      <c r="J15" s="46"/>
      <c r="K15" s="39">
        <f t="shared" si="7"/>
        <v>0</v>
      </c>
      <c r="L15" s="53">
        <f t="shared" si="8"/>
        <v>2189941</v>
      </c>
      <c r="M15" s="20">
        <f t="shared" si="9"/>
        <v>-2189941</v>
      </c>
      <c r="N15" s="44"/>
      <c r="O15" s="39">
        <f t="shared" si="10"/>
        <v>0</v>
      </c>
      <c r="P15" s="53">
        <f t="shared" si="11"/>
        <v>2129922</v>
      </c>
      <c r="Q15" s="20">
        <f t="shared" si="12"/>
        <v>-2129922</v>
      </c>
      <c r="R15" s="44"/>
      <c r="S15" s="39">
        <f t="shared" si="13"/>
        <v>0</v>
      </c>
      <c r="T15" s="53">
        <f t="shared" si="14"/>
        <v>100001478471</v>
      </c>
      <c r="U15" s="20">
        <f t="shared" si="15"/>
        <v>-100001478471</v>
      </c>
      <c r="V15" s="44"/>
      <c r="W15" s="39">
        <f t="shared" si="16"/>
        <v>0</v>
      </c>
      <c r="X15" s="53">
        <f t="shared" si="17"/>
        <v>1836150</v>
      </c>
      <c r="Y15" s="20">
        <f t="shared" si="18"/>
        <v>-1836150</v>
      </c>
      <c r="Z15" s="44"/>
      <c r="AA15" s="39">
        <f t="shared" si="19"/>
        <v>0</v>
      </c>
      <c r="AB15" s="53">
        <f t="shared" si="20"/>
        <v>1505903</v>
      </c>
      <c r="AC15" s="20">
        <f t="shared" si="21"/>
        <v>-1505903</v>
      </c>
      <c r="AD15" s="44"/>
      <c r="AE15" s="39">
        <f t="shared" si="22"/>
        <v>0</v>
      </c>
      <c r="AF15" s="53">
        <f t="shared" si="23"/>
        <v>1480983</v>
      </c>
      <c r="AG15" s="20">
        <f t="shared" si="24"/>
        <v>-1480983</v>
      </c>
      <c r="AH15" s="44"/>
      <c r="AI15" s="39">
        <f t="shared" si="25"/>
        <v>0</v>
      </c>
      <c r="AJ15" s="53">
        <f t="shared" si="26"/>
        <v>1458907</v>
      </c>
      <c r="AK15" s="20">
        <f t="shared" si="27"/>
        <v>-1458907</v>
      </c>
      <c r="AL15" s="44"/>
      <c r="AM15" s="39">
        <f t="shared" si="28"/>
        <v>0</v>
      </c>
      <c r="AN15" s="53">
        <f t="shared" si="29"/>
        <v>1513455</v>
      </c>
      <c r="AO15" s="20">
        <f t="shared" si="30"/>
        <v>-1513455</v>
      </c>
      <c r="AP15" s="44"/>
      <c r="AQ15" s="39">
        <f t="shared" si="31"/>
        <v>0</v>
      </c>
      <c r="AR15" s="53">
        <f t="shared" si="32"/>
        <v>1486940</v>
      </c>
      <c r="AS15" s="20">
        <f t="shared" si="33"/>
        <v>-1486940</v>
      </c>
      <c r="AT15" s="44"/>
      <c r="AU15" s="39">
        <f t="shared" si="34"/>
        <v>0</v>
      </c>
      <c r="AV15" s="53">
        <f t="shared" si="35"/>
        <v>2629912</v>
      </c>
      <c r="AW15" s="20">
        <f t="shared" si="36"/>
        <v>-2629912</v>
      </c>
    </row>
    <row r="16">
      <c r="A16" s="52" t="s">
        <v>118</v>
      </c>
      <c r="B16" s="44"/>
      <c r="C16" s="39">
        <f t="shared" si="1"/>
        <v>0</v>
      </c>
      <c r="D16" s="53">
        <f t="shared" si="2"/>
        <v>100001530364</v>
      </c>
      <c r="E16" s="20">
        <f t="shared" si="3"/>
        <v>-100001530364</v>
      </c>
      <c r="F16" s="44"/>
      <c r="G16" s="39">
        <f t="shared" si="4"/>
        <v>0</v>
      </c>
      <c r="H16" s="53">
        <f t="shared" si="5"/>
        <v>1968505</v>
      </c>
      <c r="I16" s="20">
        <f t="shared" si="6"/>
        <v>-1968505</v>
      </c>
      <c r="J16" s="46"/>
      <c r="K16" s="39">
        <f t="shared" si="7"/>
        <v>0</v>
      </c>
      <c r="L16" s="53">
        <f t="shared" si="8"/>
        <v>2263454</v>
      </c>
      <c r="M16" s="20">
        <f t="shared" si="9"/>
        <v>-2263454</v>
      </c>
      <c r="N16" s="44"/>
      <c r="O16" s="39">
        <f t="shared" si="10"/>
        <v>0</v>
      </c>
      <c r="P16" s="53">
        <f t="shared" si="11"/>
        <v>2203435</v>
      </c>
      <c r="Q16" s="20">
        <f t="shared" si="12"/>
        <v>-2203435</v>
      </c>
      <c r="R16" s="44"/>
      <c r="S16" s="39">
        <f t="shared" si="13"/>
        <v>0</v>
      </c>
      <c r="T16" s="53">
        <f t="shared" si="14"/>
        <v>100001551984</v>
      </c>
      <c r="U16" s="20">
        <f t="shared" si="15"/>
        <v>-100001551984</v>
      </c>
      <c r="V16" s="44"/>
      <c r="W16" s="39">
        <f t="shared" si="16"/>
        <v>0</v>
      </c>
      <c r="X16" s="53">
        <f t="shared" si="17"/>
        <v>1909663</v>
      </c>
      <c r="Y16" s="20">
        <f t="shared" si="18"/>
        <v>-1909663</v>
      </c>
      <c r="Z16" s="44"/>
      <c r="AA16" s="39">
        <f t="shared" si="19"/>
        <v>0</v>
      </c>
      <c r="AB16" s="53">
        <f t="shared" si="20"/>
        <v>1579416</v>
      </c>
      <c r="AC16" s="20">
        <f t="shared" si="21"/>
        <v>-1579416</v>
      </c>
      <c r="AD16" s="44"/>
      <c r="AE16" s="39">
        <f t="shared" si="22"/>
        <v>0</v>
      </c>
      <c r="AF16" s="53">
        <f t="shared" si="23"/>
        <v>1554496</v>
      </c>
      <c r="AG16" s="20">
        <f t="shared" si="24"/>
        <v>-1554496</v>
      </c>
      <c r="AH16" s="44"/>
      <c r="AI16" s="39">
        <f t="shared" si="25"/>
        <v>0</v>
      </c>
      <c r="AJ16" s="53">
        <f t="shared" si="26"/>
        <v>1532420</v>
      </c>
      <c r="AK16" s="20">
        <f t="shared" si="27"/>
        <v>-1532420</v>
      </c>
      <c r="AL16" s="44"/>
      <c r="AM16" s="39">
        <f t="shared" si="28"/>
        <v>0</v>
      </c>
      <c r="AN16" s="53">
        <f t="shared" si="29"/>
        <v>1586968</v>
      </c>
      <c r="AO16" s="20">
        <f t="shared" si="30"/>
        <v>-1586968</v>
      </c>
      <c r="AP16" s="44"/>
      <c r="AQ16" s="39">
        <f t="shared" si="31"/>
        <v>0</v>
      </c>
      <c r="AR16" s="53">
        <f t="shared" si="32"/>
        <v>1560453</v>
      </c>
      <c r="AS16" s="20">
        <f t="shared" si="33"/>
        <v>-1560453</v>
      </c>
      <c r="AT16" s="44"/>
      <c r="AU16" s="39">
        <f t="shared" si="34"/>
        <v>0</v>
      </c>
      <c r="AV16" s="53">
        <f t="shared" si="35"/>
        <v>2703425</v>
      </c>
      <c r="AW16" s="20">
        <f t="shared" si="36"/>
        <v>-2703425</v>
      </c>
    </row>
    <row r="17">
      <c r="A17" s="52" t="s">
        <v>119</v>
      </c>
      <c r="B17" s="44"/>
      <c r="C17" s="39">
        <f t="shared" si="1"/>
        <v>0</v>
      </c>
      <c r="D17" s="53">
        <f t="shared" si="2"/>
        <v>100003617376</v>
      </c>
      <c r="E17" s="20">
        <f t="shared" si="3"/>
        <v>-100003617376</v>
      </c>
      <c r="F17" s="44"/>
      <c r="G17" s="39">
        <f t="shared" si="4"/>
        <v>0</v>
      </c>
      <c r="H17" s="53">
        <f t="shared" si="5"/>
        <v>4055517</v>
      </c>
      <c r="I17" s="20">
        <f t="shared" si="6"/>
        <v>-4055517</v>
      </c>
      <c r="J17" s="46"/>
      <c r="K17" s="39">
        <f t="shared" si="7"/>
        <v>0</v>
      </c>
      <c r="L17" s="53">
        <f t="shared" si="8"/>
        <v>4350466</v>
      </c>
      <c r="M17" s="20">
        <f t="shared" si="9"/>
        <v>-4350466</v>
      </c>
      <c r="N17" s="44"/>
      <c r="O17" s="39">
        <f t="shared" si="10"/>
        <v>0</v>
      </c>
      <c r="P17" s="53">
        <f t="shared" si="11"/>
        <v>4290447</v>
      </c>
      <c r="Q17" s="20">
        <f t="shared" si="12"/>
        <v>-4290447</v>
      </c>
      <c r="R17" s="46"/>
      <c r="S17" s="39">
        <f t="shared" si="13"/>
        <v>0</v>
      </c>
      <c r="T17" s="53">
        <f t="shared" si="14"/>
        <v>100003638996</v>
      </c>
      <c r="U17" s="20">
        <f t="shared" si="15"/>
        <v>-100003638996</v>
      </c>
      <c r="V17" s="44"/>
      <c r="W17" s="39">
        <f t="shared" si="16"/>
        <v>0</v>
      </c>
      <c r="X17" s="53">
        <f t="shared" si="17"/>
        <v>3996675</v>
      </c>
      <c r="Y17" s="20">
        <f t="shared" si="18"/>
        <v>-3996675</v>
      </c>
      <c r="Z17" s="44"/>
      <c r="AA17" s="39">
        <f t="shared" si="19"/>
        <v>0</v>
      </c>
      <c r="AB17" s="53">
        <f t="shared" si="20"/>
        <v>3666428</v>
      </c>
      <c r="AC17" s="20">
        <f t="shared" si="21"/>
        <v>-3666428</v>
      </c>
      <c r="AD17" s="44"/>
      <c r="AE17" s="39">
        <f t="shared" si="22"/>
        <v>0</v>
      </c>
      <c r="AF17" s="53">
        <f t="shared" si="23"/>
        <v>3641508</v>
      </c>
      <c r="AG17" s="20">
        <f t="shared" si="24"/>
        <v>-3641508</v>
      </c>
      <c r="AH17" s="44"/>
      <c r="AI17" s="39">
        <f t="shared" si="25"/>
        <v>0</v>
      </c>
      <c r="AJ17" s="53">
        <f t="shared" si="26"/>
        <v>3619432</v>
      </c>
      <c r="AK17" s="20">
        <f t="shared" si="27"/>
        <v>-3619432</v>
      </c>
      <c r="AL17" s="44"/>
      <c r="AM17" s="39">
        <f t="shared" si="28"/>
        <v>0</v>
      </c>
      <c r="AN17" s="53">
        <f t="shared" si="29"/>
        <v>3673980</v>
      </c>
      <c r="AO17" s="20">
        <f t="shared" si="30"/>
        <v>-3673980</v>
      </c>
      <c r="AP17" s="44"/>
      <c r="AQ17" s="39">
        <f t="shared" si="31"/>
        <v>0</v>
      </c>
      <c r="AR17" s="53">
        <f t="shared" si="32"/>
        <v>3647465</v>
      </c>
      <c r="AS17" s="20">
        <f t="shared" si="33"/>
        <v>-3647465</v>
      </c>
      <c r="AT17" s="44"/>
      <c r="AU17" s="39">
        <f t="shared" si="34"/>
        <v>0</v>
      </c>
      <c r="AV17" s="53">
        <f t="shared" si="35"/>
        <v>4790437</v>
      </c>
      <c r="AW17" s="20">
        <f t="shared" si="36"/>
        <v>-4790437</v>
      </c>
    </row>
    <row r="18">
      <c r="A18" s="52" t="s">
        <v>120</v>
      </c>
      <c r="B18" s="44"/>
      <c r="C18" s="39">
        <f t="shared" si="1"/>
        <v>0</v>
      </c>
      <c r="D18" s="53">
        <f t="shared" si="2"/>
        <v>100003543879</v>
      </c>
      <c r="E18" s="20">
        <f t="shared" si="3"/>
        <v>-100003543879</v>
      </c>
      <c r="F18" s="44"/>
      <c r="G18" s="39">
        <f t="shared" si="4"/>
        <v>0</v>
      </c>
      <c r="H18" s="53">
        <f t="shared" si="5"/>
        <v>3982020</v>
      </c>
      <c r="I18" s="20">
        <f t="shared" si="6"/>
        <v>-3982020</v>
      </c>
      <c r="J18" s="46"/>
      <c r="K18" s="39">
        <f t="shared" si="7"/>
        <v>0</v>
      </c>
      <c r="L18" s="53">
        <f t="shared" si="8"/>
        <v>4276969</v>
      </c>
      <c r="M18" s="20">
        <f t="shared" si="9"/>
        <v>-4276969</v>
      </c>
      <c r="N18" s="44"/>
      <c r="O18" s="39">
        <f t="shared" si="10"/>
        <v>0</v>
      </c>
      <c r="P18" s="53">
        <f t="shared" si="11"/>
        <v>4216950</v>
      </c>
      <c r="Q18" s="20">
        <f t="shared" si="12"/>
        <v>-4216950</v>
      </c>
      <c r="R18" s="44"/>
      <c r="S18" s="39">
        <f t="shared" si="13"/>
        <v>0</v>
      </c>
      <c r="T18" s="53">
        <f t="shared" si="14"/>
        <v>100003565499</v>
      </c>
      <c r="U18" s="20">
        <f t="shared" si="15"/>
        <v>-100003565499</v>
      </c>
      <c r="V18" s="44"/>
      <c r="W18" s="39">
        <f t="shared" si="16"/>
        <v>0</v>
      </c>
      <c r="X18" s="53">
        <f t="shared" si="17"/>
        <v>3923178</v>
      </c>
      <c r="Y18" s="20">
        <f t="shared" si="18"/>
        <v>-3923178</v>
      </c>
      <c r="Z18" s="44"/>
      <c r="AA18" s="39">
        <f t="shared" si="19"/>
        <v>0</v>
      </c>
      <c r="AB18" s="53">
        <f t="shared" si="20"/>
        <v>3592931</v>
      </c>
      <c r="AC18" s="20">
        <f t="shared" si="21"/>
        <v>-3592931</v>
      </c>
      <c r="AD18" s="44"/>
      <c r="AE18" s="39">
        <f t="shared" si="22"/>
        <v>0</v>
      </c>
      <c r="AF18" s="53">
        <f t="shared" si="23"/>
        <v>3568011</v>
      </c>
      <c r="AG18" s="20">
        <f t="shared" si="24"/>
        <v>-3568011</v>
      </c>
      <c r="AH18" s="44"/>
      <c r="AI18" s="39">
        <f t="shared" si="25"/>
        <v>0</v>
      </c>
      <c r="AJ18" s="53">
        <f t="shared" si="26"/>
        <v>3545935</v>
      </c>
      <c r="AK18" s="20">
        <f t="shared" si="27"/>
        <v>-3545935</v>
      </c>
      <c r="AL18" s="44"/>
      <c r="AM18" s="39">
        <f t="shared" si="28"/>
        <v>0</v>
      </c>
      <c r="AN18" s="53">
        <f t="shared" si="29"/>
        <v>3600483</v>
      </c>
      <c r="AO18" s="20">
        <f t="shared" si="30"/>
        <v>-3600483</v>
      </c>
      <c r="AP18" s="44"/>
      <c r="AQ18" s="39">
        <f t="shared" si="31"/>
        <v>0</v>
      </c>
      <c r="AR18" s="53">
        <f t="shared" si="32"/>
        <v>3573968</v>
      </c>
      <c r="AS18" s="20">
        <f t="shared" si="33"/>
        <v>-3573968</v>
      </c>
      <c r="AT18" s="44"/>
      <c r="AU18" s="39">
        <f t="shared" si="34"/>
        <v>0</v>
      </c>
      <c r="AV18" s="53">
        <f t="shared" si="35"/>
        <v>4716940</v>
      </c>
      <c r="AW18" s="20">
        <f t="shared" si="36"/>
        <v>-4716940</v>
      </c>
    </row>
    <row r="19">
      <c r="A19" s="52" t="s">
        <v>121</v>
      </c>
      <c r="B19" s="44"/>
      <c r="C19" s="39">
        <f t="shared" si="1"/>
        <v>0</v>
      </c>
      <c r="D19" s="53">
        <f t="shared" si="2"/>
        <v>100003543891</v>
      </c>
      <c r="E19" s="20">
        <f t="shared" si="3"/>
        <v>-100003543891</v>
      </c>
      <c r="F19" s="44"/>
      <c r="G19" s="39">
        <f t="shared" si="4"/>
        <v>0</v>
      </c>
      <c r="H19" s="53">
        <f t="shared" si="5"/>
        <v>3982032</v>
      </c>
      <c r="I19" s="20">
        <f t="shared" si="6"/>
        <v>-3982032</v>
      </c>
      <c r="J19" s="46"/>
      <c r="K19" s="39">
        <f t="shared" si="7"/>
        <v>0</v>
      </c>
      <c r="L19" s="53">
        <f t="shared" si="8"/>
        <v>4276981</v>
      </c>
      <c r="M19" s="20">
        <f t="shared" si="9"/>
        <v>-4276981</v>
      </c>
      <c r="N19" s="44"/>
      <c r="O19" s="39">
        <f t="shared" si="10"/>
        <v>0</v>
      </c>
      <c r="P19" s="53">
        <f t="shared" si="11"/>
        <v>4216962</v>
      </c>
      <c r="Q19" s="20">
        <f t="shared" si="12"/>
        <v>-4216962</v>
      </c>
      <c r="R19" s="44"/>
      <c r="S19" s="39">
        <f t="shared" si="13"/>
        <v>0</v>
      </c>
      <c r="T19" s="53">
        <f t="shared" si="14"/>
        <v>100003565511</v>
      </c>
      <c r="U19" s="20">
        <f t="shared" si="15"/>
        <v>-100003565511</v>
      </c>
      <c r="V19" s="44"/>
      <c r="W19" s="39">
        <f t="shared" si="16"/>
        <v>0</v>
      </c>
      <c r="X19" s="53">
        <f t="shared" si="17"/>
        <v>3923190</v>
      </c>
      <c r="Y19" s="20">
        <f t="shared" si="18"/>
        <v>-3923190</v>
      </c>
      <c r="Z19" s="44"/>
      <c r="AA19" s="39">
        <f t="shared" si="19"/>
        <v>0</v>
      </c>
      <c r="AB19" s="53">
        <f t="shared" si="20"/>
        <v>3592943</v>
      </c>
      <c r="AC19" s="20">
        <f t="shared" si="21"/>
        <v>-3592943</v>
      </c>
      <c r="AD19" s="44"/>
      <c r="AE19" s="39">
        <f t="shared" si="22"/>
        <v>0</v>
      </c>
      <c r="AF19" s="53">
        <f t="shared" si="23"/>
        <v>3568023</v>
      </c>
      <c r="AG19" s="20">
        <f t="shared" si="24"/>
        <v>-3568023</v>
      </c>
      <c r="AH19" s="44"/>
      <c r="AI19" s="39">
        <f t="shared" si="25"/>
        <v>0</v>
      </c>
      <c r="AJ19" s="53">
        <f t="shared" si="26"/>
        <v>3545947</v>
      </c>
      <c r="AK19" s="20">
        <f t="shared" si="27"/>
        <v>-3545947</v>
      </c>
      <c r="AL19" s="44"/>
      <c r="AM19" s="39">
        <f t="shared" si="28"/>
        <v>0</v>
      </c>
      <c r="AN19" s="53">
        <f t="shared" si="29"/>
        <v>3600495</v>
      </c>
      <c r="AO19" s="20">
        <f t="shared" si="30"/>
        <v>-3600495</v>
      </c>
      <c r="AP19" s="44"/>
      <c r="AQ19" s="39">
        <f t="shared" si="31"/>
        <v>0</v>
      </c>
      <c r="AR19" s="53">
        <f t="shared" si="32"/>
        <v>3573980</v>
      </c>
      <c r="AS19" s="20">
        <f t="shared" si="33"/>
        <v>-3573980</v>
      </c>
      <c r="AT19" s="44"/>
      <c r="AU19" s="39">
        <f t="shared" si="34"/>
        <v>0</v>
      </c>
      <c r="AV19" s="53">
        <f t="shared" si="35"/>
        <v>4716952</v>
      </c>
      <c r="AW19" s="20">
        <f t="shared" si="36"/>
        <v>-4716952</v>
      </c>
    </row>
    <row r="20">
      <c r="A20" s="52" t="s">
        <v>122</v>
      </c>
      <c r="B20" s="44"/>
      <c r="C20" s="39">
        <f t="shared" si="1"/>
        <v>0</v>
      </c>
      <c r="D20" s="53">
        <f t="shared" si="2"/>
        <v>100003617404</v>
      </c>
      <c r="E20" s="20">
        <f t="shared" si="3"/>
        <v>-100003617404</v>
      </c>
      <c r="F20" s="44"/>
      <c r="G20" s="39">
        <f t="shared" si="4"/>
        <v>0</v>
      </c>
      <c r="H20" s="53">
        <f t="shared" si="5"/>
        <v>4055545</v>
      </c>
      <c r="I20" s="20">
        <f t="shared" si="6"/>
        <v>-4055545</v>
      </c>
      <c r="J20" s="46"/>
      <c r="K20" s="39">
        <f t="shared" si="7"/>
        <v>0</v>
      </c>
      <c r="L20" s="53">
        <f t="shared" si="8"/>
        <v>4350494</v>
      </c>
      <c r="M20" s="20">
        <f t="shared" si="9"/>
        <v>-4350494</v>
      </c>
      <c r="N20" s="44"/>
      <c r="O20" s="39">
        <f t="shared" si="10"/>
        <v>0</v>
      </c>
      <c r="P20" s="53">
        <f t="shared" si="11"/>
        <v>4290475</v>
      </c>
      <c r="Q20" s="20">
        <f t="shared" si="12"/>
        <v>-4290475</v>
      </c>
      <c r="R20" s="44"/>
      <c r="S20" s="39">
        <f t="shared" si="13"/>
        <v>0</v>
      </c>
      <c r="T20" s="53">
        <f t="shared" si="14"/>
        <v>100003639024</v>
      </c>
      <c r="U20" s="20">
        <f t="shared" si="15"/>
        <v>-100003639024</v>
      </c>
      <c r="V20" s="44"/>
      <c r="W20" s="39">
        <f t="shared" si="16"/>
        <v>0</v>
      </c>
      <c r="X20" s="53">
        <f t="shared" si="17"/>
        <v>3996703</v>
      </c>
      <c r="Y20" s="20">
        <f t="shared" si="18"/>
        <v>-3996703</v>
      </c>
      <c r="Z20" s="44"/>
      <c r="AA20" s="39">
        <f t="shared" si="19"/>
        <v>0</v>
      </c>
      <c r="AB20" s="53">
        <f t="shared" si="20"/>
        <v>3666456</v>
      </c>
      <c r="AC20" s="20">
        <f t="shared" si="21"/>
        <v>-3666456</v>
      </c>
      <c r="AD20" s="44"/>
      <c r="AE20" s="39">
        <f t="shared" si="22"/>
        <v>0</v>
      </c>
      <c r="AF20" s="53">
        <f t="shared" si="23"/>
        <v>3641536</v>
      </c>
      <c r="AG20" s="20">
        <f t="shared" si="24"/>
        <v>-3641536</v>
      </c>
      <c r="AH20" s="44"/>
      <c r="AI20" s="39">
        <f t="shared" si="25"/>
        <v>0</v>
      </c>
      <c r="AJ20" s="53">
        <f t="shared" si="26"/>
        <v>3619460</v>
      </c>
      <c r="AK20" s="20">
        <f t="shared" si="27"/>
        <v>-3619460</v>
      </c>
      <c r="AL20" s="44"/>
      <c r="AM20" s="39">
        <f t="shared" si="28"/>
        <v>0</v>
      </c>
      <c r="AN20" s="53">
        <f t="shared" si="29"/>
        <v>3674008</v>
      </c>
      <c r="AO20" s="20">
        <f t="shared" si="30"/>
        <v>-3674008</v>
      </c>
      <c r="AP20" s="44"/>
      <c r="AQ20" s="39">
        <f t="shared" si="31"/>
        <v>0</v>
      </c>
      <c r="AR20" s="53">
        <f t="shared" si="32"/>
        <v>3647493</v>
      </c>
      <c r="AS20" s="20">
        <f t="shared" si="33"/>
        <v>-3647493</v>
      </c>
      <c r="AT20" s="44"/>
      <c r="AU20" s="39">
        <f t="shared" si="34"/>
        <v>0</v>
      </c>
      <c r="AV20" s="53">
        <f t="shared" si="35"/>
        <v>4790465</v>
      </c>
      <c r="AW20" s="20">
        <f t="shared" si="36"/>
        <v>-4790465</v>
      </c>
    </row>
    <row r="21" ht="15.75" customHeight="1">
      <c r="A21" s="47"/>
      <c r="B21" s="54" t="s">
        <v>84</v>
      </c>
      <c r="C21" s="50" t="s">
        <v>123</v>
      </c>
      <c r="D21" s="55"/>
      <c r="E21" s="56"/>
      <c r="F21" s="54" t="s">
        <v>84</v>
      </c>
      <c r="G21" s="50" t="s">
        <v>123</v>
      </c>
      <c r="H21" s="55"/>
      <c r="I21" s="56"/>
      <c r="J21" s="54" t="s">
        <v>84</v>
      </c>
      <c r="K21" s="50" t="s">
        <v>123</v>
      </c>
      <c r="L21" s="55"/>
      <c r="M21" s="56"/>
      <c r="N21" s="54" t="s">
        <v>84</v>
      </c>
      <c r="O21" s="50" t="s">
        <v>123</v>
      </c>
      <c r="P21" s="55"/>
      <c r="Q21" s="56"/>
      <c r="R21" s="54" t="s">
        <v>84</v>
      </c>
      <c r="S21" s="50" t="s">
        <v>123</v>
      </c>
      <c r="T21" s="55"/>
      <c r="U21" s="56"/>
      <c r="V21" s="54" t="s">
        <v>84</v>
      </c>
      <c r="W21" s="50" t="s">
        <v>123</v>
      </c>
      <c r="X21" s="55"/>
      <c r="Y21" s="56"/>
      <c r="Z21" s="54" t="s">
        <v>84</v>
      </c>
      <c r="AA21" s="50" t="s">
        <v>123</v>
      </c>
      <c r="AB21" s="55"/>
      <c r="AC21" s="56"/>
      <c r="AD21" s="54" t="s">
        <v>84</v>
      </c>
      <c r="AE21" s="50" t="s">
        <v>123</v>
      </c>
      <c r="AF21" s="55"/>
      <c r="AG21" s="56"/>
      <c r="AH21" s="54" t="s">
        <v>84</v>
      </c>
      <c r="AI21" s="50" t="s">
        <v>123</v>
      </c>
      <c r="AJ21" s="55"/>
      <c r="AK21" s="56"/>
      <c r="AL21" s="54" t="s">
        <v>84</v>
      </c>
      <c r="AM21" s="50" t="s">
        <v>123</v>
      </c>
      <c r="AN21" s="55"/>
      <c r="AO21" s="56"/>
      <c r="AP21" s="54" t="s">
        <v>84</v>
      </c>
      <c r="AQ21" s="50" t="s">
        <v>123</v>
      </c>
      <c r="AR21" s="55"/>
      <c r="AS21" s="56"/>
      <c r="AT21" s="54" t="s">
        <v>84</v>
      </c>
      <c r="AU21" s="50" t="s">
        <v>123</v>
      </c>
      <c r="AV21" s="55"/>
      <c r="AW21" s="56"/>
    </row>
    <row r="22" ht="15.75" customHeight="1">
      <c r="A22" s="52" t="s">
        <v>107</v>
      </c>
      <c r="B22" s="44"/>
      <c r="C22" s="39">
        <f t="shared" ref="C22:C37" si="37">B22*0.92</f>
        <v>0</v>
      </c>
      <c r="D22" s="53">
        <f t="shared" ref="D22:D37" si="38">$B$2+$B$3+G40</f>
        <v>100000702816</v>
      </c>
      <c r="E22" s="20">
        <f t="shared" ref="E22:E37" si="39">C22-D22</f>
        <v>-100000702816</v>
      </c>
      <c r="F22" s="44"/>
      <c r="G22" s="39">
        <f t="shared" ref="G22:G37" si="40">F22*0.92</f>
        <v>0</v>
      </c>
      <c r="H22" s="53">
        <f t="shared" ref="H22:H37" si="41">$F$2+$F$3+G40</f>
        <v>1140957</v>
      </c>
      <c r="I22" s="20">
        <f t="shared" ref="I22:I37" si="42">G22-H22</f>
        <v>-1140957</v>
      </c>
      <c r="J22" s="44"/>
      <c r="K22" s="39">
        <f t="shared" ref="K22:K37" si="43">J22*0.92</f>
        <v>0</v>
      </c>
      <c r="L22" s="53">
        <f t="shared" ref="L22:L37" si="44">$J$2+$J$3+G40</f>
        <v>1435906</v>
      </c>
      <c r="M22" s="20">
        <f t="shared" ref="M22:M37" si="45">K22-L22</f>
        <v>-1435906</v>
      </c>
      <c r="N22" s="44"/>
      <c r="O22" s="39">
        <f t="shared" ref="O22:O37" si="46">N22*0.92</f>
        <v>0</v>
      </c>
      <c r="P22" s="53">
        <f t="shared" ref="P22:P37" si="47">$N$2+$N$3+G40</f>
        <v>1375887</v>
      </c>
      <c r="Q22" s="20">
        <f t="shared" ref="Q22:Q37" si="48">O22-P22</f>
        <v>-1375887</v>
      </c>
      <c r="R22" s="44"/>
      <c r="S22" s="39">
        <f t="shared" ref="S22:S37" si="49">R22*0.92</f>
        <v>0</v>
      </c>
      <c r="T22" s="53">
        <f t="shared" ref="T22:T37" si="50">$R$2+$R$3+G40</f>
        <v>100000724436</v>
      </c>
      <c r="U22" s="20">
        <f t="shared" ref="U22:U37" si="51">S22-T22</f>
        <v>-100000724436</v>
      </c>
      <c r="V22" s="44"/>
      <c r="W22" s="39">
        <f t="shared" ref="W22:W37" si="52">V22*0.92</f>
        <v>0</v>
      </c>
      <c r="X22" s="53">
        <f t="shared" ref="X22:X37" si="53">$V$2+$V$3+G40</f>
        <v>1082115</v>
      </c>
      <c r="Y22" s="20">
        <f t="shared" ref="Y22:Y37" si="54">W22-X22</f>
        <v>-1082115</v>
      </c>
      <c r="Z22" s="44"/>
      <c r="AA22" s="39">
        <f t="shared" ref="AA22:AA37" si="55">Z22*0.92</f>
        <v>0</v>
      </c>
      <c r="AB22" s="53">
        <f t="shared" ref="AB22:AB37" si="56">$Z$2+$Z$3+G40</f>
        <v>751868</v>
      </c>
      <c r="AC22" s="20">
        <f t="shared" ref="AC22:AC37" si="57">AA22-AB22</f>
        <v>-751868</v>
      </c>
      <c r="AD22" s="44"/>
      <c r="AE22" s="39">
        <f t="shared" ref="AE22:AE37" si="58">AD22*0.92</f>
        <v>0</v>
      </c>
      <c r="AF22" s="53">
        <f t="shared" ref="AF22:AF37" si="59">$AD$2+$AD$3+G40</f>
        <v>726948</v>
      </c>
      <c r="AG22" s="20">
        <f t="shared" ref="AG22:AG37" si="60">AE22-AF22</f>
        <v>-726948</v>
      </c>
      <c r="AH22" s="44">
        <v>403432.0</v>
      </c>
      <c r="AI22" s="39">
        <f t="shared" ref="AI22:AI37" si="61">AH22*0.92</f>
        <v>371157.44</v>
      </c>
      <c r="AJ22" s="53">
        <f t="shared" ref="AJ22:AJ37" si="62">$AH$2+$AH$3+G40</f>
        <v>704872</v>
      </c>
      <c r="AK22" s="20">
        <f t="shared" ref="AK22:AK37" si="63">AI22-AJ22</f>
        <v>-333714.56</v>
      </c>
      <c r="AL22" s="44"/>
      <c r="AM22" s="39">
        <f t="shared" ref="AM22:AM37" si="64">AL22*0.92</f>
        <v>0</v>
      </c>
      <c r="AN22" s="53">
        <f t="shared" ref="AN22:AN37" si="65">$AL$2+$AL$3+G40</f>
        <v>759420</v>
      </c>
      <c r="AO22" s="20">
        <f t="shared" ref="AO22:AO37" si="66">AM22-AN22</f>
        <v>-759420</v>
      </c>
      <c r="AP22" s="44">
        <v>451111.0</v>
      </c>
      <c r="AQ22" s="39">
        <f t="shared" ref="AQ22:AQ37" si="67">AP22*0.92</f>
        <v>415022.12</v>
      </c>
      <c r="AR22" s="53">
        <f t="shared" ref="AR22:AR37" si="68">$AP$2+$AP$3+G40</f>
        <v>732905</v>
      </c>
      <c r="AS22" s="20">
        <f t="shared" ref="AS22:AS37" si="69">AQ22-AR22</f>
        <v>-317882.88</v>
      </c>
      <c r="AT22" s="44"/>
      <c r="AU22" s="39">
        <f t="shared" ref="AU22:AU37" si="70">AT22*0.895</f>
        <v>0</v>
      </c>
      <c r="AV22" s="53">
        <f t="shared" ref="AV22:AV37" si="71">$AT$2+$AT$3+G40</f>
        <v>1875877</v>
      </c>
      <c r="AW22" s="20">
        <f t="shared" ref="AW22:AW37" si="72">AU22-AV22</f>
        <v>-1875877</v>
      </c>
    </row>
    <row r="23" ht="15.75" customHeight="1">
      <c r="A23" s="52" t="s">
        <v>108</v>
      </c>
      <c r="B23" s="44"/>
      <c r="C23" s="39">
        <f t="shared" si="37"/>
        <v>0</v>
      </c>
      <c r="D23" s="53">
        <f t="shared" si="38"/>
        <v>100000702829</v>
      </c>
      <c r="E23" s="20">
        <f t="shared" si="39"/>
        <v>-100000702829</v>
      </c>
      <c r="F23" s="44"/>
      <c r="G23" s="39">
        <f t="shared" si="40"/>
        <v>0</v>
      </c>
      <c r="H23" s="53">
        <f t="shared" si="41"/>
        <v>1140970</v>
      </c>
      <c r="I23" s="20">
        <f t="shared" si="42"/>
        <v>-1140970</v>
      </c>
      <c r="J23" s="44"/>
      <c r="K23" s="39">
        <f t="shared" si="43"/>
        <v>0</v>
      </c>
      <c r="L23" s="53">
        <f t="shared" si="44"/>
        <v>1435919</v>
      </c>
      <c r="M23" s="20">
        <f t="shared" si="45"/>
        <v>-1435919</v>
      </c>
      <c r="N23" s="44"/>
      <c r="O23" s="39">
        <f t="shared" si="46"/>
        <v>0</v>
      </c>
      <c r="P23" s="53">
        <f t="shared" si="47"/>
        <v>1375900</v>
      </c>
      <c r="Q23" s="20">
        <f t="shared" si="48"/>
        <v>-1375900</v>
      </c>
      <c r="R23" s="44"/>
      <c r="S23" s="39">
        <f t="shared" si="49"/>
        <v>0</v>
      </c>
      <c r="T23" s="53">
        <f t="shared" si="50"/>
        <v>100000724449</v>
      </c>
      <c r="U23" s="20">
        <f t="shared" si="51"/>
        <v>-100000724449</v>
      </c>
      <c r="V23" s="44"/>
      <c r="W23" s="39">
        <f t="shared" si="52"/>
        <v>0</v>
      </c>
      <c r="X23" s="53">
        <f t="shared" si="53"/>
        <v>1082128</v>
      </c>
      <c r="Y23" s="20">
        <f t="shared" si="54"/>
        <v>-1082128</v>
      </c>
      <c r="Z23" s="44"/>
      <c r="AA23" s="39">
        <f t="shared" si="55"/>
        <v>0</v>
      </c>
      <c r="AB23" s="53">
        <f t="shared" si="56"/>
        <v>751881</v>
      </c>
      <c r="AC23" s="20">
        <f t="shared" si="57"/>
        <v>-751881</v>
      </c>
      <c r="AD23" s="44"/>
      <c r="AE23" s="39">
        <f t="shared" si="58"/>
        <v>0</v>
      </c>
      <c r="AF23" s="53">
        <f t="shared" si="59"/>
        <v>726961</v>
      </c>
      <c r="AG23" s="20">
        <f t="shared" si="60"/>
        <v>-726961</v>
      </c>
      <c r="AH23" s="44">
        <v>600000.0</v>
      </c>
      <c r="AI23" s="39">
        <f t="shared" si="61"/>
        <v>552000</v>
      </c>
      <c r="AJ23" s="53">
        <f t="shared" si="62"/>
        <v>704885</v>
      </c>
      <c r="AK23" s="20">
        <f t="shared" si="63"/>
        <v>-152885</v>
      </c>
      <c r="AL23" s="44"/>
      <c r="AM23" s="39">
        <f t="shared" si="64"/>
        <v>0</v>
      </c>
      <c r="AN23" s="53">
        <f t="shared" si="65"/>
        <v>759433</v>
      </c>
      <c r="AO23" s="20">
        <f t="shared" si="66"/>
        <v>-759433</v>
      </c>
      <c r="AP23" s="44"/>
      <c r="AQ23" s="39">
        <f t="shared" si="67"/>
        <v>0</v>
      </c>
      <c r="AR23" s="53">
        <f t="shared" si="68"/>
        <v>732918</v>
      </c>
      <c r="AS23" s="20">
        <f t="shared" si="69"/>
        <v>-732918</v>
      </c>
      <c r="AT23" s="44"/>
      <c r="AU23" s="39">
        <f t="shared" si="70"/>
        <v>0</v>
      </c>
      <c r="AV23" s="53">
        <f t="shared" si="71"/>
        <v>1875890</v>
      </c>
      <c r="AW23" s="20">
        <f t="shared" si="72"/>
        <v>-1875890</v>
      </c>
    </row>
    <row r="24" ht="15.75" customHeight="1">
      <c r="A24" s="52" t="s">
        <v>109</v>
      </c>
      <c r="B24" s="44"/>
      <c r="C24" s="39">
        <f t="shared" si="37"/>
        <v>0</v>
      </c>
      <c r="D24" s="53">
        <f t="shared" si="38"/>
        <v>100000676859</v>
      </c>
      <c r="E24" s="20">
        <f t="shared" si="39"/>
        <v>-100000676859</v>
      </c>
      <c r="F24" s="44"/>
      <c r="G24" s="39">
        <f t="shared" si="40"/>
        <v>0</v>
      </c>
      <c r="H24" s="53">
        <f t="shared" si="41"/>
        <v>1115000</v>
      </c>
      <c r="I24" s="20">
        <f t="shared" si="42"/>
        <v>-1115000</v>
      </c>
      <c r="J24" s="44"/>
      <c r="K24" s="39">
        <f t="shared" si="43"/>
        <v>0</v>
      </c>
      <c r="L24" s="53">
        <f t="shared" si="44"/>
        <v>1409949</v>
      </c>
      <c r="M24" s="20">
        <f t="shared" si="45"/>
        <v>-1409949</v>
      </c>
      <c r="N24" s="44"/>
      <c r="O24" s="39">
        <f t="shared" si="46"/>
        <v>0</v>
      </c>
      <c r="P24" s="53">
        <f t="shared" si="47"/>
        <v>1349930</v>
      </c>
      <c r="Q24" s="20">
        <f t="shared" si="48"/>
        <v>-1349930</v>
      </c>
      <c r="R24" s="44"/>
      <c r="S24" s="39">
        <f t="shared" si="49"/>
        <v>0</v>
      </c>
      <c r="T24" s="53">
        <f t="shared" si="50"/>
        <v>100000698479</v>
      </c>
      <c r="U24" s="20">
        <f t="shared" si="51"/>
        <v>-100000698479</v>
      </c>
      <c r="V24" s="44"/>
      <c r="W24" s="39">
        <f t="shared" si="52"/>
        <v>0</v>
      </c>
      <c r="X24" s="53">
        <f t="shared" si="53"/>
        <v>1056158</v>
      </c>
      <c r="Y24" s="20">
        <f t="shared" si="54"/>
        <v>-1056158</v>
      </c>
      <c r="Z24" s="44"/>
      <c r="AA24" s="39">
        <f t="shared" si="55"/>
        <v>0</v>
      </c>
      <c r="AB24" s="53">
        <f t="shared" si="56"/>
        <v>725911</v>
      </c>
      <c r="AC24" s="20">
        <f t="shared" si="57"/>
        <v>-725911</v>
      </c>
      <c r="AD24" s="44"/>
      <c r="AE24" s="39">
        <f t="shared" si="58"/>
        <v>0</v>
      </c>
      <c r="AF24" s="53">
        <f t="shared" si="59"/>
        <v>700991</v>
      </c>
      <c r="AG24" s="20">
        <f t="shared" si="60"/>
        <v>-700991</v>
      </c>
      <c r="AH24" s="44"/>
      <c r="AI24" s="39">
        <f t="shared" si="61"/>
        <v>0</v>
      </c>
      <c r="AJ24" s="53">
        <f t="shared" si="62"/>
        <v>678915</v>
      </c>
      <c r="AK24" s="20">
        <f t="shared" si="63"/>
        <v>-678915</v>
      </c>
      <c r="AL24" s="44"/>
      <c r="AM24" s="39">
        <f t="shared" si="64"/>
        <v>0</v>
      </c>
      <c r="AN24" s="53">
        <f t="shared" si="65"/>
        <v>733463</v>
      </c>
      <c r="AO24" s="20">
        <f t="shared" si="66"/>
        <v>-733463</v>
      </c>
      <c r="AP24" s="44"/>
      <c r="AQ24" s="39">
        <f t="shared" si="67"/>
        <v>0</v>
      </c>
      <c r="AR24" s="53">
        <f t="shared" si="68"/>
        <v>706948</v>
      </c>
      <c r="AS24" s="20">
        <f t="shared" si="69"/>
        <v>-706948</v>
      </c>
      <c r="AT24" s="44"/>
      <c r="AU24" s="39">
        <f t="shared" si="70"/>
        <v>0</v>
      </c>
      <c r="AV24" s="53">
        <f t="shared" si="71"/>
        <v>1849920</v>
      </c>
      <c r="AW24" s="20">
        <f t="shared" si="72"/>
        <v>-1849920</v>
      </c>
    </row>
    <row r="25" ht="15.75" customHeight="1">
      <c r="A25" s="106" t="s">
        <v>110</v>
      </c>
      <c r="B25" s="57"/>
      <c r="C25" s="60">
        <f t="shared" si="37"/>
        <v>0</v>
      </c>
      <c r="D25" s="58">
        <f t="shared" si="38"/>
        <v>100000702844</v>
      </c>
      <c r="E25" s="59">
        <f t="shared" si="39"/>
        <v>-100000702844</v>
      </c>
      <c r="F25" s="57"/>
      <c r="G25" s="60">
        <f t="shared" si="40"/>
        <v>0</v>
      </c>
      <c r="H25" s="58">
        <f t="shared" si="41"/>
        <v>1140985</v>
      </c>
      <c r="I25" s="59">
        <f t="shared" si="42"/>
        <v>-1140985</v>
      </c>
      <c r="J25" s="57"/>
      <c r="K25" s="60">
        <f t="shared" si="43"/>
        <v>0</v>
      </c>
      <c r="L25" s="58">
        <f t="shared" si="44"/>
        <v>1435934</v>
      </c>
      <c r="M25" s="59">
        <f t="shared" si="45"/>
        <v>-1435934</v>
      </c>
      <c r="N25" s="57"/>
      <c r="O25" s="60">
        <f t="shared" si="46"/>
        <v>0</v>
      </c>
      <c r="P25" s="58">
        <f t="shared" si="47"/>
        <v>1375915</v>
      </c>
      <c r="Q25" s="59">
        <f t="shared" si="48"/>
        <v>-1375915</v>
      </c>
      <c r="R25" s="57"/>
      <c r="S25" s="60">
        <f t="shared" si="49"/>
        <v>0</v>
      </c>
      <c r="T25" s="58">
        <f t="shared" si="50"/>
        <v>100000724464</v>
      </c>
      <c r="U25" s="59">
        <f t="shared" si="51"/>
        <v>-100000724464</v>
      </c>
      <c r="V25" s="57"/>
      <c r="W25" s="60">
        <f t="shared" si="52"/>
        <v>0</v>
      </c>
      <c r="X25" s="58">
        <f t="shared" si="53"/>
        <v>1082143</v>
      </c>
      <c r="Y25" s="59">
        <f t="shared" si="54"/>
        <v>-1082143</v>
      </c>
      <c r="Z25" s="57"/>
      <c r="AA25" s="60">
        <f t="shared" si="55"/>
        <v>0</v>
      </c>
      <c r="AB25" s="58">
        <f t="shared" si="56"/>
        <v>751896</v>
      </c>
      <c r="AC25" s="59">
        <f t="shared" si="57"/>
        <v>-751896</v>
      </c>
      <c r="AD25" s="57"/>
      <c r="AE25" s="60">
        <f t="shared" si="58"/>
        <v>0</v>
      </c>
      <c r="AF25" s="58">
        <f t="shared" si="59"/>
        <v>726976</v>
      </c>
      <c r="AG25" s="59">
        <f t="shared" si="60"/>
        <v>-726976</v>
      </c>
      <c r="AH25" s="57"/>
      <c r="AI25" s="60">
        <f t="shared" si="61"/>
        <v>0</v>
      </c>
      <c r="AJ25" s="58">
        <f t="shared" si="62"/>
        <v>704900</v>
      </c>
      <c r="AK25" s="59">
        <f t="shared" si="63"/>
        <v>-704900</v>
      </c>
      <c r="AL25" s="57"/>
      <c r="AM25" s="60">
        <f t="shared" si="64"/>
        <v>0</v>
      </c>
      <c r="AN25" s="58">
        <f t="shared" si="65"/>
        <v>759448</v>
      </c>
      <c r="AO25" s="59">
        <f t="shared" si="66"/>
        <v>-759448</v>
      </c>
      <c r="AP25" s="57"/>
      <c r="AQ25" s="60">
        <f t="shared" si="67"/>
        <v>0</v>
      </c>
      <c r="AR25" s="58">
        <f t="shared" si="68"/>
        <v>732933</v>
      </c>
      <c r="AS25" s="59">
        <f t="shared" si="69"/>
        <v>-732933</v>
      </c>
      <c r="AT25" s="57"/>
      <c r="AU25" s="60">
        <f t="shared" si="70"/>
        <v>0</v>
      </c>
      <c r="AV25" s="58">
        <f t="shared" si="71"/>
        <v>1875905</v>
      </c>
      <c r="AW25" s="59">
        <f t="shared" si="72"/>
        <v>-1875905</v>
      </c>
      <c r="AX25" s="23"/>
    </row>
    <row r="26" ht="15.75" customHeight="1">
      <c r="A26" s="52" t="s">
        <v>111</v>
      </c>
      <c r="B26" s="44"/>
      <c r="C26" s="39">
        <f t="shared" si="37"/>
        <v>0</v>
      </c>
      <c r="D26" s="53">
        <f t="shared" si="38"/>
        <v>100000883344</v>
      </c>
      <c r="E26" s="20">
        <f t="shared" si="39"/>
        <v>-100000883344</v>
      </c>
      <c r="F26" s="44">
        <v>460669.0</v>
      </c>
      <c r="G26" s="39">
        <f t="shared" si="40"/>
        <v>423815.48</v>
      </c>
      <c r="H26" s="53">
        <f t="shared" si="41"/>
        <v>1321485</v>
      </c>
      <c r="I26" s="20">
        <f t="shared" si="42"/>
        <v>-897669.52</v>
      </c>
      <c r="J26" s="44"/>
      <c r="K26" s="39">
        <f t="shared" si="43"/>
        <v>0</v>
      </c>
      <c r="L26" s="53">
        <f t="shared" si="44"/>
        <v>1616434</v>
      </c>
      <c r="M26" s="20">
        <f t="shared" si="45"/>
        <v>-1616434</v>
      </c>
      <c r="N26" s="44"/>
      <c r="O26" s="39">
        <f t="shared" si="46"/>
        <v>0</v>
      </c>
      <c r="P26" s="53">
        <f t="shared" si="47"/>
        <v>1556415</v>
      </c>
      <c r="Q26" s="20">
        <f t="shared" si="48"/>
        <v>-1556415</v>
      </c>
      <c r="R26" s="44"/>
      <c r="S26" s="39">
        <f t="shared" si="49"/>
        <v>0</v>
      </c>
      <c r="T26" s="53">
        <f t="shared" si="50"/>
        <v>100000904964</v>
      </c>
      <c r="U26" s="20">
        <f t="shared" si="51"/>
        <v>-100000904964</v>
      </c>
      <c r="V26" s="44"/>
      <c r="W26" s="39">
        <f t="shared" si="52"/>
        <v>0</v>
      </c>
      <c r="X26" s="53">
        <f t="shared" si="53"/>
        <v>1262643</v>
      </c>
      <c r="Y26" s="20">
        <f t="shared" si="54"/>
        <v>-1262643</v>
      </c>
      <c r="Z26" s="44"/>
      <c r="AA26" s="39">
        <f t="shared" si="55"/>
        <v>0</v>
      </c>
      <c r="AB26" s="53">
        <f t="shared" si="56"/>
        <v>932396</v>
      </c>
      <c r="AC26" s="20">
        <f t="shared" si="57"/>
        <v>-932396</v>
      </c>
      <c r="AD26" s="44"/>
      <c r="AE26" s="39">
        <f t="shared" si="58"/>
        <v>0</v>
      </c>
      <c r="AF26" s="53">
        <f t="shared" si="59"/>
        <v>907476</v>
      </c>
      <c r="AG26" s="20">
        <f t="shared" si="60"/>
        <v>-907476</v>
      </c>
      <c r="AH26" s="44">
        <v>600464.0</v>
      </c>
      <c r="AI26" s="39">
        <f t="shared" si="61"/>
        <v>552426.88</v>
      </c>
      <c r="AJ26" s="53">
        <f t="shared" si="62"/>
        <v>885400</v>
      </c>
      <c r="AK26" s="20">
        <f t="shared" si="63"/>
        <v>-332973.12</v>
      </c>
      <c r="AL26" s="44"/>
      <c r="AM26" s="39">
        <f t="shared" si="64"/>
        <v>0</v>
      </c>
      <c r="AN26" s="53">
        <f t="shared" si="65"/>
        <v>939948</v>
      </c>
      <c r="AO26" s="20">
        <f t="shared" si="66"/>
        <v>-939948</v>
      </c>
      <c r="AP26" s="44"/>
      <c r="AQ26" s="39">
        <f t="shared" si="67"/>
        <v>0</v>
      </c>
      <c r="AR26" s="53">
        <f t="shared" si="68"/>
        <v>913433</v>
      </c>
      <c r="AS26" s="20">
        <f t="shared" si="69"/>
        <v>-913433</v>
      </c>
      <c r="AT26" s="44"/>
      <c r="AU26" s="39">
        <f t="shared" si="70"/>
        <v>0</v>
      </c>
      <c r="AV26" s="53">
        <f t="shared" si="71"/>
        <v>2056405</v>
      </c>
      <c r="AW26" s="20">
        <f t="shared" si="72"/>
        <v>-2056405</v>
      </c>
    </row>
    <row r="27" ht="15.75" customHeight="1">
      <c r="A27" s="52" t="s">
        <v>112</v>
      </c>
      <c r="B27" s="44"/>
      <c r="C27" s="39">
        <f t="shared" si="37"/>
        <v>0</v>
      </c>
      <c r="D27" s="53">
        <f t="shared" si="38"/>
        <v>100000876852</v>
      </c>
      <c r="E27" s="20">
        <f t="shared" si="39"/>
        <v>-100000876852</v>
      </c>
      <c r="F27" s="44">
        <v>460619.0</v>
      </c>
      <c r="G27" s="39">
        <f t="shared" si="40"/>
        <v>423769.48</v>
      </c>
      <c r="H27" s="53">
        <f t="shared" si="41"/>
        <v>1314993</v>
      </c>
      <c r="I27" s="20">
        <f t="shared" si="42"/>
        <v>-891223.52</v>
      </c>
      <c r="J27" s="44"/>
      <c r="K27" s="39">
        <f t="shared" si="43"/>
        <v>0</v>
      </c>
      <c r="L27" s="53">
        <f t="shared" si="44"/>
        <v>1609942</v>
      </c>
      <c r="M27" s="20">
        <f t="shared" si="45"/>
        <v>-1609942</v>
      </c>
      <c r="N27" s="44"/>
      <c r="O27" s="39">
        <f t="shared" si="46"/>
        <v>0</v>
      </c>
      <c r="P27" s="53">
        <f t="shared" si="47"/>
        <v>1549923</v>
      </c>
      <c r="Q27" s="20">
        <f t="shared" si="48"/>
        <v>-1549923</v>
      </c>
      <c r="R27" s="44"/>
      <c r="S27" s="39">
        <f t="shared" si="49"/>
        <v>0</v>
      </c>
      <c r="T27" s="53">
        <f t="shared" si="50"/>
        <v>100000898472</v>
      </c>
      <c r="U27" s="20">
        <f t="shared" si="51"/>
        <v>-100000898472</v>
      </c>
      <c r="V27" s="44"/>
      <c r="W27" s="39">
        <f t="shared" si="52"/>
        <v>0</v>
      </c>
      <c r="X27" s="53">
        <f t="shared" si="53"/>
        <v>1256151</v>
      </c>
      <c r="Y27" s="20">
        <f t="shared" si="54"/>
        <v>-1256151</v>
      </c>
      <c r="Z27" s="44"/>
      <c r="AA27" s="39">
        <f t="shared" si="55"/>
        <v>0</v>
      </c>
      <c r="AB27" s="53">
        <f t="shared" si="56"/>
        <v>925904</v>
      </c>
      <c r="AC27" s="20">
        <f t="shared" si="57"/>
        <v>-925904</v>
      </c>
      <c r="AD27" s="44"/>
      <c r="AE27" s="39">
        <f t="shared" si="58"/>
        <v>0</v>
      </c>
      <c r="AF27" s="53">
        <f t="shared" si="59"/>
        <v>900984</v>
      </c>
      <c r="AG27" s="20">
        <f t="shared" si="60"/>
        <v>-900984</v>
      </c>
      <c r="AH27" s="44"/>
      <c r="AI27" s="39">
        <f t="shared" si="61"/>
        <v>0</v>
      </c>
      <c r="AJ27" s="53">
        <f t="shared" si="62"/>
        <v>878908</v>
      </c>
      <c r="AK27" s="20">
        <f t="shared" si="63"/>
        <v>-878908</v>
      </c>
      <c r="AL27" s="44"/>
      <c r="AM27" s="39">
        <f t="shared" si="64"/>
        <v>0</v>
      </c>
      <c r="AN27" s="53">
        <f t="shared" si="65"/>
        <v>933456</v>
      </c>
      <c r="AO27" s="20">
        <f t="shared" si="66"/>
        <v>-933456</v>
      </c>
      <c r="AP27" s="44"/>
      <c r="AQ27" s="39">
        <f t="shared" si="67"/>
        <v>0</v>
      </c>
      <c r="AR27" s="53">
        <f t="shared" si="68"/>
        <v>906941</v>
      </c>
      <c r="AS27" s="20">
        <f t="shared" si="69"/>
        <v>-906941</v>
      </c>
      <c r="AT27" s="44"/>
      <c r="AU27" s="39">
        <f t="shared" si="70"/>
        <v>0</v>
      </c>
      <c r="AV27" s="53">
        <f t="shared" si="71"/>
        <v>2049913</v>
      </c>
      <c r="AW27" s="20">
        <f t="shared" si="72"/>
        <v>-2049913</v>
      </c>
    </row>
    <row r="28" ht="15.75" customHeight="1">
      <c r="A28" s="52" t="s">
        <v>113</v>
      </c>
      <c r="B28" s="44"/>
      <c r="C28" s="39">
        <f t="shared" si="37"/>
        <v>0</v>
      </c>
      <c r="D28" s="53">
        <f t="shared" si="38"/>
        <v>100000857387</v>
      </c>
      <c r="E28" s="20">
        <f t="shared" si="39"/>
        <v>-100000857387</v>
      </c>
      <c r="F28" s="44"/>
      <c r="G28" s="39">
        <f t="shared" si="40"/>
        <v>0</v>
      </c>
      <c r="H28" s="53">
        <f t="shared" si="41"/>
        <v>1295528</v>
      </c>
      <c r="I28" s="20">
        <f t="shared" si="42"/>
        <v>-1295528</v>
      </c>
      <c r="J28" s="44"/>
      <c r="K28" s="39">
        <f t="shared" si="43"/>
        <v>0</v>
      </c>
      <c r="L28" s="53">
        <f t="shared" si="44"/>
        <v>1590477</v>
      </c>
      <c r="M28" s="20">
        <f t="shared" si="45"/>
        <v>-1590477</v>
      </c>
      <c r="N28" s="44"/>
      <c r="O28" s="39">
        <f t="shared" si="46"/>
        <v>0</v>
      </c>
      <c r="P28" s="53">
        <f t="shared" si="47"/>
        <v>1530458</v>
      </c>
      <c r="Q28" s="20">
        <f t="shared" si="48"/>
        <v>-1530458</v>
      </c>
      <c r="R28" s="44"/>
      <c r="S28" s="39">
        <f t="shared" si="49"/>
        <v>0</v>
      </c>
      <c r="T28" s="53">
        <f t="shared" si="50"/>
        <v>100000879007</v>
      </c>
      <c r="U28" s="20">
        <f t="shared" si="51"/>
        <v>-100000879007</v>
      </c>
      <c r="V28" s="44"/>
      <c r="W28" s="39">
        <f t="shared" si="52"/>
        <v>0</v>
      </c>
      <c r="X28" s="53">
        <f t="shared" si="53"/>
        <v>1236686</v>
      </c>
      <c r="Y28" s="20">
        <f t="shared" si="54"/>
        <v>-1236686</v>
      </c>
      <c r="Z28" s="44"/>
      <c r="AA28" s="39">
        <f t="shared" si="55"/>
        <v>0</v>
      </c>
      <c r="AB28" s="53">
        <f t="shared" si="56"/>
        <v>906439</v>
      </c>
      <c r="AC28" s="20">
        <f t="shared" si="57"/>
        <v>-906439</v>
      </c>
      <c r="AD28" s="44"/>
      <c r="AE28" s="39">
        <f t="shared" si="58"/>
        <v>0</v>
      </c>
      <c r="AF28" s="53">
        <f t="shared" si="59"/>
        <v>881519</v>
      </c>
      <c r="AG28" s="20">
        <f t="shared" si="60"/>
        <v>-881519</v>
      </c>
      <c r="AH28" s="44"/>
      <c r="AI28" s="39">
        <f t="shared" si="61"/>
        <v>0</v>
      </c>
      <c r="AJ28" s="53">
        <f t="shared" si="62"/>
        <v>859443</v>
      </c>
      <c r="AK28" s="20">
        <f t="shared" si="63"/>
        <v>-859443</v>
      </c>
      <c r="AL28" s="44"/>
      <c r="AM28" s="39">
        <f t="shared" si="64"/>
        <v>0</v>
      </c>
      <c r="AN28" s="53">
        <f t="shared" si="65"/>
        <v>913991</v>
      </c>
      <c r="AO28" s="20">
        <f t="shared" si="66"/>
        <v>-913991</v>
      </c>
      <c r="AP28" s="44"/>
      <c r="AQ28" s="39">
        <f t="shared" si="67"/>
        <v>0</v>
      </c>
      <c r="AR28" s="53">
        <f t="shared" si="68"/>
        <v>887476</v>
      </c>
      <c r="AS28" s="20">
        <f t="shared" si="69"/>
        <v>-887476</v>
      </c>
      <c r="AT28" s="44"/>
      <c r="AU28" s="39">
        <f t="shared" si="70"/>
        <v>0</v>
      </c>
      <c r="AV28" s="53">
        <f t="shared" si="71"/>
        <v>2030448</v>
      </c>
      <c r="AW28" s="20">
        <f t="shared" si="72"/>
        <v>-2030448</v>
      </c>
    </row>
    <row r="29" ht="15.75" customHeight="1">
      <c r="A29" s="106" t="s">
        <v>114</v>
      </c>
      <c r="B29" s="57"/>
      <c r="C29" s="60">
        <f t="shared" si="37"/>
        <v>0</v>
      </c>
      <c r="D29" s="58">
        <f t="shared" si="38"/>
        <v>100000883372</v>
      </c>
      <c r="E29" s="59">
        <f t="shared" si="39"/>
        <v>-100000883372</v>
      </c>
      <c r="F29" s="57"/>
      <c r="G29" s="60">
        <f t="shared" si="40"/>
        <v>0</v>
      </c>
      <c r="H29" s="58">
        <f t="shared" si="41"/>
        <v>1321513</v>
      </c>
      <c r="I29" s="59">
        <f t="shared" si="42"/>
        <v>-1321513</v>
      </c>
      <c r="J29" s="57"/>
      <c r="K29" s="60">
        <f t="shared" si="43"/>
        <v>0</v>
      </c>
      <c r="L29" s="58">
        <f t="shared" si="44"/>
        <v>1616462</v>
      </c>
      <c r="M29" s="59">
        <f t="shared" si="45"/>
        <v>-1616462</v>
      </c>
      <c r="N29" s="57"/>
      <c r="O29" s="60">
        <f t="shared" si="46"/>
        <v>0</v>
      </c>
      <c r="P29" s="58">
        <f t="shared" si="47"/>
        <v>1556443</v>
      </c>
      <c r="Q29" s="59">
        <f t="shared" si="48"/>
        <v>-1556443</v>
      </c>
      <c r="R29" s="57"/>
      <c r="S29" s="60">
        <f t="shared" si="49"/>
        <v>0</v>
      </c>
      <c r="T29" s="58">
        <f t="shared" si="50"/>
        <v>100000904992</v>
      </c>
      <c r="U29" s="59">
        <f t="shared" si="51"/>
        <v>-100000904992</v>
      </c>
      <c r="V29" s="57"/>
      <c r="W29" s="60">
        <f t="shared" si="52"/>
        <v>0</v>
      </c>
      <c r="X29" s="58">
        <f t="shared" si="53"/>
        <v>1262671</v>
      </c>
      <c r="Y29" s="59">
        <f t="shared" si="54"/>
        <v>-1262671</v>
      </c>
      <c r="Z29" s="57"/>
      <c r="AA29" s="60">
        <f t="shared" si="55"/>
        <v>0</v>
      </c>
      <c r="AB29" s="58">
        <f t="shared" si="56"/>
        <v>932424</v>
      </c>
      <c r="AC29" s="59">
        <f t="shared" si="57"/>
        <v>-932424</v>
      </c>
      <c r="AD29" s="57"/>
      <c r="AE29" s="60">
        <f t="shared" si="58"/>
        <v>0</v>
      </c>
      <c r="AF29" s="58">
        <f t="shared" si="59"/>
        <v>907504</v>
      </c>
      <c r="AG29" s="59">
        <f t="shared" si="60"/>
        <v>-907504</v>
      </c>
      <c r="AH29" s="57"/>
      <c r="AI29" s="60">
        <f t="shared" si="61"/>
        <v>0</v>
      </c>
      <c r="AJ29" s="58">
        <f t="shared" si="62"/>
        <v>885428</v>
      </c>
      <c r="AK29" s="59">
        <f t="shared" si="63"/>
        <v>-885428</v>
      </c>
      <c r="AL29" s="57"/>
      <c r="AM29" s="60">
        <f t="shared" si="64"/>
        <v>0</v>
      </c>
      <c r="AN29" s="58">
        <f t="shared" si="65"/>
        <v>939976</v>
      </c>
      <c r="AO29" s="59">
        <f t="shared" si="66"/>
        <v>-939976</v>
      </c>
      <c r="AP29" s="57"/>
      <c r="AQ29" s="60">
        <f t="shared" si="67"/>
        <v>0</v>
      </c>
      <c r="AR29" s="58">
        <f t="shared" si="68"/>
        <v>913461</v>
      </c>
      <c r="AS29" s="59">
        <f t="shared" si="69"/>
        <v>-913461</v>
      </c>
      <c r="AT29" s="57"/>
      <c r="AU29" s="60">
        <f t="shared" si="70"/>
        <v>0</v>
      </c>
      <c r="AV29" s="58">
        <f t="shared" si="71"/>
        <v>2056433</v>
      </c>
      <c r="AW29" s="59">
        <f t="shared" si="72"/>
        <v>-2056433</v>
      </c>
      <c r="AX29" s="23"/>
    </row>
    <row r="30" ht="15.75" customHeight="1">
      <c r="A30" s="52" t="s">
        <v>115</v>
      </c>
      <c r="B30" s="44"/>
      <c r="C30" s="39">
        <f t="shared" si="37"/>
        <v>0</v>
      </c>
      <c r="D30" s="53">
        <f t="shared" si="38"/>
        <v>100001530336</v>
      </c>
      <c r="E30" s="20">
        <f t="shared" si="39"/>
        <v>-100001530336</v>
      </c>
      <c r="F30" s="44">
        <v>266.0</v>
      </c>
      <c r="G30" s="39">
        <f t="shared" si="40"/>
        <v>244.72</v>
      </c>
      <c r="H30" s="53">
        <f t="shared" si="41"/>
        <v>1968477</v>
      </c>
      <c r="I30" s="20">
        <f t="shared" si="42"/>
        <v>-1968232.28</v>
      </c>
      <c r="J30" s="44"/>
      <c r="K30" s="39">
        <f t="shared" si="43"/>
        <v>0</v>
      </c>
      <c r="L30" s="53">
        <f t="shared" si="44"/>
        <v>2263426</v>
      </c>
      <c r="M30" s="20">
        <f t="shared" si="45"/>
        <v>-2263426</v>
      </c>
      <c r="N30" s="44"/>
      <c r="O30" s="39">
        <f t="shared" si="46"/>
        <v>0</v>
      </c>
      <c r="P30" s="53">
        <f t="shared" si="47"/>
        <v>2203407</v>
      </c>
      <c r="Q30" s="20">
        <f t="shared" si="48"/>
        <v>-2203407</v>
      </c>
      <c r="R30" s="44"/>
      <c r="S30" s="39">
        <f t="shared" si="49"/>
        <v>0</v>
      </c>
      <c r="T30" s="53">
        <f t="shared" si="50"/>
        <v>100001551956</v>
      </c>
      <c r="U30" s="20">
        <f t="shared" si="51"/>
        <v>-100001551956</v>
      </c>
      <c r="V30" s="44"/>
      <c r="W30" s="39">
        <f t="shared" si="52"/>
        <v>0</v>
      </c>
      <c r="X30" s="53">
        <f t="shared" si="53"/>
        <v>1909635</v>
      </c>
      <c r="Y30" s="20">
        <f t="shared" si="54"/>
        <v>-1909635</v>
      </c>
      <c r="Z30" s="44"/>
      <c r="AA30" s="39">
        <f t="shared" si="55"/>
        <v>0</v>
      </c>
      <c r="AB30" s="53">
        <f t="shared" si="56"/>
        <v>1579388</v>
      </c>
      <c r="AC30" s="20">
        <f t="shared" si="57"/>
        <v>-1579388</v>
      </c>
      <c r="AD30" s="44"/>
      <c r="AE30" s="39">
        <f t="shared" si="58"/>
        <v>0</v>
      </c>
      <c r="AF30" s="53">
        <f t="shared" si="59"/>
        <v>1554468</v>
      </c>
      <c r="AG30" s="20">
        <f t="shared" si="60"/>
        <v>-1554468</v>
      </c>
      <c r="AH30" s="44"/>
      <c r="AI30" s="39">
        <f t="shared" si="61"/>
        <v>0</v>
      </c>
      <c r="AJ30" s="53">
        <f t="shared" si="62"/>
        <v>1532392</v>
      </c>
      <c r="AK30" s="20">
        <f t="shared" si="63"/>
        <v>-1532392</v>
      </c>
      <c r="AL30" s="44"/>
      <c r="AM30" s="39">
        <f t="shared" si="64"/>
        <v>0</v>
      </c>
      <c r="AN30" s="53">
        <f t="shared" si="65"/>
        <v>1586940</v>
      </c>
      <c r="AO30" s="20">
        <f t="shared" si="66"/>
        <v>-1586940</v>
      </c>
      <c r="AP30" s="44"/>
      <c r="AQ30" s="39">
        <f t="shared" si="67"/>
        <v>0</v>
      </c>
      <c r="AR30" s="53">
        <f t="shared" si="68"/>
        <v>1560425</v>
      </c>
      <c r="AS30" s="20">
        <f t="shared" si="69"/>
        <v>-1560425</v>
      </c>
      <c r="AT30" s="44"/>
      <c r="AU30" s="39">
        <f t="shared" si="70"/>
        <v>0</v>
      </c>
      <c r="AV30" s="53">
        <f t="shared" si="71"/>
        <v>2703397</v>
      </c>
      <c r="AW30" s="20">
        <f t="shared" si="72"/>
        <v>-2703397</v>
      </c>
    </row>
    <row r="31" ht="15.75" customHeight="1">
      <c r="A31" s="52" t="s">
        <v>116</v>
      </c>
      <c r="B31" s="44"/>
      <c r="C31" s="39">
        <f t="shared" si="37"/>
        <v>0</v>
      </c>
      <c r="D31" s="53">
        <f t="shared" si="38"/>
        <v>100001456839</v>
      </c>
      <c r="E31" s="20">
        <f t="shared" si="39"/>
        <v>-100001456839</v>
      </c>
      <c r="F31" s="44">
        <v>250008.0</v>
      </c>
      <c r="G31" s="39">
        <f t="shared" si="40"/>
        <v>230007.36</v>
      </c>
      <c r="H31" s="53">
        <f t="shared" si="41"/>
        <v>1894980</v>
      </c>
      <c r="I31" s="20">
        <f t="shared" si="42"/>
        <v>-1664972.64</v>
      </c>
      <c r="J31" s="44"/>
      <c r="K31" s="39">
        <f t="shared" si="43"/>
        <v>0</v>
      </c>
      <c r="L31" s="53">
        <f t="shared" si="44"/>
        <v>2189929</v>
      </c>
      <c r="M31" s="20">
        <f t="shared" si="45"/>
        <v>-2189929</v>
      </c>
      <c r="N31" s="44"/>
      <c r="O31" s="39">
        <f t="shared" si="46"/>
        <v>0</v>
      </c>
      <c r="P31" s="53">
        <f t="shared" si="47"/>
        <v>2129910</v>
      </c>
      <c r="Q31" s="20">
        <f t="shared" si="48"/>
        <v>-2129910</v>
      </c>
      <c r="R31" s="44"/>
      <c r="S31" s="39">
        <f t="shared" si="49"/>
        <v>0</v>
      </c>
      <c r="T31" s="53">
        <f t="shared" si="50"/>
        <v>100001478459</v>
      </c>
      <c r="U31" s="20">
        <f t="shared" si="51"/>
        <v>-100001478459</v>
      </c>
      <c r="V31" s="44"/>
      <c r="W31" s="39">
        <f t="shared" si="52"/>
        <v>0</v>
      </c>
      <c r="X31" s="53">
        <f t="shared" si="53"/>
        <v>1836138</v>
      </c>
      <c r="Y31" s="20">
        <f t="shared" si="54"/>
        <v>-1836138</v>
      </c>
      <c r="Z31" s="44"/>
      <c r="AA31" s="39">
        <f t="shared" si="55"/>
        <v>0</v>
      </c>
      <c r="AB31" s="53">
        <f t="shared" si="56"/>
        <v>1505891</v>
      </c>
      <c r="AC31" s="20">
        <f t="shared" si="57"/>
        <v>-1505891</v>
      </c>
      <c r="AD31" s="44"/>
      <c r="AE31" s="39">
        <f t="shared" si="58"/>
        <v>0</v>
      </c>
      <c r="AF31" s="53">
        <f t="shared" si="59"/>
        <v>1480971</v>
      </c>
      <c r="AG31" s="20">
        <f t="shared" si="60"/>
        <v>-1480971</v>
      </c>
      <c r="AH31" s="44"/>
      <c r="AI31" s="39">
        <f t="shared" si="61"/>
        <v>0</v>
      </c>
      <c r="AJ31" s="53">
        <f t="shared" si="62"/>
        <v>1458895</v>
      </c>
      <c r="AK31" s="20">
        <f t="shared" si="63"/>
        <v>-1458895</v>
      </c>
      <c r="AL31" s="44"/>
      <c r="AM31" s="39">
        <f t="shared" si="64"/>
        <v>0</v>
      </c>
      <c r="AN31" s="53">
        <f t="shared" si="65"/>
        <v>1513443</v>
      </c>
      <c r="AO31" s="20">
        <f t="shared" si="66"/>
        <v>-1513443</v>
      </c>
      <c r="AP31" s="44"/>
      <c r="AQ31" s="39">
        <f t="shared" si="67"/>
        <v>0</v>
      </c>
      <c r="AR31" s="53">
        <f t="shared" si="68"/>
        <v>1486928</v>
      </c>
      <c r="AS31" s="20">
        <f t="shared" si="69"/>
        <v>-1486928</v>
      </c>
      <c r="AT31" s="44"/>
      <c r="AU31" s="39">
        <f t="shared" si="70"/>
        <v>0</v>
      </c>
      <c r="AV31" s="53">
        <f t="shared" si="71"/>
        <v>2629900</v>
      </c>
      <c r="AW31" s="20">
        <f t="shared" si="72"/>
        <v>-2629900</v>
      </c>
    </row>
    <row r="32" ht="15.75" customHeight="1">
      <c r="A32" s="52" t="s">
        <v>117</v>
      </c>
      <c r="B32" s="44"/>
      <c r="C32" s="39">
        <f t="shared" si="37"/>
        <v>0</v>
      </c>
      <c r="D32" s="53">
        <f t="shared" si="38"/>
        <v>100001456851</v>
      </c>
      <c r="E32" s="20">
        <f t="shared" si="39"/>
        <v>-100001456851</v>
      </c>
      <c r="F32" s="44"/>
      <c r="G32" s="39">
        <f t="shared" si="40"/>
        <v>0</v>
      </c>
      <c r="H32" s="53">
        <f t="shared" si="41"/>
        <v>1894992</v>
      </c>
      <c r="I32" s="20">
        <f t="shared" si="42"/>
        <v>-1894992</v>
      </c>
      <c r="J32" s="44"/>
      <c r="K32" s="39">
        <f t="shared" si="43"/>
        <v>0</v>
      </c>
      <c r="L32" s="53">
        <f t="shared" si="44"/>
        <v>2189941</v>
      </c>
      <c r="M32" s="20">
        <f t="shared" si="45"/>
        <v>-2189941</v>
      </c>
      <c r="N32" s="44"/>
      <c r="O32" s="39">
        <f t="shared" si="46"/>
        <v>0</v>
      </c>
      <c r="P32" s="53">
        <f t="shared" si="47"/>
        <v>2129922</v>
      </c>
      <c r="Q32" s="20">
        <f t="shared" si="48"/>
        <v>-2129922</v>
      </c>
      <c r="R32" s="44"/>
      <c r="S32" s="39">
        <f t="shared" si="49"/>
        <v>0</v>
      </c>
      <c r="T32" s="53">
        <f t="shared" si="50"/>
        <v>100001478471</v>
      </c>
      <c r="U32" s="20">
        <f t="shared" si="51"/>
        <v>-100001478471</v>
      </c>
      <c r="V32" s="44"/>
      <c r="W32" s="39">
        <f t="shared" si="52"/>
        <v>0</v>
      </c>
      <c r="X32" s="53">
        <f t="shared" si="53"/>
        <v>1836150</v>
      </c>
      <c r="Y32" s="20">
        <f t="shared" si="54"/>
        <v>-1836150</v>
      </c>
      <c r="Z32" s="44"/>
      <c r="AA32" s="39">
        <f t="shared" si="55"/>
        <v>0</v>
      </c>
      <c r="AB32" s="53">
        <f t="shared" si="56"/>
        <v>1505903</v>
      </c>
      <c r="AC32" s="20">
        <f t="shared" si="57"/>
        <v>-1505903</v>
      </c>
      <c r="AD32" s="44"/>
      <c r="AE32" s="39">
        <f t="shared" si="58"/>
        <v>0</v>
      </c>
      <c r="AF32" s="53">
        <f t="shared" si="59"/>
        <v>1480983</v>
      </c>
      <c r="AG32" s="20">
        <f t="shared" si="60"/>
        <v>-1480983</v>
      </c>
      <c r="AH32" s="44"/>
      <c r="AI32" s="39">
        <f t="shared" si="61"/>
        <v>0</v>
      </c>
      <c r="AJ32" s="53">
        <f t="shared" si="62"/>
        <v>1458907</v>
      </c>
      <c r="AK32" s="20">
        <f t="shared" si="63"/>
        <v>-1458907</v>
      </c>
      <c r="AL32" s="44"/>
      <c r="AM32" s="39">
        <f t="shared" si="64"/>
        <v>0</v>
      </c>
      <c r="AN32" s="53">
        <f t="shared" si="65"/>
        <v>1513455</v>
      </c>
      <c r="AO32" s="20">
        <f t="shared" si="66"/>
        <v>-1513455</v>
      </c>
      <c r="AP32" s="44"/>
      <c r="AQ32" s="39">
        <f t="shared" si="67"/>
        <v>0</v>
      </c>
      <c r="AR32" s="53">
        <f t="shared" si="68"/>
        <v>1486940</v>
      </c>
      <c r="AS32" s="20">
        <f t="shared" si="69"/>
        <v>-1486940</v>
      </c>
      <c r="AT32" s="44"/>
      <c r="AU32" s="39">
        <f t="shared" si="70"/>
        <v>0</v>
      </c>
      <c r="AV32" s="53">
        <f t="shared" si="71"/>
        <v>2629912</v>
      </c>
      <c r="AW32" s="20">
        <f t="shared" si="72"/>
        <v>-2629912</v>
      </c>
    </row>
    <row r="33" ht="15.75" customHeight="1">
      <c r="A33" s="106" t="s">
        <v>118</v>
      </c>
      <c r="B33" s="57"/>
      <c r="C33" s="60">
        <f t="shared" si="37"/>
        <v>0</v>
      </c>
      <c r="D33" s="58">
        <f t="shared" si="38"/>
        <v>100001530364</v>
      </c>
      <c r="E33" s="59">
        <f t="shared" si="39"/>
        <v>-100001530364</v>
      </c>
      <c r="F33" s="57"/>
      <c r="G33" s="60">
        <f t="shared" si="40"/>
        <v>0</v>
      </c>
      <c r="H33" s="58">
        <f t="shared" si="41"/>
        <v>1968505</v>
      </c>
      <c r="I33" s="59">
        <f t="shared" si="42"/>
        <v>-1968505</v>
      </c>
      <c r="J33" s="57"/>
      <c r="K33" s="60">
        <f t="shared" si="43"/>
        <v>0</v>
      </c>
      <c r="L33" s="58">
        <f t="shared" si="44"/>
        <v>2263454</v>
      </c>
      <c r="M33" s="59">
        <f t="shared" si="45"/>
        <v>-2263454</v>
      </c>
      <c r="N33" s="57"/>
      <c r="O33" s="60">
        <f t="shared" si="46"/>
        <v>0</v>
      </c>
      <c r="P33" s="58">
        <f t="shared" si="47"/>
        <v>2203435</v>
      </c>
      <c r="Q33" s="59">
        <f t="shared" si="48"/>
        <v>-2203435</v>
      </c>
      <c r="R33" s="57"/>
      <c r="S33" s="60">
        <f t="shared" si="49"/>
        <v>0</v>
      </c>
      <c r="T33" s="58">
        <f t="shared" si="50"/>
        <v>100001551984</v>
      </c>
      <c r="U33" s="59">
        <f t="shared" si="51"/>
        <v>-100001551984</v>
      </c>
      <c r="V33" s="57"/>
      <c r="W33" s="60">
        <f t="shared" si="52"/>
        <v>0</v>
      </c>
      <c r="X33" s="58">
        <f t="shared" si="53"/>
        <v>1909663</v>
      </c>
      <c r="Y33" s="59">
        <f t="shared" si="54"/>
        <v>-1909663</v>
      </c>
      <c r="Z33" s="57"/>
      <c r="AA33" s="60">
        <f t="shared" si="55"/>
        <v>0</v>
      </c>
      <c r="AB33" s="58">
        <f t="shared" si="56"/>
        <v>1579416</v>
      </c>
      <c r="AC33" s="59">
        <f t="shared" si="57"/>
        <v>-1579416</v>
      </c>
      <c r="AD33" s="57"/>
      <c r="AE33" s="60">
        <f t="shared" si="58"/>
        <v>0</v>
      </c>
      <c r="AF33" s="58">
        <f t="shared" si="59"/>
        <v>1554496</v>
      </c>
      <c r="AG33" s="59">
        <f t="shared" si="60"/>
        <v>-1554496</v>
      </c>
      <c r="AH33" s="57"/>
      <c r="AI33" s="60">
        <f t="shared" si="61"/>
        <v>0</v>
      </c>
      <c r="AJ33" s="58">
        <f t="shared" si="62"/>
        <v>1532420</v>
      </c>
      <c r="AK33" s="59">
        <f t="shared" si="63"/>
        <v>-1532420</v>
      </c>
      <c r="AL33" s="57"/>
      <c r="AM33" s="60">
        <f t="shared" si="64"/>
        <v>0</v>
      </c>
      <c r="AN33" s="58">
        <f t="shared" si="65"/>
        <v>1586968</v>
      </c>
      <c r="AO33" s="59">
        <f t="shared" si="66"/>
        <v>-1586968</v>
      </c>
      <c r="AP33" s="57"/>
      <c r="AQ33" s="60">
        <f t="shared" si="67"/>
        <v>0</v>
      </c>
      <c r="AR33" s="58">
        <f t="shared" si="68"/>
        <v>1560453</v>
      </c>
      <c r="AS33" s="59">
        <f t="shared" si="69"/>
        <v>-1560453</v>
      </c>
      <c r="AT33" s="57"/>
      <c r="AU33" s="60">
        <f t="shared" si="70"/>
        <v>0</v>
      </c>
      <c r="AV33" s="58">
        <f t="shared" si="71"/>
        <v>2703425</v>
      </c>
      <c r="AW33" s="59">
        <f t="shared" si="72"/>
        <v>-2703425</v>
      </c>
      <c r="AX33" s="23"/>
    </row>
    <row r="34" ht="15.75" customHeight="1">
      <c r="A34" s="52" t="s">
        <v>119</v>
      </c>
      <c r="B34" s="44"/>
      <c r="C34" s="39">
        <f t="shared" si="37"/>
        <v>0</v>
      </c>
      <c r="D34" s="53">
        <f t="shared" si="38"/>
        <v>100003617376</v>
      </c>
      <c r="E34" s="20">
        <f t="shared" si="39"/>
        <v>-100003617376</v>
      </c>
      <c r="F34" s="44"/>
      <c r="G34" s="39">
        <f t="shared" si="40"/>
        <v>0</v>
      </c>
      <c r="H34" s="53">
        <f t="shared" si="41"/>
        <v>4055517</v>
      </c>
      <c r="I34" s="20">
        <f t="shared" si="42"/>
        <v>-4055517</v>
      </c>
      <c r="J34" s="44"/>
      <c r="K34" s="39">
        <f t="shared" si="43"/>
        <v>0</v>
      </c>
      <c r="L34" s="53">
        <f t="shared" si="44"/>
        <v>4350466</v>
      </c>
      <c r="M34" s="20">
        <f t="shared" si="45"/>
        <v>-4350466</v>
      </c>
      <c r="N34" s="44"/>
      <c r="O34" s="39">
        <f t="shared" si="46"/>
        <v>0</v>
      </c>
      <c r="P34" s="53">
        <f t="shared" si="47"/>
        <v>4290447</v>
      </c>
      <c r="Q34" s="20">
        <f t="shared" si="48"/>
        <v>-4290447</v>
      </c>
      <c r="R34" s="44"/>
      <c r="S34" s="39">
        <f t="shared" si="49"/>
        <v>0</v>
      </c>
      <c r="T34" s="53">
        <f t="shared" si="50"/>
        <v>100003638996</v>
      </c>
      <c r="U34" s="20">
        <f t="shared" si="51"/>
        <v>-100003638996</v>
      </c>
      <c r="V34" s="44"/>
      <c r="W34" s="39">
        <f t="shared" si="52"/>
        <v>0</v>
      </c>
      <c r="X34" s="53">
        <f t="shared" si="53"/>
        <v>3996675</v>
      </c>
      <c r="Y34" s="20">
        <f t="shared" si="54"/>
        <v>-3996675</v>
      </c>
      <c r="Z34" s="44"/>
      <c r="AA34" s="39">
        <f t="shared" si="55"/>
        <v>0</v>
      </c>
      <c r="AB34" s="53">
        <f t="shared" si="56"/>
        <v>3666428</v>
      </c>
      <c r="AC34" s="20">
        <f t="shared" si="57"/>
        <v>-3666428</v>
      </c>
      <c r="AD34" s="44"/>
      <c r="AE34" s="39">
        <f t="shared" si="58"/>
        <v>0</v>
      </c>
      <c r="AF34" s="53">
        <f t="shared" si="59"/>
        <v>3641508</v>
      </c>
      <c r="AG34" s="20">
        <f t="shared" si="60"/>
        <v>-3641508</v>
      </c>
      <c r="AH34" s="44"/>
      <c r="AI34" s="39">
        <f t="shared" si="61"/>
        <v>0</v>
      </c>
      <c r="AJ34" s="53">
        <f t="shared" si="62"/>
        <v>3619432</v>
      </c>
      <c r="AK34" s="20">
        <f t="shared" si="63"/>
        <v>-3619432</v>
      </c>
      <c r="AL34" s="44"/>
      <c r="AM34" s="39">
        <f t="shared" si="64"/>
        <v>0</v>
      </c>
      <c r="AN34" s="53">
        <f t="shared" si="65"/>
        <v>3673980</v>
      </c>
      <c r="AO34" s="20">
        <f t="shared" si="66"/>
        <v>-3673980</v>
      </c>
      <c r="AP34" s="44"/>
      <c r="AQ34" s="39">
        <f t="shared" si="67"/>
        <v>0</v>
      </c>
      <c r="AR34" s="53">
        <f t="shared" si="68"/>
        <v>3647465</v>
      </c>
      <c r="AS34" s="20">
        <f t="shared" si="69"/>
        <v>-3647465</v>
      </c>
      <c r="AT34" s="44"/>
      <c r="AU34" s="39">
        <f t="shared" si="70"/>
        <v>0</v>
      </c>
      <c r="AV34" s="53">
        <f t="shared" si="71"/>
        <v>4790437</v>
      </c>
      <c r="AW34" s="20">
        <f t="shared" si="72"/>
        <v>-4790437</v>
      </c>
    </row>
    <row r="35" ht="15.75" customHeight="1">
      <c r="A35" s="52" t="s">
        <v>120</v>
      </c>
      <c r="B35" s="44"/>
      <c r="C35" s="39">
        <f t="shared" si="37"/>
        <v>0</v>
      </c>
      <c r="D35" s="53">
        <f t="shared" si="38"/>
        <v>100003543879</v>
      </c>
      <c r="E35" s="20">
        <f t="shared" si="39"/>
        <v>-100003543879</v>
      </c>
      <c r="F35" s="44"/>
      <c r="G35" s="39">
        <f t="shared" si="40"/>
        <v>0</v>
      </c>
      <c r="H35" s="53">
        <f t="shared" si="41"/>
        <v>3982020</v>
      </c>
      <c r="I35" s="20">
        <f t="shared" si="42"/>
        <v>-3982020</v>
      </c>
      <c r="J35" s="44"/>
      <c r="K35" s="39">
        <f t="shared" si="43"/>
        <v>0</v>
      </c>
      <c r="L35" s="53">
        <f t="shared" si="44"/>
        <v>4276969</v>
      </c>
      <c r="M35" s="20">
        <f t="shared" si="45"/>
        <v>-4276969</v>
      </c>
      <c r="N35" s="44"/>
      <c r="O35" s="39">
        <f t="shared" si="46"/>
        <v>0</v>
      </c>
      <c r="P35" s="53">
        <f t="shared" si="47"/>
        <v>4216950</v>
      </c>
      <c r="Q35" s="20">
        <f t="shared" si="48"/>
        <v>-4216950</v>
      </c>
      <c r="R35" s="44"/>
      <c r="S35" s="39">
        <f t="shared" si="49"/>
        <v>0</v>
      </c>
      <c r="T35" s="53">
        <f t="shared" si="50"/>
        <v>100003565499</v>
      </c>
      <c r="U35" s="20">
        <f t="shared" si="51"/>
        <v>-100003565499</v>
      </c>
      <c r="V35" s="44"/>
      <c r="W35" s="39">
        <f t="shared" si="52"/>
        <v>0</v>
      </c>
      <c r="X35" s="53">
        <f t="shared" si="53"/>
        <v>3923178</v>
      </c>
      <c r="Y35" s="20">
        <f t="shared" si="54"/>
        <v>-3923178</v>
      </c>
      <c r="Z35" s="44"/>
      <c r="AA35" s="39">
        <f t="shared" si="55"/>
        <v>0</v>
      </c>
      <c r="AB35" s="53">
        <f t="shared" si="56"/>
        <v>3592931</v>
      </c>
      <c r="AC35" s="20">
        <f t="shared" si="57"/>
        <v>-3592931</v>
      </c>
      <c r="AD35" s="44"/>
      <c r="AE35" s="39">
        <f t="shared" si="58"/>
        <v>0</v>
      </c>
      <c r="AF35" s="53">
        <f t="shared" si="59"/>
        <v>3568011</v>
      </c>
      <c r="AG35" s="20">
        <f t="shared" si="60"/>
        <v>-3568011</v>
      </c>
      <c r="AH35" s="44"/>
      <c r="AI35" s="39">
        <f t="shared" si="61"/>
        <v>0</v>
      </c>
      <c r="AJ35" s="53">
        <f t="shared" si="62"/>
        <v>3545935</v>
      </c>
      <c r="AK35" s="20">
        <f t="shared" si="63"/>
        <v>-3545935</v>
      </c>
      <c r="AL35" s="44"/>
      <c r="AM35" s="39">
        <f t="shared" si="64"/>
        <v>0</v>
      </c>
      <c r="AN35" s="53">
        <f t="shared" si="65"/>
        <v>3600483</v>
      </c>
      <c r="AO35" s="20">
        <f t="shared" si="66"/>
        <v>-3600483</v>
      </c>
      <c r="AP35" s="44"/>
      <c r="AQ35" s="39">
        <f t="shared" si="67"/>
        <v>0</v>
      </c>
      <c r="AR35" s="53">
        <f t="shared" si="68"/>
        <v>3573968</v>
      </c>
      <c r="AS35" s="20">
        <f t="shared" si="69"/>
        <v>-3573968</v>
      </c>
      <c r="AT35" s="44"/>
      <c r="AU35" s="39">
        <f t="shared" si="70"/>
        <v>0</v>
      </c>
      <c r="AV35" s="53">
        <f t="shared" si="71"/>
        <v>4716940</v>
      </c>
      <c r="AW35" s="20">
        <f t="shared" si="72"/>
        <v>-4716940</v>
      </c>
    </row>
    <row r="36" ht="15.75" customHeight="1">
      <c r="A36" s="52" t="s">
        <v>121</v>
      </c>
      <c r="B36" s="44"/>
      <c r="C36" s="39">
        <f t="shared" si="37"/>
        <v>0</v>
      </c>
      <c r="D36" s="53">
        <f t="shared" si="38"/>
        <v>100003543891</v>
      </c>
      <c r="E36" s="20">
        <f t="shared" si="39"/>
        <v>-100003543891</v>
      </c>
      <c r="F36" s="44"/>
      <c r="G36" s="39">
        <f t="shared" si="40"/>
        <v>0</v>
      </c>
      <c r="H36" s="53">
        <f t="shared" si="41"/>
        <v>3982032</v>
      </c>
      <c r="I36" s="20">
        <f t="shared" si="42"/>
        <v>-3982032</v>
      </c>
      <c r="J36" s="44"/>
      <c r="K36" s="39">
        <f t="shared" si="43"/>
        <v>0</v>
      </c>
      <c r="L36" s="53">
        <f t="shared" si="44"/>
        <v>4276981</v>
      </c>
      <c r="M36" s="20">
        <f t="shared" si="45"/>
        <v>-4276981</v>
      </c>
      <c r="N36" s="44"/>
      <c r="O36" s="39">
        <f t="shared" si="46"/>
        <v>0</v>
      </c>
      <c r="P36" s="53">
        <f t="shared" si="47"/>
        <v>4216962</v>
      </c>
      <c r="Q36" s="20">
        <f t="shared" si="48"/>
        <v>-4216962</v>
      </c>
      <c r="R36" s="44"/>
      <c r="S36" s="39">
        <f t="shared" si="49"/>
        <v>0</v>
      </c>
      <c r="T36" s="53">
        <f t="shared" si="50"/>
        <v>100003565511</v>
      </c>
      <c r="U36" s="20">
        <f t="shared" si="51"/>
        <v>-100003565511</v>
      </c>
      <c r="V36" s="44"/>
      <c r="W36" s="39">
        <f t="shared" si="52"/>
        <v>0</v>
      </c>
      <c r="X36" s="53">
        <f t="shared" si="53"/>
        <v>3923190</v>
      </c>
      <c r="Y36" s="20">
        <f t="shared" si="54"/>
        <v>-3923190</v>
      </c>
      <c r="Z36" s="44"/>
      <c r="AA36" s="39">
        <f t="shared" si="55"/>
        <v>0</v>
      </c>
      <c r="AB36" s="53">
        <f t="shared" si="56"/>
        <v>3592943</v>
      </c>
      <c r="AC36" s="20">
        <f t="shared" si="57"/>
        <v>-3592943</v>
      </c>
      <c r="AD36" s="44"/>
      <c r="AE36" s="39">
        <f t="shared" si="58"/>
        <v>0</v>
      </c>
      <c r="AF36" s="53">
        <f t="shared" si="59"/>
        <v>3568023</v>
      </c>
      <c r="AG36" s="20">
        <f t="shared" si="60"/>
        <v>-3568023</v>
      </c>
      <c r="AH36" s="44"/>
      <c r="AI36" s="39">
        <f t="shared" si="61"/>
        <v>0</v>
      </c>
      <c r="AJ36" s="53">
        <f t="shared" si="62"/>
        <v>3545947</v>
      </c>
      <c r="AK36" s="20">
        <f t="shared" si="63"/>
        <v>-3545947</v>
      </c>
      <c r="AL36" s="44"/>
      <c r="AM36" s="39">
        <f t="shared" si="64"/>
        <v>0</v>
      </c>
      <c r="AN36" s="53">
        <f t="shared" si="65"/>
        <v>3600495</v>
      </c>
      <c r="AO36" s="20">
        <f t="shared" si="66"/>
        <v>-3600495</v>
      </c>
      <c r="AP36" s="44"/>
      <c r="AQ36" s="39">
        <f t="shared" si="67"/>
        <v>0</v>
      </c>
      <c r="AR36" s="53">
        <f t="shared" si="68"/>
        <v>3573980</v>
      </c>
      <c r="AS36" s="20">
        <f t="shared" si="69"/>
        <v>-3573980</v>
      </c>
      <c r="AT36" s="44"/>
      <c r="AU36" s="39">
        <f t="shared" si="70"/>
        <v>0</v>
      </c>
      <c r="AV36" s="53">
        <f t="shared" si="71"/>
        <v>4716952</v>
      </c>
      <c r="AW36" s="20">
        <f t="shared" si="72"/>
        <v>-4716952</v>
      </c>
    </row>
    <row r="37" ht="15.75" customHeight="1">
      <c r="A37" s="52" t="s">
        <v>122</v>
      </c>
      <c r="B37" s="57"/>
      <c r="C37" s="39">
        <f t="shared" si="37"/>
        <v>0</v>
      </c>
      <c r="D37" s="58">
        <f t="shared" si="38"/>
        <v>100003617404</v>
      </c>
      <c r="E37" s="59">
        <f t="shared" si="39"/>
        <v>-100003617404</v>
      </c>
      <c r="F37" s="57"/>
      <c r="G37" s="39">
        <f t="shared" si="40"/>
        <v>0</v>
      </c>
      <c r="H37" s="58">
        <f t="shared" si="41"/>
        <v>4055545</v>
      </c>
      <c r="I37" s="59">
        <f t="shared" si="42"/>
        <v>-4055545</v>
      </c>
      <c r="J37" s="57"/>
      <c r="K37" s="39">
        <f t="shared" si="43"/>
        <v>0</v>
      </c>
      <c r="L37" s="58">
        <f t="shared" si="44"/>
        <v>4350494</v>
      </c>
      <c r="M37" s="59">
        <f t="shared" si="45"/>
        <v>-4350494</v>
      </c>
      <c r="N37" s="57"/>
      <c r="O37" s="39">
        <f t="shared" si="46"/>
        <v>0</v>
      </c>
      <c r="P37" s="58">
        <f t="shared" si="47"/>
        <v>4290475</v>
      </c>
      <c r="Q37" s="59">
        <f t="shared" si="48"/>
        <v>-4290475</v>
      </c>
      <c r="R37" s="57"/>
      <c r="S37" s="39">
        <f t="shared" si="49"/>
        <v>0</v>
      </c>
      <c r="T37" s="58">
        <f t="shared" si="50"/>
        <v>100003639024</v>
      </c>
      <c r="U37" s="59">
        <f t="shared" si="51"/>
        <v>-100003639024</v>
      </c>
      <c r="V37" s="57"/>
      <c r="W37" s="39">
        <f t="shared" si="52"/>
        <v>0</v>
      </c>
      <c r="X37" s="58">
        <f t="shared" si="53"/>
        <v>3996703</v>
      </c>
      <c r="Y37" s="59">
        <f t="shared" si="54"/>
        <v>-3996703</v>
      </c>
      <c r="Z37" s="57"/>
      <c r="AA37" s="39">
        <f t="shared" si="55"/>
        <v>0</v>
      </c>
      <c r="AB37" s="58">
        <f t="shared" si="56"/>
        <v>3666456</v>
      </c>
      <c r="AC37" s="59">
        <f t="shared" si="57"/>
        <v>-3666456</v>
      </c>
      <c r="AD37" s="57"/>
      <c r="AE37" s="39">
        <f t="shared" si="58"/>
        <v>0</v>
      </c>
      <c r="AF37" s="53">
        <f t="shared" si="59"/>
        <v>3641536</v>
      </c>
      <c r="AG37" s="59">
        <f t="shared" si="60"/>
        <v>-3641536</v>
      </c>
      <c r="AH37" s="57"/>
      <c r="AI37" s="39">
        <f t="shared" si="61"/>
        <v>0</v>
      </c>
      <c r="AJ37" s="53">
        <f t="shared" si="62"/>
        <v>3619460</v>
      </c>
      <c r="AK37" s="59">
        <f t="shared" si="63"/>
        <v>-3619460</v>
      </c>
      <c r="AL37" s="57"/>
      <c r="AM37" s="39">
        <f t="shared" si="64"/>
        <v>0</v>
      </c>
      <c r="AN37" s="53">
        <f t="shared" si="65"/>
        <v>3674008</v>
      </c>
      <c r="AO37" s="59">
        <f t="shared" si="66"/>
        <v>-3674008</v>
      </c>
      <c r="AP37" s="57"/>
      <c r="AQ37" s="39">
        <f t="shared" si="67"/>
        <v>0</v>
      </c>
      <c r="AR37" s="53">
        <f t="shared" si="68"/>
        <v>3647493</v>
      </c>
      <c r="AS37" s="59">
        <f t="shared" si="69"/>
        <v>-3647493</v>
      </c>
      <c r="AT37" s="57"/>
      <c r="AU37" s="60">
        <f t="shared" si="70"/>
        <v>0</v>
      </c>
      <c r="AV37" s="53">
        <f t="shared" si="71"/>
        <v>4790465</v>
      </c>
      <c r="AW37" s="59">
        <f t="shared" si="72"/>
        <v>-4790465</v>
      </c>
    </row>
    <row r="38" ht="15.75" customHeight="1">
      <c r="AI38" s="1">
        <v>8.0</v>
      </c>
    </row>
    <row r="39" ht="15.75" customHeight="1">
      <c r="D39" s="1" t="s">
        <v>59</v>
      </c>
      <c r="H39" s="4">
        <f>1588736*0.92</f>
        <v>1461637.12</v>
      </c>
      <c r="N39" s="61"/>
      <c r="V39" s="4">
        <f>1140625*0.92</f>
        <v>1049375</v>
      </c>
      <c r="Z39" s="4">
        <f>844975*0.92</f>
        <v>777377</v>
      </c>
      <c r="AD39" s="4">
        <f>781000*0.92</f>
        <v>718520</v>
      </c>
      <c r="AI39" s="1">
        <v>8.0</v>
      </c>
    </row>
    <row r="40" ht="15.75" customHeight="1">
      <c r="A40" s="39" t="s">
        <v>124</v>
      </c>
      <c r="B40" s="107">
        <v>57848.0</v>
      </c>
      <c r="C40" s="73" t="s">
        <v>107</v>
      </c>
      <c r="D40" s="107">
        <v>145957.0</v>
      </c>
      <c r="G40" s="47">
        <f t="shared" ref="G40:G55" si="73">MIN(D40,F40)</f>
        <v>145957</v>
      </c>
      <c r="H40" s="110"/>
      <c r="J40" s="1">
        <v>6335567.0</v>
      </c>
      <c r="AI40" s="1">
        <v>1.0</v>
      </c>
    </row>
    <row r="41" ht="15.75" customHeight="1">
      <c r="A41" s="39" t="s">
        <v>125</v>
      </c>
      <c r="B41" s="107">
        <v>54500.0</v>
      </c>
      <c r="C41" s="73" t="s">
        <v>108</v>
      </c>
      <c r="D41" s="107">
        <v>145970.0</v>
      </c>
      <c r="G41" s="47">
        <f t="shared" si="73"/>
        <v>145970</v>
      </c>
      <c r="H41" s="110"/>
      <c r="AI41" s="1">
        <v>9.0</v>
      </c>
    </row>
    <row r="42" ht="15.75" customHeight="1">
      <c r="A42" s="39" t="s">
        <v>126</v>
      </c>
      <c r="B42" s="107">
        <v>48816.0</v>
      </c>
      <c r="C42" s="73" t="s">
        <v>109</v>
      </c>
      <c r="D42" s="107">
        <v>120000.0</v>
      </c>
      <c r="G42" s="47">
        <f t="shared" si="73"/>
        <v>120000</v>
      </c>
      <c r="H42" s="110"/>
      <c r="AP42" s="1">
        <v>6765900.0</v>
      </c>
    </row>
    <row r="43" ht="15.75" customHeight="1">
      <c r="A43" s="39" t="s">
        <v>127</v>
      </c>
      <c r="B43" s="107">
        <v>55686.0</v>
      </c>
      <c r="C43" s="73" t="s">
        <v>110</v>
      </c>
      <c r="D43" s="107">
        <v>145985.0</v>
      </c>
      <c r="G43" s="47">
        <f t="shared" si="73"/>
        <v>145985</v>
      </c>
      <c r="H43" s="110"/>
    </row>
    <row r="44" ht="15.75" customHeight="1">
      <c r="A44" s="39" t="s">
        <v>128</v>
      </c>
      <c r="B44" s="107">
        <v>52993.0</v>
      </c>
      <c r="C44" s="73" t="s">
        <v>111</v>
      </c>
      <c r="D44" s="107"/>
      <c r="E44" s="47">
        <f t="shared" ref="E44:E47" si="74">$B$48*48</f>
        <v>180528</v>
      </c>
      <c r="F44" s="47">
        <f t="shared" ref="F44:F47" si="75">D40+E44</f>
        <v>326485</v>
      </c>
      <c r="G44" s="47">
        <f t="shared" si="73"/>
        <v>326485</v>
      </c>
      <c r="H44" s="110"/>
    </row>
    <row r="45" ht="15.75" customHeight="1">
      <c r="A45" s="39" t="s">
        <v>129</v>
      </c>
      <c r="B45" s="107">
        <v>58995.0</v>
      </c>
      <c r="C45" s="73" t="s">
        <v>112</v>
      </c>
      <c r="D45" s="107">
        <v>319993.0</v>
      </c>
      <c r="E45" s="47">
        <f t="shared" si="74"/>
        <v>180528</v>
      </c>
      <c r="F45" s="47">
        <f t="shared" si="75"/>
        <v>326498</v>
      </c>
      <c r="G45" s="47">
        <f t="shared" si="73"/>
        <v>319993</v>
      </c>
      <c r="H45" s="110"/>
    </row>
    <row r="46" ht="15.75" customHeight="1">
      <c r="A46" s="73" t="s">
        <v>130</v>
      </c>
      <c r="B46" s="107">
        <v>87992.0</v>
      </c>
      <c r="C46" s="73" t="s">
        <v>113</v>
      </c>
      <c r="D46" s="107">
        <v>319991.0</v>
      </c>
      <c r="E46" s="47">
        <f t="shared" si="74"/>
        <v>180528</v>
      </c>
      <c r="F46" s="47">
        <f t="shared" si="75"/>
        <v>300528</v>
      </c>
      <c r="G46" s="47">
        <f t="shared" si="73"/>
        <v>300528</v>
      </c>
      <c r="H46" s="110"/>
    </row>
    <row r="47" ht="15.75" customHeight="1">
      <c r="B47" s="1">
        <v>7993.0</v>
      </c>
      <c r="C47" s="73" t="s">
        <v>114</v>
      </c>
      <c r="D47" s="107">
        <v>330000.0</v>
      </c>
      <c r="E47" s="47">
        <f t="shared" si="74"/>
        <v>180528</v>
      </c>
      <c r="F47" s="47">
        <f t="shared" si="75"/>
        <v>326513</v>
      </c>
      <c r="G47" s="47">
        <f t="shared" si="73"/>
        <v>326513</v>
      </c>
    </row>
    <row r="48" ht="15.75" customHeight="1">
      <c r="A48" s="73" t="s">
        <v>132</v>
      </c>
      <c r="B48" s="107">
        <v>3761.0</v>
      </c>
      <c r="C48" s="73" t="s">
        <v>115</v>
      </c>
      <c r="D48" s="107"/>
      <c r="E48" s="47">
        <f t="shared" ref="E48:E51" si="76">$B$49*48</f>
        <v>646992</v>
      </c>
      <c r="F48" s="47">
        <f t="shared" ref="F48:F55" si="77">MIN(D44,F44)+E48</f>
        <v>973477</v>
      </c>
      <c r="G48" s="47">
        <f t="shared" si="73"/>
        <v>973477</v>
      </c>
      <c r="I48" s="4">
        <f>3762*48</f>
        <v>180576</v>
      </c>
    </row>
    <row r="49" ht="15.75" customHeight="1">
      <c r="A49" s="73" t="s">
        <v>133</v>
      </c>
      <c r="B49" s="107">
        <v>13479.0</v>
      </c>
      <c r="C49" s="73" t="s">
        <v>116</v>
      </c>
      <c r="D49" s="107">
        <v>899980.0</v>
      </c>
      <c r="E49" s="47">
        <f t="shared" si="76"/>
        <v>646992</v>
      </c>
      <c r="F49" s="47">
        <f t="shared" si="77"/>
        <v>966985</v>
      </c>
      <c r="G49" s="47">
        <f t="shared" si="73"/>
        <v>899980</v>
      </c>
      <c r="I49" s="4">
        <f>13496*48</f>
        <v>647808</v>
      </c>
    </row>
    <row r="50" ht="15.75" customHeight="1">
      <c r="A50" s="73" t="s">
        <v>134</v>
      </c>
      <c r="B50" s="107">
        <v>43480.0</v>
      </c>
      <c r="C50" s="73" t="s">
        <v>120</v>
      </c>
      <c r="D50" s="107">
        <v>899992.0</v>
      </c>
      <c r="E50" s="47">
        <f t="shared" si="76"/>
        <v>646992</v>
      </c>
      <c r="F50" s="47">
        <f t="shared" si="77"/>
        <v>947520</v>
      </c>
      <c r="G50" s="47">
        <f t="shared" si="73"/>
        <v>899992</v>
      </c>
    </row>
    <row r="51" ht="15.75" customHeight="1">
      <c r="C51" s="73" t="s">
        <v>135</v>
      </c>
      <c r="D51" s="107">
        <v>999990.0</v>
      </c>
      <c r="E51" s="47">
        <f t="shared" si="76"/>
        <v>646992</v>
      </c>
      <c r="F51" s="47">
        <f t="shared" si="77"/>
        <v>973505</v>
      </c>
      <c r="G51" s="47">
        <f t="shared" si="73"/>
        <v>973505</v>
      </c>
    </row>
    <row r="52" ht="15.75" customHeight="1">
      <c r="A52" s="73" t="s">
        <v>136</v>
      </c>
      <c r="B52" s="107">
        <v>9.9999999999E10</v>
      </c>
      <c r="C52" s="73" t="s">
        <v>113</v>
      </c>
      <c r="D52" s="107"/>
      <c r="E52" s="47">
        <f t="shared" ref="E52:E55" si="78">$B$50*48</f>
        <v>2087040</v>
      </c>
      <c r="F52" s="47">
        <f t="shared" si="77"/>
        <v>3060517</v>
      </c>
      <c r="G52" s="47">
        <f t="shared" si="73"/>
        <v>3060517</v>
      </c>
    </row>
    <row r="53" ht="15.75" customHeight="1">
      <c r="A53" s="73" t="s">
        <v>137</v>
      </c>
      <c r="B53" s="107">
        <v>450000.0</v>
      </c>
      <c r="C53" s="73" t="s">
        <v>117</v>
      </c>
      <c r="D53" s="107">
        <v>4200000.0</v>
      </c>
      <c r="E53" s="47">
        <f t="shared" si="78"/>
        <v>2087040</v>
      </c>
      <c r="F53" s="47">
        <f t="shared" si="77"/>
        <v>2987020</v>
      </c>
      <c r="G53" s="47">
        <f t="shared" si="73"/>
        <v>2987020</v>
      </c>
    </row>
    <row r="54" ht="15.75" customHeight="1">
      <c r="A54" s="73" t="s">
        <v>138</v>
      </c>
      <c r="B54" s="107">
        <v>699999.0</v>
      </c>
      <c r="C54" s="73" t="s">
        <v>121</v>
      </c>
      <c r="D54" s="107"/>
      <c r="E54" s="47">
        <f t="shared" si="78"/>
        <v>2087040</v>
      </c>
      <c r="F54" s="47">
        <f t="shared" si="77"/>
        <v>2987032</v>
      </c>
      <c r="G54" s="47">
        <f t="shared" si="73"/>
        <v>2987032</v>
      </c>
    </row>
    <row r="55" ht="15.75" customHeight="1">
      <c r="A55" s="73" t="s">
        <v>139</v>
      </c>
      <c r="B55" s="107">
        <v>700000.0</v>
      </c>
      <c r="C55" s="73" t="s">
        <v>140</v>
      </c>
      <c r="D55" s="107"/>
      <c r="E55" s="47">
        <f t="shared" si="78"/>
        <v>2087040</v>
      </c>
      <c r="F55" s="47">
        <f t="shared" si="77"/>
        <v>3060545</v>
      </c>
      <c r="G55" s="47">
        <f t="shared" si="73"/>
        <v>3060545</v>
      </c>
    </row>
    <row r="56" ht="15.75" customHeight="1">
      <c r="A56" s="73" t="s">
        <v>141</v>
      </c>
      <c r="B56" s="107">
        <v>9.9999999999E10</v>
      </c>
    </row>
    <row r="57" ht="15.75" customHeight="1">
      <c r="A57" s="73" t="s">
        <v>142</v>
      </c>
      <c r="B57" s="107">
        <v>447998.0</v>
      </c>
    </row>
    <row r="58" ht="15.75" customHeight="1">
      <c r="A58" s="73" t="s">
        <v>143</v>
      </c>
      <c r="B58" s="107">
        <v>15961.0</v>
      </c>
    </row>
    <row r="59" ht="15.75" customHeight="1">
      <c r="A59" s="73" t="s">
        <v>144</v>
      </c>
      <c r="B59" s="107">
        <v>35991.0</v>
      </c>
    </row>
    <row r="60" ht="15.75" customHeight="1">
      <c r="A60" s="73" t="s">
        <v>145</v>
      </c>
      <c r="B60" s="107">
        <v>28985.0</v>
      </c>
    </row>
    <row r="61" ht="15.75" customHeight="1">
      <c r="A61" s="73" t="s">
        <v>146</v>
      </c>
      <c r="B61" s="107">
        <v>34983.0</v>
      </c>
    </row>
    <row r="62" ht="15.75" customHeight="1">
      <c r="A62" s="73" t="s">
        <v>147</v>
      </c>
      <c r="B62" s="107">
        <v>30088.0</v>
      </c>
    </row>
    <row r="63" ht="15.75" customHeight="1">
      <c r="A63" s="73" t="s">
        <v>148</v>
      </c>
      <c r="B63" s="107">
        <v>850000.0</v>
      </c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D1:AG1"/>
    <mergeCell ref="AH1:AK1"/>
    <mergeCell ref="AL1:AO1"/>
    <mergeCell ref="AP1:AS1"/>
    <mergeCell ref="AT1:AW1"/>
    <mergeCell ref="B1:E1"/>
    <mergeCell ref="F1:I1"/>
    <mergeCell ref="J1:M1"/>
    <mergeCell ref="N1:Q1"/>
    <mergeCell ref="R1:U1"/>
    <mergeCell ref="V1:Y1"/>
    <mergeCell ref="Z1:AC1"/>
  </mergeCells>
  <conditionalFormatting sqref="E5:E20 E22:E37 I22:I37 I5:I20 M5:M20 M22:M37 Q5:Q20 Q22:Q37 U22:U37 U5:U20 Y5:Y20 Y22:Y37 AC22:AC37 AC5:AC20 AG5:AG20 AG22:AG37 AK22:AK37 AK5:AK20 AO5:AO20 AO22:AO37 AS22:AS37 AS5:AS20 AW5:AX20 AW22:AX37">
    <cfRule type="cellIs" dxfId="2" priority="1" operator="lessThan">
      <formula>0</formula>
    </cfRule>
  </conditionalFormatting>
  <conditionalFormatting sqref="E5:E20 E22:E37 I22:I37 I5:I20 M5:M20 M22:M37 Q5:Q20 Q22:Q37 U22:U37 U5:U20 Y5:Y20 Y22:Y37 AC22:AC37 AC5:AC20 AG5:AG20 AG22:AG37 AK22:AK37 AK5:AK20 AO5:AO20 AO22:AO37 AS22:AS37 AS5:AS20 AW5:AX20 AW22:AX37">
    <cfRule type="cellIs" dxfId="3" priority="2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6" width="8.71"/>
  </cols>
  <sheetData>
    <row r="1">
      <c r="A1" s="4" t="s">
        <v>165</v>
      </c>
      <c r="B1" s="4">
        <v>6.0</v>
      </c>
      <c r="C1" s="4">
        <v>12.0</v>
      </c>
      <c r="D1" s="4">
        <v>12.0</v>
      </c>
      <c r="E1" s="4">
        <v>6.0</v>
      </c>
      <c r="F1" s="4">
        <v>10.0</v>
      </c>
      <c r="G1" s="4">
        <v>10.0</v>
      </c>
      <c r="H1" s="4">
        <v>6.0</v>
      </c>
      <c r="I1" s="4">
        <v>6.0</v>
      </c>
      <c r="J1" s="4">
        <v>12.0</v>
      </c>
    </row>
    <row r="2">
      <c r="A2" s="4" t="s">
        <v>166</v>
      </c>
      <c r="B2" s="4">
        <v>6.0</v>
      </c>
      <c r="C2" s="4">
        <v>10.0</v>
      </c>
      <c r="D2" s="4">
        <v>12.0</v>
      </c>
      <c r="E2" s="4">
        <v>8.0</v>
      </c>
      <c r="F2" s="4">
        <v>10.0</v>
      </c>
      <c r="G2" s="4">
        <v>12.0</v>
      </c>
      <c r="H2" s="4">
        <v>6.0</v>
      </c>
      <c r="I2" s="4">
        <v>10.0</v>
      </c>
      <c r="J2" s="4">
        <v>10.0</v>
      </c>
      <c r="K2" s="4">
        <v>12.0</v>
      </c>
      <c r="L2" s="4">
        <v>6.0</v>
      </c>
      <c r="M2" s="4">
        <v>8.0</v>
      </c>
      <c r="N2" s="4">
        <v>10.0</v>
      </c>
      <c r="O2" s="4">
        <v>12.0</v>
      </c>
      <c r="P2" s="4">
        <v>6.0</v>
      </c>
      <c r="Q2" s="4">
        <v>6.0</v>
      </c>
      <c r="R2" s="4">
        <v>12.0</v>
      </c>
      <c r="S2" s="4">
        <v>12.0</v>
      </c>
    </row>
    <row r="3">
      <c r="A3" s="4" t="s">
        <v>167</v>
      </c>
      <c r="B3" s="4">
        <v>6.0</v>
      </c>
      <c r="C3" s="4">
        <v>8.0</v>
      </c>
      <c r="D3" s="4">
        <v>8.0</v>
      </c>
      <c r="E3" s="4">
        <v>6.0</v>
      </c>
      <c r="F3" s="4">
        <v>8.0</v>
      </c>
      <c r="G3" s="4">
        <v>10.0</v>
      </c>
      <c r="H3" s="4">
        <v>6.0</v>
      </c>
      <c r="I3" s="4">
        <v>8.0</v>
      </c>
      <c r="J3" s="4">
        <v>10.0</v>
      </c>
    </row>
    <row r="4">
      <c r="A4" s="4" t="s">
        <v>168</v>
      </c>
      <c r="B4" s="4">
        <v>16.0</v>
      </c>
      <c r="C4" s="4">
        <v>16.0</v>
      </c>
      <c r="D4" s="4">
        <v>16.0</v>
      </c>
      <c r="E4" s="4">
        <v>16.0</v>
      </c>
      <c r="F4" s="4">
        <v>18.0</v>
      </c>
      <c r="G4" s="4">
        <v>20.0</v>
      </c>
      <c r="H4" s="4">
        <v>20.0</v>
      </c>
      <c r="I4" s="4">
        <v>22.0</v>
      </c>
      <c r="J4" s="4">
        <v>22.0</v>
      </c>
      <c r="K4" s="4">
        <v>22.0</v>
      </c>
      <c r="L4" s="4">
        <v>20.0</v>
      </c>
      <c r="M4" s="4">
        <v>20.0</v>
      </c>
      <c r="N4" s="4">
        <v>22.0</v>
      </c>
      <c r="O4" s="4">
        <v>20.0</v>
      </c>
      <c r="P4" s="4">
        <v>16.0</v>
      </c>
      <c r="Q4" s="4">
        <v>20.0</v>
      </c>
      <c r="R4" s="4">
        <v>22.0</v>
      </c>
      <c r="S4" s="4">
        <v>22.0</v>
      </c>
    </row>
    <row r="5">
      <c r="A5" s="4" t="s">
        <v>169</v>
      </c>
      <c r="B5" s="4">
        <v>6.0</v>
      </c>
      <c r="C5" s="4">
        <v>10.0</v>
      </c>
      <c r="D5" s="4">
        <v>12.0</v>
      </c>
      <c r="E5" s="4">
        <v>6.0</v>
      </c>
      <c r="F5" s="4">
        <v>8.0</v>
      </c>
      <c r="G5" s="4">
        <v>8.0</v>
      </c>
      <c r="H5" s="4">
        <v>6.0</v>
      </c>
      <c r="I5" s="4">
        <v>6.0</v>
      </c>
      <c r="J5" s="4">
        <v>8.0</v>
      </c>
    </row>
    <row r="6">
      <c r="A6" s="4" t="s">
        <v>170</v>
      </c>
      <c r="B6" s="4">
        <v>6.0</v>
      </c>
      <c r="C6" s="4">
        <v>6.0</v>
      </c>
      <c r="D6" s="4">
        <v>8.0</v>
      </c>
      <c r="E6" s="4">
        <v>6.0</v>
      </c>
      <c r="F6" s="4">
        <v>8.0</v>
      </c>
      <c r="G6" s="4">
        <v>12.0</v>
      </c>
      <c r="H6" s="4">
        <v>6.0</v>
      </c>
      <c r="I6" s="4">
        <v>8.0</v>
      </c>
      <c r="J6" s="4">
        <v>10.0</v>
      </c>
    </row>
    <row r="7">
      <c r="A7" s="4" t="s">
        <v>171</v>
      </c>
      <c r="B7" s="4">
        <v>6.0</v>
      </c>
      <c r="C7" s="4">
        <v>12.0</v>
      </c>
      <c r="D7" s="4">
        <v>12.0</v>
      </c>
      <c r="E7" s="4">
        <v>8.0</v>
      </c>
      <c r="F7" s="4">
        <v>12.0</v>
      </c>
      <c r="G7" s="4">
        <v>12.0</v>
      </c>
      <c r="H7" s="4">
        <v>10.0</v>
      </c>
      <c r="I7" s="4">
        <v>12.0</v>
      </c>
      <c r="J7" s="4">
        <v>12.0</v>
      </c>
      <c r="K7" s="4">
        <v>8.0</v>
      </c>
      <c r="L7" s="4">
        <v>6.0</v>
      </c>
      <c r="M7" s="4">
        <v>12.0</v>
      </c>
      <c r="N7" s="4">
        <v>8.0</v>
      </c>
      <c r="O7" s="4">
        <v>6.0</v>
      </c>
      <c r="P7" s="4">
        <v>6.0</v>
      </c>
      <c r="Q7" s="4">
        <v>10.0</v>
      </c>
      <c r="R7" s="4">
        <v>10.0</v>
      </c>
      <c r="S7" s="4">
        <v>8.0</v>
      </c>
    </row>
    <row r="8">
      <c r="A8" s="4" t="s">
        <v>172</v>
      </c>
      <c r="B8" s="4">
        <v>20.0</v>
      </c>
      <c r="C8" s="4">
        <v>18.0</v>
      </c>
      <c r="D8" s="4">
        <v>22.0</v>
      </c>
      <c r="E8" s="4">
        <v>22.0</v>
      </c>
      <c r="F8" s="4">
        <v>18.0</v>
      </c>
      <c r="G8" s="4">
        <v>16.0</v>
      </c>
      <c r="H8" s="4">
        <v>18.0</v>
      </c>
      <c r="I8" s="4">
        <v>20.0</v>
      </c>
      <c r="J8" s="4">
        <v>20.0</v>
      </c>
    </row>
    <row r="10">
      <c r="H10" s="4">
        <f t="shared" ref="H10:H12" si="1">AVERAGE(B1:G1)</f>
        <v>9.333333333</v>
      </c>
      <c r="I10" s="4">
        <f>H10*365</f>
        <v>3406.666667</v>
      </c>
    </row>
    <row r="11">
      <c r="H11" s="4">
        <f t="shared" si="1"/>
        <v>9.666666667</v>
      </c>
      <c r="I11" s="4">
        <f>H11*359</f>
        <v>3470.333333</v>
      </c>
    </row>
    <row r="12">
      <c r="B12" s="4">
        <f>AVERAGE(B4:S4)</f>
        <v>19.44444444</v>
      </c>
      <c r="C12" s="4">
        <f>265*B12</f>
        <v>5152.777778</v>
      </c>
      <c r="H12" s="4">
        <f t="shared" si="1"/>
        <v>7.666666667</v>
      </c>
      <c r="I12" s="4">
        <f>H12*386</f>
        <v>2959.333333</v>
      </c>
    </row>
    <row r="13">
      <c r="B13" s="4">
        <v>3700.0</v>
      </c>
    </row>
    <row r="14">
      <c r="H14" s="4">
        <f t="shared" ref="H14:H16" si="2">AVERAGE(B5:G5)</f>
        <v>8.333333333</v>
      </c>
      <c r="I14" s="4">
        <f>H14*375</f>
        <v>3125</v>
      </c>
    </row>
    <row r="15">
      <c r="C15" s="4">
        <v>247.0</v>
      </c>
      <c r="H15" s="4">
        <f t="shared" si="2"/>
        <v>7.666666667</v>
      </c>
      <c r="I15" s="4">
        <f>465*H15</f>
        <v>3565</v>
      </c>
    </row>
    <row r="16">
      <c r="H16" s="4">
        <f t="shared" si="2"/>
        <v>10.33333333</v>
      </c>
      <c r="I16" s="4">
        <f>H16*375</f>
        <v>3875</v>
      </c>
    </row>
    <row r="17">
      <c r="C17" s="4">
        <f>C18*C15</f>
        <v>85215</v>
      </c>
      <c r="J17" s="4">
        <f>K17*C18</f>
        <v>9468.333333</v>
      </c>
      <c r="K17" s="4">
        <f>247/9</f>
        <v>27.44444444</v>
      </c>
    </row>
    <row r="18">
      <c r="B18" s="4">
        <v>7496.0</v>
      </c>
      <c r="C18" s="4">
        <v>345.0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3" width="8.71"/>
    <col customWidth="1" min="4" max="4" width="16.71"/>
    <col customWidth="1" min="5" max="5" width="8.71"/>
    <col customWidth="1" min="6" max="6" width="10.86"/>
    <col customWidth="1" min="7" max="8" width="8.71"/>
    <col customWidth="1" min="9" max="9" width="13.14"/>
    <col customWidth="1" min="10" max="26" width="8.71"/>
  </cols>
  <sheetData>
    <row r="1">
      <c r="B1" s="4" t="s">
        <v>173</v>
      </c>
      <c r="C1" s="4" t="s">
        <v>174</v>
      </c>
      <c r="D1" s="4" t="s">
        <v>175</v>
      </c>
      <c r="F1" s="4" t="s">
        <v>176</v>
      </c>
      <c r="G1" s="4" t="s">
        <v>173</v>
      </c>
      <c r="H1" s="4" t="s">
        <v>174</v>
      </c>
      <c r="I1" s="4" t="s">
        <v>177</v>
      </c>
    </row>
    <row r="2">
      <c r="A2" s="4" t="s">
        <v>178</v>
      </c>
      <c r="B2" s="4">
        <v>4785.0</v>
      </c>
      <c r="C2" s="4">
        <v>4787.0</v>
      </c>
      <c r="D2" s="4">
        <v>7600.0</v>
      </c>
      <c r="F2" s="4" t="s">
        <v>165</v>
      </c>
      <c r="G2" s="4">
        <v>1914.0</v>
      </c>
      <c r="H2" s="4">
        <v>1897.0</v>
      </c>
      <c r="I2" s="4">
        <v>364.0</v>
      </c>
    </row>
    <row r="3">
      <c r="A3" s="4" t="s">
        <v>179</v>
      </c>
      <c r="B3" s="4">
        <v>7177.0</v>
      </c>
      <c r="C3" s="4">
        <v>4885.0</v>
      </c>
      <c r="D3" s="4">
        <v>7440.0</v>
      </c>
      <c r="F3" s="4" t="s">
        <v>166</v>
      </c>
      <c r="G3" s="4">
        <v>2871.0</v>
      </c>
      <c r="H3" s="4">
        <v>2500.0</v>
      </c>
      <c r="I3" s="4">
        <v>362.0</v>
      </c>
    </row>
    <row r="4">
      <c r="A4" s="4" t="s">
        <v>180</v>
      </c>
      <c r="B4" s="4">
        <v>9570.0</v>
      </c>
      <c r="C4" s="4">
        <v>9867.0</v>
      </c>
      <c r="D4" s="4">
        <v>7249.0</v>
      </c>
      <c r="F4" s="4" t="s">
        <v>167</v>
      </c>
      <c r="G4" s="4">
        <v>4785.0</v>
      </c>
      <c r="H4" s="4">
        <v>4792.0</v>
      </c>
      <c r="I4" s="4">
        <v>374.0</v>
      </c>
    </row>
    <row r="5">
      <c r="F5" s="4" t="s">
        <v>181</v>
      </c>
      <c r="G5" s="4">
        <v>7177.0</v>
      </c>
      <c r="H5" s="4">
        <v>5594.0</v>
      </c>
      <c r="I5" s="4">
        <v>374.0</v>
      </c>
    </row>
    <row r="6">
      <c r="F6" s="4" t="s">
        <v>182</v>
      </c>
      <c r="G6" s="4">
        <v>9580.0</v>
      </c>
      <c r="H6" s="4">
        <v>9100.0</v>
      </c>
      <c r="I6" s="4">
        <v>380.0</v>
      </c>
    </row>
    <row r="7">
      <c r="F7" s="4" t="s">
        <v>183</v>
      </c>
      <c r="G7" s="4">
        <v>14355.0</v>
      </c>
      <c r="H7" s="4">
        <v>12147.0</v>
      </c>
      <c r="I7" s="4">
        <v>364.0</v>
      </c>
    </row>
    <row r="11">
      <c r="F11" s="4" t="s">
        <v>171</v>
      </c>
      <c r="G11" s="4">
        <v>2871.0</v>
      </c>
      <c r="H11" s="4">
        <v>2630.0</v>
      </c>
      <c r="I11" s="4">
        <v>368.0</v>
      </c>
    </row>
    <row r="12">
      <c r="A12" s="4" t="s">
        <v>184</v>
      </c>
      <c r="B12" s="4">
        <v>23925.0</v>
      </c>
      <c r="C12" s="4">
        <v>14043.0</v>
      </c>
      <c r="D12" s="4">
        <v>6137.0</v>
      </c>
      <c r="F12" s="4" t="s">
        <v>169</v>
      </c>
      <c r="G12" s="4">
        <v>4785.0</v>
      </c>
      <c r="H12" s="4">
        <v>4742.0</v>
      </c>
      <c r="I12" s="4">
        <v>374.0</v>
      </c>
      <c r="P12" s="4">
        <f>4082*0.935</f>
        <v>3816.67</v>
      </c>
      <c r="Q12" s="4">
        <f>3117*0.96</f>
        <v>2992.32</v>
      </c>
      <c r="S12" s="4">
        <f>S13-T12</f>
        <v>46848</v>
      </c>
      <c r="T12" s="4">
        <f>O13*22</f>
        <v>8448</v>
      </c>
    </row>
    <row r="13">
      <c r="A13" s="4" t="s">
        <v>185</v>
      </c>
      <c r="B13" s="4">
        <v>71775.0</v>
      </c>
      <c r="C13" s="4">
        <v>33991.0</v>
      </c>
      <c r="D13" s="4">
        <v>12898.0</v>
      </c>
      <c r="F13" s="4" t="s">
        <v>186</v>
      </c>
      <c r="G13" s="4">
        <v>7177.0</v>
      </c>
      <c r="H13" s="4">
        <v>6100.0</v>
      </c>
      <c r="I13" s="4">
        <v>410.0</v>
      </c>
      <c r="O13" s="4">
        <v>384.0</v>
      </c>
      <c r="S13" s="4">
        <f>O13*144</f>
        <v>55296</v>
      </c>
    </row>
    <row r="14">
      <c r="A14" s="4" t="s">
        <v>187</v>
      </c>
      <c r="B14" s="4">
        <v>215325.0</v>
      </c>
      <c r="C14" s="4">
        <v>107053.0</v>
      </c>
      <c r="D14" s="4">
        <v>31998.0</v>
      </c>
      <c r="F14" s="4" t="s">
        <v>170</v>
      </c>
      <c r="G14" s="4">
        <v>9570.0</v>
      </c>
      <c r="H14" s="4">
        <v>9301.0</v>
      </c>
      <c r="I14" s="4">
        <v>449.0</v>
      </c>
    </row>
    <row r="18">
      <c r="O18" s="4">
        <v>7586.0</v>
      </c>
      <c r="P18" s="4">
        <v>349.0</v>
      </c>
      <c r="Q18" s="4">
        <f t="shared" ref="Q18:Q23" si="1">P18*$H$26</f>
        <v>8040.96</v>
      </c>
      <c r="R18" s="4">
        <f t="shared" ref="R18:R23" si="2">P18*$H$27</f>
        <v>10016.3</v>
      </c>
    </row>
    <row r="19">
      <c r="A19" s="4" t="s">
        <v>188</v>
      </c>
      <c r="B19" s="4">
        <v>23925.0</v>
      </c>
      <c r="C19" s="4">
        <v>23955.0</v>
      </c>
      <c r="D19" s="4">
        <v>8000.0</v>
      </c>
      <c r="O19" s="4">
        <v>7240.0</v>
      </c>
      <c r="P19" s="4">
        <v>347.0</v>
      </c>
      <c r="Q19" s="4">
        <f t="shared" si="1"/>
        <v>7994.88</v>
      </c>
      <c r="R19" s="4">
        <f t="shared" si="2"/>
        <v>9958.9</v>
      </c>
    </row>
    <row r="20">
      <c r="A20" s="4" t="s">
        <v>185</v>
      </c>
      <c r="B20" s="4">
        <v>71774.0</v>
      </c>
      <c r="C20" s="4">
        <v>60497.0</v>
      </c>
      <c r="D20" s="4">
        <v>22800.0</v>
      </c>
      <c r="O20" s="4">
        <v>7240.0</v>
      </c>
      <c r="P20" s="4">
        <v>344.0</v>
      </c>
      <c r="Q20" s="4">
        <f t="shared" si="1"/>
        <v>7925.76</v>
      </c>
      <c r="R20" s="4">
        <f t="shared" si="2"/>
        <v>9872.8</v>
      </c>
    </row>
    <row r="21" ht="15.75" customHeight="1">
      <c r="A21" s="4" t="s">
        <v>187</v>
      </c>
      <c r="B21" s="4">
        <v>215325.0</v>
      </c>
      <c r="C21" s="4">
        <v>100442.0</v>
      </c>
      <c r="D21" s="4">
        <v>41994.0</v>
      </c>
      <c r="O21" s="4">
        <v>7900.0</v>
      </c>
      <c r="P21" s="4">
        <v>352.0</v>
      </c>
      <c r="Q21" s="4">
        <f t="shared" si="1"/>
        <v>8110.08</v>
      </c>
      <c r="R21" s="4">
        <f t="shared" si="2"/>
        <v>10102.4</v>
      </c>
    </row>
    <row r="22" ht="15.75" customHeight="1">
      <c r="O22" s="4">
        <v>7980.0</v>
      </c>
      <c r="P22" s="4">
        <v>371.0</v>
      </c>
      <c r="Q22" s="4">
        <f t="shared" si="1"/>
        <v>8547.84</v>
      </c>
      <c r="R22" s="4">
        <f t="shared" si="2"/>
        <v>10647.7</v>
      </c>
    </row>
    <row r="23" ht="15.75" customHeight="1">
      <c r="O23" s="4">
        <v>7850.0</v>
      </c>
      <c r="P23" s="4">
        <v>344.0</v>
      </c>
      <c r="Q23" s="4">
        <f t="shared" si="1"/>
        <v>7925.76</v>
      </c>
      <c r="R23" s="4">
        <f t="shared" si="2"/>
        <v>9872.8</v>
      </c>
    </row>
    <row r="24" ht="15.75" customHeight="1"/>
    <row r="25" ht="15.75" customHeight="1">
      <c r="K25" s="4">
        <v>6000.0</v>
      </c>
      <c r="L25" s="4">
        <v>245.0</v>
      </c>
      <c r="M25" s="4">
        <f t="shared" ref="M25:M30" si="3">L25*$H$26</f>
        <v>5644.8</v>
      </c>
      <c r="N25" s="4">
        <f t="shared" ref="N25:N30" si="4">L25*$H$27</f>
        <v>7031.5</v>
      </c>
    </row>
    <row r="26" ht="15.75" customHeight="1">
      <c r="H26" s="4">
        <f>20*(100+15.2)/100</f>
        <v>23.04</v>
      </c>
      <c r="I26" s="4">
        <v>15.2</v>
      </c>
      <c r="K26" s="4">
        <v>7000.0</v>
      </c>
      <c r="L26" s="4">
        <v>294.0</v>
      </c>
      <c r="M26" s="4">
        <f t="shared" si="3"/>
        <v>6773.76</v>
      </c>
      <c r="N26" s="4">
        <f t="shared" si="4"/>
        <v>8437.8</v>
      </c>
      <c r="R26" s="4">
        <f>H26*T27</f>
        <v>7188.48</v>
      </c>
    </row>
    <row r="27" ht="15.75" customHeight="1">
      <c r="H27" s="4">
        <f>20*(100+43.5)/100</f>
        <v>28.7</v>
      </c>
      <c r="I27" s="4">
        <v>43.5</v>
      </c>
      <c r="K27" s="4">
        <v>8400.0</v>
      </c>
      <c r="L27" s="4">
        <v>298.0</v>
      </c>
      <c r="M27" s="4">
        <f t="shared" si="3"/>
        <v>6865.92</v>
      </c>
      <c r="N27" s="4">
        <f t="shared" si="4"/>
        <v>8552.6</v>
      </c>
      <c r="R27" s="4">
        <v>7000.0</v>
      </c>
      <c r="S27" s="4">
        <v>363.0</v>
      </c>
      <c r="T27" s="4">
        <v>312.0</v>
      </c>
    </row>
    <row r="28" ht="15.75" customHeight="1">
      <c r="A28" s="4">
        <v>329.0</v>
      </c>
      <c r="B28" s="4">
        <f>A28*0.96</f>
        <v>315.84</v>
      </c>
      <c r="C28" s="4">
        <f>B28*H26</f>
        <v>7276.9536</v>
      </c>
      <c r="K28" s="4">
        <v>8800.0</v>
      </c>
      <c r="L28" s="4">
        <v>348.0</v>
      </c>
      <c r="M28" s="4">
        <f t="shared" si="3"/>
        <v>8017.92</v>
      </c>
      <c r="N28" s="4">
        <f t="shared" si="4"/>
        <v>9987.6</v>
      </c>
    </row>
    <row r="29" ht="15.75" customHeight="1">
      <c r="K29" s="4">
        <v>6960.0</v>
      </c>
      <c r="L29" s="4">
        <v>287.0</v>
      </c>
      <c r="M29" s="4">
        <f t="shared" si="3"/>
        <v>6612.48</v>
      </c>
      <c r="N29" s="4">
        <f t="shared" si="4"/>
        <v>8236.9</v>
      </c>
    </row>
    <row r="30" ht="15.75" customHeight="1">
      <c r="K30" s="4">
        <v>7679.0</v>
      </c>
      <c r="L30" s="4">
        <v>307.0</v>
      </c>
      <c r="M30" s="4">
        <f t="shared" si="3"/>
        <v>7073.28</v>
      </c>
      <c r="N30" s="4">
        <f t="shared" si="4"/>
        <v>8810.9</v>
      </c>
    </row>
    <row r="31" ht="15.75" customHeight="1">
      <c r="A31" s="4">
        <v>67.0</v>
      </c>
      <c r="B31" s="4">
        <v>920.0</v>
      </c>
      <c r="G31" s="4">
        <v>386.0</v>
      </c>
    </row>
    <row r="32" ht="15.75" customHeight="1">
      <c r="C32" s="4">
        <v>48.0</v>
      </c>
      <c r="D32" s="4">
        <f>382*C32</f>
        <v>18336</v>
      </c>
      <c r="G32" s="4">
        <f>360*0.96</f>
        <v>345.6</v>
      </c>
    </row>
    <row r="33" ht="15.75" customHeight="1">
      <c r="C33" s="4">
        <v>56.0</v>
      </c>
      <c r="D33" s="4">
        <f>337*0.96*C33</f>
        <v>18117.12</v>
      </c>
      <c r="G33" s="4">
        <f>376*0.935</f>
        <v>351.56</v>
      </c>
      <c r="O33" s="4">
        <v>7240.0</v>
      </c>
    </row>
    <row r="34" ht="15.75" customHeight="1">
      <c r="A34" s="4">
        <v>15887.0</v>
      </c>
      <c r="P34" s="4">
        <f>Q34*23</f>
        <v>7981</v>
      </c>
      <c r="Q34" s="4">
        <v>347.0</v>
      </c>
    </row>
    <row r="35" ht="15.75" customHeight="1">
      <c r="D35" s="4">
        <v>3820.0</v>
      </c>
      <c r="I35" s="4">
        <f>C33/C32</f>
        <v>1.166666667</v>
      </c>
      <c r="L35" s="4">
        <v>18336.0</v>
      </c>
    </row>
    <row r="36" ht="15.75" customHeight="1">
      <c r="H36" s="4">
        <v>12.0</v>
      </c>
      <c r="L36" s="4">
        <f>7240*6</f>
        <v>43440</v>
      </c>
    </row>
    <row r="37" ht="15.75" customHeight="1">
      <c r="L37" s="4">
        <f>225*6</f>
        <v>1350</v>
      </c>
      <c r="S37" s="4">
        <v>183.0</v>
      </c>
      <c r="T37" s="4">
        <v>209.0</v>
      </c>
    </row>
    <row r="38" ht="15.75" customHeight="1">
      <c r="L38" s="4">
        <v>990.0</v>
      </c>
    </row>
    <row r="39" ht="15.75" customHeight="1">
      <c r="L39" s="4">
        <v>2923.0</v>
      </c>
    </row>
    <row r="40" ht="15.75" customHeight="1">
      <c r="L40" s="4">
        <v>548.0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86"/>
    <col customWidth="1" min="2" max="2" width="7.86"/>
    <col customWidth="1" hidden="1" min="3" max="4" width="11.86"/>
    <col customWidth="1" min="5" max="5" width="12.14"/>
    <col customWidth="1" hidden="1" min="6" max="7" width="15.71"/>
    <col customWidth="1" min="8" max="8" width="12.43"/>
    <col customWidth="1" min="9" max="9" width="20.86"/>
    <col customWidth="1" min="10" max="10" width="13.29"/>
    <col customWidth="1" min="11" max="11" width="17.57"/>
    <col customWidth="1" min="12" max="12" width="22.86"/>
    <col customWidth="1" min="13" max="13" width="21.14"/>
    <col customWidth="1" min="14" max="14" width="22.86"/>
    <col customWidth="1" min="15" max="15" width="10.14"/>
    <col customWidth="1" min="16" max="16" width="12.43"/>
    <col customWidth="1" min="17" max="17" width="22.71"/>
    <col customWidth="1" min="18" max="18" width="10.0"/>
    <col customWidth="1" min="19" max="19" width="12.43"/>
    <col customWidth="1" min="20" max="20" width="11.71"/>
    <col customWidth="1" min="21" max="21" width="23.71"/>
    <col customWidth="1" min="22" max="22" width="10.14"/>
    <col customWidth="1" min="23" max="26" width="8.71"/>
  </cols>
  <sheetData>
    <row r="1">
      <c r="A1" s="115" t="s">
        <v>189</v>
      </c>
      <c r="B1" s="116" t="s">
        <v>190</v>
      </c>
      <c r="C1" s="117" t="s">
        <v>191</v>
      </c>
      <c r="D1" s="118" t="s">
        <v>192</v>
      </c>
      <c r="E1" s="116" t="s">
        <v>84</v>
      </c>
      <c r="F1" s="117" t="s">
        <v>193</v>
      </c>
      <c r="G1" s="118" t="s">
        <v>194</v>
      </c>
      <c r="H1" s="119" t="s">
        <v>105</v>
      </c>
      <c r="I1" s="120" t="s">
        <v>195</v>
      </c>
      <c r="J1" s="121" t="s">
        <v>196</v>
      </c>
      <c r="K1" s="120" t="s">
        <v>197</v>
      </c>
      <c r="L1" s="121" t="s">
        <v>198</v>
      </c>
      <c r="M1" s="120" t="s">
        <v>199</v>
      </c>
      <c r="N1" s="122" t="s">
        <v>200</v>
      </c>
    </row>
    <row r="2">
      <c r="A2" s="123" t="s">
        <v>201</v>
      </c>
      <c r="B2" s="124">
        <v>154.0</v>
      </c>
      <c r="C2" s="125">
        <f>B2*$T$6*$T$7</f>
        <v>242.5808</v>
      </c>
      <c r="D2" s="126">
        <f>B2*$T$6*$T$8</f>
        <v>161.95025</v>
      </c>
      <c r="E2" s="124">
        <v>83.0</v>
      </c>
      <c r="F2" s="125">
        <f>E2*$T$5*$T$7</f>
        <v>134.3936</v>
      </c>
      <c r="G2" s="126">
        <f>E2*$T$5*$T$8</f>
        <v>89.723</v>
      </c>
      <c r="H2" s="127">
        <f>175*10</f>
        <v>1750</v>
      </c>
      <c r="I2" s="128"/>
      <c r="J2" s="129">
        <f t="shared" ref="J2:J41" si="1">(C2)/(H2+I2*$T$7)</f>
        <v>0.1386176</v>
      </c>
      <c r="K2" s="130">
        <f t="shared" ref="K2:K41" si="2">(D2)/(H2+I2*$T$8)</f>
        <v>0.092543</v>
      </c>
      <c r="L2" s="131">
        <f t="shared" ref="L2:L41" si="3">(F2)/(H2+I2*$T$7)</f>
        <v>0.07679634286</v>
      </c>
      <c r="M2" s="132">
        <f t="shared" ref="M2:M41" si="4">(G2)/(H2+I2*$T$8)</f>
        <v>0.05127028571</v>
      </c>
      <c r="N2" s="133" t="s">
        <v>202</v>
      </c>
      <c r="O2" s="134" t="s">
        <v>203</v>
      </c>
      <c r="P2" s="135" t="s">
        <v>105</v>
      </c>
      <c r="Q2" s="136" t="s">
        <v>202</v>
      </c>
      <c r="R2" s="136" t="s">
        <v>203</v>
      </c>
      <c r="S2" s="137" t="s">
        <v>105</v>
      </c>
      <c r="T2" s="138" t="s">
        <v>204</v>
      </c>
      <c r="U2" s="139" t="s">
        <v>202</v>
      </c>
      <c r="V2" s="140" t="s">
        <v>203</v>
      </c>
    </row>
    <row r="3">
      <c r="A3" s="123" t="s">
        <v>205</v>
      </c>
      <c r="B3" s="124">
        <v>378.0</v>
      </c>
      <c r="C3" s="125">
        <f>B3*$T$6*$T$7*10</f>
        <v>5954.256</v>
      </c>
      <c r="D3" s="126">
        <f>B3*$T$6*$T$8*10</f>
        <v>3975.1425</v>
      </c>
      <c r="E3" s="124">
        <v>327.0</v>
      </c>
      <c r="F3" s="125">
        <f>E3*$T$5*$T$7*10</f>
        <v>5294.784</v>
      </c>
      <c r="G3" s="126">
        <f>E3*$T$5*$T$8*10</f>
        <v>3534.87</v>
      </c>
      <c r="H3" s="127">
        <f>R24*16</f>
        <v>6224</v>
      </c>
      <c r="I3" s="128"/>
      <c r="J3" s="129">
        <f t="shared" si="1"/>
        <v>0.9566606684</v>
      </c>
      <c r="K3" s="130">
        <f t="shared" si="2"/>
        <v>0.6386797076</v>
      </c>
      <c r="L3" s="131">
        <f t="shared" si="3"/>
        <v>0.8507043702</v>
      </c>
      <c r="M3" s="132">
        <f t="shared" si="4"/>
        <v>0.567941838</v>
      </c>
      <c r="N3" s="141" t="s">
        <v>206</v>
      </c>
      <c r="O3" s="142">
        <v>7777.0</v>
      </c>
      <c r="P3" s="143"/>
      <c r="Q3" s="141" t="s">
        <v>24</v>
      </c>
      <c r="R3" s="144">
        <f>'Лист1'!C24</f>
        <v>1499</v>
      </c>
      <c r="S3" s="145"/>
      <c r="T3" s="135">
        <v>0.152</v>
      </c>
      <c r="U3" s="146" t="s">
        <v>207</v>
      </c>
      <c r="V3" s="146">
        <v>2480.0</v>
      </c>
    </row>
    <row r="4">
      <c r="A4" s="123" t="s">
        <v>208</v>
      </c>
      <c r="B4" s="124">
        <v>1999.0</v>
      </c>
      <c r="C4" s="125">
        <f>B4*$T$6*$T$7</f>
        <v>3148.8248</v>
      </c>
      <c r="D4" s="126">
        <f>B4*$T$6*$T$8</f>
        <v>2102.198375</v>
      </c>
      <c r="E4" s="124">
        <v>1604.0</v>
      </c>
      <c r="F4" s="125">
        <f>E4*$T$5*$T$7</f>
        <v>2597.1968</v>
      </c>
      <c r="G4" s="126">
        <f>E4*$T$5*$T$8</f>
        <v>1733.924</v>
      </c>
      <c r="H4" s="127">
        <f>R4+R24*2</f>
        <v>2178</v>
      </c>
      <c r="I4" s="128"/>
      <c r="J4" s="129">
        <f t="shared" si="1"/>
        <v>1.445741414</v>
      </c>
      <c r="K4" s="130">
        <f t="shared" si="2"/>
        <v>0.9651966827</v>
      </c>
      <c r="L4" s="131">
        <f t="shared" si="3"/>
        <v>1.192468687</v>
      </c>
      <c r="M4" s="132">
        <f t="shared" si="4"/>
        <v>0.7961083563</v>
      </c>
      <c r="N4" s="147" t="s">
        <v>209</v>
      </c>
      <c r="O4" s="148">
        <v>344.0</v>
      </c>
      <c r="P4" s="149">
        <f>(O3+(T12*0.8993))/$T$10</f>
        <v>348.6483348</v>
      </c>
      <c r="Q4" s="147" t="s">
        <v>35</v>
      </c>
      <c r="R4" s="150">
        <f>'Лист1'!C35</f>
        <v>1400</v>
      </c>
      <c r="S4" s="151"/>
      <c r="T4" s="152">
        <v>0.435</v>
      </c>
      <c r="U4" s="153" t="s">
        <v>210</v>
      </c>
      <c r="V4" s="153">
        <v>7898.0</v>
      </c>
    </row>
    <row r="5">
      <c r="A5" s="123" t="s">
        <v>211</v>
      </c>
      <c r="B5" s="124">
        <v>458.0</v>
      </c>
      <c r="C5" s="125">
        <f>B5*$T$6*$T$7*10</f>
        <v>7214.416</v>
      </c>
      <c r="D5" s="126">
        <f>B5*$T$6*$T$8*10</f>
        <v>4816.4425</v>
      </c>
      <c r="E5" s="124">
        <v>1.0</v>
      </c>
      <c r="F5" s="125">
        <f>E5*$T$5*$T$7*10</f>
        <v>16.192</v>
      </c>
      <c r="G5" s="126">
        <f>E5*$T$5*$T$8*10</f>
        <v>10.81</v>
      </c>
      <c r="H5" s="127">
        <f>R24*8+R25*8</f>
        <v>6224</v>
      </c>
      <c r="I5" s="128"/>
      <c r="J5" s="129">
        <f t="shared" si="1"/>
        <v>1.159128535</v>
      </c>
      <c r="K5" s="130">
        <f t="shared" si="2"/>
        <v>0.7738500161</v>
      </c>
      <c r="L5" s="131">
        <f t="shared" si="3"/>
        <v>0.002601542416</v>
      </c>
      <c r="M5" s="132">
        <f t="shared" si="4"/>
        <v>0.001736825193</v>
      </c>
      <c r="N5" s="154" t="s">
        <v>212</v>
      </c>
      <c r="O5" s="155">
        <v>34.0</v>
      </c>
      <c r="P5" s="156"/>
      <c r="Q5" s="147" t="s">
        <v>26</v>
      </c>
      <c r="R5" s="150">
        <f>'Лист1'!C26</f>
        <v>1390</v>
      </c>
      <c r="S5" s="151"/>
      <c r="T5" s="157">
        <v>0.92</v>
      </c>
      <c r="U5" s="153" t="s">
        <v>131</v>
      </c>
      <c r="V5" s="158">
        <v>7789.0</v>
      </c>
    </row>
    <row r="6">
      <c r="A6" s="123" t="s">
        <v>213</v>
      </c>
      <c r="B6" s="124">
        <v>597.0</v>
      </c>
      <c r="C6" s="125">
        <f>B6*$T$6*$T$7</f>
        <v>940.3944</v>
      </c>
      <c r="D6" s="126">
        <f>B6*$T$6*$T$8</f>
        <v>627.820125</v>
      </c>
      <c r="E6" s="124">
        <v>256.0</v>
      </c>
      <c r="F6" s="125">
        <f>E6*$T$5*$T$7</f>
        <v>414.5152</v>
      </c>
      <c r="G6" s="126">
        <f>E6*$T$5*$T$8</f>
        <v>276.736</v>
      </c>
      <c r="H6" s="127">
        <f>R13+R17+R25</f>
        <v>2581</v>
      </c>
      <c r="I6" s="128"/>
      <c r="J6" s="129">
        <f t="shared" si="1"/>
        <v>0.3643527315</v>
      </c>
      <c r="K6" s="130">
        <f t="shared" si="2"/>
        <v>0.243246852</v>
      </c>
      <c r="L6" s="131">
        <f t="shared" si="3"/>
        <v>0.1606025571</v>
      </c>
      <c r="M6" s="132">
        <f t="shared" si="4"/>
        <v>0.1072204572</v>
      </c>
      <c r="N6" s="159" t="s">
        <v>214</v>
      </c>
      <c r="O6" s="160">
        <v>6999.0</v>
      </c>
      <c r="P6" s="161"/>
      <c r="Q6" s="147" t="s">
        <v>215</v>
      </c>
      <c r="R6" s="150">
        <f>'Лист1'!C39</f>
        <v>3290</v>
      </c>
      <c r="S6" s="151"/>
      <c r="T6" s="157">
        <v>0.895</v>
      </c>
      <c r="U6" s="162" t="s">
        <v>216</v>
      </c>
      <c r="V6" s="162">
        <v>21970.0</v>
      </c>
    </row>
    <row r="7">
      <c r="A7" s="123" t="s">
        <v>217</v>
      </c>
      <c r="B7" s="124">
        <v>1098.0</v>
      </c>
      <c r="C7" s="125">
        <f t="shared" ref="C7:C8" si="5">B7*$T$6*$T$7*10</f>
        <v>17295.696</v>
      </c>
      <c r="D7" s="126">
        <f t="shared" ref="D7:D8" si="6">B7*$T$6*$T$8*10</f>
        <v>11546.8425</v>
      </c>
      <c r="E7" s="124">
        <v>803.0</v>
      </c>
      <c r="F7" s="125">
        <f t="shared" ref="F7:F8" si="7">E7*$T$5*$T$7*10</f>
        <v>13002.176</v>
      </c>
      <c r="G7" s="126">
        <f t="shared" ref="G7:G8" si="8">E7*$T$5*$T$8*10</f>
        <v>8680.43</v>
      </c>
      <c r="H7" s="127">
        <f>R26*48+I7*$T$11</f>
        <v>19835.04</v>
      </c>
      <c r="I7" s="163">
        <v>2.16</v>
      </c>
      <c r="J7" s="129">
        <f t="shared" si="1"/>
        <v>0.8718097734</v>
      </c>
      <c r="K7" s="130">
        <f t="shared" si="2"/>
        <v>0.5820691669</v>
      </c>
      <c r="L7" s="131">
        <f t="shared" si="3"/>
        <v>0.6553898792</v>
      </c>
      <c r="M7" s="132">
        <f t="shared" si="4"/>
        <v>0.4375750911</v>
      </c>
      <c r="N7" s="147" t="s">
        <v>218</v>
      </c>
      <c r="O7" s="148">
        <v>376.0</v>
      </c>
      <c r="P7" s="149">
        <f>(O6+(T12*0.8993))/$T$10</f>
        <v>314.8222478</v>
      </c>
      <c r="Q7" s="147" t="s">
        <v>219</v>
      </c>
      <c r="R7" s="150">
        <f>'Лист1'!C33</f>
        <v>3399</v>
      </c>
      <c r="S7" s="151"/>
      <c r="T7" s="152">
        <v>1.76</v>
      </c>
      <c r="U7" s="152"/>
      <c r="V7" s="2"/>
    </row>
    <row r="8">
      <c r="A8" s="123" t="s">
        <v>220</v>
      </c>
      <c r="B8" s="124">
        <v>482.0</v>
      </c>
      <c r="C8" s="125">
        <f t="shared" si="5"/>
        <v>7592.464</v>
      </c>
      <c r="D8" s="126">
        <f t="shared" si="6"/>
        <v>5068.8325</v>
      </c>
      <c r="E8" s="124">
        <v>379.0</v>
      </c>
      <c r="F8" s="125">
        <f t="shared" si="7"/>
        <v>6136.768</v>
      </c>
      <c r="G8" s="126">
        <f t="shared" si="8"/>
        <v>4096.99</v>
      </c>
      <c r="H8" s="127">
        <f>R26*2+MIN(R27:S27)*4+P4*8+I8*$T$11</f>
        <v>5342.377278</v>
      </c>
      <c r="I8" s="163">
        <v>0.6299</v>
      </c>
      <c r="J8" s="129">
        <f t="shared" si="1"/>
        <v>1.420882199</v>
      </c>
      <c r="K8" s="130">
        <f t="shared" si="2"/>
        <v>0.9486657527</v>
      </c>
      <c r="L8" s="131">
        <f t="shared" si="3"/>
        <v>1.148457788</v>
      </c>
      <c r="M8" s="132">
        <f t="shared" si="4"/>
        <v>0.7667789579</v>
      </c>
      <c r="N8" s="147" t="s">
        <v>221</v>
      </c>
      <c r="O8" s="148">
        <v>30.0</v>
      </c>
      <c r="P8" s="149"/>
      <c r="Q8" s="147" t="s">
        <v>42</v>
      </c>
      <c r="R8" s="148">
        <f>'Лист1'!C42</f>
        <v>24422</v>
      </c>
      <c r="S8" s="151"/>
      <c r="T8" s="157">
        <v>1.175</v>
      </c>
      <c r="U8" s="152"/>
      <c r="V8" s="2"/>
    </row>
    <row r="9">
      <c r="A9" s="164" t="s">
        <v>222</v>
      </c>
      <c r="B9" s="124">
        <v>598.0</v>
      </c>
      <c r="C9" s="125">
        <f>B9*$T$6*$T$7</f>
        <v>941.9696</v>
      </c>
      <c r="D9" s="126">
        <f>B9*$T$6*$T$8</f>
        <v>628.87175</v>
      </c>
      <c r="E9" s="124">
        <v>346.0</v>
      </c>
      <c r="F9" s="47">
        <f>E9*$T$5*$T$7</f>
        <v>560.2432</v>
      </c>
      <c r="G9" s="165">
        <f>E9*$T$5*$T$8</f>
        <v>374.026</v>
      </c>
      <c r="H9" s="66">
        <f>R14+MIN(R27:S27)+O5+I9*$T$11</f>
        <v>2254.7528</v>
      </c>
      <c r="I9" s="166">
        <v>0.1012</v>
      </c>
      <c r="J9" s="129">
        <f t="shared" si="1"/>
        <v>0.4177376766</v>
      </c>
      <c r="K9" s="130">
        <f t="shared" si="2"/>
        <v>0.2788946915</v>
      </c>
      <c r="L9" s="131">
        <f t="shared" si="3"/>
        <v>0.2484524901</v>
      </c>
      <c r="M9" s="132">
        <f t="shared" si="4"/>
        <v>0.1658746253</v>
      </c>
      <c r="N9" s="154" t="s">
        <v>223</v>
      </c>
      <c r="O9" s="155">
        <v>255.0</v>
      </c>
      <c r="P9" s="156"/>
      <c r="Q9" s="147" t="s">
        <v>27</v>
      </c>
      <c r="R9" s="150">
        <f>'Лист1'!C27</f>
        <v>3496</v>
      </c>
      <c r="S9" s="151"/>
      <c r="T9" s="152">
        <v>1.152</v>
      </c>
      <c r="U9" s="152"/>
      <c r="V9" s="2"/>
    </row>
    <row r="10">
      <c r="A10" s="123" t="s">
        <v>224</v>
      </c>
      <c r="B10" s="124">
        <v>366.0</v>
      </c>
      <c r="C10" s="125">
        <f>B10*$T$6*$T$7*10</f>
        <v>5765.232</v>
      </c>
      <c r="D10" s="126">
        <f>B10*$T$6*$T$8*10</f>
        <v>3848.9475</v>
      </c>
      <c r="E10" s="124">
        <v>143.0</v>
      </c>
      <c r="F10" s="125">
        <f>E10*$T$5*$T$7*10</f>
        <v>2315.456</v>
      </c>
      <c r="G10" s="126">
        <f>E10*$T$5*$T$8*10</f>
        <v>1545.83</v>
      </c>
      <c r="H10" s="127">
        <f>R26*4+MIN(O4:P4)*8+O5*2+I10*$T$11</f>
        <v>4605.1906</v>
      </c>
      <c r="I10" s="163">
        <v>0.6299</v>
      </c>
      <c r="J10" s="129">
        <f t="shared" si="1"/>
        <v>1.251597371</v>
      </c>
      <c r="K10" s="130">
        <f t="shared" si="2"/>
        <v>0.8356503221</v>
      </c>
      <c r="L10" s="131">
        <f t="shared" si="3"/>
        <v>0.5026716432</v>
      </c>
      <c r="M10" s="132">
        <f t="shared" si="4"/>
        <v>0.3356172921</v>
      </c>
      <c r="N10" s="159" t="s">
        <v>225</v>
      </c>
      <c r="O10" s="160">
        <v>8594.0</v>
      </c>
      <c r="P10" s="161"/>
      <c r="Q10" s="147" t="s">
        <v>226</v>
      </c>
      <c r="R10" s="150">
        <f>'Лист1'!C37</f>
        <v>4950</v>
      </c>
      <c r="S10" s="151"/>
      <c r="T10" s="167">
        <v>23.0</v>
      </c>
      <c r="U10" s="152"/>
      <c r="V10" s="2"/>
    </row>
    <row r="11">
      <c r="A11" s="164" t="s">
        <v>227</v>
      </c>
      <c r="B11" s="168">
        <v>884.0</v>
      </c>
      <c r="C11" s="125">
        <f>B11*$T$6*$T$7</f>
        <v>1392.4768</v>
      </c>
      <c r="D11" s="126">
        <f>B11*$T$6*$T$8</f>
        <v>929.6365</v>
      </c>
      <c r="E11" s="124">
        <v>559.0</v>
      </c>
      <c r="F11" s="47">
        <f>E11*$T$5*$T$7</f>
        <v>905.1328</v>
      </c>
      <c r="G11" s="165">
        <f>E11*$T$5*$T$8</f>
        <v>604.279</v>
      </c>
      <c r="H11" s="66">
        <f>R18+R5+O5+I11*$T$11</f>
        <v>1868.7528</v>
      </c>
      <c r="I11" s="166">
        <v>0.1012</v>
      </c>
      <c r="J11" s="129">
        <f t="shared" si="1"/>
        <v>0.7450659578</v>
      </c>
      <c r="K11" s="130">
        <f t="shared" si="2"/>
        <v>0.4974319505</v>
      </c>
      <c r="L11" s="131">
        <f t="shared" si="3"/>
        <v>0.4843051149</v>
      </c>
      <c r="M11" s="132">
        <f t="shared" si="4"/>
        <v>0.3233389412</v>
      </c>
      <c r="N11" s="147" t="s">
        <v>228</v>
      </c>
      <c r="O11" s="148">
        <v>353.0</v>
      </c>
      <c r="P11" s="149">
        <f>(O10+(T12*0.8993))/$T$10</f>
        <v>384.1700739</v>
      </c>
      <c r="Q11" s="147" t="s">
        <v>229</v>
      </c>
      <c r="R11" s="150">
        <f>'Лист1'!C32</f>
        <v>1397</v>
      </c>
      <c r="S11" s="151"/>
      <c r="T11" s="11">
        <v>294.0</v>
      </c>
      <c r="U11" s="157" t="s">
        <v>189</v>
      </c>
      <c r="V11" s="2"/>
    </row>
    <row r="12">
      <c r="A12" s="164" t="s">
        <v>230</v>
      </c>
      <c r="B12" s="124">
        <v>354.0</v>
      </c>
      <c r="C12" s="125">
        <f>B12*$T$6*$T$7*10</f>
        <v>5576.208</v>
      </c>
      <c r="D12" s="126">
        <f>B12*$T$6*10</f>
        <v>3168.3</v>
      </c>
      <c r="E12" s="169">
        <v>290.0</v>
      </c>
      <c r="F12" s="47">
        <f>E12*$T$5*$T$7*10</f>
        <v>4695.68</v>
      </c>
      <c r="G12" s="165">
        <f>E12*$T$5*$T$8*10</f>
        <v>3134.9</v>
      </c>
      <c r="H12" s="66">
        <f>MIN(O4:P4)*8+R25*4+O9*4+I12*$T$11</f>
        <v>5539.6506</v>
      </c>
      <c r="I12" s="166">
        <v>0.7199</v>
      </c>
      <c r="J12" s="129">
        <f t="shared" si="1"/>
        <v>1.006369049</v>
      </c>
      <c r="K12" s="130">
        <f t="shared" si="2"/>
        <v>0.5718440595</v>
      </c>
      <c r="L12" s="131">
        <f t="shared" si="3"/>
        <v>0.8474552987</v>
      </c>
      <c r="M12" s="132">
        <f t="shared" si="4"/>
        <v>0.5658157188</v>
      </c>
      <c r="N12" s="154" t="s">
        <v>172</v>
      </c>
      <c r="O12" s="155">
        <v>380.0</v>
      </c>
      <c r="P12" s="156"/>
      <c r="Q12" s="147" t="s">
        <v>231</v>
      </c>
      <c r="R12" s="150">
        <f>'Лист1'!C25</f>
        <v>3494</v>
      </c>
      <c r="S12" s="151"/>
      <c r="T12" s="11">
        <v>269.0</v>
      </c>
      <c r="U12" s="157" t="s">
        <v>232</v>
      </c>
      <c r="V12" s="2"/>
    </row>
    <row r="13">
      <c r="A13" s="123" t="s">
        <v>233</v>
      </c>
      <c r="B13" s="124">
        <v>1100.0</v>
      </c>
      <c r="C13" s="125">
        <f>B13*$T$6*$T$7</f>
        <v>1732.72</v>
      </c>
      <c r="D13" s="126">
        <f>B13*$T$6*$T$8</f>
        <v>1156.7875</v>
      </c>
      <c r="E13" s="124">
        <v>1000.0</v>
      </c>
      <c r="F13" s="125">
        <f>E13*$T$5*$T$7</f>
        <v>1619.2</v>
      </c>
      <c r="G13" s="126">
        <f>E13*$T$5*$T$8</f>
        <v>1081</v>
      </c>
      <c r="H13" s="127">
        <f>R15+R18+O9+I13*$T$11</f>
        <v>2238.7528</v>
      </c>
      <c r="I13" s="163">
        <v>0.1012</v>
      </c>
      <c r="J13" s="129">
        <f t="shared" si="1"/>
        <v>0.7739050771</v>
      </c>
      <c r="K13" s="130">
        <f t="shared" si="2"/>
        <v>0.5166832449</v>
      </c>
      <c r="L13" s="131">
        <f t="shared" si="3"/>
        <v>0.7232023067</v>
      </c>
      <c r="M13" s="132">
        <f t="shared" si="4"/>
        <v>0.4828324889</v>
      </c>
      <c r="N13" s="159" t="s">
        <v>234</v>
      </c>
      <c r="O13" s="160">
        <v>8498.0</v>
      </c>
      <c r="P13" s="161"/>
      <c r="Q13" s="147" t="s">
        <v>40</v>
      </c>
      <c r="R13" s="150">
        <f>'Лист1'!C40</f>
        <v>1800</v>
      </c>
      <c r="S13" s="151"/>
      <c r="T13" s="11">
        <v>999.0</v>
      </c>
      <c r="U13" s="157" t="s">
        <v>235</v>
      </c>
      <c r="V13" s="2"/>
    </row>
    <row r="14">
      <c r="A14" s="123" t="s">
        <v>236</v>
      </c>
      <c r="B14" s="124">
        <v>1766.0</v>
      </c>
      <c r="C14" s="125">
        <f>B14*$T$6*$T$7*10</f>
        <v>27818.032</v>
      </c>
      <c r="D14" s="126">
        <f>B14*$T$6*$T$8*10</f>
        <v>18571.6975</v>
      </c>
      <c r="E14" s="124">
        <v>1207.0</v>
      </c>
      <c r="F14" s="125">
        <f>E14*$T$5*$T$7*10</f>
        <v>19543.744</v>
      </c>
      <c r="G14" s="126">
        <f>E14*$T$5*$T$8*10</f>
        <v>13047.67</v>
      </c>
      <c r="H14" s="127">
        <f>R29*24+R26*24+I14*$T$11</f>
        <v>19739.04</v>
      </c>
      <c r="I14" s="163">
        <v>2.16</v>
      </c>
      <c r="J14" s="129">
        <f t="shared" si="1"/>
        <v>1.409018649</v>
      </c>
      <c r="K14" s="130">
        <f t="shared" si="2"/>
        <v>0.9407402742</v>
      </c>
      <c r="L14" s="131">
        <f t="shared" si="3"/>
        <v>0.9899154537</v>
      </c>
      <c r="M14" s="132">
        <f t="shared" si="4"/>
        <v>0.6609233568</v>
      </c>
      <c r="N14" s="147" t="s">
        <v>237</v>
      </c>
      <c r="O14" s="148">
        <v>355.0</v>
      </c>
      <c r="P14" s="149">
        <f>(O13+(T12*0.8993))/$T$10</f>
        <v>379.9961609</v>
      </c>
      <c r="Q14" s="147" t="s">
        <v>29</v>
      </c>
      <c r="R14" s="150">
        <f>'Лист1'!C29</f>
        <v>1799</v>
      </c>
      <c r="S14" s="151"/>
      <c r="T14" s="2"/>
      <c r="U14" s="152"/>
      <c r="V14" s="2"/>
    </row>
    <row r="15">
      <c r="A15" s="123" t="s">
        <v>238</v>
      </c>
      <c r="B15" s="124">
        <v>4916.0</v>
      </c>
      <c r="C15" s="125">
        <f>B15*$T$6*$T$7</f>
        <v>7743.6832</v>
      </c>
      <c r="D15" s="126">
        <f>B15*$T$6*$T$8</f>
        <v>5169.7885</v>
      </c>
      <c r="E15" s="124">
        <v>1238.0</v>
      </c>
      <c r="F15" s="125">
        <f>E15*$T$5*$T$7</f>
        <v>2004.5696</v>
      </c>
      <c r="G15" s="126">
        <f>E15*$T$5*$T$8</f>
        <v>1338.278</v>
      </c>
      <c r="H15" s="127">
        <f>R16+R29*2+R19*2+MIN(O7:P7)*2+I15*$T$11</f>
        <v>6059.639496</v>
      </c>
      <c r="I15" s="163">
        <v>0.2925</v>
      </c>
      <c r="J15" s="129">
        <f t="shared" si="1"/>
        <v>1.277802977</v>
      </c>
      <c r="K15" s="130">
        <f t="shared" si="2"/>
        <v>0.85310278</v>
      </c>
      <c r="L15" s="131">
        <f t="shared" si="3"/>
        <v>0.3307786406</v>
      </c>
      <c r="M15" s="132">
        <f t="shared" si="4"/>
        <v>0.2208385666</v>
      </c>
      <c r="N15" s="147" t="s">
        <v>239</v>
      </c>
      <c r="O15" s="148">
        <v>305.0</v>
      </c>
      <c r="P15" s="149"/>
      <c r="Q15" s="147" t="s">
        <v>38</v>
      </c>
      <c r="R15" s="150">
        <f>'Лист1'!C38</f>
        <v>1539</v>
      </c>
      <c r="S15" s="151"/>
      <c r="T15" s="2"/>
      <c r="U15" s="152"/>
      <c r="V15" s="2"/>
    </row>
    <row r="16">
      <c r="A16" s="123" t="s">
        <v>240</v>
      </c>
      <c r="B16" s="124">
        <v>367.0</v>
      </c>
      <c r="C16" s="125">
        <f>B16*$T$6*$T$7*10</f>
        <v>5780.984</v>
      </c>
      <c r="D16" s="126">
        <f>B16*$T$6*$T$8*10</f>
        <v>3859.46375</v>
      </c>
      <c r="E16" s="124">
        <v>134.0</v>
      </c>
      <c r="F16" s="125">
        <f>E16*$T$5*$T$7*10</f>
        <v>2169.728</v>
      </c>
      <c r="G16" s="126">
        <f>E16*$T$5*$T$8*10</f>
        <v>1448.54</v>
      </c>
      <c r="H16" s="127">
        <f>R29*4+MIN(R28:S28)*4+MIN(O7:P7)*8+I16*$T$11</f>
        <v>5727.083694</v>
      </c>
      <c r="I16" s="163">
        <v>0.7199</v>
      </c>
      <c r="J16" s="129">
        <f t="shared" si="1"/>
        <v>1.009188209</v>
      </c>
      <c r="K16" s="130">
        <f t="shared" si="2"/>
        <v>0.6737973466</v>
      </c>
      <c r="L16" s="131">
        <f t="shared" si="3"/>
        <v>0.3787701045</v>
      </c>
      <c r="M16" s="132">
        <f t="shared" si="4"/>
        <v>0.252890679</v>
      </c>
      <c r="N16" s="154" t="s">
        <v>241</v>
      </c>
      <c r="O16" s="155">
        <v>302.0</v>
      </c>
      <c r="P16" s="156">
        <f>(O15+0.045*T13)/1.152 </f>
        <v>303.7803819</v>
      </c>
      <c r="Q16" s="170" t="s">
        <v>41</v>
      </c>
      <c r="R16" s="171">
        <f>'Лист1'!C41</f>
        <v>3500</v>
      </c>
      <c r="S16" s="172"/>
      <c r="T16" s="2"/>
      <c r="U16" s="152"/>
      <c r="V16" s="2"/>
      <c r="W16" s="1">
        <v>2130340.0</v>
      </c>
    </row>
    <row r="17">
      <c r="A17" s="123" t="s">
        <v>242</v>
      </c>
      <c r="B17" s="124">
        <v>2798.0</v>
      </c>
      <c r="C17" s="125">
        <f>B17*$T$6*$T$7</f>
        <v>4407.4096</v>
      </c>
      <c r="D17" s="126">
        <f>B17*$T$6*$T$8</f>
        <v>2942.44675</v>
      </c>
      <c r="E17" s="124">
        <v>1253.0</v>
      </c>
      <c r="F17" s="125">
        <f>E17*$T$5*$T$7</f>
        <v>2028.8576</v>
      </c>
      <c r="G17" s="126">
        <f>E17*$T$5*$T$8</f>
        <v>1354.493</v>
      </c>
      <c r="H17" s="127">
        <f>R3+R29+R19+I17*$T$11</f>
        <v>2450.7528</v>
      </c>
      <c r="I17" s="163">
        <v>0.1012</v>
      </c>
      <c r="J17" s="129">
        <f t="shared" si="1"/>
        <v>1.79825942</v>
      </c>
      <c r="K17" s="130">
        <f t="shared" si="2"/>
        <v>1.20057151</v>
      </c>
      <c r="L17" s="131">
        <f t="shared" si="3"/>
        <v>0.8277906122</v>
      </c>
      <c r="M17" s="132">
        <f t="shared" si="4"/>
        <v>0.5526576501</v>
      </c>
      <c r="N17" s="147" t="s">
        <v>243</v>
      </c>
      <c r="O17" s="148">
        <v>260.0</v>
      </c>
      <c r="P17" s="151"/>
      <c r="Q17" s="141" t="s">
        <v>171</v>
      </c>
      <c r="R17" s="142">
        <v>392.0</v>
      </c>
      <c r="S17" s="145"/>
      <c r="T17" s="2"/>
      <c r="U17" s="152"/>
      <c r="V17" s="2"/>
    </row>
    <row r="18">
      <c r="A18" s="173" t="s">
        <v>244</v>
      </c>
      <c r="B18" s="124">
        <v>42999.0</v>
      </c>
      <c r="C18" s="125">
        <f t="shared" ref="C18:C19" si="9">B18*$T$6*$T$7*10</f>
        <v>677320.248</v>
      </c>
      <c r="D18" s="126">
        <f t="shared" ref="D18:D19" si="10">B18*$T$6*$T$8*10</f>
        <v>452188.2338</v>
      </c>
      <c r="E18" s="124">
        <v>5001.0</v>
      </c>
      <c r="F18" s="125">
        <f t="shared" ref="F18:F19" si="11">E18*$T$5*$T$7*10</f>
        <v>80976.192</v>
      </c>
      <c r="G18" s="126">
        <f t="shared" ref="G18:G19" si="12">E18*$T$5*$T$8*10</f>
        <v>54060.81</v>
      </c>
      <c r="H18" s="127">
        <f>R24*4+R19*4+MIN(O7:P7)*8+V5*10+I18*$T$11</f>
        <v>84491.93798</v>
      </c>
      <c r="I18" s="163">
        <v>1.44</v>
      </c>
      <c r="J18" s="129">
        <f t="shared" si="1"/>
        <v>8.016148618</v>
      </c>
      <c r="K18" s="130">
        <f t="shared" si="2"/>
        <v>5.351743485</v>
      </c>
      <c r="L18" s="131">
        <f t="shared" si="3"/>
        <v>0.9583608219</v>
      </c>
      <c r="M18" s="132">
        <f t="shared" si="4"/>
        <v>0.6398211322</v>
      </c>
      <c r="N18" s="147" t="s">
        <v>245</v>
      </c>
      <c r="O18" s="148">
        <v>320.0</v>
      </c>
      <c r="P18" s="156">
        <f>(O19+(T12*0.8993))/$T$10</f>
        <v>375.6483348</v>
      </c>
      <c r="Q18" s="147" t="s">
        <v>169</v>
      </c>
      <c r="R18" s="148">
        <v>415.0</v>
      </c>
      <c r="S18" s="151"/>
      <c r="T18" s="2"/>
      <c r="U18" s="152"/>
      <c r="V18" s="2"/>
    </row>
    <row r="19">
      <c r="A19" s="123" t="s">
        <v>246</v>
      </c>
      <c r="B19" s="124">
        <v>347.0</v>
      </c>
      <c r="C19" s="125">
        <f t="shared" si="9"/>
        <v>5465.944</v>
      </c>
      <c r="D19" s="126">
        <f t="shared" si="10"/>
        <v>3649.13875</v>
      </c>
      <c r="E19" s="124">
        <v>215.0</v>
      </c>
      <c r="F19" s="125">
        <f t="shared" si="11"/>
        <v>3481.28</v>
      </c>
      <c r="G19" s="126">
        <f t="shared" si="12"/>
        <v>2324.15</v>
      </c>
      <c r="H19" s="127">
        <f>S28*4+P7*8+O8*2+I19*$T$11</f>
        <v>4176.623694</v>
      </c>
      <c r="I19" s="163">
        <v>0.6299</v>
      </c>
      <c r="J19" s="129">
        <f t="shared" si="1"/>
        <v>1.308351896</v>
      </c>
      <c r="K19" s="130">
        <f t="shared" si="2"/>
        <v>0.8735506175</v>
      </c>
      <c r="L19" s="131">
        <f t="shared" si="3"/>
        <v>0.8332941738</v>
      </c>
      <c r="M19" s="132">
        <f t="shared" si="4"/>
        <v>0.5563676272</v>
      </c>
      <c r="N19" s="68" t="s">
        <v>247</v>
      </c>
      <c r="O19" s="148">
        <v>8398.0</v>
      </c>
      <c r="P19" s="47"/>
      <c r="Q19" s="147" t="s">
        <v>248</v>
      </c>
      <c r="R19" s="148">
        <v>526.0</v>
      </c>
      <c r="S19" s="151"/>
      <c r="T19" s="2"/>
      <c r="U19" s="20"/>
    </row>
    <row r="20">
      <c r="A20" s="164" t="s">
        <v>249</v>
      </c>
      <c r="B20" s="124">
        <v>687.0</v>
      </c>
      <c r="C20" s="125">
        <f>B20*$T$6*$T$7</f>
        <v>1082.1624</v>
      </c>
      <c r="D20" s="126">
        <f>B20*$T$6*$T$8</f>
        <v>722.466375</v>
      </c>
      <c r="E20" s="124">
        <v>458.0</v>
      </c>
      <c r="F20" s="47">
        <f>E20*$T$5*$T$7</f>
        <v>741.5936</v>
      </c>
      <c r="G20" s="165">
        <f>E20*$T$5*$T$8</f>
        <v>495.098</v>
      </c>
      <c r="H20" s="66">
        <f>R11+R29+O8+I20*$T$11</f>
        <v>1852.7528</v>
      </c>
      <c r="I20" s="163">
        <v>0.1012</v>
      </c>
      <c r="J20" s="129">
        <f t="shared" si="1"/>
        <v>0.5840273876</v>
      </c>
      <c r="K20" s="130">
        <f t="shared" si="2"/>
        <v>0.389917106</v>
      </c>
      <c r="L20" s="131">
        <f t="shared" si="3"/>
        <v>0.4002273345</v>
      </c>
      <c r="M20" s="132">
        <f t="shared" si="4"/>
        <v>0.2672057635</v>
      </c>
      <c r="N20" s="66"/>
      <c r="P20" s="47"/>
      <c r="Q20" s="147" t="s">
        <v>250</v>
      </c>
      <c r="R20" s="148">
        <v>407.0</v>
      </c>
      <c r="S20" s="151"/>
      <c r="T20" s="2"/>
      <c r="U20" s="157"/>
      <c r="V20" s="2"/>
    </row>
    <row r="21" ht="15.75" customHeight="1">
      <c r="A21" s="123" t="s">
        <v>251</v>
      </c>
      <c r="B21" s="124">
        <v>4210.0</v>
      </c>
      <c r="C21" s="125">
        <f>B21*$T$6*$T$7*10</f>
        <v>66315.92</v>
      </c>
      <c r="D21" s="126">
        <f>B21*$T$6*$T$8*10</f>
        <v>44273.4125</v>
      </c>
      <c r="E21" s="124">
        <v>3401.0</v>
      </c>
      <c r="F21" s="125">
        <f>E21*$T$5*$T$7*10</f>
        <v>55068.992</v>
      </c>
      <c r="G21" s="126">
        <f>E21*$T$5*$T$8*10</f>
        <v>36764.81</v>
      </c>
      <c r="H21" s="127">
        <f>R30*144+I21*$T$11</f>
        <v>58353.12</v>
      </c>
      <c r="I21" s="163">
        <v>6.48</v>
      </c>
      <c r="J21" s="129">
        <f t="shared" si="1"/>
        <v>1.136236785</v>
      </c>
      <c r="K21" s="130">
        <f t="shared" si="2"/>
        <v>0.7586164441</v>
      </c>
      <c r="L21" s="131">
        <f t="shared" si="3"/>
        <v>0.9435353443</v>
      </c>
      <c r="M21" s="132">
        <f t="shared" si="4"/>
        <v>0.6299579783</v>
      </c>
      <c r="N21" s="66"/>
      <c r="P21" s="47"/>
      <c r="Q21" s="147" t="s">
        <v>252</v>
      </c>
      <c r="R21" s="148">
        <v>470.0</v>
      </c>
      <c r="S21" s="151"/>
      <c r="T21" s="2"/>
      <c r="U21" s="45"/>
    </row>
    <row r="22" ht="15.75" customHeight="1">
      <c r="A22" s="123" t="s">
        <v>253</v>
      </c>
      <c r="B22" s="124">
        <v>15485.0</v>
      </c>
      <c r="C22" s="125">
        <f>B22*$T$6*$T$7</f>
        <v>24391.972</v>
      </c>
      <c r="D22" s="126">
        <f>B22*$T$6*$T$8</f>
        <v>16284.41313</v>
      </c>
      <c r="E22" s="124">
        <v>10018.0</v>
      </c>
      <c r="F22" s="125">
        <f>E22*$T$5*$T$7</f>
        <v>16221.1456</v>
      </c>
      <c r="G22" s="126">
        <f>E22*$T$5*$T$8</f>
        <v>10829.458</v>
      </c>
      <c r="H22" s="127">
        <f>R10+R30*6+R20*6+MIN(O11:P11)*6+I22*$T$11</f>
        <v>12110.0478</v>
      </c>
      <c r="I22" s="163">
        <v>0.8437</v>
      </c>
      <c r="J22" s="129">
        <f t="shared" si="1"/>
        <v>2.013945929</v>
      </c>
      <c r="K22" s="130">
        <f t="shared" si="2"/>
        <v>1.344592559</v>
      </c>
      <c r="L22" s="131">
        <f t="shared" si="3"/>
        <v>1.339314023</v>
      </c>
      <c r="M22" s="132">
        <f t="shared" si="4"/>
        <v>0.8941807444</v>
      </c>
      <c r="N22" s="66"/>
      <c r="P22" s="47"/>
      <c r="Q22" s="147" t="s">
        <v>254</v>
      </c>
      <c r="R22" s="148">
        <v>439.0</v>
      </c>
      <c r="S22" s="151"/>
      <c r="T22" s="2"/>
      <c r="U22" s="45"/>
    </row>
    <row r="23" ht="15.75" customHeight="1">
      <c r="A23" s="123" t="s">
        <v>255</v>
      </c>
      <c r="B23" s="124">
        <v>1595.0</v>
      </c>
      <c r="C23" s="125">
        <f t="shared" ref="C23:C24" si="13">B23*$T$6*$T$7*10</f>
        <v>25124.44</v>
      </c>
      <c r="D23" s="126">
        <f t="shared" ref="D23:D24" si="14">B23*$T$6*$T$8*10</f>
        <v>16773.41875</v>
      </c>
      <c r="E23" s="124">
        <v>1250.0</v>
      </c>
      <c r="F23" s="125">
        <f t="shared" ref="F23:F24" si="15">E23*$T$5*$T$7*10</f>
        <v>20240</v>
      </c>
      <c r="G23" s="126">
        <f t="shared" ref="G23:G24" si="16">E23*$T$5*$T$8*10</f>
        <v>13512.5</v>
      </c>
      <c r="H23" s="127">
        <f>R30*6+MIN(R27:S27)*12+MIN(O11:P11)*24+O9*6+I23*$T$11</f>
        <v>17693.04</v>
      </c>
      <c r="I23" s="163">
        <v>2.16</v>
      </c>
      <c r="J23" s="129">
        <f t="shared" si="1"/>
        <v>1.419713222</v>
      </c>
      <c r="K23" s="130">
        <f t="shared" si="2"/>
        <v>0.9478875881</v>
      </c>
      <c r="L23" s="131">
        <f t="shared" si="3"/>
        <v>1.143706909</v>
      </c>
      <c r="M23" s="132">
        <f t="shared" si="4"/>
        <v>0.7636088519</v>
      </c>
      <c r="N23" s="66"/>
      <c r="P23" s="47"/>
      <c r="Q23" s="174" t="s">
        <v>256</v>
      </c>
      <c r="R23" s="175">
        <v>464.0</v>
      </c>
      <c r="S23" s="176"/>
      <c r="T23" s="2"/>
      <c r="U23" s="152"/>
      <c r="V23" s="2"/>
    </row>
    <row r="24" ht="15.75" customHeight="1">
      <c r="A24" s="123" t="s">
        <v>257</v>
      </c>
      <c r="B24" s="124">
        <v>1199.0</v>
      </c>
      <c r="C24" s="125">
        <f t="shared" si="13"/>
        <v>18886.648</v>
      </c>
      <c r="D24" s="126">
        <f t="shared" si="14"/>
        <v>12608.98375</v>
      </c>
      <c r="E24" s="124">
        <v>905.0</v>
      </c>
      <c r="F24" s="125">
        <f t="shared" si="15"/>
        <v>14653.76</v>
      </c>
      <c r="G24" s="126">
        <f t="shared" si="16"/>
        <v>9783.05</v>
      </c>
      <c r="H24" s="127">
        <f>R30*12+MIN(O11:P11)*24+O12*6+I24*$T$11</f>
        <v>16011.6306</v>
      </c>
      <c r="I24" s="163">
        <v>1.8899</v>
      </c>
      <c r="J24" s="129">
        <f t="shared" si="1"/>
        <v>1.179313076</v>
      </c>
      <c r="K24" s="130">
        <f t="shared" si="2"/>
        <v>0.787379848</v>
      </c>
      <c r="L24" s="131">
        <f t="shared" si="3"/>
        <v>0.9150046523</v>
      </c>
      <c r="M24" s="132">
        <f t="shared" si="4"/>
        <v>0.6109117575</v>
      </c>
      <c r="N24" s="66"/>
      <c r="P24" s="47"/>
      <c r="Q24" s="147" t="s">
        <v>165</v>
      </c>
      <c r="R24" s="148">
        <v>389.0</v>
      </c>
      <c r="S24" s="151"/>
      <c r="T24" s="2"/>
      <c r="U24" s="20"/>
    </row>
    <row r="25" ht="15.75" customHeight="1">
      <c r="A25" s="123" t="s">
        <v>258</v>
      </c>
      <c r="B25" s="124">
        <v>6686.0</v>
      </c>
      <c r="C25" s="125">
        <f>B25*$T$6*$T$7</f>
        <v>10531.7872</v>
      </c>
      <c r="D25" s="126">
        <f>B25*$T$6*$T$8</f>
        <v>7031.16475</v>
      </c>
      <c r="E25" s="124">
        <v>4163.0</v>
      </c>
      <c r="F25" s="125">
        <f>E25*$T$5*$T$7</f>
        <v>6740.7296</v>
      </c>
      <c r="G25" s="126">
        <f>E25*$T$5*$T$8</f>
        <v>4500.203</v>
      </c>
      <c r="H25" s="127">
        <f>R9+R30*2+R20*2+O12*2+I25*$T$11</f>
        <v>5939.995</v>
      </c>
      <c r="I25" s="163">
        <v>0.2925</v>
      </c>
      <c r="J25" s="129">
        <f t="shared" si="1"/>
        <v>1.772875991</v>
      </c>
      <c r="K25" s="130">
        <f t="shared" si="2"/>
        <v>1.183630281</v>
      </c>
      <c r="L25" s="131">
        <f t="shared" si="3"/>
        <v>1.134705577</v>
      </c>
      <c r="M25" s="132">
        <f t="shared" si="4"/>
        <v>0.7575667376</v>
      </c>
      <c r="N25" s="147"/>
      <c r="O25" s="2"/>
      <c r="P25" s="151"/>
      <c r="Q25" s="147" t="s">
        <v>166</v>
      </c>
      <c r="R25" s="148">
        <v>389.0</v>
      </c>
      <c r="S25" s="151"/>
      <c r="T25" s="2"/>
      <c r="U25" s="152"/>
      <c r="V25" s="2"/>
    </row>
    <row r="26" ht="15.75" customHeight="1">
      <c r="A26" s="123" t="s">
        <v>259</v>
      </c>
      <c r="B26" s="124">
        <v>1450.0</v>
      </c>
      <c r="C26" s="125">
        <f>B26*$T$6*$T$7*10</f>
        <v>22840.4</v>
      </c>
      <c r="D26" s="126">
        <f>B26*$T$6*$T$8*10</f>
        <v>15248.5625</v>
      </c>
      <c r="E26" s="124">
        <v>969.0</v>
      </c>
      <c r="F26" s="125">
        <f>E26*$T$5*$T$7*10</f>
        <v>15690.048</v>
      </c>
      <c r="G26" s="126">
        <f>E26*$T$5*$T$8*10</f>
        <v>10474.89</v>
      </c>
      <c r="H26" s="127">
        <f>MIN(O11:P11)*24+R30*12+O15*12+I26*$T$11</f>
        <v>17471.04</v>
      </c>
      <c r="I26" s="163">
        <v>2.16</v>
      </c>
      <c r="J26" s="129">
        <f t="shared" si="1"/>
        <v>1.307044752</v>
      </c>
      <c r="K26" s="130">
        <f t="shared" si="2"/>
        <v>0.8726640016</v>
      </c>
      <c r="L26" s="131">
        <f t="shared" si="3"/>
        <v>0.8978649626</v>
      </c>
      <c r="M26" s="132">
        <f t="shared" si="4"/>
        <v>0.5994702402</v>
      </c>
      <c r="N26" s="147"/>
      <c r="O26" s="2"/>
      <c r="P26" s="149"/>
      <c r="Q26" s="159" t="s">
        <v>260</v>
      </c>
      <c r="R26" s="160">
        <v>400.0</v>
      </c>
      <c r="S26" s="177"/>
      <c r="T26" s="2"/>
      <c r="U26" s="152"/>
      <c r="V26" s="2"/>
    </row>
    <row r="27" ht="15.75" customHeight="1">
      <c r="A27" s="123" t="s">
        <v>261</v>
      </c>
      <c r="B27" s="124">
        <v>4300.0</v>
      </c>
      <c r="C27" s="125">
        <f>B27*$T$6*$T$7</f>
        <v>6773.36</v>
      </c>
      <c r="D27" s="126">
        <f>B27*$T$6*$T$8</f>
        <v>4521.9875</v>
      </c>
      <c r="E27" s="124">
        <v>3953.0</v>
      </c>
      <c r="F27" s="125">
        <f>E27*$T$5*$T$7</f>
        <v>6400.6976</v>
      </c>
      <c r="G27" s="126">
        <f>E27*$T$5*$T$8</f>
        <v>4273.193</v>
      </c>
      <c r="H27" s="127">
        <f>R6+R30*2+R20*2+O15*2+I27*$T$11</f>
        <v>5583.995</v>
      </c>
      <c r="I27" s="163">
        <v>0.2925</v>
      </c>
      <c r="J27" s="129">
        <f t="shared" si="1"/>
        <v>1.212883537</v>
      </c>
      <c r="K27" s="130">
        <f t="shared" si="2"/>
        <v>0.8097624004</v>
      </c>
      <c r="L27" s="131">
        <f t="shared" si="3"/>
        <v>1.146152094</v>
      </c>
      <c r="M27" s="132">
        <f t="shared" si="4"/>
        <v>0.7652102136</v>
      </c>
      <c r="N27" s="147"/>
      <c r="O27" s="2"/>
      <c r="P27" s="149"/>
      <c r="Q27" s="147" t="s">
        <v>262</v>
      </c>
      <c r="R27" s="148">
        <v>392.0</v>
      </c>
      <c r="S27" s="151">
        <f>R26/$T$9 + 0.045*T13</f>
        <v>392.1772222</v>
      </c>
      <c r="T27" s="2"/>
      <c r="U27" s="20"/>
    </row>
    <row r="28" ht="15.75" customHeight="1">
      <c r="A28" s="123" t="s">
        <v>263</v>
      </c>
      <c r="B28" s="124">
        <v>3773.0</v>
      </c>
      <c r="C28" s="125">
        <f>B28*$T$6*$T$7*10</f>
        <v>59432.296</v>
      </c>
      <c r="D28" s="126">
        <f>B28*$T$6*$T$8*10</f>
        <v>39677.81125</v>
      </c>
      <c r="E28" s="124">
        <v>3401.0</v>
      </c>
      <c r="F28" s="125">
        <f>E28*$T$5*$T$7*10</f>
        <v>55068.992</v>
      </c>
      <c r="G28" s="126">
        <f>E28*$T$5*$T$8*10</f>
        <v>36764.81</v>
      </c>
      <c r="H28" s="127">
        <f>R31*72+R30*72+I28*$T$11</f>
        <v>58785.12</v>
      </c>
      <c r="I28" s="163">
        <v>6.48</v>
      </c>
      <c r="J28" s="129">
        <f t="shared" si="1"/>
        <v>1.010813074</v>
      </c>
      <c r="K28" s="130">
        <f t="shared" si="2"/>
        <v>0.6748761037</v>
      </c>
      <c r="L28" s="131">
        <f t="shared" si="3"/>
        <v>0.9366028381</v>
      </c>
      <c r="M28" s="132">
        <f t="shared" si="4"/>
        <v>0.6253291436</v>
      </c>
      <c r="N28" s="147"/>
      <c r="O28" s="2"/>
      <c r="P28" s="149"/>
      <c r="Q28" s="154" t="s">
        <v>264</v>
      </c>
      <c r="R28" s="155">
        <v>359.0</v>
      </c>
      <c r="S28" s="178">
        <f>MIN(R27:S27)/$T$9+0.044*T11</f>
        <v>353.2137778</v>
      </c>
      <c r="T28" s="2"/>
      <c r="U28" s="20"/>
    </row>
    <row r="29" ht="15.75" customHeight="1">
      <c r="A29" s="123" t="s">
        <v>265</v>
      </c>
      <c r="B29" s="124">
        <v>24975.0</v>
      </c>
      <c r="C29" s="125">
        <f t="shared" ref="C29:C32" si="17">B29*$T$6*$T$7</f>
        <v>39340.62</v>
      </c>
      <c r="D29" s="126">
        <f t="shared" ref="D29:D32" si="18">B29*$T$6*$T$8</f>
        <v>26264.33438</v>
      </c>
      <c r="E29" s="124">
        <v>21002.0</v>
      </c>
      <c r="F29" s="125">
        <f t="shared" ref="F29:F32" si="19">E29*$T$5*$T$7</f>
        <v>34006.4384</v>
      </c>
      <c r="G29" s="126">
        <f t="shared" ref="G29:G32" si="20">E29*$T$5*$T$8</f>
        <v>22703.162</v>
      </c>
      <c r="H29" s="127">
        <f>R8+R31*6+R21*6+MIN(O14:P14)*6+I29*$T$11</f>
        <v>32008.0478</v>
      </c>
      <c r="I29" s="163">
        <v>0.8437</v>
      </c>
      <c r="J29" s="129">
        <f t="shared" si="1"/>
        <v>1.229028251</v>
      </c>
      <c r="K29" s="130">
        <f t="shared" si="2"/>
        <v>0.8205286717</v>
      </c>
      <c r="L29" s="131">
        <f t="shared" si="3"/>
        <v>1.062384719</v>
      </c>
      <c r="M29" s="132">
        <f t="shared" si="4"/>
        <v>0.7092734616</v>
      </c>
      <c r="N29" s="66"/>
      <c r="P29" s="165"/>
      <c r="Q29" s="147" t="s">
        <v>181</v>
      </c>
      <c r="R29" s="148">
        <v>396.0</v>
      </c>
      <c r="S29" s="151"/>
      <c r="U29" s="20"/>
    </row>
    <row r="30" ht="15.75" customHeight="1">
      <c r="A30" s="123" t="s">
        <v>266</v>
      </c>
      <c r="B30" s="124">
        <v>79950.0</v>
      </c>
      <c r="C30" s="125">
        <f t="shared" si="17"/>
        <v>125937.24</v>
      </c>
      <c r="D30" s="126">
        <f t="shared" si="18"/>
        <v>84077.41875</v>
      </c>
      <c r="E30" s="124">
        <v>35000.0</v>
      </c>
      <c r="F30" s="125">
        <f t="shared" si="19"/>
        <v>56672</v>
      </c>
      <c r="G30" s="126">
        <f t="shared" si="20"/>
        <v>37835</v>
      </c>
      <c r="H30" s="127">
        <f>R8+R31*6+R21*6+MIN(O14:P14)*6+V3*27+I30*$T$11</f>
        <v>98968.0478</v>
      </c>
      <c r="I30" s="163">
        <v>0.8437</v>
      </c>
      <c r="J30" s="129">
        <f t="shared" si="1"/>
        <v>1.272484941</v>
      </c>
      <c r="K30" s="130">
        <f t="shared" si="2"/>
        <v>0.8495325354</v>
      </c>
      <c r="L30" s="131">
        <f t="shared" si="3"/>
        <v>0.5726206687</v>
      </c>
      <c r="M30" s="132">
        <f t="shared" si="4"/>
        <v>0.3822912734</v>
      </c>
      <c r="N30" s="66"/>
      <c r="P30" s="165"/>
      <c r="Q30" s="147" t="s">
        <v>182</v>
      </c>
      <c r="R30" s="148">
        <v>392.0</v>
      </c>
      <c r="S30" s="165"/>
      <c r="U30" s="20"/>
      <c r="V30" s="2"/>
    </row>
    <row r="31" ht="15.75" customHeight="1">
      <c r="A31" s="123" t="s">
        <v>267</v>
      </c>
      <c r="B31" s="124">
        <v>179999.0</v>
      </c>
      <c r="C31" s="125">
        <f t="shared" si="17"/>
        <v>283534.4248</v>
      </c>
      <c r="D31" s="126">
        <f t="shared" si="18"/>
        <v>189291.4484</v>
      </c>
      <c r="E31" s="124">
        <v>150007.0</v>
      </c>
      <c r="F31" s="125">
        <f t="shared" si="19"/>
        <v>242891.3344</v>
      </c>
      <c r="G31" s="126">
        <f t="shared" si="20"/>
        <v>162157.567</v>
      </c>
      <c r="H31" s="127">
        <f>R8+R31*6+R21*6+MIN(O14:P14)*6+V4*27+I31*$T$11</f>
        <v>245254.0478</v>
      </c>
      <c r="I31" s="163">
        <v>0.8437</v>
      </c>
      <c r="J31" s="129">
        <f t="shared" si="1"/>
        <v>1.156077588</v>
      </c>
      <c r="K31" s="130">
        <f t="shared" si="2"/>
        <v>0.771814716</v>
      </c>
      <c r="L31" s="131">
        <f t="shared" si="3"/>
        <v>0.9903602651</v>
      </c>
      <c r="M31" s="132">
        <f t="shared" si="4"/>
        <v>0.6611793485</v>
      </c>
      <c r="N31" s="66"/>
      <c r="P31" s="165"/>
      <c r="Q31" s="147" t="s">
        <v>183</v>
      </c>
      <c r="R31" s="148">
        <v>398.0</v>
      </c>
      <c r="S31" s="151"/>
      <c r="U31" s="20"/>
    </row>
    <row r="32" ht="15.75" customHeight="1">
      <c r="A32" s="123" t="s">
        <v>268</v>
      </c>
      <c r="B32" s="124">
        <v>499992.0</v>
      </c>
      <c r="C32" s="125">
        <f t="shared" si="17"/>
        <v>787587.3984</v>
      </c>
      <c r="D32" s="126">
        <f t="shared" si="18"/>
        <v>525804.087</v>
      </c>
      <c r="E32" s="124">
        <v>355001.0</v>
      </c>
      <c r="F32" s="125">
        <f t="shared" si="19"/>
        <v>574817.6192</v>
      </c>
      <c r="G32" s="126">
        <f t="shared" si="20"/>
        <v>383756.081</v>
      </c>
      <c r="H32" s="127">
        <f>R8+R31*6+R21*6+MIN(O14:P14)*6+V6*27+I32*$T$11</f>
        <v>625198.0478</v>
      </c>
      <c r="I32" s="163">
        <v>0.8437</v>
      </c>
      <c r="J32" s="129">
        <f t="shared" si="1"/>
        <v>1.259737663</v>
      </c>
      <c r="K32" s="130">
        <f t="shared" si="2"/>
        <v>0.8410187062</v>
      </c>
      <c r="L32" s="131">
        <f t="shared" si="3"/>
        <v>0.9194146654</v>
      </c>
      <c r="M32" s="132">
        <f t="shared" si="4"/>
        <v>0.6138142527</v>
      </c>
      <c r="N32" s="66"/>
      <c r="P32" s="165"/>
      <c r="Q32" s="147" t="s">
        <v>269</v>
      </c>
      <c r="R32" s="148">
        <v>440.0</v>
      </c>
      <c r="S32" s="165"/>
      <c r="U32" s="20"/>
    </row>
    <row r="33" ht="15.75" customHeight="1">
      <c r="A33" s="123" t="s">
        <v>270</v>
      </c>
      <c r="B33" s="124">
        <v>1598.0</v>
      </c>
      <c r="C33" s="125">
        <f>B33*$T$6*$T$7*10</f>
        <v>25171.696</v>
      </c>
      <c r="D33" s="126">
        <f>B33*$T$6*$T$8*10</f>
        <v>16804.9675</v>
      </c>
      <c r="E33" s="124">
        <v>1.0</v>
      </c>
      <c r="F33" s="125">
        <f>E33*$T$5*$T$7*10</f>
        <v>16.192</v>
      </c>
      <c r="G33" s="126">
        <f>E33*$T$5*$T$8*10</f>
        <v>10.81</v>
      </c>
      <c r="H33" s="127">
        <f>R31*12+MIN(R28:S28)*12+MIN(O14:P14)*24+I33*$T$11</f>
        <v>18169.60533</v>
      </c>
      <c r="I33" s="163">
        <v>2.16</v>
      </c>
      <c r="J33" s="129">
        <f t="shared" si="1"/>
        <v>1.385084046</v>
      </c>
      <c r="K33" s="130">
        <f t="shared" si="2"/>
        <v>0.9247652955</v>
      </c>
      <c r="L33" s="131">
        <f t="shared" si="3"/>
        <v>0.0008909721804</v>
      </c>
      <c r="M33" s="132">
        <f t="shared" si="4"/>
        <v>0.0005948665384</v>
      </c>
      <c r="N33" s="179"/>
      <c r="O33" s="23"/>
      <c r="P33" s="180"/>
      <c r="Q33" s="170" t="s">
        <v>271</v>
      </c>
      <c r="R33" s="181">
        <v>389.0</v>
      </c>
      <c r="S33" s="180"/>
      <c r="T33" s="23"/>
      <c r="U33" s="59"/>
    </row>
    <row r="34" ht="15.75" customHeight="1">
      <c r="A34" s="123" t="s">
        <v>272</v>
      </c>
      <c r="B34" s="124">
        <v>5767.0</v>
      </c>
      <c r="C34" s="125">
        <f t="shared" ref="C34:C36" si="21">B34*$T$6*$T$7</f>
        <v>9084.1784</v>
      </c>
      <c r="D34" s="126">
        <f t="shared" ref="D34:D36" si="22">B34*$T$6*$T$8</f>
        <v>6064.721375</v>
      </c>
      <c r="E34" s="124">
        <v>4924.0</v>
      </c>
      <c r="F34" s="125">
        <f t="shared" ref="F34:F36" si="23">E34*$T$5*$T$7</f>
        <v>7972.9408</v>
      </c>
      <c r="G34" s="126">
        <f t="shared" ref="G34:G36" si="24">E34*$T$5*$T$8</f>
        <v>5322.844</v>
      </c>
      <c r="H34" s="127">
        <f>R12+R31*2+R21*2+O15*2+I34*$T$11</f>
        <v>5925.995</v>
      </c>
      <c r="I34" s="163">
        <v>0.2925</v>
      </c>
      <c r="J34" s="129">
        <f t="shared" si="1"/>
        <v>1.53280408</v>
      </c>
      <c r="K34" s="130">
        <f t="shared" si="2"/>
        <v>1.023350452</v>
      </c>
      <c r="L34" s="131">
        <f t="shared" si="3"/>
        <v>1.345301209</v>
      </c>
      <c r="M34" s="132">
        <f t="shared" si="4"/>
        <v>0.8981673645</v>
      </c>
    </row>
    <row r="35" ht="15.75" customHeight="1">
      <c r="A35" s="123" t="s">
        <v>273</v>
      </c>
      <c r="B35" s="124">
        <v>29999.0</v>
      </c>
      <c r="C35" s="125">
        <f t="shared" si="21"/>
        <v>47254.4248</v>
      </c>
      <c r="D35" s="126">
        <f t="shared" si="22"/>
        <v>31547.69838</v>
      </c>
      <c r="E35" s="124">
        <v>19352.0</v>
      </c>
      <c r="F35" s="125">
        <f t="shared" si="23"/>
        <v>31334.7584</v>
      </c>
      <c r="G35" s="126">
        <f t="shared" si="24"/>
        <v>20919.512</v>
      </c>
      <c r="H35" s="127">
        <f>R12+R31*2+R21*2+O15*2+V3*9+I35*$T$11</f>
        <v>28245.995</v>
      </c>
      <c r="I35" s="163">
        <v>0.2925</v>
      </c>
      <c r="J35" s="129">
        <f t="shared" si="1"/>
        <v>1.672929687</v>
      </c>
      <c r="K35" s="130">
        <f t="shared" si="2"/>
        <v>1.116877438</v>
      </c>
      <c r="L35" s="131">
        <f t="shared" si="3"/>
        <v>1.109332042</v>
      </c>
      <c r="M35" s="132">
        <f t="shared" si="4"/>
        <v>0.7406096851</v>
      </c>
    </row>
    <row r="36" ht="15.75" customHeight="1">
      <c r="A36" s="123" t="s">
        <v>274</v>
      </c>
      <c r="B36" s="124">
        <v>52969.0</v>
      </c>
      <c r="C36" s="125">
        <f t="shared" si="21"/>
        <v>83436.7688</v>
      </c>
      <c r="D36" s="126">
        <f t="shared" si="22"/>
        <v>55703.52463</v>
      </c>
      <c r="E36" s="124">
        <v>45044.0</v>
      </c>
      <c r="F36" s="125">
        <f t="shared" si="23"/>
        <v>72935.2448</v>
      </c>
      <c r="G36" s="126">
        <f t="shared" si="24"/>
        <v>48692.564</v>
      </c>
      <c r="H36" s="127">
        <f>R12+R31*2+R21*2+O15*2+V4*9+I36*$T$11</f>
        <v>77007.995</v>
      </c>
      <c r="I36" s="163">
        <v>0.2925</v>
      </c>
      <c r="J36" s="129">
        <f t="shared" si="1"/>
        <v>1.083474658</v>
      </c>
      <c r="K36" s="130">
        <f t="shared" si="2"/>
        <v>0.7233440634</v>
      </c>
      <c r="L36" s="131">
        <f t="shared" si="3"/>
        <v>0.9471063002</v>
      </c>
      <c r="M36" s="132">
        <f t="shared" si="4"/>
        <v>0.6323024861</v>
      </c>
    </row>
    <row r="37" ht="15.75" customHeight="1">
      <c r="A37" s="123" t="s">
        <v>275</v>
      </c>
      <c r="B37" s="124">
        <v>33933.0</v>
      </c>
      <c r="C37" s="125">
        <f t="shared" ref="C37:C38" si="25">B37*$T$6*$T$7*10</f>
        <v>534512.616</v>
      </c>
      <c r="D37" s="126">
        <f t="shared" ref="D37:D38" si="26">B37*$T$6*$T$8*10</f>
        <v>356847.9113</v>
      </c>
      <c r="E37" s="124">
        <v>14659.0</v>
      </c>
      <c r="F37" s="125">
        <f t="shared" ref="F37:F38" si="27">E37*$T$5*$T$7*10</f>
        <v>237358.528</v>
      </c>
      <c r="G37" s="126">
        <f t="shared" ref="G37:G38" si="28">E37*$T$5*$T$8*10</f>
        <v>158463.79</v>
      </c>
      <c r="H37" s="127">
        <f>R30*12+R31*12+MIN(O14:P14)*24+V5*30+I37*$T$11</f>
        <v>252940.08</v>
      </c>
      <c r="I37" s="163">
        <v>4.32</v>
      </c>
      <c r="J37" s="129">
        <f t="shared" si="1"/>
        <v>2.113135053</v>
      </c>
      <c r="K37" s="130">
        <f t="shared" si="2"/>
        <v>1.410771872</v>
      </c>
      <c r="L37" s="131">
        <f t="shared" si="3"/>
        <v>0.9383700416</v>
      </c>
      <c r="M37" s="132">
        <f t="shared" si="4"/>
        <v>0.6264748948</v>
      </c>
      <c r="P37" s="1">
        <v>960.0</v>
      </c>
    </row>
    <row r="38" ht="15.75" customHeight="1">
      <c r="A38" s="123" t="s">
        <v>276</v>
      </c>
      <c r="B38" s="124">
        <v>1938.0</v>
      </c>
      <c r="C38" s="125">
        <f t="shared" si="25"/>
        <v>30527.376</v>
      </c>
      <c r="D38" s="126">
        <f t="shared" si="26"/>
        <v>20380.4925</v>
      </c>
      <c r="E38" s="124">
        <v>1301.0</v>
      </c>
      <c r="F38" s="125">
        <f t="shared" si="27"/>
        <v>21065.792</v>
      </c>
      <c r="G38" s="126">
        <f t="shared" si="28"/>
        <v>14063.81</v>
      </c>
      <c r="H38" s="127">
        <f>R28*12+MIN(O14:P14)*24+O15*6+I38*$T$11</f>
        <v>15213.6306</v>
      </c>
      <c r="I38" s="163">
        <v>1.8899</v>
      </c>
      <c r="J38" s="129">
        <f t="shared" si="1"/>
        <v>2.006141987</v>
      </c>
      <c r="K38" s="130">
        <f t="shared" si="2"/>
        <v>1.339425063</v>
      </c>
      <c r="L38" s="131">
        <f t="shared" si="3"/>
        <v>1.384363</v>
      </c>
      <c r="M38" s="132">
        <f t="shared" si="4"/>
        <v>0.9242867708</v>
      </c>
      <c r="P38" s="1">
        <v>480.0</v>
      </c>
    </row>
    <row r="39" ht="15.75" customHeight="1">
      <c r="A39" s="123" t="s">
        <v>277</v>
      </c>
      <c r="B39" s="124">
        <v>5899.0</v>
      </c>
      <c r="C39" s="125">
        <f>B39*$T$6*$T$7</f>
        <v>9292.1048</v>
      </c>
      <c r="D39" s="126">
        <f>B39*$T$6*$T$8</f>
        <v>6203.535875</v>
      </c>
      <c r="E39" s="124">
        <v>1702.0</v>
      </c>
      <c r="F39" s="125">
        <f>E39*$T$5*$T$7</f>
        <v>2755.8784</v>
      </c>
      <c r="G39" s="126">
        <f>E39*$T$5*$T$8</f>
        <v>1839.862</v>
      </c>
      <c r="H39" s="127">
        <f>R7+R31*2+R21*2+O15*2+I39*$T$11</f>
        <v>5830.995</v>
      </c>
      <c r="I39" s="163">
        <v>0.2925</v>
      </c>
      <c r="J39" s="129">
        <f t="shared" si="1"/>
        <v>1.593430367</v>
      </c>
      <c r="K39" s="130">
        <f t="shared" si="2"/>
        <v>1.063827057</v>
      </c>
      <c r="L39" s="131">
        <f t="shared" si="3"/>
        <v>0.4725840296</v>
      </c>
      <c r="M39" s="132">
        <f t="shared" si="4"/>
        <v>0.3155128005</v>
      </c>
      <c r="P39" s="1">
        <v>240.0</v>
      </c>
    </row>
    <row r="40" ht="15.75" customHeight="1">
      <c r="A40" s="123" t="s">
        <v>278</v>
      </c>
      <c r="B40" s="124">
        <v>41103.0</v>
      </c>
      <c r="C40" s="125">
        <f t="shared" ref="C40:C41" si="29">B40*$T$6*$T$7*10</f>
        <v>647454.456</v>
      </c>
      <c r="D40" s="126">
        <f t="shared" ref="D40:D41" si="30">B40*$T$6*$T$8*10</f>
        <v>432249.4238</v>
      </c>
      <c r="E40" s="124">
        <v>22591.0</v>
      </c>
      <c r="F40" s="125">
        <f t="shared" ref="F40:F41" si="31">E40*$T$5*$T$7*10</f>
        <v>365793.472</v>
      </c>
      <c r="G40" s="126">
        <f t="shared" ref="G40:G41" si="32">E40*$T$5*$T$8*10</f>
        <v>244208.71</v>
      </c>
      <c r="H40" s="127">
        <f>R28*12+O14*24+MIN(O16:P16)*6+V5*30+I40*$T$11</f>
        <v>249500.7</v>
      </c>
      <c r="I40" s="163">
        <v>4.05</v>
      </c>
      <c r="J40" s="129">
        <f t="shared" si="1"/>
        <v>2.594926425</v>
      </c>
      <c r="K40" s="130">
        <f t="shared" si="2"/>
        <v>1.732424717</v>
      </c>
      <c r="L40" s="131">
        <f t="shared" si="3"/>
        <v>1.466060103</v>
      </c>
      <c r="M40" s="132">
        <f t="shared" si="4"/>
        <v>0.9787710106</v>
      </c>
      <c r="N40" s="182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</row>
    <row r="41" ht="15.75" customHeight="1">
      <c r="A41" s="184" t="s">
        <v>279</v>
      </c>
      <c r="B41" s="185">
        <v>4792.0</v>
      </c>
      <c r="C41" s="125">
        <f t="shared" si="29"/>
        <v>75483.584</v>
      </c>
      <c r="D41" s="126">
        <f t="shared" si="30"/>
        <v>50393.87</v>
      </c>
      <c r="E41" s="185">
        <v>1.0</v>
      </c>
      <c r="F41" s="186">
        <f t="shared" si="31"/>
        <v>16.192</v>
      </c>
      <c r="G41" s="187">
        <f t="shared" si="32"/>
        <v>10.81</v>
      </c>
      <c r="H41" s="188">
        <f>R32*18+MIN(R27:S27)*36+O18*72+O15*18+I41*$T$11</f>
        <v>52467.12</v>
      </c>
      <c r="I41" s="189">
        <v>6.48</v>
      </c>
      <c r="J41" s="129">
        <f t="shared" si="1"/>
        <v>1.43837092</v>
      </c>
      <c r="K41" s="130">
        <f t="shared" si="2"/>
        <v>0.9603454112</v>
      </c>
      <c r="L41" s="131">
        <f t="shared" si="3"/>
        <v>0.0003085452585</v>
      </c>
      <c r="M41" s="132">
        <f t="shared" si="4"/>
        <v>0.0002060039028</v>
      </c>
    </row>
    <row r="42" ht="15.75" customHeight="1">
      <c r="A42" s="115" t="s">
        <v>189</v>
      </c>
      <c r="B42" s="119" t="s">
        <v>190</v>
      </c>
      <c r="C42" s="190" t="s">
        <v>191</v>
      </c>
      <c r="D42" s="118" t="s">
        <v>192</v>
      </c>
      <c r="E42" s="116" t="s">
        <v>84</v>
      </c>
      <c r="F42" s="117" t="s">
        <v>193</v>
      </c>
      <c r="G42" s="118" t="s">
        <v>194</v>
      </c>
      <c r="H42" s="119" t="s">
        <v>105</v>
      </c>
      <c r="I42" s="120" t="s">
        <v>195</v>
      </c>
      <c r="J42" s="121" t="s">
        <v>196</v>
      </c>
      <c r="K42" s="120" t="s">
        <v>197</v>
      </c>
      <c r="L42" s="191" t="s">
        <v>198</v>
      </c>
      <c r="M42" s="120" t="s">
        <v>199</v>
      </c>
    </row>
    <row r="43" ht="15.75" customHeight="1">
      <c r="A43" s="123" t="s">
        <v>280</v>
      </c>
      <c r="B43" s="192">
        <v>240.0</v>
      </c>
      <c r="C43" s="193">
        <f t="shared" ref="C43:C61" si="33">B43*$T$6*$T$7*5</f>
        <v>1890.24</v>
      </c>
      <c r="D43" s="194">
        <f t="shared" ref="D43:D61" si="34">B43*$T$6*$T$8*5</f>
        <v>1261.95</v>
      </c>
      <c r="E43" s="124">
        <v>191.0</v>
      </c>
      <c r="F43" s="125">
        <f t="shared" ref="F43:F61" si="35">E43*$T$5*$T$7*5</f>
        <v>1546.336</v>
      </c>
      <c r="G43" s="126">
        <f t="shared" ref="G43:G61" si="36">E43*$T$5*$T$8*5</f>
        <v>1032.355</v>
      </c>
      <c r="H43" s="195">
        <f>R17*8</f>
        <v>3136</v>
      </c>
      <c r="I43" s="166">
        <v>0.0</v>
      </c>
      <c r="J43" s="129">
        <f t="shared" ref="J43:J61" si="37">(C43)/(H43+I43*$T$7)</f>
        <v>0.602755102</v>
      </c>
      <c r="K43" s="130">
        <f t="shared" ref="K43:K61" si="38">(D43)/(H43+I43*$T$8)</f>
        <v>0.4024075255</v>
      </c>
      <c r="L43" s="131">
        <f t="shared" ref="L43:L61" si="39">(F43)/(H43+I43*$T$7)</f>
        <v>0.4930918367</v>
      </c>
      <c r="M43" s="132">
        <f t="shared" ref="M43:M61" si="40">(G43)/(H43+I43*$T$8)</f>
        <v>0.3291948342</v>
      </c>
    </row>
    <row r="44" ht="15.75" customHeight="1">
      <c r="A44" s="123" t="s">
        <v>281</v>
      </c>
      <c r="B44" s="192">
        <v>319.0</v>
      </c>
      <c r="C44" s="193">
        <f t="shared" si="33"/>
        <v>2512.444</v>
      </c>
      <c r="D44" s="194">
        <f t="shared" si="34"/>
        <v>1677.341875</v>
      </c>
      <c r="E44" s="124">
        <v>126.0</v>
      </c>
      <c r="F44" s="125">
        <f t="shared" si="35"/>
        <v>1020.096</v>
      </c>
      <c r="G44" s="126">
        <f t="shared" si="36"/>
        <v>681.03</v>
      </c>
      <c r="H44" s="195">
        <f>R17*8</f>
        <v>3136</v>
      </c>
      <c r="I44" s="166">
        <v>0.0</v>
      </c>
      <c r="J44" s="129">
        <f t="shared" si="37"/>
        <v>0.8011619898</v>
      </c>
      <c r="K44" s="130">
        <f t="shared" si="38"/>
        <v>0.5348666693</v>
      </c>
      <c r="L44" s="131">
        <f t="shared" si="39"/>
        <v>0.3252857143</v>
      </c>
      <c r="M44" s="132">
        <f t="shared" si="40"/>
        <v>0.2171651786</v>
      </c>
    </row>
    <row r="45" ht="15.75" customHeight="1">
      <c r="A45" s="123" t="s">
        <v>282</v>
      </c>
      <c r="B45" s="192">
        <v>580.0</v>
      </c>
      <c r="C45" s="193">
        <f t="shared" si="33"/>
        <v>4568.08</v>
      </c>
      <c r="D45" s="194">
        <f t="shared" si="34"/>
        <v>3049.7125</v>
      </c>
      <c r="E45" s="124">
        <v>398.0</v>
      </c>
      <c r="F45" s="125">
        <f t="shared" si="35"/>
        <v>3222.208</v>
      </c>
      <c r="G45" s="126">
        <f t="shared" si="36"/>
        <v>2151.19</v>
      </c>
      <c r="H45" s="195">
        <f>R18*8</f>
        <v>3320</v>
      </c>
      <c r="I45" s="166">
        <v>101.0</v>
      </c>
      <c r="J45" s="129">
        <f t="shared" si="37"/>
        <v>1.306001555</v>
      </c>
      <c r="K45" s="130">
        <f t="shared" si="38"/>
        <v>0.8868859372</v>
      </c>
      <c r="L45" s="131">
        <f t="shared" si="39"/>
        <v>0.9212204382</v>
      </c>
      <c r="M45" s="132">
        <f t="shared" si="40"/>
        <v>0.6255868903</v>
      </c>
    </row>
    <row r="46" ht="15.75" customHeight="1">
      <c r="A46" s="123" t="s">
        <v>283</v>
      </c>
      <c r="B46" s="192">
        <v>603.0</v>
      </c>
      <c r="C46" s="193">
        <f t="shared" si="33"/>
        <v>4749.228</v>
      </c>
      <c r="D46" s="194">
        <f t="shared" si="34"/>
        <v>3170.649375</v>
      </c>
      <c r="E46" s="124">
        <v>409.0</v>
      </c>
      <c r="F46" s="125">
        <f t="shared" si="35"/>
        <v>3311.264</v>
      </c>
      <c r="G46" s="126">
        <f t="shared" si="36"/>
        <v>2210.645</v>
      </c>
      <c r="H46" s="195">
        <f>R18*8</f>
        <v>3320</v>
      </c>
      <c r="I46" s="166">
        <v>97.0</v>
      </c>
      <c r="J46" s="129">
        <f t="shared" si="37"/>
        <v>1.360529633</v>
      </c>
      <c r="K46" s="130">
        <f t="shared" si="38"/>
        <v>0.9233175474</v>
      </c>
      <c r="L46" s="131">
        <f t="shared" si="39"/>
        <v>0.9485905487</v>
      </c>
      <c r="M46" s="132">
        <f t="shared" si="40"/>
        <v>0.6437568707</v>
      </c>
    </row>
    <row r="47" ht="15.75" customHeight="1">
      <c r="A47" s="123" t="s">
        <v>284</v>
      </c>
      <c r="B47" s="192">
        <v>395.0</v>
      </c>
      <c r="C47" s="193">
        <f t="shared" si="33"/>
        <v>3111.02</v>
      </c>
      <c r="D47" s="194">
        <f t="shared" si="34"/>
        <v>2076.959375</v>
      </c>
      <c r="E47" s="124">
        <v>313.0</v>
      </c>
      <c r="F47" s="125">
        <f t="shared" si="35"/>
        <v>2534.048</v>
      </c>
      <c r="G47" s="126">
        <f t="shared" si="36"/>
        <v>1691.765</v>
      </c>
      <c r="H47" s="195">
        <f>R20*8</f>
        <v>3256</v>
      </c>
      <c r="I47" s="166">
        <v>101.0</v>
      </c>
      <c r="J47" s="129">
        <f t="shared" si="37"/>
        <v>0.9060097386</v>
      </c>
      <c r="K47" s="130">
        <f t="shared" si="38"/>
        <v>0.6154546364</v>
      </c>
      <c r="L47" s="131">
        <f t="shared" si="39"/>
        <v>0.7379805228</v>
      </c>
      <c r="M47" s="132">
        <f t="shared" si="40"/>
        <v>0.5013119782</v>
      </c>
    </row>
    <row r="48" ht="15.75" customHeight="1">
      <c r="A48" s="123" t="s">
        <v>285</v>
      </c>
      <c r="B48" s="192">
        <v>2024.0</v>
      </c>
      <c r="C48" s="193">
        <f t="shared" si="33"/>
        <v>15941.024</v>
      </c>
      <c r="D48" s="194">
        <f t="shared" si="34"/>
        <v>10642.445</v>
      </c>
      <c r="E48" s="124">
        <v>1650.0</v>
      </c>
      <c r="F48" s="125">
        <f t="shared" si="35"/>
        <v>13358.4</v>
      </c>
      <c r="G48" s="126">
        <f t="shared" si="36"/>
        <v>8918.25</v>
      </c>
      <c r="H48" s="195">
        <f>R19*24+O5*6</f>
        <v>12828</v>
      </c>
      <c r="I48" s="166">
        <v>378.0</v>
      </c>
      <c r="J48" s="129">
        <f t="shared" si="37"/>
        <v>1.18140467</v>
      </c>
      <c r="K48" s="130">
        <f t="shared" si="38"/>
        <v>0.8018629235</v>
      </c>
      <c r="L48" s="131">
        <f t="shared" si="39"/>
        <v>0.9900039131</v>
      </c>
      <c r="M48" s="132">
        <f t="shared" si="40"/>
        <v>0.6719521705</v>
      </c>
    </row>
    <row r="49" ht="15.75" customHeight="1">
      <c r="A49" s="123" t="s">
        <v>286</v>
      </c>
      <c r="B49" s="192">
        <v>2079.0</v>
      </c>
      <c r="C49" s="193">
        <f t="shared" si="33"/>
        <v>16374.204</v>
      </c>
      <c r="D49" s="194">
        <f t="shared" si="34"/>
        <v>10931.64188</v>
      </c>
      <c r="E49" s="124">
        <v>1681.0</v>
      </c>
      <c r="F49" s="125">
        <f t="shared" si="35"/>
        <v>13609.376</v>
      </c>
      <c r="G49" s="126">
        <f t="shared" si="36"/>
        <v>9085.805</v>
      </c>
      <c r="H49" s="195">
        <f>R19*24+O9*6</f>
        <v>14154</v>
      </c>
      <c r="I49" s="166">
        <v>378.0</v>
      </c>
      <c r="J49" s="129">
        <f t="shared" si="37"/>
        <v>1.104925745</v>
      </c>
      <c r="K49" s="130">
        <f t="shared" si="38"/>
        <v>0.7488374811</v>
      </c>
      <c r="L49" s="131">
        <f t="shared" si="39"/>
        <v>0.9183560875</v>
      </c>
      <c r="M49" s="132">
        <f t="shared" si="40"/>
        <v>0.622394276</v>
      </c>
    </row>
    <row r="50" ht="15.75" customHeight="1">
      <c r="A50" s="123" t="s">
        <v>287</v>
      </c>
      <c r="B50" s="192">
        <v>827.0</v>
      </c>
      <c r="C50" s="193">
        <f t="shared" si="33"/>
        <v>6513.452</v>
      </c>
      <c r="D50" s="194">
        <f t="shared" si="34"/>
        <v>4348.469375</v>
      </c>
      <c r="E50" s="124">
        <v>1.0</v>
      </c>
      <c r="F50" s="125">
        <f t="shared" si="35"/>
        <v>8.096</v>
      </c>
      <c r="G50" s="126">
        <f t="shared" si="36"/>
        <v>5.405</v>
      </c>
      <c r="H50" s="195">
        <f>R19*8+R18*4</f>
        <v>5868</v>
      </c>
      <c r="I50" s="166">
        <v>151.0</v>
      </c>
      <c r="J50" s="129">
        <f t="shared" si="37"/>
        <v>1.061901998</v>
      </c>
      <c r="K50" s="130">
        <f t="shared" si="38"/>
        <v>0.7192992015</v>
      </c>
      <c r="L50" s="131">
        <f t="shared" si="39"/>
        <v>0.00131990818</v>
      </c>
      <c r="M50" s="132">
        <f t="shared" si="40"/>
        <v>0.0008940645199</v>
      </c>
    </row>
    <row r="51" ht="15.75" customHeight="1">
      <c r="A51" s="123" t="s">
        <v>288</v>
      </c>
      <c r="B51" s="192">
        <v>3591.0</v>
      </c>
      <c r="C51" s="193">
        <f t="shared" si="33"/>
        <v>28282.716</v>
      </c>
      <c r="D51" s="194">
        <f t="shared" si="34"/>
        <v>18881.92688</v>
      </c>
      <c r="E51" s="124">
        <v>1251.0</v>
      </c>
      <c r="F51" s="125">
        <f t="shared" si="35"/>
        <v>10128.096</v>
      </c>
      <c r="G51" s="126">
        <f t="shared" si="36"/>
        <v>6761.655</v>
      </c>
      <c r="H51" s="195">
        <f>R20*24+R19*12+O12*6</f>
        <v>18360</v>
      </c>
      <c r="I51" s="166">
        <v>983.0</v>
      </c>
      <c r="J51" s="129">
        <f t="shared" si="37"/>
        <v>1.407795091</v>
      </c>
      <c r="K51" s="130">
        <f t="shared" si="38"/>
        <v>0.9675584261</v>
      </c>
      <c r="L51" s="131">
        <f t="shared" si="39"/>
        <v>0.5041341797</v>
      </c>
      <c r="M51" s="132">
        <f t="shared" si="40"/>
        <v>0.3464845677</v>
      </c>
    </row>
    <row r="52" ht="15.75" customHeight="1">
      <c r="A52" s="123" t="s">
        <v>289</v>
      </c>
      <c r="B52" s="192">
        <v>3092.0</v>
      </c>
      <c r="C52" s="193">
        <f t="shared" si="33"/>
        <v>24352.592</v>
      </c>
      <c r="D52" s="194">
        <f t="shared" si="34"/>
        <v>16258.1225</v>
      </c>
      <c r="E52" s="124">
        <v>2553.0</v>
      </c>
      <c r="F52" s="125">
        <f t="shared" si="35"/>
        <v>20669.088</v>
      </c>
      <c r="G52" s="126">
        <f t="shared" si="36"/>
        <v>13798.965</v>
      </c>
      <c r="H52" s="195">
        <f>R20*24+R19*12+O9*6</f>
        <v>17610</v>
      </c>
      <c r="I52" s="166">
        <v>983.0</v>
      </c>
      <c r="J52" s="129">
        <f t="shared" si="37"/>
        <v>1.259177418</v>
      </c>
      <c r="K52" s="130">
        <f t="shared" si="38"/>
        <v>0.866405587</v>
      </c>
      <c r="L52" s="131">
        <f t="shared" si="39"/>
        <v>1.068717813</v>
      </c>
      <c r="M52" s="132">
        <f t="shared" si="40"/>
        <v>0.7353555351</v>
      </c>
    </row>
    <row r="53" ht="15.75" customHeight="1">
      <c r="A53" s="123" t="s">
        <v>290</v>
      </c>
      <c r="B53" s="192">
        <v>3062.0</v>
      </c>
      <c r="C53" s="193">
        <f t="shared" si="33"/>
        <v>24116.312</v>
      </c>
      <c r="D53" s="194">
        <f t="shared" si="34"/>
        <v>16100.37875</v>
      </c>
      <c r="E53" s="124">
        <v>1915.0</v>
      </c>
      <c r="F53" s="125">
        <f t="shared" si="35"/>
        <v>15503.84</v>
      </c>
      <c r="G53" s="126">
        <f t="shared" si="36"/>
        <v>10350.575</v>
      </c>
      <c r="H53" s="195">
        <f>R20*24+R19*12+O12*6</f>
        <v>18360</v>
      </c>
      <c r="I53" s="166">
        <v>983.0</v>
      </c>
      <c r="J53" s="129">
        <f t="shared" si="37"/>
        <v>1.200408958</v>
      </c>
      <c r="K53" s="130">
        <f t="shared" si="38"/>
        <v>0.8250247566</v>
      </c>
      <c r="L53" s="131">
        <f t="shared" si="39"/>
        <v>0.7717161903</v>
      </c>
      <c r="M53" s="132">
        <f t="shared" si="40"/>
        <v>0.5303900456</v>
      </c>
    </row>
    <row r="54" ht="15.75" customHeight="1">
      <c r="A54" s="123" t="s">
        <v>291</v>
      </c>
      <c r="B54" s="192">
        <v>8176.0</v>
      </c>
      <c r="C54" s="193">
        <f t="shared" si="33"/>
        <v>64394.176</v>
      </c>
      <c r="D54" s="194">
        <f t="shared" si="34"/>
        <v>42990.43</v>
      </c>
      <c r="E54" s="124">
        <v>1.0</v>
      </c>
      <c r="F54" s="125">
        <f t="shared" si="35"/>
        <v>8.096</v>
      </c>
      <c r="G54" s="126">
        <f t="shared" si="36"/>
        <v>5.405</v>
      </c>
      <c r="H54" s="195">
        <f>R21*72+O12*18+B63*18</f>
        <v>48078</v>
      </c>
      <c r="I54" s="166">
        <v>1361.0</v>
      </c>
      <c r="J54" s="129">
        <f t="shared" si="37"/>
        <v>1.275805217</v>
      </c>
      <c r="K54" s="130">
        <f t="shared" si="38"/>
        <v>0.8653960295</v>
      </c>
      <c r="L54" s="131">
        <f t="shared" si="39"/>
        <v>0.0001604014474</v>
      </c>
      <c r="M54" s="132">
        <f t="shared" si="40"/>
        <v>0.0001088024832</v>
      </c>
    </row>
    <row r="55" ht="15.75" customHeight="1">
      <c r="A55" s="123" t="s">
        <v>292</v>
      </c>
      <c r="B55" s="192">
        <v>5520.0</v>
      </c>
      <c r="C55" s="193">
        <f t="shared" si="33"/>
        <v>43475.52</v>
      </c>
      <c r="D55" s="194">
        <f t="shared" si="34"/>
        <v>29024.85</v>
      </c>
      <c r="E55" s="124">
        <v>4572.0</v>
      </c>
      <c r="F55" s="125">
        <f t="shared" si="35"/>
        <v>37014.912</v>
      </c>
      <c r="G55" s="126">
        <f t="shared" si="36"/>
        <v>24711.66</v>
      </c>
      <c r="H55" s="195">
        <f>R21*72+O15*18+B63*18</f>
        <v>46728</v>
      </c>
      <c r="I55" s="166">
        <v>1361.0</v>
      </c>
      <c r="J55" s="129">
        <f t="shared" si="37"/>
        <v>0.8850274085</v>
      </c>
      <c r="K55" s="130">
        <f t="shared" si="38"/>
        <v>0.6005906615</v>
      </c>
      <c r="L55" s="131">
        <f t="shared" si="39"/>
        <v>0.7535093691</v>
      </c>
      <c r="M55" s="132">
        <f t="shared" si="40"/>
        <v>0.511340876</v>
      </c>
    </row>
    <row r="56" ht="15.75" customHeight="1">
      <c r="A56" s="123" t="s">
        <v>293</v>
      </c>
      <c r="B56" s="192">
        <v>3898.0</v>
      </c>
      <c r="C56" s="193">
        <f t="shared" si="33"/>
        <v>30700.648</v>
      </c>
      <c r="D56" s="194">
        <f t="shared" si="34"/>
        <v>20496.17125</v>
      </c>
      <c r="E56" s="124">
        <v>1.0</v>
      </c>
      <c r="F56" s="125">
        <f t="shared" si="35"/>
        <v>8.096</v>
      </c>
      <c r="G56" s="126">
        <f t="shared" si="36"/>
        <v>5.405</v>
      </c>
      <c r="H56" s="195">
        <f>R21*24+R20*12+R18*12+O15*6</f>
        <v>22974</v>
      </c>
      <c r="I56" s="166">
        <v>680.0</v>
      </c>
      <c r="J56" s="129">
        <f t="shared" si="37"/>
        <v>1.270154401</v>
      </c>
      <c r="K56" s="130">
        <f t="shared" si="38"/>
        <v>0.8621617486</v>
      </c>
      <c r="L56" s="131">
        <f t="shared" si="39"/>
        <v>0.0003349496086</v>
      </c>
      <c r="M56" s="132">
        <f t="shared" si="40"/>
        <v>0.0002273587684</v>
      </c>
      <c r="P56" s="196">
        <v>2192669.0</v>
      </c>
      <c r="Q56" s="4">
        <f>SUM(P57:P61)</f>
        <v>520246</v>
      </c>
    </row>
    <row r="57" ht="15.75" customHeight="1">
      <c r="A57" s="123" t="s">
        <v>294</v>
      </c>
      <c r="B57" s="192">
        <v>11320.0</v>
      </c>
      <c r="C57" s="193">
        <f t="shared" si="33"/>
        <v>89156.32</v>
      </c>
      <c r="D57" s="194">
        <f t="shared" si="34"/>
        <v>59521.975</v>
      </c>
      <c r="E57" s="124">
        <v>9020.0</v>
      </c>
      <c r="F57" s="125">
        <f t="shared" si="35"/>
        <v>73025.92</v>
      </c>
      <c r="G57" s="126">
        <f t="shared" si="36"/>
        <v>48753.1</v>
      </c>
      <c r="H57" s="195">
        <f>R22*72+R21*36+O12*18+B64*18</f>
        <v>63522</v>
      </c>
      <c r="I57" s="166">
        <v>1814.0</v>
      </c>
      <c r="J57" s="129">
        <f t="shared" si="37"/>
        <v>1.336383139</v>
      </c>
      <c r="K57" s="130">
        <f t="shared" si="38"/>
        <v>0.9066084874</v>
      </c>
      <c r="L57" s="131">
        <f t="shared" si="39"/>
        <v>1.094601125</v>
      </c>
      <c r="M57" s="132">
        <f t="shared" si="40"/>
        <v>0.7425824538</v>
      </c>
      <c r="P57" s="1">
        <v>130152.0</v>
      </c>
    </row>
    <row r="58" ht="15.75" customHeight="1">
      <c r="A58" s="123" t="s">
        <v>295</v>
      </c>
      <c r="B58" s="192">
        <v>13032.0</v>
      </c>
      <c r="C58" s="193">
        <f t="shared" si="33"/>
        <v>102640.032</v>
      </c>
      <c r="D58" s="194">
        <f t="shared" si="34"/>
        <v>68523.885</v>
      </c>
      <c r="E58" s="124">
        <v>10865.0</v>
      </c>
      <c r="F58" s="125">
        <f t="shared" si="35"/>
        <v>87963.04</v>
      </c>
      <c r="G58" s="126">
        <f t="shared" si="36"/>
        <v>58725.325</v>
      </c>
      <c r="H58" s="195">
        <f>R22*72+R21*36+R19*36+O15*18+B64*18</f>
        <v>81108</v>
      </c>
      <c r="I58" s="166">
        <v>2268.0</v>
      </c>
      <c r="J58" s="129">
        <f t="shared" si="37"/>
        <v>1.20611537</v>
      </c>
      <c r="K58" s="130">
        <f t="shared" si="38"/>
        <v>0.8179719814</v>
      </c>
      <c r="L58" s="131">
        <f t="shared" si="39"/>
        <v>1.03364713</v>
      </c>
      <c r="M58" s="132">
        <f t="shared" si="40"/>
        <v>0.7010062323</v>
      </c>
      <c r="P58" s="1">
        <v>305184.0</v>
      </c>
    </row>
    <row r="59" ht="15.75" customHeight="1">
      <c r="A59" s="123" t="s">
        <v>296</v>
      </c>
      <c r="B59" s="192">
        <v>8444.0</v>
      </c>
      <c r="C59" s="193">
        <f t="shared" si="33"/>
        <v>66504.944</v>
      </c>
      <c r="D59" s="194">
        <f t="shared" si="34"/>
        <v>44399.6075</v>
      </c>
      <c r="E59" s="124">
        <v>3082.0</v>
      </c>
      <c r="F59" s="125">
        <f t="shared" si="35"/>
        <v>24951.872</v>
      </c>
      <c r="G59" s="126">
        <f t="shared" si="36"/>
        <v>16658.21</v>
      </c>
      <c r="H59" s="195">
        <f>R22*72+R21*36+R19*36+O12*18+B64*18</f>
        <v>82458</v>
      </c>
      <c r="I59" s="166">
        <v>2268.0</v>
      </c>
      <c r="J59" s="129">
        <f t="shared" si="37"/>
        <v>0.7692908059</v>
      </c>
      <c r="K59" s="130">
        <f t="shared" si="38"/>
        <v>0.5215941597</v>
      </c>
      <c r="L59" s="131">
        <f t="shared" si="39"/>
        <v>0.2886288532</v>
      </c>
      <c r="M59" s="132">
        <f t="shared" si="40"/>
        <v>0.1956959878</v>
      </c>
      <c r="P59" s="1">
        <v>63240.0</v>
      </c>
    </row>
    <row r="60" ht="15.75" customHeight="1">
      <c r="A60" s="123" t="s">
        <v>297</v>
      </c>
      <c r="B60" s="192">
        <v>12431.0</v>
      </c>
      <c r="C60" s="193">
        <f t="shared" si="33"/>
        <v>97906.556</v>
      </c>
      <c r="D60" s="194">
        <f t="shared" si="34"/>
        <v>65363.75188</v>
      </c>
      <c r="E60" s="124">
        <v>11078.0</v>
      </c>
      <c r="F60" s="125">
        <f t="shared" si="35"/>
        <v>89687.488</v>
      </c>
      <c r="G60" s="126">
        <f t="shared" si="36"/>
        <v>59876.59</v>
      </c>
      <c r="H60" s="195">
        <f>R23*72+R22*36+R20*36+O17*18+B65*18</f>
        <v>75780</v>
      </c>
      <c r="I60" s="166">
        <v>2268.0</v>
      </c>
      <c r="J60" s="129">
        <f t="shared" si="37"/>
        <v>1.227334763</v>
      </c>
      <c r="K60" s="130">
        <f t="shared" si="38"/>
        <v>0.8332441226</v>
      </c>
      <c r="L60" s="131">
        <f t="shared" si="39"/>
        <v>1.124302359</v>
      </c>
      <c r="M60" s="132">
        <f t="shared" si="40"/>
        <v>0.7632948732</v>
      </c>
      <c r="P60" s="1">
        <v>18892.0</v>
      </c>
    </row>
    <row r="61" ht="15.75" customHeight="1">
      <c r="A61" s="184" t="s">
        <v>298</v>
      </c>
      <c r="B61" s="197">
        <v>11891.0</v>
      </c>
      <c r="C61" s="198">
        <f t="shared" si="33"/>
        <v>93653.516</v>
      </c>
      <c r="D61" s="199">
        <f t="shared" si="34"/>
        <v>62524.36438</v>
      </c>
      <c r="E61" s="185">
        <v>10686.0</v>
      </c>
      <c r="F61" s="186">
        <f t="shared" si="35"/>
        <v>86513.856</v>
      </c>
      <c r="G61" s="187">
        <f t="shared" si="36"/>
        <v>57757.83</v>
      </c>
      <c r="H61" s="200">
        <f>R23*72+R22*36+R20*36+O17*18+B65*18</f>
        <v>75780</v>
      </c>
      <c r="I61" s="108">
        <v>2268.0</v>
      </c>
      <c r="J61" s="201">
        <f t="shared" si="37"/>
        <v>1.174019602</v>
      </c>
      <c r="K61" s="202">
        <f t="shared" si="38"/>
        <v>0.7970481749</v>
      </c>
      <c r="L61" s="203">
        <f t="shared" si="39"/>
        <v>1.084518416</v>
      </c>
      <c r="M61" s="204">
        <f t="shared" si="40"/>
        <v>0.7362853417</v>
      </c>
      <c r="P61" s="1">
        <v>2778.0</v>
      </c>
    </row>
    <row r="62" ht="15.75" customHeight="1">
      <c r="P62" s="1">
        <v>1672423.0</v>
      </c>
    </row>
    <row r="63" ht="15.75" customHeight="1">
      <c r="A63" s="4" t="s">
        <v>299</v>
      </c>
      <c r="B63" s="4">
        <f t="shared" ref="B63:B65" si="41">13+R31</f>
        <v>411</v>
      </c>
    </row>
    <row r="64" ht="15.75" customHeight="1">
      <c r="A64" s="4" t="s">
        <v>300</v>
      </c>
      <c r="B64" s="4">
        <f t="shared" si="41"/>
        <v>453</v>
      </c>
      <c r="J64" s="3"/>
    </row>
    <row r="65" ht="15.75" customHeight="1">
      <c r="A65" s="4" t="s">
        <v>301</v>
      </c>
      <c r="B65" s="4">
        <f t="shared" si="41"/>
        <v>402</v>
      </c>
      <c r="N65" s="1">
        <v>2125503.0</v>
      </c>
      <c r="O65" s="1">
        <v>1970023.0</v>
      </c>
    </row>
    <row r="66" ht="15.75" customHeight="1">
      <c r="N66" s="1">
        <v>150620.0</v>
      </c>
    </row>
    <row r="67" ht="15.75" customHeight="1">
      <c r="K67" s="1">
        <v>815.0</v>
      </c>
      <c r="N67" s="1">
        <v>4860.0</v>
      </c>
    </row>
    <row r="68" ht="15.75" customHeight="1">
      <c r="K68" s="4">
        <f t="shared" ref="K68:K86" si="42">K67*$T$4</f>
        <v>354.525</v>
      </c>
      <c r="L68" s="4">
        <f>K67*$T$3</f>
        <v>123.88</v>
      </c>
    </row>
    <row r="69" ht="15.75" customHeight="1">
      <c r="K69" s="4">
        <f t="shared" si="42"/>
        <v>154.218375</v>
      </c>
      <c r="L69" s="4">
        <f t="shared" ref="L69:L86" si="43">L68*$T$3</f>
        <v>18.82976</v>
      </c>
    </row>
    <row r="70" ht="15.75" customHeight="1">
      <c r="K70" s="4">
        <f t="shared" si="42"/>
        <v>67.08499313</v>
      </c>
      <c r="L70" s="4">
        <f t="shared" si="43"/>
        <v>2.86212352</v>
      </c>
    </row>
    <row r="71" ht="15.75" customHeight="1">
      <c r="K71" s="4">
        <f t="shared" si="42"/>
        <v>29.18197201</v>
      </c>
      <c r="L71" s="4">
        <f t="shared" si="43"/>
        <v>0.435042775</v>
      </c>
    </row>
    <row r="72" ht="15.75" customHeight="1">
      <c r="K72" s="4">
        <f t="shared" si="42"/>
        <v>12.69415782</v>
      </c>
      <c r="L72" s="4">
        <f t="shared" si="43"/>
        <v>0.06612650181</v>
      </c>
    </row>
    <row r="73" ht="15.75" customHeight="1">
      <c r="K73" s="4">
        <f t="shared" si="42"/>
        <v>5.521958653</v>
      </c>
      <c r="L73" s="4">
        <f t="shared" si="43"/>
        <v>0.01005122827</v>
      </c>
    </row>
    <row r="74" ht="15.75" customHeight="1">
      <c r="K74" s="4">
        <f t="shared" si="42"/>
        <v>2.402052014</v>
      </c>
      <c r="L74" s="4">
        <f t="shared" si="43"/>
        <v>0.001527786698</v>
      </c>
    </row>
    <row r="75" ht="15.75" customHeight="1">
      <c r="K75" s="4">
        <f t="shared" si="42"/>
        <v>1.044892626</v>
      </c>
      <c r="L75" s="4">
        <f t="shared" si="43"/>
        <v>0.0002322235781</v>
      </c>
    </row>
    <row r="76" ht="15.75" customHeight="1">
      <c r="K76" s="4">
        <f t="shared" si="42"/>
        <v>0.4545282924</v>
      </c>
      <c r="L76" s="4">
        <f t="shared" si="43"/>
        <v>0.00003529798386</v>
      </c>
    </row>
    <row r="77" ht="15.75" customHeight="1">
      <c r="K77" s="4">
        <f t="shared" si="42"/>
        <v>0.1977198072</v>
      </c>
      <c r="L77" s="4">
        <f t="shared" si="43"/>
        <v>0.000005365293547</v>
      </c>
    </row>
    <row r="78" ht="15.75" customHeight="1">
      <c r="K78" s="4">
        <f t="shared" si="42"/>
        <v>0.08600811613</v>
      </c>
      <c r="L78" s="4">
        <f t="shared" si="43"/>
        <v>0.0000008155246192</v>
      </c>
    </row>
    <row r="79" ht="15.75" customHeight="1">
      <c r="K79" s="4">
        <f t="shared" si="42"/>
        <v>0.03741353052</v>
      </c>
      <c r="L79" s="4">
        <f t="shared" si="43"/>
        <v>0.0000001239597421</v>
      </c>
    </row>
    <row r="80" ht="15.75" customHeight="1">
      <c r="K80" s="4">
        <f t="shared" si="42"/>
        <v>0.01627488577</v>
      </c>
      <c r="L80" s="4">
        <f t="shared" si="43"/>
        <v>0.0000000188418808</v>
      </c>
    </row>
    <row r="81" ht="15.75" customHeight="1">
      <c r="K81" s="4">
        <f t="shared" si="42"/>
        <v>0.007079575312</v>
      </c>
      <c r="L81" s="4">
        <f t="shared" si="43"/>
        <v>0.000000002863965882</v>
      </c>
    </row>
    <row r="82" ht="15.75" customHeight="1">
      <c r="K82" s="4">
        <f t="shared" si="42"/>
        <v>0.003079615261</v>
      </c>
      <c r="L82" s="4">
        <f t="shared" si="43"/>
        <v>0.000000000435322814</v>
      </c>
    </row>
    <row r="83" ht="15.75" customHeight="1">
      <c r="K83" s="4">
        <f t="shared" si="42"/>
        <v>0.001339632638</v>
      </c>
      <c r="L83" s="4">
        <f t="shared" si="43"/>
        <v>0</v>
      </c>
    </row>
    <row r="84" ht="15.75" customHeight="1">
      <c r="K84" s="4">
        <f t="shared" si="42"/>
        <v>0.0005827401977</v>
      </c>
      <c r="L84" s="4">
        <f t="shared" si="43"/>
        <v>0</v>
      </c>
    </row>
    <row r="85" ht="15.75" customHeight="1">
      <c r="K85" s="4">
        <f t="shared" si="42"/>
        <v>0.000253491986</v>
      </c>
      <c r="L85" s="4">
        <f t="shared" si="43"/>
        <v>0</v>
      </c>
    </row>
    <row r="86" ht="15.75" customHeight="1">
      <c r="K86" s="4">
        <f t="shared" si="42"/>
        <v>0.0001102690139</v>
      </c>
      <c r="L86" s="4">
        <f t="shared" si="43"/>
        <v>0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N1:V1"/>
  </mergeCells>
  <conditionalFormatting sqref="J2:J41 J43:J61">
    <cfRule type="expression" dxfId="2" priority="1">
      <formula>$J2&lt;1</formula>
    </cfRule>
  </conditionalFormatting>
  <conditionalFormatting sqref="K2:K41 K43:K61">
    <cfRule type="expression" dxfId="2" priority="2">
      <formula>$K2&lt;1</formula>
    </cfRule>
  </conditionalFormatting>
  <conditionalFormatting sqref="L2:L41 L43:L61">
    <cfRule type="expression" dxfId="2" priority="3">
      <formula>$L2&lt;1</formula>
    </cfRule>
  </conditionalFormatting>
  <conditionalFormatting sqref="M2:M41 M43:M61">
    <cfRule type="expression" dxfId="2" priority="4">
      <formula>$M2&lt;1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26" width="8.71"/>
  </cols>
  <sheetData>
    <row r="1">
      <c r="A1" s="26" t="s">
        <v>54</v>
      </c>
      <c r="H1" s="4">
        <v>637000.0</v>
      </c>
    </row>
    <row r="2">
      <c r="A2" s="7" t="s">
        <v>55</v>
      </c>
      <c r="B2" s="31" t="s">
        <v>55</v>
      </c>
      <c r="C2" s="8" t="s">
        <v>56</v>
      </c>
      <c r="D2" s="8" t="s">
        <v>57</v>
      </c>
      <c r="E2" s="9" t="s">
        <v>58</v>
      </c>
      <c r="F2" s="2" t="s">
        <v>59</v>
      </c>
    </row>
    <row r="3">
      <c r="A3" s="10" t="s">
        <v>60</v>
      </c>
      <c r="B3" s="32">
        <v>66991.0</v>
      </c>
      <c r="C3" s="2">
        <v>9000.0</v>
      </c>
      <c r="D3" s="2">
        <v>41000.0</v>
      </c>
      <c r="E3" s="27">
        <f t="shared" ref="E3:E7" si="1">B3-(C3+D3+$F$3)*0.895</f>
        <v>21448.925</v>
      </c>
      <c r="F3" s="4">
        <f>K5</f>
        <v>885</v>
      </c>
      <c r="G3" s="4">
        <f t="shared" ref="G3:G8" si="2">H3*E3</f>
        <v>268506.7353</v>
      </c>
      <c r="H3" s="4">
        <f t="shared" ref="H3:H10" si="3">$H$1/($F$3+D3+C3)</f>
        <v>12.5184239</v>
      </c>
    </row>
    <row r="4">
      <c r="A4" s="10" t="s">
        <v>61</v>
      </c>
      <c r="B4" s="33">
        <v>62999.0</v>
      </c>
      <c r="C4" s="34">
        <v>6845.0</v>
      </c>
      <c r="D4" s="34">
        <v>47333.0</v>
      </c>
      <c r="E4" s="35">
        <f t="shared" si="1"/>
        <v>13717.615</v>
      </c>
      <c r="G4" s="4">
        <f t="shared" si="2"/>
        <v>158693.147</v>
      </c>
      <c r="H4" s="4">
        <f t="shared" si="3"/>
        <v>11.56856691</v>
      </c>
    </row>
    <row r="5">
      <c r="A5" s="10" t="s">
        <v>62</v>
      </c>
      <c r="B5" s="32">
        <v>59992.0</v>
      </c>
      <c r="C5" s="2">
        <v>6981.0</v>
      </c>
      <c r="D5" s="2">
        <v>41500.0</v>
      </c>
      <c r="E5" s="27">
        <f t="shared" si="1"/>
        <v>15809.43</v>
      </c>
      <c r="G5" s="4">
        <f t="shared" si="2"/>
        <v>203998.8435</v>
      </c>
      <c r="H5" s="4">
        <f t="shared" si="3"/>
        <v>12.90361787</v>
      </c>
      <c r="K5" s="4">
        <v>885.0</v>
      </c>
      <c r="M5" s="4">
        <v>48.0</v>
      </c>
    </row>
    <row r="6">
      <c r="A6" s="10" t="s">
        <v>63</v>
      </c>
      <c r="B6" s="32">
        <v>69996.0</v>
      </c>
      <c r="C6" s="2">
        <v>8100.0</v>
      </c>
      <c r="D6" s="2">
        <v>47500.0</v>
      </c>
      <c r="E6" s="27">
        <f t="shared" si="1"/>
        <v>19441.925</v>
      </c>
      <c r="G6" s="4">
        <f t="shared" si="2"/>
        <v>219253.0092</v>
      </c>
      <c r="H6" s="4">
        <f t="shared" si="3"/>
        <v>11.27733026</v>
      </c>
      <c r="K6" s="4">
        <v>2100.0</v>
      </c>
      <c r="L6" s="4">
        <f t="shared" ref="L6:L8" si="4">$M$5*M6</f>
        <v>960</v>
      </c>
      <c r="M6" s="4">
        <v>20.0</v>
      </c>
    </row>
    <row r="7">
      <c r="A7" s="10" t="s">
        <v>64</v>
      </c>
      <c r="B7" s="33">
        <v>60000.0</v>
      </c>
      <c r="C7" s="34">
        <v>5149.0</v>
      </c>
      <c r="D7" s="34">
        <v>44996.0</v>
      </c>
      <c r="E7" s="35">
        <f t="shared" si="1"/>
        <v>14328.15</v>
      </c>
      <c r="G7" s="4">
        <f t="shared" si="2"/>
        <v>178856.1934</v>
      </c>
      <c r="H7" s="4">
        <f t="shared" si="3"/>
        <v>12.48285322</v>
      </c>
      <c r="K7" s="4">
        <v>12800.0</v>
      </c>
      <c r="L7" s="4">
        <f t="shared" si="4"/>
        <v>7248</v>
      </c>
      <c r="M7" s="4">
        <v>151.0</v>
      </c>
    </row>
    <row r="8">
      <c r="A8" s="10" t="s">
        <v>65</v>
      </c>
      <c r="B8" s="32">
        <v>221174.0</v>
      </c>
      <c r="C8" s="2">
        <v>194000.0</v>
      </c>
      <c r="D8" s="2">
        <v>47427.0</v>
      </c>
      <c r="E8" s="27">
        <f>B8*0.96-(C8+D8+$F$3)</f>
        <v>-29984.96</v>
      </c>
      <c r="G8" s="4">
        <f t="shared" si="2"/>
        <v>-78825.72683</v>
      </c>
      <c r="H8" s="4">
        <f t="shared" si="3"/>
        <v>2.628842154</v>
      </c>
      <c r="K8" s="4">
        <v>55964.0</v>
      </c>
      <c r="L8" s="4">
        <f t="shared" si="4"/>
        <v>32544</v>
      </c>
      <c r="M8" s="4">
        <v>678.0</v>
      </c>
    </row>
    <row r="9">
      <c r="A9" s="10" t="s">
        <v>66</v>
      </c>
      <c r="B9" s="32">
        <v>68998.0</v>
      </c>
      <c r="C9" s="2">
        <v>189.0</v>
      </c>
      <c r="D9" s="2">
        <v>41000.0</v>
      </c>
      <c r="E9" s="27">
        <f t="shared" ref="E9:E10" si="5">B9-(C9+D9+$F$3)*0.895</f>
        <v>31341.77</v>
      </c>
      <c r="H9" s="4">
        <f t="shared" si="3"/>
        <v>15.13999144</v>
      </c>
    </row>
    <row r="10">
      <c r="A10" s="36" t="s">
        <v>67</v>
      </c>
      <c r="B10" s="37">
        <v>118000.0</v>
      </c>
      <c r="C10" s="29">
        <v>24000.0</v>
      </c>
      <c r="D10" s="2">
        <v>47600.0</v>
      </c>
      <c r="E10" s="27">
        <f t="shared" si="5"/>
        <v>53125.925</v>
      </c>
      <c r="H10" s="4">
        <f t="shared" si="3"/>
        <v>8.788025109</v>
      </c>
    </row>
    <row r="12">
      <c r="A12" s="2" t="s">
        <v>54</v>
      </c>
      <c r="B12" s="2"/>
      <c r="E12" s="2"/>
    </row>
    <row r="13">
      <c r="A13" s="7" t="s">
        <v>55</v>
      </c>
      <c r="B13" s="31" t="s">
        <v>55</v>
      </c>
      <c r="C13" s="8" t="s">
        <v>56</v>
      </c>
      <c r="D13" s="8" t="s">
        <v>57</v>
      </c>
      <c r="E13" s="9" t="s">
        <v>58</v>
      </c>
      <c r="L13" s="4">
        <v>766919.0</v>
      </c>
    </row>
    <row r="14">
      <c r="A14" s="10" t="s">
        <v>60</v>
      </c>
      <c r="B14" s="32">
        <v>69000.0</v>
      </c>
      <c r="C14" s="2">
        <v>9000.0</v>
      </c>
      <c r="D14" s="2">
        <v>41000.0</v>
      </c>
      <c r="E14" s="27">
        <f t="shared" ref="E14:E18" si="6">B14-(C14+D14+$F$15)*0.895</f>
        <v>22598.725</v>
      </c>
      <c r="G14" s="4">
        <f t="shared" ref="G14:G19" si="7">H14*E14</f>
        <v>277662.0277</v>
      </c>
      <c r="H14" s="4">
        <f t="shared" ref="H14:H21" si="8">$H$1/($F$15+D14+C14)</f>
        <v>12.28662359</v>
      </c>
    </row>
    <row r="15">
      <c r="A15" s="10" t="s">
        <v>61</v>
      </c>
      <c r="B15" s="33">
        <v>65959.0</v>
      </c>
      <c r="C15" s="34">
        <v>6845.0</v>
      </c>
      <c r="D15" s="34">
        <v>47333.0</v>
      </c>
      <c r="E15" s="35">
        <f t="shared" si="6"/>
        <v>15818.415</v>
      </c>
      <c r="F15" s="4">
        <f>K5+L6</f>
        <v>1845</v>
      </c>
      <c r="G15" s="4">
        <f t="shared" si="7"/>
        <v>179860.5993</v>
      </c>
      <c r="H15" s="4">
        <f t="shared" si="8"/>
        <v>11.37033004</v>
      </c>
      <c r="S15" s="4">
        <v>3240.0</v>
      </c>
      <c r="T15" s="4">
        <v>14361.0</v>
      </c>
    </row>
    <row r="16">
      <c r="A16" s="10" t="s">
        <v>62</v>
      </c>
      <c r="B16" s="32">
        <v>59988.0</v>
      </c>
      <c r="C16" s="2">
        <v>6981.0</v>
      </c>
      <c r="D16" s="2">
        <v>41500.0</v>
      </c>
      <c r="E16" s="27">
        <f t="shared" si="6"/>
        <v>14946.23</v>
      </c>
      <c r="G16" s="4">
        <f t="shared" si="7"/>
        <v>189181.5068</v>
      </c>
      <c r="H16" s="4">
        <f t="shared" si="8"/>
        <v>12.65747327</v>
      </c>
      <c r="S16" s="4">
        <v>2777.0</v>
      </c>
      <c r="T16" s="4">
        <v>1123.0</v>
      </c>
    </row>
    <row r="17">
      <c r="A17" s="10" t="s">
        <v>63</v>
      </c>
      <c r="B17" s="32">
        <v>70000.0</v>
      </c>
      <c r="C17" s="2">
        <v>8100.0</v>
      </c>
      <c r="D17" s="2">
        <v>47500.0</v>
      </c>
      <c r="E17" s="27">
        <f t="shared" si="6"/>
        <v>18586.725</v>
      </c>
      <c r="G17" s="4">
        <f t="shared" si="7"/>
        <v>206105.7329</v>
      </c>
      <c r="H17" s="4">
        <f t="shared" si="8"/>
        <v>11.08886761</v>
      </c>
      <c r="S17" s="4">
        <v>11471.0</v>
      </c>
      <c r="T17" s="4">
        <v>1100.0</v>
      </c>
    </row>
    <row r="18">
      <c r="A18" s="10" t="s">
        <v>64</v>
      </c>
      <c r="B18" s="32">
        <v>62000.0</v>
      </c>
      <c r="C18" s="34">
        <v>5149.0</v>
      </c>
      <c r="D18" s="34">
        <v>44996.0</v>
      </c>
      <c r="E18" s="27">
        <f t="shared" si="6"/>
        <v>15468.95</v>
      </c>
      <c r="G18" s="4">
        <f t="shared" si="7"/>
        <v>189531.0858</v>
      </c>
      <c r="H18" s="4">
        <f t="shared" si="8"/>
        <v>12.25235622</v>
      </c>
    </row>
    <row r="19">
      <c r="A19" s="10" t="s">
        <v>65</v>
      </c>
      <c r="B19" s="32">
        <v>231609.0</v>
      </c>
      <c r="C19" s="2">
        <v>194000.0</v>
      </c>
      <c r="D19" s="2">
        <v>47427.0</v>
      </c>
      <c r="E19" s="27">
        <f>B19*0.96-(C19+D19+$F$15)</f>
        <v>-20927.36</v>
      </c>
      <c r="G19" s="4">
        <f t="shared" si="7"/>
        <v>-54797.62702</v>
      </c>
      <c r="H19" s="4">
        <f t="shared" si="8"/>
        <v>2.618468217</v>
      </c>
      <c r="N19" s="4">
        <v>34300.0</v>
      </c>
      <c r="O19" s="4">
        <v>2776.0</v>
      </c>
      <c r="P19" s="4">
        <v>27888.0</v>
      </c>
    </row>
    <row r="20">
      <c r="A20" s="10" t="s">
        <v>66</v>
      </c>
      <c r="B20" s="32">
        <v>70000.0</v>
      </c>
      <c r="C20" s="2">
        <v>189.0</v>
      </c>
      <c r="D20" s="2">
        <v>41000.0</v>
      </c>
      <c r="E20" s="27">
        <f t="shared" ref="E20:E21" si="9">B20-(C20+D20+$F$15)*0.895</f>
        <v>31484.57</v>
      </c>
      <c r="H20" s="4">
        <f t="shared" si="8"/>
        <v>14.80224938</v>
      </c>
      <c r="N20" s="4">
        <v>15000.0</v>
      </c>
      <c r="O20" s="4">
        <v>3386.0</v>
      </c>
    </row>
    <row r="21" ht="15.75" customHeight="1">
      <c r="A21" s="36" t="s">
        <v>67</v>
      </c>
      <c r="B21" s="37">
        <v>119000.0</v>
      </c>
      <c r="C21" s="29">
        <v>24000.0</v>
      </c>
      <c r="D21" s="2">
        <v>47600.0</v>
      </c>
      <c r="E21" s="27">
        <f t="shared" si="9"/>
        <v>53266.725</v>
      </c>
      <c r="G21" s="4">
        <f>H21*E21</f>
        <v>461990.6573</v>
      </c>
      <c r="H21" s="4">
        <f t="shared" si="8"/>
        <v>8.673156784</v>
      </c>
      <c r="N21" s="4">
        <v>9000.0</v>
      </c>
      <c r="O21" s="4">
        <v>3459.0</v>
      </c>
      <c r="R21" s="4">
        <f>175/3</f>
        <v>58.33333333</v>
      </c>
    </row>
    <row r="22" ht="15.75" customHeight="1">
      <c r="O22" s="4">
        <v>1452.0</v>
      </c>
    </row>
    <row r="23" ht="15.75" customHeight="1">
      <c r="A23" s="2" t="s">
        <v>68</v>
      </c>
      <c r="B23" s="2"/>
      <c r="E23" s="2"/>
      <c r="O23" s="4">
        <v>1713.0</v>
      </c>
    </row>
    <row r="24" ht="15.75" customHeight="1">
      <c r="A24" s="7" t="s">
        <v>55</v>
      </c>
      <c r="B24" s="31" t="s">
        <v>55</v>
      </c>
      <c r="C24" s="8" t="s">
        <v>56</v>
      </c>
      <c r="D24" s="8" t="s">
        <v>57</v>
      </c>
      <c r="E24" s="9" t="s">
        <v>58</v>
      </c>
      <c r="O24" s="4">
        <v>1168.0</v>
      </c>
    </row>
    <row r="25" ht="15.75" customHeight="1">
      <c r="A25" s="10" t="s">
        <v>60</v>
      </c>
      <c r="B25" s="32">
        <v>82180.0</v>
      </c>
      <c r="C25" s="2">
        <v>9000.0</v>
      </c>
      <c r="D25" s="2">
        <v>41000.0</v>
      </c>
      <c r="E25" s="27">
        <f t="shared" ref="E25:E29" si="10">B25-(C25+D25+$F$25)*0.895</f>
        <v>29291.765</v>
      </c>
      <c r="F25" s="4">
        <f>K5+L6+L7</f>
        <v>9093</v>
      </c>
      <c r="G25" s="4">
        <f t="shared" ref="G25:G30" si="11">H25*E25</f>
        <v>315754.0539</v>
      </c>
      <c r="H25" s="4">
        <f t="shared" ref="H25:H32" si="12">$H$1/($F$25+D25+C25)</f>
        <v>10.77961857</v>
      </c>
      <c r="O25" s="4">
        <v>2300.0</v>
      </c>
    </row>
    <row r="26" ht="15.75" customHeight="1">
      <c r="A26" s="10" t="s">
        <v>61</v>
      </c>
      <c r="B26" s="33">
        <v>73991.0</v>
      </c>
      <c r="C26" s="34">
        <v>6845.0</v>
      </c>
      <c r="D26" s="34">
        <v>47333.0</v>
      </c>
      <c r="E26" s="35">
        <f t="shared" si="10"/>
        <v>17363.455</v>
      </c>
      <c r="G26" s="4">
        <f t="shared" si="11"/>
        <v>174811.8543</v>
      </c>
      <c r="H26" s="4">
        <f t="shared" si="12"/>
        <v>10.06780358</v>
      </c>
      <c r="O26" s="4">
        <v>2832.0</v>
      </c>
    </row>
    <row r="27" ht="15.75" customHeight="1">
      <c r="A27" s="10" t="s">
        <v>62</v>
      </c>
      <c r="B27" s="32">
        <v>64998.0</v>
      </c>
      <c r="C27" s="2">
        <v>6981.0</v>
      </c>
      <c r="D27" s="2">
        <v>41500.0</v>
      </c>
      <c r="E27" s="27">
        <f t="shared" si="10"/>
        <v>13469.27</v>
      </c>
      <c r="G27" s="4">
        <f t="shared" si="11"/>
        <v>149024.299</v>
      </c>
      <c r="H27" s="4">
        <f t="shared" si="12"/>
        <v>11.06402195</v>
      </c>
      <c r="O27" s="4">
        <v>2685.0</v>
      </c>
    </row>
    <row r="28" ht="15.75" customHeight="1">
      <c r="A28" s="10" t="s">
        <v>63</v>
      </c>
      <c r="B28" s="32">
        <v>78449.0</v>
      </c>
      <c r="C28" s="2">
        <v>8100.0</v>
      </c>
      <c r="D28" s="2">
        <v>47500.0</v>
      </c>
      <c r="E28" s="27">
        <f t="shared" si="10"/>
        <v>20548.765</v>
      </c>
      <c r="G28" s="4">
        <f t="shared" si="11"/>
        <v>202333.5338</v>
      </c>
      <c r="H28" s="4">
        <f t="shared" si="12"/>
        <v>9.846505804</v>
      </c>
      <c r="O28" s="4">
        <v>1140.0</v>
      </c>
    </row>
    <row r="29" ht="15.75" customHeight="1">
      <c r="A29" s="10" t="s">
        <v>64</v>
      </c>
      <c r="B29" s="32">
        <v>73000.0</v>
      </c>
      <c r="C29" s="34">
        <v>5149.0</v>
      </c>
      <c r="D29" s="34">
        <v>44996.0</v>
      </c>
      <c r="E29" s="27">
        <f t="shared" si="10"/>
        <v>19981.99</v>
      </c>
      <c r="G29" s="4">
        <f t="shared" si="11"/>
        <v>214870.9887</v>
      </c>
      <c r="H29" s="4">
        <f t="shared" si="12"/>
        <v>10.75323272</v>
      </c>
      <c r="O29" s="4">
        <v>526.0</v>
      </c>
    </row>
    <row r="30" ht="15.75" customHeight="1">
      <c r="A30" s="10" t="s">
        <v>65</v>
      </c>
      <c r="B30" s="32">
        <v>231080.0</v>
      </c>
      <c r="C30" s="2">
        <v>194000.0</v>
      </c>
      <c r="D30" s="2">
        <v>47427.0</v>
      </c>
      <c r="E30" s="27">
        <f>B30*0.96-(C30+D30+$F$25)</f>
        <v>-28683.2</v>
      </c>
      <c r="G30" s="4">
        <f t="shared" si="11"/>
        <v>-72933.09277</v>
      </c>
      <c r="H30" s="4">
        <f t="shared" si="12"/>
        <v>2.542711161</v>
      </c>
      <c r="O30" s="4">
        <v>1440.0</v>
      </c>
    </row>
    <row r="31" ht="15.75" customHeight="1">
      <c r="A31" s="10" t="s">
        <v>66</v>
      </c>
      <c r="B31" s="32">
        <v>99900.0</v>
      </c>
      <c r="C31" s="2">
        <v>189.0</v>
      </c>
      <c r="D31" s="2">
        <v>41000.0</v>
      </c>
      <c r="E31" s="27">
        <f t="shared" ref="E31:E32" si="13">B31-(C31+D31+$F$25)*0.895</f>
        <v>54897.61</v>
      </c>
      <c r="H31" s="4">
        <f t="shared" si="12"/>
        <v>12.66854938</v>
      </c>
      <c r="O31" s="4">
        <v>1394.0</v>
      </c>
    </row>
    <row r="32" ht="15.75" customHeight="1">
      <c r="A32" s="36" t="s">
        <v>67</v>
      </c>
      <c r="B32" s="37">
        <v>124475.0</v>
      </c>
      <c r="C32" s="29">
        <v>24000.0</v>
      </c>
      <c r="D32" s="2">
        <v>47600.0</v>
      </c>
      <c r="E32" s="27">
        <f t="shared" si="13"/>
        <v>52254.765</v>
      </c>
      <c r="G32" s="4">
        <f>H32*E32</f>
        <v>412505.2397</v>
      </c>
      <c r="H32" s="4">
        <f t="shared" si="12"/>
        <v>7.89411721</v>
      </c>
      <c r="O32" s="4">
        <v>478.0</v>
      </c>
    </row>
    <row r="33" ht="15.75" customHeight="1">
      <c r="A33" s="10" t="s">
        <v>69</v>
      </c>
      <c r="B33" s="2"/>
      <c r="E33" s="2"/>
      <c r="O33" s="4">
        <v>2011.0</v>
      </c>
    </row>
    <row r="34" ht="15.75" customHeight="1">
      <c r="A34" s="7" t="s">
        <v>55</v>
      </c>
      <c r="B34" s="31" t="s">
        <v>55</v>
      </c>
      <c r="C34" s="8" t="s">
        <v>56</v>
      </c>
      <c r="D34" s="8" t="s">
        <v>57</v>
      </c>
      <c r="E34" s="9" t="s">
        <v>58</v>
      </c>
      <c r="O34" s="4">
        <v>1431.0</v>
      </c>
    </row>
    <row r="35" ht="15.75" customHeight="1">
      <c r="A35" s="10" t="s">
        <v>60</v>
      </c>
      <c r="B35" s="32">
        <v>114888.0</v>
      </c>
      <c r="C35" s="2">
        <v>9000.0</v>
      </c>
      <c r="D35" s="2">
        <v>41000.0</v>
      </c>
      <c r="E35" s="27">
        <f t="shared" ref="E35:E39" si="14">B35-(C35+D35+$F$35)*0.895</f>
        <v>32872.885</v>
      </c>
      <c r="F35" s="4">
        <f>K5+L6+L7+L8</f>
        <v>41637</v>
      </c>
      <c r="G35" s="4">
        <f t="shared" ref="G35:G42" si="15">H35*E35</f>
        <v>228510.6207</v>
      </c>
      <c r="H35" s="4">
        <f t="shared" ref="H35:H42" si="16">$H$1/($F$35+D35+C35)</f>
        <v>6.951340616</v>
      </c>
      <c r="O35" s="4">
        <v>5472.0</v>
      </c>
    </row>
    <row r="36" ht="15.75" customHeight="1">
      <c r="A36" s="10" t="s">
        <v>61</v>
      </c>
      <c r="B36" s="33">
        <v>116493.0</v>
      </c>
      <c r="C36" s="34">
        <v>6845.0</v>
      </c>
      <c r="D36" s="34">
        <v>47333.0</v>
      </c>
      <c r="E36" s="35">
        <f t="shared" si="14"/>
        <v>30738.575</v>
      </c>
      <c r="G36" s="4">
        <f t="shared" si="15"/>
        <v>204357.066</v>
      </c>
      <c r="H36" s="4">
        <f t="shared" si="16"/>
        <v>6.648228357</v>
      </c>
    </row>
    <row r="37" ht="15.75" customHeight="1">
      <c r="A37" s="10" t="s">
        <v>62</v>
      </c>
      <c r="B37" s="32">
        <v>129995.0</v>
      </c>
      <c r="C37" s="2">
        <v>6981.0</v>
      </c>
      <c r="D37" s="2">
        <v>41500.0</v>
      </c>
      <c r="E37" s="27">
        <f t="shared" si="14"/>
        <v>49339.39</v>
      </c>
      <c r="G37" s="4">
        <f t="shared" si="15"/>
        <v>348755.9803</v>
      </c>
      <c r="H37" s="4">
        <f t="shared" si="16"/>
        <v>7.068510176</v>
      </c>
    </row>
    <row r="38" ht="15.75" customHeight="1">
      <c r="A38" s="10" t="s">
        <v>63</v>
      </c>
      <c r="B38" s="32">
        <v>117989.0</v>
      </c>
      <c r="C38" s="2">
        <v>8100.0</v>
      </c>
      <c r="D38" s="2">
        <v>47500.0</v>
      </c>
      <c r="E38" s="27">
        <f t="shared" si="14"/>
        <v>30961.885</v>
      </c>
      <c r="G38" s="4">
        <f t="shared" si="15"/>
        <v>202831.4401</v>
      </c>
      <c r="H38" s="4">
        <f t="shared" si="16"/>
        <v>6.551004247</v>
      </c>
    </row>
    <row r="39" ht="15.75" customHeight="1">
      <c r="A39" s="10" t="s">
        <v>64</v>
      </c>
      <c r="B39" s="33">
        <v>110898.0</v>
      </c>
      <c r="C39" s="34">
        <v>5149.0</v>
      </c>
      <c r="D39" s="34">
        <v>44996.0</v>
      </c>
      <c r="E39" s="35">
        <f t="shared" si="14"/>
        <v>28753.11</v>
      </c>
      <c r="G39" s="4">
        <f t="shared" si="15"/>
        <v>199556.8965</v>
      </c>
      <c r="H39" s="4">
        <f t="shared" si="16"/>
        <v>6.940358676</v>
      </c>
    </row>
    <row r="40" ht="15.75" customHeight="1">
      <c r="A40" s="38" t="s">
        <v>65</v>
      </c>
      <c r="B40" s="33">
        <v>285143.0</v>
      </c>
      <c r="C40" s="2">
        <v>194000.0</v>
      </c>
      <c r="D40" s="2">
        <v>47427.0</v>
      </c>
      <c r="E40" s="27">
        <f>B40*0.96-(C40+D40+$F$35)</f>
        <v>-9326.72</v>
      </c>
      <c r="G40" s="4">
        <f t="shared" si="15"/>
        <v>-20988.61261</v>
      </c>
      <c r="H40" s="4">
        <f t="shared" si="16"/>
        <v>2.250374474</v>
      </c>
    </row>
    <row r="41" ht="15.75" customHeight="1">
      <c r="A41" s="10" t="s">
        <v>66</v>
      </c>
      <c r="B41" s="32">
        <v>135000.0</v>
      </c>
      <c r="C41" s="2">
        <v>189.0</v>
      </c>
      <c r="D41" s="2">
        <v>41000.0</v>
      </c>
      <c r="E41" s="27">
        <f t="shared" ref="E41:E42" si="17">B41-(C41+D41+$F$35)*0.895</f>
        <v>60870.73</v>
      </c>
      <c r="G41" s="4">
        <f t="shared" si="15"/>
        <v>468145.9326</v>
      </c>
      <c r="H41" s="4">
        <f t="shared" si="16"/>
        <v>7.690821723</v>
      </c>
    </row>
    <row r="42" ht="15.75" customHeight="1">
      <c r="A42" s="36" t="s">
        <v>67</v>
      </c>
      <c r="B42" s="37">
        <v>155000.0</v>
      </c>
      <c r="C42" s="29">
        <v>24000.0</v>
      </c>
      <c r="D42" s="2">
        <v>47600.0</v>
      </c>
      <c r="E42" s="27">
        <f t="shared" si="17"/>
        <v>53652.885</v>
      </c>
      <c r="G42" s="4">
        <f t="shared" si="15"/>
        <v>301817.3189</v>
      </c>
      <c r="H42" s="4">
        <f t="shared" si="16"/>
        <v>5.6253698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H$42"/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3" width="8.71"/>
    <col customWidth="1" min="4" max="4" width="19.29"/>
    <col customWidth="1" min="5" max="26" width="8.71"/>
  </cols>
  <sheetData>
    <row r="1">
      <c r="A1" s="4" t="s">
        <v>70</v>
      </c>
      <c r="B1" s="4">
        <v>39.0</v>
      </c>
      <c r="D1" s="4" t="s">
        <v>71</v>
      </c>
      <c r="E1" s="4">
        <v>63.0</v>
      </c>
    </row>
    <row r="2">
      <c r="A2" s="4" t="s">
        <v>72</v>
      </c>
      <c r="B2" s="4">
        <v>124.0</v>
      </c>
      <c r="D2" s="4" t="s">
        <v>73</v>
      </c>
      <c r="E2" s="4">
        <v>72.0</v>
      </c>
    </row>
    <row r="3">
      <c r="A3" s="4" t="s">
        <v>74</v>
      </c>
      <c r="B3" s="4">
        <v>130.0</v>
      </c>
      <c r="D3" s="4" t="s">
        <v>75</v>
      </c>
      <c r="E3" s="4">
        <v>60.0</v>
      </c>
    </row>
    <row r="4">
      <c r="A4" s="4" t="s">
        <v>76</v>
      </c>
      <c r="B4" s="4">
        <v>950.0</v>
      </c>
      <c r="D4" s="4" t="s">
        <v>77</v>
      </c>
      <c r="E4" s="4">
        <v>430.0</v>
      </c>
    </row>
    <row r="7">
      <c r="A7" s="4" t="s">
        <v>78</v>
      </c>
    </row>
    <row r="8">
      <c r="A8" s="4" t="s">
        <v>70</v>
      </c>
      <c r="B8" s="4">
        <v>60.0</v>
      </c>
      <c r="D8" s="4" t="s">
        <v>71</v>
      </c>
      <c r="E8" s="4">
        <v>45.0</v>
      </c>
    </row>
    <row r="9">
      <c r="A9" s="4" t="s">
        <v>72</v>
      </c>
      <c r="B9" s="4">
        <v>143.0</v>
      </c>
      <c r="D9" s="4" t="s">
        <v>73</v>
      </c>
      <c r="E9" s="4">
        <v>52.0</v>
      </c>
    </row>
    <row r="10">
      <c r="A10" s="4" t="s">
        <v>74</v>
      </c>
      <c r="B10" s="4">
        <v>160.0</v>
      </c>
      <c r="D10" s="4" t="s">
        <v>75</v>
      </c>
      <c r="E10" s="4">
        <v>47.0</v>
      </c>
      <c r="G10" s="4">
        <v>125.0</v>
      </c>
    </row>
    <row r="11">
      <c r="A11" s="4" t="s">
        <v>76</v>
      </c>
      <c r="B11" s="4">
        <v>915.0</v>
      </c>
      <c r="D11" s="4" t="s">
        <v>77</v>
      </c>
      <c r="E11" s="4">
        <v>382.0</v>
      </c>
      <c r="G11" s="4">
        <v>405.0</v>
      </c>
    </row>
    <row r="13">
      <c r="A13" s="4" t="s">
        <v>79</v>
      </c>
    </row>
    <row r="14">
      <c r="A14" s="4" t="s">
        <v>70</v>
      </c>
      <c r="B14" s="4">
        <v>37.0</v>
      </c>
      <c r="D14" s="4" t="s">
        <v>71</v>
      </c>
      <c r="E14" s="4">
        <v>46.0</v>
      </c>
    </row>
    <row r="15">
      <c r="A15" s="4" t="s">
        <v>72</v>
      </c>
      <c r="B15" s="4">
        <v>128.0</v>
      </c>
      <c r="D15" s="4" t="s">
        <v>73</v>
      </c>
      <c r="E15" s="4">
        <v>54.0</v>
      </c>
    </row>
    <row r="16">
      <c r="A16" s="4" t="s">
        <v>74</v>
      </c>
      <c r="B16" s="4">
        <v>150.0</v>
      </c>
      <c r="D16" s="4" t="s">
        <v>75</v>
      </c>
      <c r="E16" s="4">
        <v>49.0</v>
      </c>
      <c r="G16" s="4">
        <v>140.0</v>
      </c>
    </row>
    <row r="17">
      <c r="A17" s="4" t="s">
        <v>76</v>
      </c>
      <c r="B17" s="4">
        <v>922.0</v>
      </c>
      <c r="D17" s="4" t="s">
        <v>77</v>
      </c>
      <c r="E17" s="4">
        <v>400.0</v>
      </c>
      <c r="G17" s="4">
        <v>397.0</v>
      </c>
    </row>
    <row r="19">
      <c r="A19" s="4" t="s">
        <v>80</v>
      </c>
    </row>
    <row r="20">
      <c r="A20" s="4" t="s">
        <v>70</v>
      </c>
      <c r="B20" s="4">
        <v>37.0</v>
      </c>
      <c r="D20" s="4" t="s">
        <v>71</v>
      </c>
      <c r="E20" s="4">
        <v>43.0</v>
      </c>
    </row>
    <row r="21" ht="15.75" customHeight="1">
      <c r="A21" s="4" t="s">
        <v>72</v>
      </c>
      <c r="B21" s="4">
        <v>144.0</v>
      </c>
      <c r="D21" s="4" t="s">
        <v>73</v>
      </c>
      <c r="E21" s="4">
        <v>48.0</v>
      </c>
      <c r="K21" s="4">
        <f>G10*1000</f>
        <v>125000</v>
      </c>
    </row>
    <row r="22" ht="15.75" customHeight="1">
      <c r="A22" s="4" t="s">
        <v>74</v>
      </c>
      <c r="B22" s="4">
        <v>157.0</v>
      </c>
      <c r="D22" s="4" t="s">
        <v>75</v>
      </c>
      <c r="E22" s="4">
        <v>41.0</v>
      </c>
      <c r="K22" s="4">
        <f>G29*3000</f>
        <v>1116000</v>
      </c>
    </row>
    <row r="23" ht="15.75" customHeight="1">
      <c r="A23" s="4" t="s">
        <v>76</v>
      </c>
      <c r="B23" s="4">
        <v>905.0</v>
      </c>
      <c r="D23" s="4" t="s">
        <v>77</v>
      </c>
      <c r="E23" s="4">
        <v>380.0</v>
      </c>
    </row>
    <row r="24" ht="15.75" customHeight="1">
      <c r="L24" s="4">
        <f>L25-(K22+K21)</f>
        <v>20950</v>
      </c>
    </row>
    <row r="25" ht="15.75" customHeight="1">
      <c r="A25" s="4" t="s">
        <v>81</v>
      </c>
      <c r="K25" s="4">
        <f>1500*940</f>
        <v>1410000</v>
      </c>
      <c r="L25" s="4">
        <f>K25*0.895</f>
        <v>1261950</v>
      </c>
    </row>
    <row r="26" ht="15.75" customHeight="1">
      <c r="A26" s="4" t="s">
        <v>70</v>
      </c>
      <c r="B26" s="4">
        <v>36.0</v>
      </c>
      <c r="D26" s="4" t="s">
        <v>71</v>
      </c>
      <c r="E26" s="4">
        <v>48.0</v>
      </c>
    </row>
    <row r="27" ht="15.75" customHeight="1">
      <c r="A27" s="4" t="s">
        <v>72</v>
      </c>
      <c r="B27" s="4">
        <v>123.0</v>
      </c>
      <c r="D27" s="4" t="s">
        <v>73</v>
      </c>
      <c r="E27" s="4">
        <v>51.0</v>
      </c>
    </row>
    <row r="28" ht="15.75" customHeight="1">
      <c r="A28" s="4" t="s">
        <v>74</v>
      </c>
      <c r="B28" s="4">
        <v>153.0</v>
      </c>
      <c r="D28" s="4" t="s">
        <v>75</v>
      </c>
      <c r="E28" s="4">
        <v>46.0</v>
      </c>
      <c r="G28" s="4">
        <v>130.0</v>
      </c>
    </row>
    <row r="29" ht="15.75" customHeight="1">
      <c r="A29" s="4" t="s">
        <v>76</v>
      </c>
      <c r="B29" s="4">
        <v>942.0</v>
      </c>
      <c r="D29" s="4" t="s">
        <v>77</v>
      </c>
      <c r="E29" s="4">
        <v>380.0</v>
      </c>
      <c r="G29" s="4">
        <v>372.0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2.86"/>
    <col customWidth="1" min="5" max="5" width="9.14"/>
    <col customWidth="1" min="6" max="7" width="17.0"/>
    <col customWidth="1" min="8" max="26" width="8.71"/>
  </cols>
  <sheetData>
    <row r="1">
      <c r="A1" s="4" t="s">
        <v>82</v>
      </c>
      <c r="B1" s="4" t="s">
        <v>56</v>
      </c>
      <c r="C1" s="4" t="s">
        <v>59</v>
      </c>
      <c r="D1" s="4" t="s">
        <v>83</v>
      </c>
      <c r="E1" s="4" t="s">
        <v>84</v>
      </c>
      <c r="F1" s="4" t="s">
        <v>85</v>
      </c>
      <c r="G1" s="4" t="s">
        <v>86</v>
      </c>
      <c r="H1" s="4" t="s">
        <v>85</v>
      </c>
      <c r="I1" s="4" t="s">
        <v>58</v>
      </c>
      <c r="J1" s="4" t="s">
        <v>58</v>
      </c>
      <c r="R1" s="4">
        <v>0.96</v>
      </c>
    </row>
    <row r="2">
      <c r="A2" s="4" t="s">
        <v>63</v>
      </c>
      <c r="B2" s="4">
        <v>194000.0</v>
      </c>
      <c r="C2" s="4">
        <v>40675.0</v>
      </c>
      <c r="D2" s="4">
        <v>47427.0</v>
      </c>
      <c r="E2" s="4">
        <v>285139.0</v>
      </c>
      <c r="F2" s="4">
        <f t="shared" ref="F2:F5" si="1">E2*$R$1</f>
        <v>273733.44</v>
      </c>
      <c r="G2" s="4">
        <v>340000.0</v>
      </c>
      <c r="H2" s="4">
        <f t="shared" ref="H2:H5" si="2">G2*$R$2</f>
        <v>317900</v>
      </c>
      <c r="I2" s="4">
        <f t="shared" ref="I2:I7" si="3">F2-(B2+C2+D2)</f>
        <v>-8368.56</v>
      </c>
      <c r="J2" s="4">
        <f t="shared" ref="J2:J7" si="4">H2-(C2+D2+B2)</f>
        <v>35798</v>
      </c>
      <c r="R2" s="4">
        <f>0.96-0.025</f>
        <v>0.935</v>
      </c>
    </row>
    <row r="3">
      <c r="A3" s="4" t="s">
        <v>87</v>
      </c>
      <c r="B3" s="4">
        <v>205981.0</v>
      </c>
      <c r="C3" s="4">
        <v>42864.0</v>
      </c>
      <c r="D3" s="4">
        <v>50000.0</v>
      </c>
      <c r="E3" s="4">
        <v>289017.0</v>
      </c>
      <c r="F3" s="4">
        <f t="shared" si="1"/>
        <v>277456.32</v>
      </c>
      <c r="G3" s="4">
        <v>336666.0</v>
      </c>
      <c r="H3" s="4">
        <f t="shared" si="2"/>
        <v>314782.71</v>
      </c>
      <c r="I3" s="4">
        <f t="shared" si="3"/>
        <v>-21388.68</v>
      </c>
      <c r="J3" s="4">
        <f t="shared" si="4"/>
        <v>15937.71</v>
      </c>
    </row>
    <row r="4">
      <c r="A4" s="4" t="s">
        <v>78</v>
      </c>
      <c r="B4" s="4">
        <v>193800.0</v>
      </c>
      <c r="C4" s="4">
        <v>49607.0</v>
      </c>
      <c r="D4" s="4">
        <v>50890.0</v>
      </c>
      <c r="E4" s="4">
        <v>264468.0</v>
      </c>
      <c r="F4" s="4">
        <f t="shared" si="1"/>
        <v>253889.28</v>
      </c>
      <c r="G4" s="4">
        <v>323986.0</v>
      </c>
      <c r="H4" s="4">
        <f t="shared" si="2"/>
        <v>302926.91</v>
      </c>
      <c r="I4" s="4">
        <f t="shared" si="3"/>
        <v>-40407.72</v>
      </c>
      <c r="J4" s="4">
        <f t="shared" si="4"/>
        <v>8629.91</v>
      </c>
    </row>
    <row r="5">
      <c r="A5" s="4" t="s">
        <v>81</v>
      </c>
      <c r="B5" s="4">
        <v>171950.0</v>
      </c>
      <c r="C5" s="4">
        <v>42662.0</v>
      </c>
      <c r="D5" s="4">
        <v>50000.0</v>
      </c>
      <c r="E5" s="4">
        <v>278941.0</v>
      </c>
      <c r="F5" s="4">
        <f t="shared" si="1"/>
        <v>267783.36</v>
      </c>
      <c r="G5" s="4">
        <v>319990.0</v>
      </c>
      <c r="H5" s="4">
        <f t="shared" si="2"/>
        <v>299190.65</v>
      </c>
      <c r="I5" s="4">
        <f t="shared" si="3"/>
        <v>3171.36</v>
      </c>
      <c r="J5" s="4">
        <f t="shared" si="4"/>
        <v>34578.65</v>
      </c>
    </row>
    <row r="6">
      <c r="A6" s="4" t="s">
        <v>88</v>
      </c>
      <c r="B6" s="4">
        <v>190000.0</v>
      </c>
      <c r="C6" s="4">
        <v>42611.0</v>
      </c>
      <c r="D6" s="4">
        <v>49375.0</v>
      </c>
      <c r="E6" s="4">
        <v>250125.0</v>
      </c>
      <c r="F6" s="4">
        <v>250128.0</v>
      </c>
      <c r="G6" s="4">
        <v>334000.0</v>
      </c>
      <c r="H6" s="4">
        <v>326989.0</v>
      </c>
      <c r="I6" s="4">
        <f t="shared" si="3"/>
        <v>-31858</v>
      </c>
      <c r="J6" s="4">
        <f t="shared" si="4"/>
        <v>45003</v>
      </c>
    </row>
    <row r="7">
      <c r="A7" s="4" t="s">
        <v>89</v>
      </c>
      <c r="B7" s="4">
        <v>168000.0</v>
      </c>
      <c r="C7" s="4">
        <v>40077.0</v>
      </c>
      <c r="D7" s="4">
        <v>48934.0</v>
      </c>
      <c r="E7" s="4">
        <v>274055.0</v>
      </c>
      <c r="F7" s="4">
        <f>E7*$R$1</f>
        <v>263092.8</v>
      </c>
      <c r="G7" s="4">
        <v>314997.0</v>
      </c>
      <c r="H7" s="4">
        <f>G7*$R$2</f>
        <v>294522.195</v>
      </c>
      <c r="I7" s="4">
        <f t="shared" si="3"/>
        <v>6081.8</v>
      </c>
      <c r="J7" s="4">
        <f t="shared" si="4"/>
        <v>37511.195</v>
      </c>
    </row>
    <row r="10">
      <c r="A10" s="4">
        <v>729110.0</v>
      </c>
    </row>
    <row r="11">
      <c r="A11" s="4">
        <v>217748.0</v>
      </c>
      <c r="F11" s="4">
        <f>938000/(B7+C7+D7)</f>
        <v>3.649649237</v>
      </c>
    </row>
    <row r="12">
      <c r="A12" s="4">
        <f>A10-A11</f>
        <v>511362</v>
      </c>
    </row>
    <row r="13">
      <c r="A13" s="4">
        <v>667944.0</v>
      </c>
      <c r="B13" s="4">
        <f>A13-A12</f>
        <v>156582</v>
      </c>
    </row>
    <row r="17">
      <c r="A17" s="4">
        <v>950.0</v>
      </c>
      <c r="D17" s="4">
        <v>48.0</v>
      </c>
      <c r="E17" s="4">
        <f>48*8</f>
        <v>384</v>
      </c>
      <c r="O17" s="4">
        <v>3798.0</v>
      </c>
      <c r="P17" s="4">
        <v>18436.0</v>
      </c>
    </row>
    <row r="18">
      <c r="A18" s="4">
        <v>2539.0</v>
      </c>
      <c r="B18" s="4">
        <f t="shared" ref="B18:B20" si="5">C18*$D$17</f>
        <v>816</v>
      </c>
      <c r="C18" s="4">
        <v>17.0</v>
      </c>
      <c r="O18" s="4">
        <f>2489*3</f>
        <v>7467</v>
      </c>
      <c r="P18" s="4">
        <f>P17-O17</f>
        <v>14638</v>
      </c>
    </row>
    <row r="19">
      <c r="A19" s="4">
        <v>13000.0</v>
      </c>
      <c r="B19" s="4">
        <f t="shared" si="5"/>
        <v>7776</v>
      </c>
      <c r="C19" s="4">
        <v>162.0</v>
      </c>
    </row>
    <row r="20">
      <c r="A20" s="4">
        <v>62000.0</v>
      </c>
      <c r="B20" s="4">
        <f t="shared" si="5"/>
        <v>33120</v>
      </c>
      <c r="C20" s="4">
        <v>690.0</v>
      </c>
      <c r="H20" s="4">
        <v>73716.0</v>
      </c>
    </row>
    <row r="21" ht="15.75" customHeight="1"/>
    <row r="22" ht="15.75" customHeight="1"/>
    <row r="23" ht="15.75" customHeight="1"/>
    <row r="24" ht="15.75" customHeight="1">
      <c r="A24" s="4">
        <v>130000.0</v>
      </c>
      <c r="B24" s="4">
        <f>A24*0.96</f>
        <v>124800</v>
      </c>
    </row>
    <row r="25" ht="15.75" customHeight="1">
      <c r="A25" s="4">
        <v>50500.0</v>
      </c>
    </row>
    <row r="26" ht="15.75" customHeight="1">
      <c r="A26" s="4">
        <v>14900.0</v>
      </c>
      <c r="F26" s="4">
        <v>18.0</v>
      </c>
      <c r="G26" s="4">
        <v>96.0</v>
      </c>
      <c r="J26" s="4">
        <v>3000.0</v>
      </c>
    </row>
    <row r="27" ht="15.75" customHeight="1">
      <c r="A27" s="4">
        <v>41334.0</v>
      </c>
      <c r="F27" s="4">
        <v>156.0</v>
      </c>
    </row>
    <row r="28" ht="15.75" customHeight="1">
      <c r="F28" s="4">
        <v>668.0</v>
      </c>
    </row>
    <row r="29" ht="15.75" customHeight="1">
      <c r="G29" s="4">
        <f t="shared" ref="G29:G31" si="6">$G$26*F26</f>
        <v>1728</v>
      </c>
      <c r="J29" s="4">
        <v>4202.0</v>
      </c>
    </row>
    <row r="30" ht="15.75" customHeight="1">
      <c r="G30" s="4">
        <f t="shared" si="6"/>
        <v>14976</v>
      </c>
      <c r="J30" s="4">
        <v>15888.0</v>
      </c>
    </row>
    <row r="31" ht="15.75" customHeight="1">
      <c r="G31" s="4">
        <f t="shared" si="6"/>
        <v>64128</v>
      </c>
      <c r="J31" s="4">
        <v>75167.0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0.71"/>
    <col customWidth="1" min="2" max="2" width="19.14"/>
    <col customWidth="1" min="3" max="3" width="12.0"/>
    <col customWidth="1" min="4" max="4" width="12.29"/>
    <col customWidth="1" min="5" max="5" width="11.0"/>
    <col customWidth="1" min="6" max="6" width="20.14"/>
    <col customWidth="1" min="7" max="7" width="12.0"/>
    <col customWidth="1" min="8" max="8" width="12.29"/>
    <col customWidth="1" min="9" max="9" width="11.0"/>
    <col customWidth="1" min="10" max="10" width="20.14"/>
    <col customWidth="1" min="11" max="11" width="12.0"/>
    <col customWidth="1" min="12" max="12" width="12.29"/>
    <col customWidth="1" min="13" max="13" width="9.43"/>
    <col customWidth="1" min="14" max="14" width="20.29"/>
    <col customWidth="1" min="15" max="15" width="12.0"/>
    <col customWidth="1" min="16" max="16" width="12.29"/>
    <col customWidth="1" min="17" max="17" width="9.43"/>
    <col customWidth="1" min="18" max="18" width="20.57"/>
    <col customWidth="1" min="19" max="19" width="12.0"/>
    <col customWidth="1" min="20" max="20" width="12.29"/>
    <col customWidth="1" min="21" max="21" width="9.43"/>
    <col customWidth="1" min="22" max="22" width="17.29"/>
    <col customWidth="1" min="23" max="23" width="12.0"/>
    <col customWidth="1" min="24" max="24" width="12.29"/>
    <col customWidth="1" min="25" max="25" width="9.43"/>
    <col customWidth="1" min="26" max="26" width="15.43"/>
    <col customWidth="1" min="27" max="27" width="12.0"/>
    <col customWidth="1" min="28" max="28" width="12.29"/>
    <col customWidth="1" min="29" max="29" width="9.43"/>
    <col customWidth="1" min="30" max="30" width="13.43"/>
    <col customWidth="1" min="31" max="31" width="12.0"/>
    <col customWidth="1" min="32" max="32" width="12.29"/>
    <col customWidth="1" min="33" max="33" width="11.0"/>
    <col customWidth="1" min="34" max="34" width="17.14"/>
    <col customWidth="1" min="35" max="35" width="12.0"/>
    <col customWidth="1" min="36" max="36" width="12.29"/>
    <col customWidth="1" min="37" max="37" width="9.43"/>
    <col customWidth="1" min="38" max="38" width="14.71"/>
    <col customWidth="1" min="39" max="39" width="12.0"/>
    <col customWidth="1" min="40" max="40" width="12.29"/>
    <col customWidth="1" min="41" max="41" width="9.43"/>
    <col customWidth="1" min="42" max="42" width="14.71"/>
    <col customWidth="1" min="43" max="43" width="12.0"/>
    <col customWidth="1" min="44" max="44" width="12.29"/>
    <col customWidth="1" min="45" max="45" width="9.43"/>
    <col customWidth="1" min="46" max="50" width="10.57"/>
    <col customWidth="1" min="51" max="51" width="12.0"/>
    <col customWidth="1" min="52" max="52" width="12.29"/>
    <col customWidth="1" min="53" max="53" width="9.43"/>
  </cols>
  <sheetData>
    <row r="1">
      <c r="A1" s="39" t="s">
        <v>55</v>
      </c>
      <c r="B1" s="40" t="s">
        <v>90</v>
      </c>
      <c r="C1" s="41"/>
      <c r="D1" s="41"/>
      <c r="E1" s="42"/>
      <c r="F1" s="43" t="s">
        <v>91</v>
      </c>
      <c r="G1" s="41"/>
      <c r="H1" s="41"/>
      <c r="I1" s="42"/>
      <c r="J1" s="40" t="s">
        <v>92</v>
      </c>
      <c r="K1" s="41"/>
      <c r="L1" s="41"/>
      <c r="M1" s="42"/>
      <c r="N1" s="40" t="s">
        <v>93</v>
      </c>
      <c r="O1" s="41"/>
      <c r="P1" s="41"/>
      <c r="Q1" s="42"/>
      <c r="R1" s="40" t="s">
        <v>94</v>
      </c>
      <c r="S1" s="41"/>
      <c r="T1" s="41"/>
      <c r="U1" s="42"/>
      <c r="V1" s="43" t="s">
        <v>95</v>
      </c>
      <c r="W1" s="41"/>
      <c r="X1" s="41"/>
      <c r="Y1" s="42"/>
      <c r="Z1" s="40" t="s">
        <v>96</v>
      </c>
      <c r="AA1" s="41"/>
      <c r="AB1" s="41"/>
      <c r="AC1" s="42"/>
      <c r="AD1" s="40" t="s">
        <v>97</v>
      </c>
      <c r="AE1" s="41"/>
      <c r="AF1" s="41"/>
      <c r="AG1" s="42"/>
      <c r="AH1" s="40" t="s">
        <v>98</v>
      </c>
      <c r="AI1" s="41"/>
      <c r="AJ1" s="41"/>
      <c r="AK1" s="42"/>
      <c r="AL1" s="40" t="s">
        <v>99</v>
      </c>
      <c r="AM1" s="41"/>
      <c r="AN1" s="41"/>
      <c r="AO1" s="42"/>
      <c r="AP1" s="40" t="s">
        <v>100</v>
      </c>
      <c r="AQ1" s="41"/>
      <c r="AR1" s="41"/>
      <c r="AS1" s="42"/>
      <c r="AT1" s="43" t="s">
        <v>101</v>
      </c>
      <c r="AU1" s="41"/>
      <c r="AV1" s="41"/>
      <c r="AW1" s="42"/>
      <c r="AX1" s="43" t="s">
        <v>102</v>
      </c>
      <c r="AY1" s="41"/>
      <c r="AZ1" s="41"/>
      <c r="BA1" s="42"/>
    </row>
    <row r="2">
      <c r="A2" s="39" t="s">
        <v>56</v>
      </c>
      <c r="B2" s="44">
        <f>B52</f>
        <v>5600</v>
      </c>
      <c r="E2" s="20"/>
      <c r="F2" s="44">
        <f>B53</f>
        <v>19000</v>
      </c>
      <c r="I2" s="20"/>
      <c r="J2" s="44">
        <f>B54</f>
        <v>7977</v>
      </c>
      <c r="M2" s="20"/>
      <c r="N2" s="44">
        <f>B55</f>
        <v>19997</v>
      </c>
      <c r="Q2" s="45"/>
      <c r="R2" s="44">
        <f>B56</f>
        <v>9888</v>
      </c>
      <c r="U2" s="20"/>
      <c r="V2" s="44">
        <f>B57</f>
        <v>10900</v>
      </c>
      <c r="Y2" s="45"/>
      <c r="Z2" s="44">
        <f>B58</f>
        <v>192</v>
      </c>
      <c r="AC2" s="20"/>
      <c r="AD2" s="44">
        <f>B59</f>
        <v>150912</v>
      </c>
      <c r="AG2" s="20"/>
      <c r="AH2" s="44">
        <f>B60</f>
        <v>6476</v>
      </c>
      <c r="AK2" s="20"/>
      <c r="AL2" s="44">
        <f>B61</f>
        <v>15897</v>
      </c>
      <c r="AO2" s="20"/>
      <c r="AP2" s="44">
        <f>B62</f>
        <v>176</v>
      </c>
      <c r="AS2" s="45"/>
      <c r="AT2" s="44">
        <f>B63</f>
        <v>9992</v>
      </c>
      <c r="AW2" s="20"/>
      <c r="AX2" s="44">
        <f>B64</f>
        <v>9998</v>
      </c>
    </row>
    <row r="3">
      <c r="A3" s="39" t="s">
        <v>57</v>
      </c>
      <c r="B3" s="44">
        <f>B43</f>
        <v>55686</v>
      </c>
      <c r="E3" s="20"/>
      <c r="F3" s="44">
        <f>B41</f>
        <v>54500</v>
      </c>
      <c r="I3" s="20"/>
      <c r="J3" s="44">
        <f>B45</f>
        <v>58995</v>
      </c>
      <c r="M3" s="20"/>
      <c r="N3" s="44">
        <f>B44</f>
        <v>52993</v>
      </c>
      <c r="Q3" s="20"/>
      <c r="R3" s="44">
        <f>B40</f>
        <v>57848</v>
      </c>
      <c r="U3" s="20"/>
      <c r="V3" s="44">
        <f>B42</f>
        <v>48816</v>
      </c>
      <c r="Y3" s="20"/>
      <c r="Z3" s="46">
        <f>B45</f>
        <v>58995</v>
      </c>
      <c r="AC3" s="20"/>
      <c r="AD3" s="44">
        <f>B41</f>
        <v>54500</v>
      </c>
      <c r="AG3" s="20"/>
      <c r="AH3" s="44">
        <f>B44</f>
        <v>52993</v>
      </c>
      <c r="AK3" s="20"/>
      <c r="AL3" s="44">
        <f>B40</f>
        <v>57848</v>
      </c>
      <c r="AO3" s="20"/>
      <c r="AP3" s="44">
        <f>B43</f>
        <v>55686</v>
      </c>
      <c r="AS3" s="20"/>
      <c r="AT3" s="44">
        <f>B46</f>
        <v>87992</v>
      </c>
      <c r="AW3" s="20"/>
      <c r="AX3" s="44">
        <f>B47*15</f>
        <v>119895</v>
      </c>
    </row>
    <row r="4">
      <c r="A4" s="47"/>
      <c r="B4" s="48" t="s">
        <v>103</v>
      </c>
      <c r="C4" s="49" t="s">
        <v>104</v>
      </c>
      <c r="D4" s="50" t="s">
        <v>105</v>
      </c>
      <c r="E4" s="51" t="s">
        <v>106</v>
      </c>
      <c r="F4" s="48" t="s">
        <v>103</v>
      </c>
      <c r="G4" s="49" t="s">
        <v>104</v>
      </c>
      <c r="H4" s="50" t="s">
        <v>105</v>
      </c>
      <c r="I4" s="51" t="s">
        <v>106</v>
      </c>
      <c r="J4" s="48" t="s">
        <v>103</v>
      </c>
      <c r="K4" s="49" t="s">
        <v>104</v>
      </c>
      <c r="L4" s="50" t="s">
        <v>105</v>
      </c>
      <c r="M4" s="51" t="s">
        <v>106</v>
      </c>
      <c r="N4" s="48" t="s">
        <v>103</v>
      </c>
      <c r="O4" s="49" t="s">
        <v>104</v>
      </c>
      <c r="P4" s="50" t="s">
        <v>105</v>
      </c>
      <c r="Q4" s="51" t="s">
        <v>106</v>
      </c>
      <c r="R4" s="48" t="s">
        <v>103</v>
      </c>
      <c r="S4" s="49" t="s">
        <v>104</v>
      </c>
      <c r="T4" s="50" t="s">
        <v>105</v>
      </c>
      <c r="U4" s="51" t="s">
        <v>106</v>
      </c>
      <c r="V4" s="48" t="s">
        <v>103</v>
      </c>
      <c r="W4" s="49" t="s">
        <v>104</v>
      </c>
      <c r="X4" s="50" t="s">
        <v>105</v>
      </c>
      <c r="Y4" s="51" t="s">
        <v>106</v>
      </c>
      <c r="Z4" s="48" t="s">
        <v>103</v>
      </c>
      <c r="AA4" s="49" t="s">
        <v>104</v>
      </c>
      <c r="AB4" s="50" t="s">
        <v>105</v>
      </c>
      <c r="AC4" s="51" t="s">
        <v>106</v>
      </c>
      <c r="AD4" s="48" t="s">
        <v>103</v>
      </c>
      <c r="AE4" s="49" t="s">
        <v>104</v>
      </c>
      <c r="AF4" s="50" t="s">
        <v>105</v>
      </c>
      <c r="AG4" s="51" t="s">
        <v>106</v>
      </c>
      <c r="AH4" s="48" t="s">
        <v>103</v>
      </c>
      <c r="AI4" s="49" t="s">
        <v>104</v>
      </c>
      <c r="AJ4" s="50" t="s">
        <v>105</v>
      </c>
      <c r="AK4" s="51" t="s">
        <v>106</v>
      </c>
      <c r="AL4" s="48" t="s">
        <v>103</v>
      </c>
      <c r="AM4" s="49" t="s">
        <v>104</v>
      </c>
      <c r="AN4" s="50" t="s">
        <v>105</v>
      </c>
      <c r="AO4" s="51" t="s">
        <v>106</v>
      </c>
      <c r="AP4" s="48" t="s">
        <v>103</v>
      </c>
      <c r="AQ4" s="49" t="s">
        <v>104</v>
      </c>
      <c r="AR4" s="50" t="s">
        <v>105</v>
      </c>
      <c r="AS4" s="51" t="s">
        <v>106</v>
      </c>
      <c r="AT4" s="48" t="s">
        <v>103</v>
      </c>
      <c r="AU4" s="49" t="s">
        <v>104</v>
      </c>
      <c r="AV4" s="50" t="s">
        <v>105</v>
      </c>
      <c r="AW4" s="51" t="s">
        <v>106</v>
      </c>
      <c r="AX4" s="48" t="s">
        <v>103</v>
      </c>
      <c r="AY4" s="49" t="s">
        <v>104</v>
      </c>
      <c r="AZ4" s="50" t="s">
        <v>105</v>
      </c>
      <c r="BA4" s="51" t="s">
        <v>106</v>
      </c>
    </row>
    <row r="5">
      <c r="A5" s="52" t="s">
        <v>107</v>
      </c>
      <c r="B5" s="44"/>
      <c r="C5" s="39">
        <f t="shared" ref="C5:C20" si="1">B5*0.895</f>
        <v>0</v>
      </c>
      <c r="D5" s="53">
        <f t="shared" ref="D5:D20" si="2">$B$2+$B$3+G40</f>
        <v>63276</v>
      </c>
      <c r="E5" s="20">
        <f t="shared" ref="E5:E20" si="3">C5-D5</f>
        <v>-63276</v>
      </c>
      <c r="F5" s="44"/>
      <c r="G5" s="39">
        <f t="shared" ref="G5:G20" si="4">F5*0.895</f>
        <v>0</v>
      </c>
      <c r="H5" s="53">
        <f t="shared" ref="H5:H20" si="5">$F$2+$F$3+G40</f>
        <v>75490</v>
      </c>
      <c r="I5" s="20">
        <f t="shared" ref="I5:I20" si="6">G5-H5</f>
        <v>-75490</v>
      </c>
      <c r="J5" s="46"/>
      <c r="K5" s="39">
        <f t="shared" ref="K5:K20" si="7">J5*0.895</f>
        <v>0</v>
      </c>
      <c r="L5" s="53">
        <f t="shared" ref="L5:L20" si="8">$J$2+$J$3+G40</f>
        <v>68962</v>
      </c>
      <c r="M5" s="20">
        <f t="shared" ref="M5:M20" si="9">K5-L5</f>
        <v>-68962</v>
      </c>
      <c r="N5" s="44"/>
      <c r="O5" s="39">
        <f t="shared" ref="O5:O20" si="10">N5*0.895</f>
        <v>0</v>
      </c>
      <c r="P5" s="53">
        <f t="shared" ref="P5:P20" si="11">$N$2+$N$3+G40</f>
        <v>74980</v>
      </c>
      <c r="Q5" s="20">
        <f t="shared" ref="Q5:Q20" si="12">O5-P5</f>
        <v>-74980</v>
      </c>
      <c r="R5" s="44"/>
      <c r="S5" s="39">
        <f t="shared" ref="S5:S20" si="13">R5*0.895</f>
        <v>0</v>
      </c>
      <c r="T5" s="53">
        <f t="shared" ref="T5:T20" si="14">$R$2+$R$3+G40</f>
        <v>69726</v>
      </c>
      <c r="U5" s="20">
        <f t="shared" ref="U5:U20" si="15">S5-T5</f>
        <v>-69726</v>
      </c>
      <c r="V5" s="44"/>
      <c r="W5" s="39">
        <f t="shared" ref="W5:W20" si="16">V5*0.895</f>
        <v>0</v>
      </c>
      <c r="X5" s="53">
        <f t="shared" ref="X5:X20" si="17">$V$2+$V$3+G40</f>
        <v>61706</v>
      </c>
      <c r="Y5" s="20">
        <f t="shared" ref="Y5:Y20" si="18">W5-X5</f>
        <v>-61706</v>
      </c>
      <c r="Z5" s="44"/>
      <c r="AA5" s="39">
        <f t="shared" ref="AA5:AA20" si="19">Z5*0.895</f>
        <v>0</v>
      </c>
      <c r="AB5" s="53">
        <f t="shared" ref="AB5:AB20" si="20">$Z$2+$Z$3+G40</f>
        <v>61177</v>
      </c>
      <c r="AC5" s="20">
        <f t="shared" ref="AC5:AC20" si="21">AA5-AB5</f>
        <v>-61177</v>
      </c>
      <c r="AD5" s="44"/>
      <c r="AE5" s="39">
        <f t="shared" ref="AE5:AE20" si="22">AD5*0.895</f>
        <v>0</v>
      </c>
      <c r="AF5" s="53">
        <f t="shared" ref="AF5:AF20" si="23">$AD$2+$AD$3+G40</f>
        <v>207402</v>
      </c>
      <c r="AG5" s="20">
        <f t="shared" ref="AG5:AG20" si="24">AE5-AF5</f>
        <v>-207402</v>
      </c>
      <c r="AH5" s="44"/>
      <c r="AI5" s="39">
        <f t="shared" ref="AI5:AI20" si="25">AH5*0.895</f>
        <v>0</v>
      </c>
      <c r="AJ5" s="53">
        <f t="shared" ref="AJ5:AJ20" si="26">$AH$2+$AH$3+G40</f>
        <v>61459</v>
      </c>
      <c r="AK5" s="20">
        <f t="shared" ref="AK5:AK20" si="27">AI5-AJ5</f>
        <v>-61459</v>
      </c>
      <c r="AL5" s="44"/>
      <c r="AM5" s="39">
        <f t="shared" ref="AM5:AM20" si="28">AL5*0.895</f>
        <v>0</v>
      </c>
      <c r="AN5" s="53">
        <f t="shared" ref="AN5:AN20" si="29">$AL$2+$AL$3+G40</f>
        <v>75735</v>
      </c>
      <c r="AO5" s="20">
        <f t="shared" ref="AO5:AO20" si="30">AM5-AN5</f>
        <v>-75735</v>
      </c>
      <c r="AP5" s="44"/>
      <c r="AQ5" s="39">
        <f t="shared" ref="AQ5:AQ20" si="31">AP5*0.895</f>
        <v>0</v>
      </c>
      <c r="AR5" s="53">
        <f t="shared" ref="AR5:AR20" si="32">$AP$2+$AP$3+G40</f>
        <v>57852</v>
      </c>
      <c r="AS5" s="20">
        <f t="shared" ref="AS5:AS20" si="33">AQ5-AR5</f>
        <v>-57852</v>
      </c>
      <c r="AT5" s="44"/>
      <c r="AU5" s="39">
        <f t="shared" ref="AU5:AU20" si="34">AT5*0.895</f>
        <v>0</v>
      </c>
      <c r="AV5" s="53">
        <f t="shared" ref="AV5:AV20" si="35">$AT$2+$AT$3+G40</f>
        <v>99974</v>
      </c>
      <c r="AW5" s="20">
        <f t="shared" ref="AW5:AW20" si="36">AU5-AV5</f>
        <v>-99974</v>
      </c>
      <c r="AX5" s="44"/>
      <c r="AY5" s="39">
        <f t="shared" ref="AY5:AY20" si="37">AX5*0.895</f>
        <v>0</v>
      </c>
      <c r="AZ5" s="53">
        <f t="shared" ref="AZ5:AZ20" si="38">$AX$2+$AX$3+G40</f>
        <v>131883</v>
      </c>
      <c r="BA5" s="20">
        <f t="shared" ref="BA5:BA20" si="39">AY5-AZ5</f>
        <v>-131883</v>
      </c>
    </row>
    <row r="6">
      <c r="A6" s="52" t="s">
        <v>108</v>
      </c>
      <c r="B6" s="44"/>
      <c r="C6" s="39">
        <f t="shared" si="1"/>
        <v>0</v>
      </c>
      <c r="D6" s="53">
        <f t="shared" si="2"/>
        <v>63276</v>
      </c>
      <c r="E6" s="20">
        <f t="shared" si="3"/>
        <v>-63276</v>
      </c>
      <c r="F6" s="44"/>
      <c r="G6" s="39">
        <f t="shared" si="4"/>
        <v>0</v>
      </c>
      <c r="H6" s="53">
        <f t="shared" si="5"/>
        <v>75490</v>
      </c>
      <c r="I6" s="20">
        <f t="shared" si="6"/>
        <v>-75490</v>
      </c>
      <c r="J6" s="46"/>
      <c r="K6" s="39">
        <f t="shared" si="7"/>
        <v>0</v>
      </c>
      <c r="L6" s="53">
        <f t="shared" si="8"/>
        <v>68962</v>
      </c>
      <c r="M6" s="20">
        <f t="shared" si="9"/>
        <v>-68962</v>
      </c>
      <c r="N6" s="44"/>
      <c r="O6" s="39">
        <f t="shared" si="10"/>
        <v>0</v>
      </c>
      <c r="P6" s="53">
        <f t="shared" si="11"/>
        <v>74980</v>
      </c>
      <c r="Q6" s="20">
        <f t="shared" si="12"/>
        <v>-74980</v>
      </c>
      <c r="R6" s="44"/>
      <c r="S6" s="39">
        <f t="shared" si="13"/>
        <v>0</v>
      </c>
      <c r="T6" s="53">
        <f t="shared" si="14"/>
        <v>69726</v>
      </c>
      <c r="U6" s="20">
        <f t="shared" si="15"/>
        <v>-69726</v>
      </c>
      <c r="V6" s="44"/>
      <c r="W6" s="39">
        <f t="shared" si="16"/>
        <v>0</v>
      </c>
      <c r="X6" s="53">
        <f t="shared" si="17"/>
        <v>61706</v>
      </c>
      <c r="Y6" s="20">
        <f t="shared" si="18"/>
        <v>-61706</v>
      </c>
      <c r="Z6" s="44"/>
      <c r="AA6" s="39">
        <f t="shared" si="19"/>
        <v>0</v>
      </c>
      <c r="AB6" s="53">
        <f t="shared" si="20"/>
        <v>61177</v>
      </c>
      <c r="AC6" s="20">
        <f t="shared" si="21"/>
        <v>-61177</v>
      </c>
      <c r="AD6" s="44"/>
      <c r="AE6" s="39">
        <f t="shared" si="22"/>
        <v>0</v>
      </c>
      <c r="AF6" s="53">
        <f t="shared" si="23"/>
        <v>207402</v>
      </c>
      <c r="AG6" s="20">
        <f t="shared" si="24"/>
        <v>-207402</v>
      </c>
      <c r="AH6" s="44"/>
      <c r="AI6" s="39">
        <f t="shared" si="25"/>
        <v>0</v>
      </c>
      <c r="AJ6" s="53">
        <f t="shared" si="26"/>
        <v>61459</v>
      </c>
      <c r="AK6" s="20">
        <f t="shared" si="27"/>
        <v>-61459</v>
      </c>
      <c r="AL6" s="44"/>
      <c r="AM6" s="39">
        <f t="shared" si="28"/>
        <v>0</v>
      </c>
      <c r="AN6" s="53">
        <f t="shared" si="29"/>
        <v>75735</v>
      </c>
      <c r="AO6" s="20">
        <f t="shared" si="30"/>
        <v>-75735</v>
      </c>
      <c r="AP6" s="44"/>
      <c r="AQ6" s="39">
        <f t="shared" si="31"/>
        <v>0</v>
      </c>
      <c r="AR6" s="53">
        <f t="shared" si="32"/>
        <v>57852</v>
      </c>
      <c r="AS6" s="20">
        <f t="shared" si="33"/>
        <v>-57852</v>
      </c>
      <c r="AT6" s="44"/>
      <c r="AU6" s="39">
        <f t="shared" si="34"/>
        <v>0</v>
      </c>
      <c r="AV6" s="53">
        <f t="shared" si="35"/>
        <v>99974</v>
      </c>
      <c r="AW6" s="20">
        <f t="shared" si="36"/>
        <v>-99974</v>
      </c>
      <c r="AX6" s="44"/>
      <c r="AY6" s="39">
        <f t="shared" si="37"/>
        <v>0</v>
      </c>
      <c r="AZ6" s="53">
        <f t="shared" si="38"/>
        <v>131883</v>
      </c>
      <c r="BA6" s="20">
        <f t="shared" si="39"/>
        <v>-131883</v>
      </c>
    </row>
    <row r="7">
      <c r="A7" s="52" t="s">
        <v>109</v>
      </c>
      <c r="B7" s="44"/>
      <c r="C7" s="39">
        <f t="shared" si="1"/>
        <v>0</v>
      </c>
      <c r="D7" s="53">
        <f t="shared" si="2"/>
        <v>63341</v>
      </c>
      <c r="E7" s="20">
        <f t="shared" si="3"/>
        <v>-63341</v>
      </c>
      <c r="F7" s="44"/>
      <c r="G7" s="39">
        <f t="shared" si="4"/>
        <v>0</v>
      </c>
      <c r="H7" s="53">
        <f t="shared" si="5"/>
        <v>75555</v>
      </c>
      <c r="I7" s="20">
        <f t="shared" si="6"/>
        <v>-75555</v>
      </c>
      <c r="J7" s="46"/>
      <c r="K7" s="39">
        <f t="shared" si="7"/>
        <v>0</v>
      </c>
      <c r="L7" s="53">
        <f t="shared" si="8"/>
        <v>69027</v>
      </c>
      <c r="M7" s="20">
        <f t="shared" si="9"/>
        <v>-69027</v>
      </c>
      <c r="N7" s="44"/>
      <c r="O7" s="39">
        <f t="shared" si="10"/>
        <v>0</v>
      </c>
      <c r="P7" s="53">
        <f t="shared" si="11"/>
        <v>75045</v>
      </c>
      <c r="Q7" s="20">
        <f t="shared" si="12"/>
        <v>-75045</v>
      </c>
      <c r="R7" s="44"/>
      <c r="S7" s="39">
        <f t="shared" si="13"/>
        <v>0</v>
      </c>
      <c r="T7" s="53">
        <f t="shared" si="14"/>
        <v>69791</v>
      </c>
      <c r="U7" s="20">
        <f t="shared" si="15"/>
        <v>-69791</v>
      </c>
      <c r="V7" s="44"/>
      <c r="W7" s="39">
        <f t="shared" si="16"/>
        <v>0</v>
      </c>
      <c r="X7" s="53">
        <f t="shared" si="17"/>
        <v>61771</v>
      </c>
      <c r="Y7" s="20">
        <f t="shared" si="18"/>
        <v>-61771</v>
      </c>
      <c r="Z7" s="44"/>
      <c r="AA7" s="39">
        <f t="shared" si="19"/>
        <v>0</v>
      </c>
      <c r="AB7" s="53">
        <f t="shared" si="20"/>
        <v>61242</v>
      </c>
      <c r="AC7" s="20">
        <f t="shared" si="21"/>
        <v>-61242</v>
      </c>
      <c r="AD7" s="44"/>
      <c r="AE7" s="39">
        <f t="shared" si="22"/>
        <v>0</v>
      </c>
      <c r="AF7" s="53">
        <f t="shared" si="23"/>
        <v>207467</v>
      </c>
      <c r="AG7" s="20">
        <f t="shared" si="24"/>
        <v>-207467</v>
      </c>
      <c r="AH7" s="44"/>
      <c r="AI7" s="39">
        <f t="shared" si="25"/>
        <v>0</v>
      </c>
      <c r="AJ7" s="53">
        <f t="shared" si="26"/>
        <v>61524</v>
      </c>
      <c r="AK7" s="20">
        <f t="shared" si="27"/>
        <v>-61524</v>
      </c>
      <c r="AL7" s="44"/>
      <c r="AM7" s="39">
        <f t="shared" si="28"/>
        <v>0</v>
      </c>
      <c r="AN7" s="53">
        <f t="shared" si="29"/>
        <v>75800</v>
      </c>
      <c r="AO7" s="20">
        <f t="shared" si="30"/>
        <v>-75800</v>
      </c>
      <c r="AP7" s="44"/>
      <c r="AQ7" s="39">
        <f t="shared" si="31"/>
        <v>0</v>
      </c>
      <c r="AR7" s="53">
        <f t="shared" si="32"/>
        <v>57917</v>
      </c>
      <c r="AS7" s="20">
        <f t="shared" si="33"/>
        <v>-57917</v>
      </c>
      <c r="AT7" s="44"/>
      <c r="AU7" s="39">
        <f t="shared" si="34"/>
        <v>0</v>
      </c>
      <c r="AV7" s="53">
        <f t="shared" si="35"/>
        <v>100039</v>
      </c>
      <c r="AW7" s="20">
        <f t="shared" si="36"/>
        <v>-100039</v>
      </c>
      <c r="AX7" s="44"/>
      <c r="AY7" s="39">
        <f t="shared" si="37"/>
        <v>0</v>
      </c>
      <c r="AZ7" s="53">
        <f t="shared" si="38"/>
        <v>131948</v>
      </c>
      <c r="BA7" s="20">
        <f t="shared" si="39"/>
        <v>-131948</v>
      </c>
    </row>
    <row r="8">
      <c r="A8" s="52" t="s">
        <v>110</v>
      </c>
      <c r="B8" s="44"/>
      <c r="C8" s="39">
        <f t="shared" si="1"/>
        <v>0</v>
      </c>
      <c r="D8" s="53">
        <f t="shared" si="2"/>
        <v>65286</v>
      </c>
      <c r="E8" s="20">
        <f t="shared" si="3"/>
        <v>-65286</v>
      </c>
      <c r="F8" s="44"/>
      <c r="G8" s="39">
        <f t="shared" si="4"/>
        <v>0</v>
      </c>
      <c r="H8" s="53">
        <f t="shared" si="5"/>
        <v>77500</v>
      </c>
      <c r="I8" s="20">
        <f t="shared" si="6"/>
        <v>-77500</v>
      </c>
      <c r="J8" s="46"/>
      <c r="K8" s="39">
        <f t="shared" si="7"/>
        <v>0</v>
      </c>
      <c r="L8" s="53">
        <f t="shared" si="8"/>
        <v>70972</v>
      </c>
      <c r="M8" s="20">
        <f t="shared" si="9"/>
        <v>-70972</v>
      </c>
      <c r="N8" s="44"/>
      <c r="O8" s="39">
        <f t="shared" si="10"/>
        <v>0</v>
      </c>
      <c r="P8" s="53">
        <f t="shared" si="11"/>
        <v>76990</v>
      </c>
      <c r="Q8" s="20">
        <f t="shared" si="12"/>
        <v>-76990</v>
      </c>
      <c r="R8" s="44"/>
      <c r="S8" s="39">
        <f t="shared" si="13"/>
        <v>0</v>
      </c>
      <c r="T8" s="53">
        <f t="shared" si="14"/>
        <v>71736</v>
      </c>
      <c r="U8" s="20">
        <f t="shared" si="15"/>
        <v>-71736</v>
      </c>
      <c r="V8" s="44"/>
      <c r="W8" s="39">
        <f t="shared" si="16"/>
        <v>0</v>
      </c>
      <c r="X8" s="53">
        <f t="shared" si="17"/>
        <v>63716</v>
      </c>
      <c r="Y8" s="20">
        <f t="shared" si="18"/>
        <v>-63716</v>
      </c>
      <c r="Z8" s="44"/>
      <c r="AA8" s="39">
        <f t="shared" si="19"/>
        <v>0</v>
      </c>
      <c r="AB8" s="53">
        <f t="shared" si="20"/>
        <v>63187</v>
      </c>
      <c r="AC8" s="20">
        <f t="shared" si="21"/>
        <v>-63187</v>
      </c>
      <c r="AD8" s="44"/>
      <c r="AE8" s="39">
        <f t="shared" si="22"/>
        <v>0</v>
      </c>
      <c r="AF8" s="53">
        <f t="shared" si="23"/>
        <v>209412</v>
      </c>
      <c r="AG8" s="20">
        <f t="shared" si="24"/>
        <v>-209412</v>
      </c>
      <c r="AH8" s="44"/>
      <c r="AI8" s="39">
        <f t="shared" si="25"/>
        <v>0</v>
      </c>
      <c r="AJ8" s="53">
        <f t="shared" si="26"/>
        <v>63469</v>
      </c>
      <c r="AK8" s="20">
        <f t="shared" si="27"/>
        <v>-63469</v>
      </c>
      <c r="AL8" s="44"/>
      <c r="AM8" s="39">
        <f t="shared" si="28"/>
        <v>0</v>
      </c>
      <c r="AN8" s="53">
        <f t="shared" si="29"/>
        <v>77745</v>
      </c>
      <c r="AO8" s="20">
        <f t="shared" si="30"/>
        <v>-77745</v>
      </c>
      <c r="AP8" s="44"/>
      <c r="AQ8" s="39">
        <f t="shared" si="31"/>
        <v>0</v>
      </c>
      <c r="AR8" s="53">
        <f t="shared" si="32"/>
        <v>59862</v>
      </c>
      <c r="AS8" s="20">
        <f t="shared" si="33"/>
        <v>-59862</v>
      </c>
      <c r="AT8" s="44"/>
      <c r="AU8" s="39">
        <f t="shared" si="34"/>
        <v>0</v>
      </c>
      <c r="AV8" s="53">
        <f t="shared" si="35"/>
        <v>101984</v>
      </c>
      <c r="AW8" s="20">
        <f t="shared" si="36"/>
        <v>-101984</v>
      </c>
      <c r="AX8" s="44"/>
      <c r="AY8" s="39">
        <f t="shared" si="37"/>
        <v>0</v>
      </c>
      <c r="AZ8" s="53">
        <f t="shared" si="38"/>
        <v>133893</v>
      </c>
      <c r="BA8" s="20">
        <f t="shared" si="39"/>
        <v>-133893</v>
      </c>
    </row>
    <row r="9">
      <c r="A9" s="52" t="s">
        <v>111</v>
      </c>
      <c r="B9" s="44"/>
      <c r="C9" s="39">
        <f t="shared" si="1"/>
        <v>0</v>
      </c>
      <c r="D9" s="53">
        <f t="shared" si="2"/>
        <v>64236</v>
      </c>
      <c r="E9" s="20">
        <f t="shared" si="3"/>
        <v>-64236</v>
      </c>
      <c r="F9" s="44"/>
      <c r="G9" s="39">
        <f t="shared" si="4"/>
        <v>0</v>
      </c>
      <c r="H9" s="53">
        <f t="shared" si="5"/>
        <v>76450</v>
      </c>
      <c r="I9" s="20">
        <f t="shared" si="6"/>
        <v>-76450</v>
      </c>
      <c r="J9" s="46"/>
      <c r="K9" s="39">
        <f t="shared" si="7"/>
        <v>0</v>
      </c>
      <c r="L9" s="53">
        <f t="shared" si="8"/>
        <v>69922</v>
      </c>
      <c r="M9" s="20">
        <f t="shared" si="9"/>
        <v>-69922</v>
      </c>
      <c r="N9" s="44"/>
      <c r="O9" s="39">
        <f t="shared" si="10"/>
        <v>0</v>
      </c>
      <c r="P9" s="53">
        <f t="shared" si="11"/>
        <v>75940</v>
      </c>
      <c r="Q9" s="20">
        <f t="shared" si="12"/>
        <v>-75940</v>
      </c>
      <c r="R9" s="44"/>
      <c r="S9" s="39">
        <f t="shared" si="13"/>
        <v>0</v>
      </c>
      <c r="T9" s="53">
        <f t="shared" si="14"/>
        <v>70686</v>
      </c>
      <c r="U9" s="20">
        <f t="shared" si="15"/>
        <v>-70686</v>
      </c>
      <c r="V9" s="44"/>
      <c r="W9" s="39">
        <f t="shared" si="16"/>
        <v>0</v>
      </c>
      <c r="X9" s="53">
        <f t="shared" si="17"/>
        <v>62666</v>
      </c>
      <c r="Y9" s="20">
        <f t="shared" si="18"/>
        <v>-62666</v>
      </c>
      <c r="Z9" s="44"/>
      <c r="AA9" s="39">
        <f t="shared" si="19"/>
        <v>0</v>
      </c>
      <c r="AB9" s="53">
        <f t="shared" si="20"/>
        <v>62137</v>
      </c>
      <c r="AC9" s="20">
        <f t="shared" si="21"/>
        <v>-62137</v>
      </c>
      <c r="AD9" s="44"/>
      <c r="AE9" s="39">
        <f t="shared" si="22"/>
        <v>0</v>
      </c>
      <c r="AF9" s="53">
        <f t="shared" si="23"/>
        <v>208362</v>
      </c>
      <c r="AG9" s="20">
        <f t="shared" si="24"/>
        <v>-208362</v>
      </c>
      <c r="AH9" s="44"/>
      <c r="AI9" s="39">
        <f t="shared" si="25"/>
        <v>0</v>
      </c>
      <c r="AJ9" s="53">
        <f t="shared" si="26"/>
        <v>62419</v>
      </c>
      <c r="AK9" s="20">
        <f t="shared" si="27"/>
        <v>-62419</v>
      </c>
      <c r="AL9" s="44"/>
      <c r="AM9" s="39">
        <f t="shared" si="28"/>
        <v>0</v>
      </c>
      <c r="AN9" s="53">
        <f t="shared" si="29"/>
        <v>76695</v>
      </c>
      <c r="AO9" s="20">
        <f t="shared" si="30"/>
        <v>-76695</v>
      </c>
      <c r="AP9" s="44"/>
      <c r="AQ9" s="39">
        <f t="shared" si="31"/>
        <v>0</v>
      </c>
      <c r="AR9" s="53">
        <f t="shared" si="32"/>
        <v>58812</v>
      </c>
      <c r="AS9" s="20">
        <f t="shared" si="33"/>
        <v>-58812</v>
      </c>
      <c r="AT9" s="44"/>
      <c r="AU9" s="39">
        <f t="shared" si="34"/>
        <v>0</v>
      </c>
      <c r="AV9" s="53">
        <f t="shared" si="35"/>
        <v>100934</v>
      </c>
      <c r="AW9" s="20">
        <f t="shared" si="36"/>
        <v>-100934</v>
      </c>
      <c r="AX9" s="44"/>
      <c r="AY9" s="39">
        <f t="shared" si="37"/>
        <v>0</v>
      </c>
      <c r="AZ9" s="53">
        <f t="shared" si="38"/>
        <v>132843</v>
      </c>
      <c r="BA9" s="20">
        <f t="shared" si="39"/>
        <v>-132843</v>
      </c>
    </row>
    <row r="10">
      <c r="A10" s="52" t="s">
        <v>112</v>
      </c>
      <c r="B10" s="44"/>
      <c r="C10" s="39">
        <f t="shared" si="1"/>
        <v>0</v>
      </c>
      <c r="D10" s="53">
        <f t="shared" si="2"/>
        <v>64236</v>
      </c>
      <c r="E10" s="20">
        <f t="shared" si="3"/>
        <v>-64236</v>
      </c>
      <c r="F10" s="44"/>
      <c r="G10" s="39">
        <f t="shared" si="4"/>
        <v>0</v>
      </c>
      <c r="H10" s="53">
        <f t="shared" si="5"/>
        <v>76450</v>
      </c>
      <c r="I10" s="20">
        <f t="shared" si="6"/>
        <v>-76450</v>
      </c>
      <c r="J10" s="46"/>
      <c r="K10" s="39">
        <f t="shared" si="7"/>
        <v>0</v>
      </c>
      <c r="L10" s="53">
        <f t="shared" si="8"/>
        <v>69922</v>
      </c>
      <c r="M10" s="20">
        <f t="shared" si="9"/>
        <v>-69922</v>
      </c>
      <c r="N10" s="44"/>
      <c r="O10" s="39">
        <f t="shared" si="10"/>
        <v>0</v>
      </c>
      <c r="P10" s="53">
        <f t="shared" si="11"/>
        <v>75940</v>
      </c>
      <c r="Q10" s="20">
        <f t="shared" si="12"/>
        <v>-75940</v>
      </c>
      <c r="R10" s="44"/>
      <c r="S10" s="39">
        <f t="shared" si="13"/>
        <v>0</v>
      </c>
      <c r="T10" s="53">
        <f t="shared" si="14"/>
        <v>70686</v>
      </c>
      <c r="U10" s="20">
        <f t="shared" si="15"/>
        <v>-70686</v>
      </c>
      <c r="V10" s="44"/>
      <c r="W10" s="39">
        <f t="shared" si="16"/>
        <v>0</v>
      </c>
      <c r="X10" s="53">
        <f t="shared" si="17"/>
        <v>62666</v>
      </c>
      <c r="Y10" s="20">
        <f t="shared" si="18"/>
        <v>-62666</v>
      </c>
      <c r="Z10" s="44"/>
      <c r="AA10" s="39">
        <f t="shared" si="19"/>
        <v>0</v>
      </c>
      <c r="AB10" s="53">
        <f t="shared" si="20"/>
        <v>62137</v>
      </c>
      <c r="AC10" s="20">
        <f t="shared" si="21"/>
        <v>-62137</v>
      </c>
      <c r="AD10" s="44"/>
      <c r="AE10" s="39">
        <f t="shared" si="22"/>
        <v>0</v>
      </c>
      <c r="AF10" s="53">
        <f t="shared" si="23"/>
        <v>208362</v>
      </c>
      <c r="AG10" s="20">
        <f t="shared" si="24"/>
        <v>-208362</v>
      </c>
      <c r="AH10" s="44"/>
      <c r="AI10" s="39">
        <f t="shared" si="25"/>
        <v>0</v>
      </c>
      <c r="AJ10" s="53">
        <f t="shared" si="26"/>
        <v>62419</v>
      </c>
      <c r="AK10" s="20">
        <f t="shared" si="27"/>
        <v>-62419</v>
      </c>
      <c r="AL10" s="44"/>
      <c r="AM10" s="39">
        <f t="shared" si="28"/>
        <v>0</v>
      </c>
      <c r="AN10" s="53">
        <f t="shared" si="29"/>
        <v>76695</v>
      </c>
      <c r="AO10" s="20">
        <f t="shared" si="30"/>
        <v>-76695</v>
      </c>
      <c r="AP10" s="44"/>
      <c r="AQ10" s="39">
        <f t="shared" si="31"/>
        <v>0</v>
      </c>
      <c r="AR10" s="53">
        <f t="shared" si="32"/>
        <v>58812</v>
      </c>
      <c r="AS10" s="20">
        <f t="shared" si="33"/>
        <v>-58812</v>
      </c>
      <c r="AT10" s="44"/>
      <c r="AU10" s="39">
        <f t="shared" si="34"/>
        <v>0</v>
      </c>
      <c r="AV10" s="53">
        <f t="shared" si="35"/>
        <v>100934</v>
      </c>
      <c r="AW10" s="20">
        <f t="shared" si="36"/>
        <v>-100934</v>
      </c>
      <c r="AX10" s="44"/>
      <c r="AY10" s="39">
        <f t="shared" si="37"/>
        <v>0</v>
      </c>
      <c r="AZ10" s="53">
        <f t="shared" si="38"/>
        <v>132843</v>
      </c>
      <c r="BA10" s="20">
        <f t="shared" si="39"/>
        <v>-132843</v>
      </c>
    </row>
    <row r="11">
      <c r="A11" s="52" t="s">
        <v>113</v>
      </c>
      <c r="B11" s="44"/>
      <c r="C11" s="39">
        <f t="shared" si="1"/>
        <v>0</v>
      </c>
      <c r="D11" s="53">
        <f t="shared" si="2"/>
        <v>64301</v>
      </c>
      <c r="E11" s="20">
        <f t="shared" si="3"/>
        <v>-64301</v>
      </c>
      <c r="F11" s="44"/>
      <c r="G11" s="39">
        <f t="shared" si="4"/>
        <v>0</v>
      </c>
      <c r="H11" s="53">
        <f t="shared" si="5"/>
        <v>76515</v>
      </c>
      <c r="I11" s="20">
        <f t="shared" si="6"/>
        <v>-76515</v>
      </c>
      <c r="J11" s="46"/>
      <c r="K11" s="39">
        <f t="shared" si="7"/>
        <v>0</v>
      </c>
      <c r="L11" s="53">
        <f t="shared" si="8"/>
        <v>69987</v>
      </c>
      <c r="M11" s="20">
        <f t="shared" si="9"/>
        <v>-69987</v>
      </c>
      <c r="N11" s="44"/>
      <c r="O11" s="39">
        <f t="shared" si="10"/>
        <v>0</v>
      </c>
      <c r="P11" s="53">
        <f t="shared" si="11"/>
        <v>76005</v>
      </c>
      <c r="Q11" s="20">
        <f t="shared" si="12"/>
        <v>-76005</v>
      </c>
      <c r="R11" s="44"/>
      <c r="S11" s="39">
        <f t="shared" si="13"/>
        <v>0</v>
      </c>
      <c r="T11" s="53">
        <f t="shared" si="14"/>
        <v>70751</v>
      </c>
      <c r="U11" s="20">
        <f t="shared" si="15"/>
        <v>-70751</v>
      </c>
      <c r="V11" s="44"/>
      <c r="W11" s="39">
        <f t="shared" si="16"/>
        <v>0</v>
      </c>
      <c r="X11" s="53">
        <f t="shared" si="17"/>
        <v>62731</v>
      </c>
      <c r="Y11" s="20">
        <f t="shared" si="18"/>
        <v>-62731</v>
      </c>
      <c r="Z11" s="44"/>
      <c r="AA11" s="39">
        <f t="shared" si="19"/>
        <v>0</v>
      </c>
      <c r="AB11" s="53">
        <f t="shared" si="20"/>
        <v>62202</v>
      </c>
      <c r="AC11" s="20">
        <f t="shared" si="21"/>
        <v>-62202</v>
      </c>
      <c r="AD11" s="44"/>
      <c r="AE11" s="39">
        <f t="shared" si="22"/>
        <v>0</v>
      </c>
      <c r="AF11" s="53">
        <f t="shared" si="23"/>
        <v>208427</v>
      </c>
      <c r="AG11" s="20">
        <f t="shared" si="24"/>
        <v>-208427</v>
      </c>
      <c r="AH11" s="44"/>
      <c r="AI11" s="39">
        <f t="shared" si="25"/>
        <v>0</v>
      </c>
      <c r="AJ11" s="53">
        <f t="shared" si="26"/>
        <v>62484</v>
      </c>
      <c r="AK11" s="20">
        <f t="shared" si="27"/>
        <v>-62484</v>
      </c>
      <c r="AL11" s="44"/>
      <c r="AM11" s="39">
        <f t="shared" si="28"/>
        <v>0</v>
      </c>
      <c r="AN11" s="53">
        <f t="shared" si="29"/>
        <v>76760</v>
      </c>
      <c r="AO11" s="20">
        <f t="shared" si="30"/>
        <v>-76760</v>
      </c>
      <c r="AP11" s="44"/>
      <c r="AQ11" s="39">
        <f t="shared" si="31"/>
        <v>0</v>
      </c>
      <c r="AR11" s="53">
        <f t="shared" si="32"/>
        <v>58877</v>
      </c>
      <c r="AS11" s="20">
        <f t="shared" si="33"/>
        <v>-58877</v>
      </c>
      <c r="AT11" s="44"/>
      <c r="AU11" s="39">
        <f t="shared" si="34"/>
        <v>0</v>
      </c>
      <c r="AV11" s="53">
        <f t="shared" si="35"/>
        <v>100999</v>
      </c>
      <c r="AW11" s="20">
        <f t="shared" si="36"/>
        <v>-100999</v>
      </c>
      <c r="AX11" s="44"/>
      <c r="AY11" s="39">
        <f t="shared" si="37"/>
        <v>0</v>
      </c>
      <c r="AZ11" s="53">
        <f t="shared" si="38"/>
        <v>132908</v>
      </c>
      <c r="BA11" s="20">
        <f t="shared" si="39"/>
        <v>-132908</v>
      </c>
    </row>
    <row r="12">
      <c r="A12" s="52" t="s">
        <v>114</v>
      </c>
      <c r="B12" s="44"/>
      <c r="C12" s="39">
        <f t="shared" si="1"/>
        <v>0</v>
      </c>
      <c r="D12" s="53">
        <f t="shared" si="2"/>
        <v>65629</v>
      </c>
      <c r="E12" s="20">
        <f t="shared" si="3"/>
        <v>-65629</v>
      </c>
      <c r="F12" s="44"/>
      <c r="G12" s="39">
        <f t="shared" si="4"/>
        <v>0</v>
      </c>
      <c r="H12" s="53">
        <f t="shared" si="5"/>
        <v>77843</v>
      </c>
      <c r="I12" s="20">
        <f t="shared" si="6"/>
        <v>-77843</v>
      </c>
      <c r="J12" s="46"/>
      <c r="K12" s="39">
        <f t="shared" si="7"/>
        <v>0</v>
      </c>
      <c r="L12" s="53">
        <f t="shared" si="8"/>
        <v>71315</v>
      </c>
      <c r="M12" s="20">
        <f t="shared" si="9"/>
        <v>-71315</v>
      </c>
      <c r="N12" s="44"/>
      <c r="O12" s="39">
        <f t="shared" si="10"/>
        <v>0</v>
      </c>
      <c r="P12" s="53">
        <f t="shared" si="11"/>
        <v>77333</v>
      </c>
      <c r="Q12" s="20">
        <f t="shared" si="12"/>
        <v>-77333</v>
      </c>
      <c r="R12" s="44"/>
      <c r="S12" s="39">
        <f t="shared" si="13"/>
        <v>0</v>
      </c>
      <c r="T12" s="53">
        <f t="shared" si="14"/>
        <v>72079</v>
      </c>
      <c r="U12" s="20">
        <f t="shared" si="15"/>
        <v>-72079</v>
      </c>
      <c r="V12" s="44"/>
      <c r="W12" s="39">
        <f t="shared" si="16"/>
        <v>0</v>
      </c>
      <c r="X12" s="53">
        <f t="shared" si="17"/>
        <v>64059</v>
      </c>
      <c r="Y12" s="20">
        <f t="shared" si="18"/>
        <v>-64059</v>
      </c>
      <c r="Z12" s="44"/>
      <c r="AA12" s="39">
        <f t="shared" si="19"/>
        <v>0</v>
      </c>
      <c r="AB12" s="53">
        <f t="shared" si="20"/>
        <v>63530</v>
      </c>
      <c r="AC12" s="20">
        <f t="shared" si="21"/>
        <v>-63530</v>
      </c>
      <c r="AD12" s="44"/>
      <c r="AE12" s="39">
        <f t="shared" si="22"/>
        <v>0</v>
      </c>
      <c r="AF12" s="53">
        <f t="shared" si="23"/>
        <v>209755</v>
      </c>
      <c r="AG12" s="20">
        <f t="shared" si="24"/>
        <v>-209755</v>
      </c>
      <c r="AH12" s="44"/>
      <c r="AI12" s="39">
        <f t="shared" si="25"/>
        <v>0</v>
      </c>
      <c r="AJ12" s="53">
        <f t="shared" si="26"/>
        <v>63812</v>
      </c>
      <c r="AK12" s="20">
        <f t="shared" si="27"/>
        <v>-63812</v>
      </c>
      <c r="AL12" s="44"/>
      <c r="AM12" s="39">
        <f t="shared" si="28"/>
        <v>0</v>
      </c>
      <c r="AN12" s="53">
        <f t="shared" si="29"/>
        <v>78088</v>
      </c>
      <c r="AO12" s="20">
        <f t="shared" si="30"/>
        <v>-78088</v>
      </c>
      <c r="AP12" s="44"/>
      <c r="AQ12" s="39">
        <f t="shared" si="31"/>
        <v>0</v>
      </c>
      <c r="AR12" s="53">
        <f t="shared" si="32"/>
        <v>60205</v>
      </c>
      <c r="AS12" s="20">
        <f t="shared" si="33"/>
        <v>-60205</v>
      </c>
      <c r="AT12" s="44"/>
      <c r="AU12" s="39">
        <f t="shared" si="34"/>
        <v>0</v>
      </c>
      <c r="AV12" s="53">
        <f t="shared" si="35"/>
        <v>102327</v>
      </c>
      <c r="AW12" s="20">
        <f t="shared" si="36"/>
        <v>-102327</v>
      </c>
      <c r="AX12" s="44"/>
      <c r="AY12" s="39">
        <f t="shared" si="37"/>
        <v>0</v>
      </c>
      <c r="AZ12" s="53">
        <f t="shared" si="38"/>
        <v>134236</v>
      </c>
      <c r="BA12" s="20">
        <f t="shared" si="39"/>
        <v>-134236</v>
      </c>
    </row>
    <row r="13">
      <c r="A13" s="52" t="s">
        <v>115</v>
      </c>
      <c r="B13" s="44"/>
      <c r="C13" s="39">
        <f t="shared" si="1"/>
        <v>0</v>
      </c>
      <c r="D13" s="53">
        <f t="shared" si="2"/>
        <v>72876</v>
      </c>
      <c r="E13" s="20">
        <f t="shared" si="3"/>
        <v>-72876</v>
      </c>
      <c r="F13" s="44"/>
      <c r="G13" s="39">
        <f t="shared" si="4"/>
        <v>0</v>
      </c>
      <c r="H13" s="53">
        <f t="shared" si="5"/>
        <v>85090</v>
      </c>
      <c r="I13" s="20">
        <f t="shared" si="6"/>
        <v>-85090</v>
      </c>
      <c r="J13" s="46"/>
      <c r="K13" s="39">
        <f t="shared" si="7"/>
        <v>0</v>
      </c>
      <c r="L13" s="53">
        <f t="shared" si="8"/>
        <v>78562</v>
      </c>
      <c r="M13" s="20">
        <f t="shared" si="9"/>
        <v>-78562</v>
      </c>
      <c r="N13" s="44"/>
      <c r="O13" s="39">
        <f t="shared" si="10"/>
        <v>0</v>
      </c>
      <c r="P13" s="53">
        <f t="shared" si="11"/>
        <v>84580</v>
      </c>
      <c r="Q13" s="20">
        <f t="shared" si="12"/>
        <v>-84580</v>
      </c>
      <c r="R13" s="44"/>
      <c r="S13" s="39">
        <f t="shared" si="13"/>
        <v>0</v>
      </c>
      <c r="T13" s="53">
        <f t="shared" si="14"/>
        <v>79326</v>
      </c>
      <c r="U13" s="20">
        <f t="shared" si="15"/>
        <v>-79326</v>
      </c>
      <c r="V13" s="44"/>
      <c r="W13" s="39">
        <f t="shared" si="16"/>
        <v>0</v>
      </c>
      <c r="X13" s="53">
        <f t="shared" si="17"/>
        <v>71306</v>
      </c>
      <c r="Y13" s="20">
        <f t="shared" si="18"/>
        <v>-71306</v>
      </c>
      <c r="Z13" s="44"/>
      <c r="AA13" s="39">
        <f t="shared" si="19"/>
        <v>0</v>
      </c>
      <c r="AB13" s="53">
        <f t="shared" si="20"/>
        <v>70777</v>
      </c>
      <c r="AC13" s="20">
        <f t="shared" si="21"/>
        <v>-70777</v>
      </c>
      <c r="AD13" s="44"/>
      <c r="AE13" s="39">
        <f t="shared" si="22"/>
        <v>0</v>
      </c>
      <c r="AF13" s="53">
        <f t="shared" si="23"/>
        <v>217002</v>
      </c>
      <c r="AG13" s="20">
        <f t="shared" si="24"/>
        <v>-217002</v>
      </c>
      <c r="AH13" s="44"/>
      <c r="AI13" s="39">
        <f t="shared" si="25"/>
        <v>0</v>
      </c>
      <c r="AJ13" s="53">
        <f t="shared" si="26"/>
        <v>71059</v>
      </c>
      <c r="AK13" s="20">
        <f t="shared" si="27"/>
        <v>-71059</v>
      </c>
      <c r="AL13" s="44"/>
      <c r="AM13" s="39">
        <f t="shared" si="28"/>
        <v>0</v>
      </c>
      <c r="AN13" s="53">
        <f t="shared" si="29"/>
        <v>85335</v>
      </c>
      <c r="AO13" s="20">
        <f t="shared" si="30"/>
        <v>-85335</v>
      </c>
      <c r="AP13" s="44"/>
      <c r="AQ13" s="39">
        <f t="shared" si="31"/>
        <v>0</v>
      </c>
      <c r="AR13" s="53">
        <f t="shared" si="32"/>
        <v>67452</v>
      </c>
      <c r="AS13" s="20">
        <f t="shared" si="33"/>
        <v>-67452</v>
      </c>
      <c r="AT13" s="44"/>
      <c r="AU13" s="39">
        <f t="shared" si="34"/>
        <v>0</v>
      </c>
      <c r="AV13" s="53">
        <f t="shared" si="35"/>
        <v>109574</v>
      </c>
      <c r="AW13" s="20">
        <f t="shared" si="36"/>
        <v>-109574</v>
      </c>
      <c r="AX13" s="44"/>
      <c r="AY13" s="39">
        <f t="shared" si="37"/>
        <v>0</v>
      </c>
      <c r="AZ13" s="53">
        <f t="shared" si="38"/>
        <v>141483</v>
      </c>
      <c r="BA13" s="20">
        <f t="shared" si="39"/>
        <v>-141483</v>
      </c>
    </row>
    <row r="14">
      <c r="A14" s="52" t="s">
        <v>116</v>
      </c>
      <c r="B14" s="44"/>
      <c r="C14" s="39">
        <f t="shared" si="1"/>
        <v>0</v>
      </c>
      <c r="D14" s="53">
        <f t="shared" si="2"/>
        <v>72876</v>
      </c>
      <c r="E14" s="20">
        <f t="shared" si="3"/>
        <v>-72876</v>
      </c>
      <c r="F14" s="44"/>
      <c r="G14" s="39">
        <f t="shared" si="4"/>
        <v>0</v>
      </c>
      <c r="H14" s="53">
        <f t="shared" si="5"/>
        <v>85090</v>
      </c>
      <c r="I14" s="20">
        <f t="shared" si="6"/>
        <v>-85090</v>
      </c>
      <c r="J14" s="46"/>
      <c r="K14" s="39">
        <f t="shared" si="7"/>
        <v>0</v>
      </c>
      <c r="L14" s="53">
        <f t="shared" si="8"/>
        <v>78562</v>
      </c>
      <c r="M14" s="20">
        <f t="shared" si="9"/>
        <v>-78562</v>
      </c>
      <c r="N14" s="44"/>
      <c r="O14" s="39">
        <f t="shared" si="10"/>
        <v>0</v>
      </c>
      <c r="P14" s="53">
        <f t="shared" si="11"/>
        <v>84580</v>
      </c>
      <c r="Q14" s="20">
        <f t="shared" si="12"/>
        <v>-84580</v>
      </c>
      <c r="R14" s="44"/>
      <c r="S14" s="39">
        <f t="shared" si="13"/>
        <v>0</v>
      </c>
      <c r="T14" s="53">
        <f t="shared" si="14"/>
        <v>79326</v>
      </c>
      <c r="U14" s="20">
        <f t="shared" si="15"/>
        <v>-79326</v>
      </c>
      <c r="V14" s="44"/>
      <c r="W14" s="39">
        <f t="shared" si="16"/>
        <v>0</v>
      </c>
      <c r="X14" s="53">
        <f t="shared" si="17"/>
        <v>71306</v>
      </c>
      <c r="Y14" s="20">
        <f t="shared" si="18"/>
        <v>-71306</v>
      </c>
      <c r="Z14" s="44"/>
      <c r="AA14" s="39">
        <f t="shared" si="19"/>
        <v>0</v>
      </c>
      <c r="AB14" s="53">
        <f t="shared" si="20"/>
        <v>70777</v>
      </c>
      <c r="AC14" s="20">
        <f t="shared" si="21"/>
        <v>-70777</v>
      </c>
      <c r="AD14" s="44"/>
      <c r="AE14" s="39">
        <f t="shared" si="22"/>
        <v>0</v>
      </c>
      <c r="AF14" s="53">
        <f t="shared" si="23"/>
        <v>217002</v>
      </c>
      <c r="AG14" s="20">
        <f t="shared" si="24"/>
        <v>-217002</v>
      </c>
      <c r="AH14" s="44"/>
      <c r="AI14" s="39">
        <f t="shared" si="25"/>
        <v>0</v>
      </c>
      <c r="AJ14" s="53">
        <f t="shared" si="26"/>
        <v>71059</v>
      </c>
      <c r="AK14" s="20">
        <f t="shared" si="27"/>
        <v>-71059</v>
      </c>
      <c r="AL14" s="44"/>
      <c r="AM14" s="39">
        <f t="shared" si="28"/>
        <v>0</v>
      </c>
      <c r="AN14" s="53">
        <f t="shared" si="29"/>
        <v>85335</v>
      </c>
      <c r="AO14" s="20">
        <f t="shared" si="30"/>
        <v>-85335</v>
      </c>
      <c r="AP14" s="44"/>
      <c r="AQ14" s="39">
        <f t="shared" si="31"/>
        <v>0</v>
      </c>
      <c r="AR14" s="53">
        <f t="shared" si="32"/>
        <v>67452</v>
      </c>
      <c r="AS14" s="20">
        <f t="shared" si="33"/>
        <v>-67452</v>
      </c>
      <c r="AT14" s="44"/>
      <c r="AU14" s="39">
        <f t="shared" si="34"/>
        <v>0</v>
      </c>
      <c r="AV14" s="53">
        <f t="shared" si="35"/>
        <v>109574</v>
      </c>
      <c r="AW14" s="20">
        <f t="shared" si="36"/>
        <v>-109574</v>
      </c>
      <c r="AX14" s="44"/>
      <c r="AY14" s="39">
        <f t="shared" si="37"/>
        <v>0</v>
      </c>
      <c r="AZ14" s="53">
        <f t="shared" si="38"/>
        <v>141483</v>
      </c>
      <c r="BA14" s="20">
        <f t="shared" si="39"/>
        <v>-141483</v>
      </c>
    </row>
    <row r="15">
      <c r="A15" s="52" t="s">
        <v>117</v>
      </c>
      <c r="B15" s="44"/>
      <c r="C15" s="39">
        <f t="shared" si="1"/>
        <v>0</v>
      </c>
      <c r="D15" s="53">
        <f t="shared" si="2"/>
        <v>72941</v>
      </c>
      <c r="E15" s="20">
        <f t="shared" si="3"/>
        <v>-72941</v>
      </c>
      <c r="F15" s="44"/>
      <c r="G15" s="39">
        <f t="shared" si="4"/>
        <v>0</v>
      </c>
      <c r="H15" s="53">
        <f t="shared" si="5"/>
        <v>85155</v>
      </c>
      <c r="I15" s="20">
        <f t="shared" si="6"/>
        <v>-85155</v>
      </c>
      <c r="J15" s="46"/>
      <c r="K15" s="39">
        <f t="shared" si="7"/>
        <v>0</v>
      </c>
      <c r="L15" s="53">
        <f t="shared" si="8"/>
        <v>78627</v>
      </c>
      <c r="M15" s="20">
        <f t="shared" si="9"/>
        <v>-78627</v>
      </c>
      <c r="N15" s="44"/>
      <c r="O15" s="39">
        <f t="shared" si="10"/>
        <v>0</v>
      </c>
      <c r="P15" s="53">
        <f t="shared" si="11"/>
        <v>84645</v>
      </c>
      <c r="Q15" s="20">
        <f t="shared" si="12"/>
        <v>-84645</v>
      </c>
      <c r="R15" s="44"/>
      <c r="S15" s="39">
        <f t="shared" si="13"/>
        <v>0</v>
      </c>
      <c r="T15" s="53">
        <f t="shared" si="14"/>
        <v>79391</v>
      </c>
      <c r="U15" s="20">
        <f t="shared" si="15"/>
        <v>-79391</v>
      </c>
      <c r="V15" s="44"/>
      <c r="W15" s="39">
        <f t="shared" si="16"/>
        <v>0</v>
      </c>
      <c r="X15" s="53">
        <f t="shared" si="17"/>
        <v>71371</v>
      </c>
      <c r="Y15" s="20">
        <f t="shared" si="18"/>
        <v>-71371</v>
      </c>
      <c r="Z15" s="44"/>
      <c r="AA15" s="39">
        <f t="shared" si="19"/>
        <v>0</v>
      </c>
      <c r="AB15" s="53">
        <f t="shared" si="20"/>
        <v>70842</v>
      </c>
      <c r="AC15" s="20">
        <f t="shared" si="21"/>
        <v>-70842</v>
      </c>
      <c r="AD15" s="44"/>
      <c r="AE15" s="39">
        <f t="shared" si="22"/>
        <v>0</v>
      </c>
      <c r="AF15" s="53">
        <f t="shared" si="23"/>
        <v>217067</v>
      </c>
      <c r="AG15" s="20">
        <f t="shared" si="24"/>
        <v>-217067</v>
      </c>
      <c r="AH15" s="44"/>
      <c r="AI15" s="39">
        <f t="shared" si="25"/>
        <v>0</v>
      </c>
      <c r="AJ15" s="53">
        <f t="shared" si="26"/>
        <v>71124</v>
      </c>
      <c r="AK15" s="20">
        <f t="shared" si="27"/>
        <v>-71124</v>
      </c>
      <c r="AL15" s="44"/>
      <c r="AM15" s="39">
        <f t="shared" si="28"/>
        <v>0</v>
      </c>
      <c r="AN15" s="53">
        <f t="shared" si="29"/>
        <v>85400</v>
      </c>
      <c r="AO15" s="20">
        <f t="shared" si="30"/>
        <v>-85400</v>
      </c>
      <c r="AP15" s="44"/>
      <c r="AQ15" s="39">
        <f t="shared" si="31"/>
        <v>0</v>
      </c>
      <c r="AR15" s="53">
        <f t="shared" si="32"/>
        <v>67517</v>
      </c>
      <c r="AS15" s="20">
        <f t="shared" si="33"/>
        <v>-67517</v>
      </c>
      <c r="AT15" s="44"/>
      <c r="AU15" s="39">
        <f t="shared" si="34"/>
        <v>0</v>
      </c>
      <c r="AV15" s="53">
        <f t="shared" si="35"/>
        <v>109639</v>
      </c>
      <c r="AW15" s="20">
        <f t="shared" si="36"/>
        <v>-109639</v>
      </c>
      <c r="AX15" s="44"/>
      <c r="AY15" s="39">
        <f t="shared" si="37"/>
        <v>0</v>
      </c>
      <c r="AZ15" s="53">
        <f t="shared" si="38"/>
        <v>141548</v>
      </c>
      <c r="BA15" s="20">
        <f t="shared" si="39"/>
        <v>-141548</v>
      </c>
    </row>
    <row r="16">
      <c r="A16" s="52" t="s">
        <v>118</v>
      </c>
      <c r="B16" s="44"/>
      <c r="C16" s="39">
        <f t="shared" si="1"/>
        <v>0</v>
      </c>
      <c r="D16" s="53">
        <f t="shared" si="2"/>
        <v>74269</v>
      </c>
      <c r="E16" s="20">
        <f t="shared" si="3"/>
        <v>-74269</v>
      </c>
      <c r="F16" s="44"/>
      <c r="G16" s="39">
        <f t="shared" si="4"/>
        <v>0</v>
      </c>
      <c r="H16" s="53">
        <f t="shared" si="5"/>
        <v>86483</v>
      </c>
      <c r="I16" s="20">
        <f t="shared" si="6"/>
        <v>-86483</v>
      </c>
      <c r="J16" s="46"/>
      <c r="K16" s="39">
        <f t="shared" si="7"/>
        <v>0</v>
      </c>
      <c r="L16" s="53">
        <f t="shared" si="8"/>
        <v>79955</v>
      </c>
      <c r="M16" s="20">
        <f t="shared" si="9"/>
        <v>-79955</v>
      </c>
      <c r="N16" s="44"/>
      <c r="O16" s="39">
        <f t="shared" si="10"/>
        <v>0</v>
      </c>
      <c r="P16" s="53">
        <f t="shared" si="11"/>
        <v>85973</v>
      </c>
      <c r="Q16" s="20">
        <f t="shared" si="12"/>
        <v>-85973</v>
      </c>
      <c r="R16" s="44"/>
      <c r="S16" s="39">
        <f t="shared" si="13"/>
        <v>0</v>
      </c>
      <c r="T16" s="53">
        <f t="shared" si="14"/>
        <v>80719</v>
      </c>
      <c r="U16" s="20">
        <f t="shared" si="15"/>
        <v>-80719</v>
      </c>
      <c r="V16" s="44"/>
      <c r="W16" s="39">
        <f t="shared" si="16"/>
        <v>0</v>
      </c>
      <c r="X16" s="53">
        <f t="shared" si="17"/>
        <v>72699</v>
      </c>
      <c r="Y16" s="20">
        <f t="shared" si="18"/>
        <v>-72699</v>
      </c>
      <c r="Z16" s="44"/>
      <c r="AA16" s="39">
        <f t="shared" si="19"/>
        <v>0</v>
      </c>
      <c r="AB16" s="53">
        <f t="shared" si="20"/>
        <v>72170</v>
      </c>
      <c r="AC16" s="20">
        <f t="shared" si="21"/>
        <v>-72170</v>
      </c>
      <c r="AD16" s="44"/>
      <c r="AE16" s="39">
        <f t="shared" si="22"/>
        <v>0</v>
      </c>
      <c r="AF16" s="53">
        <f t="shared" si="23"/>
        <v>218395</v>
      </c>
      <c r="AG16" s="20">
        <f t="shared" si="24"/>
        <v>-218395</v>
      </c>
      <c r="AH16" s="44"/>
      <c r="AI16" s="39">
        <f t="shared" si="25"/>
        <v>0</v>
      </c>
      <c r="AJ16" s="53">
        <f t="shared" si="26"/>
        <v>72452</v>
      </c>
      <c r="AK16" s="20">
        <f t="shared" si="27"/>
        <v>-72452</v>
      </c>
      <c r="AL16" s="44"/>
      <c r="AM16" s="39">
        <f t="shared" si="28"/>
        <v>0</v>
      </c>
      <c r="AN16" s="53">
        <f t="shared" si="29"/>
        <v>86728</v>
      </c>
      <c r="AO16" s="20">
        <f t="shared" si="30"/>
        <v>-86728</v>
      </c>
      <c r="AP16" s="44"/>
      <c r="AQ16" s="39">
        <f t="shared" si="31"/>
        <v>0</v>
      </c>
      <c r="AR16" s="53">
        <f t="shared" si="32"/>
        <v>68845</v>
      </c>
      <c r="AS16" s="20">
        <f t="shared" si="33"/>
        <v>-68845</v>
      </c>
      <c r="AT16" s="44"/>
      <c r="AU16" s="39">
        <f t="shared" si="34"/>
        <v>0</v>
      </c>
      <c r="AV16" s="53">
        <f t="shared" si="35"/>
        <v>110967</v>
      </c>
      <c r="AW16" s="20">
        <f t="shared" si="36"/>
        <v>-110967</v>
      </c>
      <c r="AX16" s="44"/>
      <c r="AY16" s="39">
        <f t="shared" si="37"/>
        <v>0</v>
      </c>
      <c r="AZ16" s="53">
        <f t="shared" si="38"/>
        <v>142876</v>
      </c>
      <c r="BA16" s="20">
        <f t="shared" si="39"/>
        <v>-142876</v>
      </c>
    </row>
    <row r="17">
      <c r="A17" s="52" t="s">
        <v>119</v>
      </c>
      <c r="B17" s="44"/>
      <c r="C17" s="39">
        <f t="shared" si="1"/>
        <v>0</v>
      </c>
      <c r="D17" s="53">
        <f t="shared" si="2"/>
        <v>103692</v>
      </c>
      <c r="E17" s="20">
        <f t="shared" si="3"/>
        <v>-103692</v>
      </c>
      <c r="F17" s="46"/>
      <c r="G17" s="39">
        <f t="shared" si="4"/>
        <v>0</v>
      </c>
      <c r="H17" s="53">
        <f t="shared" si="5"/>
        <v>115906</v>
      </c>
      <c r="I17" s="20">
        <f t="shared" si="6"/>
        <v>-115906</v>
      </c>
      <c r="J17" s="46"/>
      <c r="K17" s="39">
        <f t="shared" si="7"/>
        <v>0</v>
      </c>
      <c r="L17" s="53">
        <f t="shared" si="8"/>
        <v>109378</v>
      </c>
      <c r="M17" s="20">
        <f t="shared" si="9"/>
        <v>-109378</v>
      </c>
      <c r="N17" s="44"/>
      <c r="O17" s="39">
        <f t="shared" si="10"/>
        <v>0</v>
      </c>
      <c r="P17" s="53">
        <f t="shared" si="11"/>
        <v>115396</v>
      </c>
      <c r="Q17" s="20">
        <f t="shared" si="12"/>
        <v>-115396</v>
      </c>
      <c r="R17" s="46"/>
      <c r="S17" s="39">
        <f t="shared" si="13"/>
        <v>0</v>
      </c>
      <c r="T17" s="53">
        <f t="shared" si="14"/>
        <v>110142</v>
      </c>
      <c r="U17" s="20">
        <f t="shared" si="15"/>
        <v>-110142</v>
      </c>
      <c r="V17" s="44"/>
      <c r="W17" s="39">
        <f t="shared" si="16"/>
        <v>0</v>
      </c>
      <c r="X17" s="53">
        <f t="shared" si="17"/>
        <v>102122</v>
      </c>
      <c r="Y17" s="20">
        <f t="shared" si="18"/>
        <v>-102122</v>
      </c>
      <c r="Z17" s="44"/>
      <c r="AA17" s="39">
        <f t="shared" si="19"/>
        <v>0</v>
      </c>
      <c r="AB17" s="53">
        <f t="shared" si="20"/>
        <v>101593</v>
      </c>
      <c r="AC17" s="20">
        <f t="shared" si="21"/>
        <v>-101593</v>
      </c>
      <c r="AD17" s="44"/>
      <c r="AE17" s="39">
        <f t="shared" si="22"/>
        <v>0</v>
      </c>
      <c r="AF17" s="53">
        <f t="shared" si="23"/>
        <v>247818</v>
      </c>
      <c r="AG17" s="20">
        <f t="shared" si="24"/>
        <v>-247818</v>
      </c>
      <c r="AH17" s="44"/>
      <c r="AI17" s="39">
        <f t="shared" si="25"/>
        <v>0</v>
      </c>
      <c r="AJ17" s="53">
        <f t="shared" si="26"/>
        <v>101875</v>
      </c>
      <c r="AK17" s="20">
        <f t="shared" si="27"/>
        <v>-101875</v>
      </c>
      <c r="AL17" s="44"/>
      <c r="AM17" s="39">
        <f t="shared" si="28"/>
        <v>0</v>
      </c>
      <c r="AN17" s="53">
        <f t="shared" si="29"/>
        <v>116151</v>
      </c>
      <c r="AO17" s="20">
        <f t="shared" si="30"/>
        <v>-116151</v>
      </c>
      <c r="AP17" s="46"/>
      <c r="AQ17" s="39">
        <f t="shared" si="31"/>
        <v>0</v>
      </c>
      <c r="AR17" s="53">
        <f t="shared" si="32"/>
        <v>98268</v>
      </c>
      <c r="AS17" s="20">
        <f t="shared" si="33"/>
        <v>-98268</v>
      </c>
      <c r="AT17" s="44"/>
      <c r="AU17" s="39">
        <f t="shared" si="34"/>
        <v>0</v>
      </c>
      <c r="AV17" s="53">
        <f t="shared" si="35"/>
        <v>140390</v>
      </c>
      <c r="AW17" s="20">
        <f t="shared" si="36"/>
        <v>-140390</v>
      </c>
      <c r="AX17" s="44"/>
      <c r="AY17" s="39">
        <f t="shared" si="37"/>
        <v>0</v>
      </c>
      <c r="AZ17" s="53">
        <f t="shared" si="38"/>
        <v>172299</v>
      </c>
      <c r="BA17" s="20">
        <f t="shared" si="39"/>
        <v>-172299</v>
      </c>
    </row>
    <row r="18">
      <c r="A18" s="52" t="s">
        <v>120</v>
      </c>
      <c r="B18" s="44"/>
      <c r="C18" s="39">
        <f t="shared" si="1"/>
        <v>0</v>
      </c>
      <c r="D18" s="53">
        <f t="shared" si="2"/>
        <v>103692</v>
      </c>
      <c r="E18" s="20">
        <f t="shared" si="3"/>
        <v>-103692</v>
      </c>
      <c r="F18" s="44"/>
      <c r="G18" s="39">
        <f t="shared" si="4"/>
        <v>0</v>
      </c>
      <c r="H18" s="53">
        <f t="shared" si="5"/>
        <v>115906</v>
      </c>
      <c r="I18" s="20">
        <f t="shared" si="6"/>
        <v>-115906</v>
      </c>
      <c r="J18" s="46"/>
      <c r="K18" s="39">
        <f t="shared" si="7"/>
        <v>0</v>
      </c>
      <c r="L18" s="53">
        <f t="shared" si="8"/>
        <v>109378</v>
      </c>
      <c r="M18" s="20">
        <f t="shared" si="9"/>
        <v>-109378</v>
      </c>
      <c r="N18" s="44"/>
      <c r="O18" s="39">
        <f t="shared" si="10"/>
        <v>0</v>
      </c>
      <c r="P18" s="53">
        <f t="shared" si="11"/>
        <v>115396</v>
      </c>
      <c r="Q18" s="20">
        <f t="shared" si="12"/>
        <v>-115396</v>
      </c>
      <c r="R18" s="44"/>
      <c r="S18" s="39">
        <f t="shared" si="13"/>
        <v>0</v>
      </c>
      <c r="T18" s="53">
        <f t="shared" si="14"/>
        <v>110142</v>
      </c>
      <c r="U18" s="20">
        <f t="shared" si="15"/>
        <v>-110142</v>
      </c>
      <c r="V18" s="44"/>
      <c r="W18" s="39">
        <f t="shared" si="16"/>
        <v>0</v>
      </c>
      <c r="X18" s="53">
        <f t="shared" si="17"/>
        <v>102122</v>
      </c>
      <c r="Y18" s="20">
        <f t="shared" si="18"/>
        <v>-102122</v>
      </c>
      <c r="Z18" s="44"/>
      <c r="AA18" s="39">
        <f t="shared" si="19"/>
        <v>0</v>
      </c>
      <c r="AB18" s="53">
        <f t="shared" si="20"/>
        <v>101593</v>
      </c>
      <c r="AC18" s="20">
        <f t="shared" si="21"/>
        <v>-101593</v>
      </c>
      <c r="AD18" s="44"/>
      <c r="AE18" s="39">
        <f t="shared" si="22"/>
        <v>0</v>
      </c>
      <c r="AF18" s="53">
        <f t="shared" si="23"/>
        <v>247818</v>
      </c>
      <c r="AG18" s="20">
        <f t="shared" si="24"/>
        <v>-247818</v>
      </c>
      <c r="AH18" s="44"/>
      <c r="AI18" s="39">
        <f t="shared" si="25"/>
        <v>0</v>
      </c>
      <c r="AJ18" s="53">
        <f t="shared" si="26"/>
        <v>101875</v>
      </c>
      <c r="AK18" s="20">
        <f t="shared" si="27"/>
        <v>-101875</v>
      </c>
      <c r="AL18" s="44"/>
      <c r="AM18" s="39">
        <f t="shared" si="28"/>
        <v>0</v>
      </c>
      <c r="AN18" s="53">
        <f t="shared" si="29"/>
        <v>116151</v>
      </c>
      <c r="AO18" s="20">
        <f t="shared" si="30"/>
        <v>-116151</v>
      </c>
      <c r="AP18" s="44"/>
      <c r="AQ18" s="39">
        <f t="shared" si="31"/>
        <v>0</v>
      </c>
      <c r="AR18" s="53">
        <f t="shared" si="32"/>
        <v>98268</v>
      </c>
      <c r="AS18" s="20">
        <f t="shared" si="33"/>
        <v>-98268</v>
      </c>
      <c r="AT18" s="44"/>
      <c r="AU18" s="39">
        <f t="shared" si="34"/>
        <v>0</v>
      </c>
      <c r="AV18" s="53">
        <f t="shared" si="35"/>
        <v>140390</v>
      </c>
      <c r="AW18" s="20">
        <f t="shared" si="36"/>
        <v>-140390</v>
      </c>
      <c r="AX18" s="44"/>
      <c r="AY18" s="39">
        <f t="shared" si="37"/>
        <v>0</v>
      </c>
      <c r="AZ18" s="53">
        <f t="shared" si="38"/>
        <v>172299</v>
      </c>
      <c r="BA18" s="20">
        <f t="shared" si="39"/>
        <v>-172299</v>
      </c>
    </row>
    <row r="19">
      <c r="A19" s="52" t="s">
        <v>121</v>
      </c>
      <c r="B19" s="44"/>
      <c r="C19" s="39">
        <f t="shared" si="1"/>
        <v>0</v>
      </c>
      <c r="D19" s="53">
        <f t="shared" si="2"/>
        <v>103757</v>
      </c>
      <c r="E19" s="20">
        <f t="shared" si="3"/>
        <v>-103757</v>
      </c>
      <c r="F19" s="44"/>
      <c r="G19" s="39">
        <f t="shared" si="4"/>
        <v>0</v>
      </c>
      <c r="H19" s="53">
        <f t="shared" si="5"/>
        <v>115971</v>
      </c>
      <c r="I19" s="20">
        <f t="shared" si="6"/>
        <v>-115971</v>
      </c>
      <c r="J19" s="46"/>
      <c r="K19" s="39">
        <f t="shared" si="7"/>
        <v>0</v>
      </c>
      <c r="L19" s="53">
        <f t="shared" si="8"/>
        <v>109443</v>
      </c>
      <c r="M19" s="20">
        <f t="shared" si="9"/>
        <v>-109443</v>
      </c>
      <c r="N19" s="44"/>
      <c r="O19" s="39">
        <f t="shared" si="10"/>
        <v>0</v>
      </c>
      <c r="P19" s="53">
        <f t="shared" si="11"/>
        <v>115461</v>
      </c>
      <c r="Q19" s="20">
        <f t="shared" si="12"/>
        <v>-115461</v>
      </c>
      <c r="R19" s="44"/>
      <c r="S19" s="39">
        <f t="shared" si="13"/>
        <v>0</v>
      </c>
      <c r="T19" s="53">
        <f t="shared" si="14"/>
        <v>110207</v>
      </c>
      <c r="U19" s="20">
        <f t="shared" si="15"/>
        <v>-110207</v>
      </c>
      <c r="V19" s="44"/>
      <c r="W19" s="39">
        <f t="shared" si="16"/>
        <v>0</v>
      </c>
      <c r="X19" s="53">
        <f t="shared" si="17"/>
        <v>102187</v>
      </c>
      <c r="Y19" s="20">
        <f t="shared" si="18"/>
        <v>-102187</v>
      </c>
      <c r="Z19" s="44"/>
      <c r="AA19" s="39">
        <f t="shared" si="19"/>
        <v>0</v>
      </c>
      <c r="AB19" s="53">
        <f t="shared" si="20"/>
        <v>101658</v>
      </c>
      <c r="AC19" s="20">
        <f t="shared" si="21"/>
        <v>-101658</v>
      </c>
      <c r="AD19" s="44"/>
      <c r="AE19" s="39">
        <f t="shared" si="22"/>
        <v>0</v>
      </c>
      <c r="AF19" s="53">
        <f t="shared" si="23"/>
        <v>247883</v>
      </c>
      <c r="AG19" s="20">
        <f t="shared" si="24"/>
        <v>-247883</v>
      </c>
      <c r="AH19" s="44"/>
      <c r="AI19" s="39">
        <f t="shared" si="25"/>
        <v>0</v>
      </c>
      <c r="AJ19" s="53">
        <f t="shared" si="26"/>
        <v>101940</v>
      </c>
      <c r="AK19" s="20">
        <f t="shared" si="27"/>
        <v>-101940</v>
      </c>
      <c r="AL19" s="44"/>
      <c r="AM19" s="39">
        <f t="shared" si="28"/>
        <v>0</v>
      </c>
      <c r="AN19" s="53">
        <f t="shared" si="29"/>
        <v>116216</v>
      </c>
      <c r="AO19" s="20">
        <f t="shared" si="30"/>
        <v>-116216</v>
      </c>
      <c r="AP19" s="44"/>
      <c r="AQ19" s="39">
        <f t="shared" si="31"/>
        <v>0</v>
      </c>
      <c r="AR19" s="53">
        <f t="shared" si="32"/>
        <v>98333</v>
      </c>
      <c r="AS19" s="20">
        <f t="shared" si="33"/>
        <v>-98333</v>
      </c>
      <c r="AT19" s="44"/>
      <c r="AU19" s="39">
        <f t="shared" si="34"/>
        <v>0</v>
      </c>
      <c r="AV19" s="53">
        <f t="shared" si="35"/>
        <v>140455</v>
      </c>
      <c r="AW19" s="20">
        <f t="shared" si="36"/>
        <v>-140455</v>
      </c>
      <c r="AX19" s="44"/>
      <c r="AY19" s="39">
        <f t="shared" si="37"/>
        <v>0</v>
      </c>
      <c r="AZ19" s="53">
        <f t="shared" si="38"/>
        <v>172364</v>
      </c>
      <c r="BA19" s="20">
        <f t="shared" si="39"/>
        <v>-172364</v>
      </c>
    </row>
    <row r="20">
      <c r="A20" s="52" t="s">
        <v>122</v>
      </c>
      <c r="B20" s="44"/>
      <c r="C20" s="39">
        <f t="shared" si="1"/>
        <v>0</v>
      </c>
      <c r="D20" s="53">
        <f t="shared" si="2"/>
        <v>105085</v>
      </c>
      <c r="E20" s="20">
        <f t="shared" si="3"/>
        <v>-105085</v>
      </c>
      <c r="F20" s="44"/>
      <c r="G20" s="39">
        <f t="shared" si="4"/>
        <v>0</v>
      </c>
      <c r="H20" s="53">
        <f t="shared" si="5"/>
        <v>117299</v>
      </c>
      <c r="I20" s="20">
        <f t="shared" si="6"/>
        <v>-117299</v>
      </c>
      <c r="J20" s="46"/>
      <c r="K20" s="39">
        <f t="shared" si="7"/>
        <v>0</v>
      </c>
      <c r="L20" s="53">
        <f t="shared" si="8"/>
        <v>110771</v>
      </c>
      <c r="M20" s="20">
        <f t="shared" si="9"/>
        <v>-110771</v>
      </c>
      <c r="N20" s="44"/>
      <c r="O20" s="39">
        <f t="shared" si="10"/>
        <v>0</v>
      </c>
      <c r="P20" s="53">
        <f t="shared" si="11"/>
        <v>116789</v>
      </c>
      <c r="Q20" s="20">
        <f t="shared" si="12"/>
        <v>-116789</v>
      </c>
      <c r="R20" s="44"/>
      <c r="S20" s="39">
        <f t="shared" si="13"/>
        <v>0</v>
      </c>
      <c r="T20" s="53">
        <f t="shared" si="14"/>
        <v>111535</v>
      </c>
      <c r="U20" s="20">
        <f t="shared" si="15"/>
        <v>-111535</v>
      </c>
      <c r="V20" s="44"/>
      <c r="W20" s="39">
        <f t="shared" si="16"/>
        <v>0</v>
      </c>
      <c r="X20" s="53">
        <f t="shared" si="17"/>
        <v>103515</v>
      </c>
      <c r="Y20" s="20">
        <f t="shared" si="18"/>
        <v>-103515</v>
      </c>
      <c r="Z20" s="44"/>
      <c r="AA20" s="39">
        <f t="shared" si="19"/>
        <v>0</v>
      </c>
      <c r="AB20" s="53">
        <f t="shared" si="20"/>
        <v>102986</v>
      </c>
      <c r="AC20" s="20">
        <f t="shared" si="21"/>
        <v>-102986</v>
      </c>
      <c r="AD20" s="44"/>
      <c r="AE20" s="39">
        <f t="shared" si="22"/>
        <v>0</v>
      </c>
      <c r="AF20" s="53">
        <f t="shared" si="23"/>
        <v>249211</v>
      </c>
      <c r="AG20" s="20">
        <f t="shared" si="24"/>
        <v>-249211</v>
      </c>
      <c r="AH20" s="44"/>
      <c r="AI20" s="39">
        <f t="shared" si="25"/>
        <v>0</v>
      </c>
      <c r="AJ20" s="53">
        <f t="shared" si="26"/>
        <v>103268</v>
      </c>
      <c r="AK20" s="20">
        <f t="shared" si="27"/>
        <v>-103268</v>
      </c>
      <c r="AL20" s="44"/>
      <c r="AM20" s="39">
        <f t="shared" si="28"/>
        <v>0</v>
      </c>
      <c r="AN20" s="53">
        <f t="shared" si="29"/>
        <v>117544</v>
      </c>
      <c r="AO20" s="20">
        <f t="shared" si="30"/>
        <v>-117544</v>
      </c>
      <c r="AP20" s="44"/>
      <c r="AQ20" s="39">
        <f t="shared" si="31"/>
        <v>0</v>
      </c>
      <c r="AR20" s="53">
        <f t="shared" si="32"/>
        <v>99661</v>
      </c>
      <c r="AS20" s="20">
        <f t="shared" si="33"/>
        <v>-99661</v>
      </c>
      <c r="AT20" s="44"/>
      <c r="AU20" s="39">
        <f t="shared" si="34"/>
        <v>0</v>
      </c>
      <c r="AV20" s="53">
        <f t="shared" si="35"/>
        <v>141783</v>
      </c>
      <c r="AW20" s="20">
        <f t="shared" si="36"/>
        <v>-141783</v>
      </c>
      <c r="AX20" s="44"/>
      <c r="AY20" s="39">
        <f t="shared" si="37"/>
        <v>0</v>
      </c>
      <c r="AZ20" s="53">
        <f t="shared" si="38"/>
        <v>173692</v>
      </c>
      <c r="BA20" s="20">
        <f t="shared" si="39"/>
        <v>-173692</v>
      </c>
    </row>
    <row r="21" ht="15.75" customHeight="1">
      <c r="A21" s="47"/>
      <c r="B21" s="54" t="s">
        <v>84</v>
      </c>
      <c r="C21" s="50" t="s">
        <v>123</v>
      </c>
      <c r="D21" s="55"/>
      <c r="E21" s="56"/>
      <c r="F21" s="54" t="s">
        <v>84</v>
      </c>
      <c r="G21" s="50" t="s">
        <v>123</v>
      </c>
      <c r="H21" s="55"/>
      <c r="I21" s="56"/>
      <c r="J21" s="54" t="s">
        <v>84</v>
      </c>
      <c r="K21" s="50" t="s">
        <v>123</v>
      </c>
      <c r="L21" s="55"/>
      <c r="M21" s="56"/>
      <c r="N21" s="54" t="s">
        <v>84</v>
      </c>
      <c r="O21" s="50" t="s">
        <v>123</v>
      </c>
      <c r="P21" s="55"/>
      <c r="Q21" s="56"/>
      <c r="R21" s="54" t="s">
        <v>84</v>
      </c>
      <c r="S21" s="50" t="s">
        <v>123</v>
      </c>
      <c r="T21" s="55"/>
      <c r="U21" s="56"/>
      <c r="V21" s="54" t="s">
        <v>84</v>
      </c>
      <c r="W21" s="50" t="s">
        <v>123</v>
      </c>
      <c r="X21" s="55"/>
      <c r="Y21" s="56"/>
      <c r="Z21" s="54" t="s">
        <v>84</v>
      </c>
      <c r="AA21" s="50" t="s">
        <v>123</v>
      </c>
      <c r="AB21" s="55"/>
      <c r="AC21" s="56"/>
      <c r="AD21" s="54" t="s">
        <v>84</v>
      </c>
      <c r="AE21" s="50" t="s">
        <v>123</v>
      </c>
      <c r="AF21" s="55"/>
      <c r="AG21" s="56"/>
      <c r="AH21" s="54" t="s">
        <v>84</v>
      </c>
      <c r="AI21" s="50" t="s">
        <v>123</v>
      </c>
      <c r="AJ21" s="55"/>
      <c r="AK21" s="56"/>
      <c r="AL21" s="54" t="s">
        <v>84</v>
      </c>
      <c r="AM21" s="50" t="s">
        <v>123</v>
      </c>
      <c r="AN21" s="55"/>
      <c r="AO21" s="56"/>
      <c r="AP21" s="54" t="s">
        <v>84</v>
      </c>
      <c r="AQ21" s="50" t="s">
        <v>123</v>
      </c>
      <c r="AR21" s="55"/>
      <c r="AS21" s="56"/>
      <c r="AT21" s="54" t="s">
        <v>84</v>
      </c>
      <c r="AU21" s="50" t="s">
        <v>123</v>
      </c>
      <c r="AV21" s="55"/>
      <c r="AW21" s="56"/>
      <c r="AX21" s="54" t="s">
        <v>84</v>
      </c>
      <c r="AY21" s="50" t="s">
        <v>123</v>
      </c>
      <c r="AZ21" s="55"/>
      <c r="BA21" s="56"/>
    </row>
    <row r="22" ht="15.75" customHeight="1">
      <c r="A22" s="52" t="s">
        <v>107</v>
      </c>
      <c r="B22" s="44"/>
      <c r="C22" s="39">
        <f t="shared" ref="C22:C37" si="40">B22*0.92</f>
        <v>0</v>
      </c>
      <c r="D22" s="53">
        <f t="shared" ref="D22:D37" si="41">$B$2+$B$3+G40</f>
        <v>63276</v>
      </c>
      <c r="E22" s="20">
        <f t="shared" ref="E22:E37" si="42">C22-D22</f>
        <v>-63276</v>
      </c>
      <c r="F22" s="44"/>
      <c r="G22" s="39">
        <f t="shared" ref="G22:G37" si="43">F22*0.92</f>
        <v>0</v>
      </c>
      <c r="H22" s="53">
        <f t="shared" ref="H22:H37" si="44">$F$2+$F$3+G40</f>
        <v>75490</v>
      </c>
      <c r="I22" s="20">
        <f t="shared" ref="I22:I37" si="45">G22-H22</f>
        <v>-75490</v>
      </c>
      <c r="J22" s="44"/>
      <c r="K22" s="39">
        <f t="shared" ref="K22:K37" si="46">J22*0.92</f>
        <v>0</v>
      </c>
      <c r="L22" s="53">
        <f t="shared" ref="L22:L37" si="47">$J$2+$J$3+G40</f>
        <v>68962</v>
      </c>
      <c r="M22" s="20">
        <f t="shared" ref="M22:M37" si="48">K22-L22</f>
        <v>-68962</v>
      </c>
      <c r="N22" s="44"/>
      <c r="O22" s="39">
        <f t="shared" ref="O22:O37" si="49">N22*0.92</f>
        <v>0</v>
      </c>
      <c r="P22" s="53">
        <f t="shared" ref="P22:P37" si="50">$N$2+$N$3+G40</f>
        <v>74980</v>
      </c>
      <c r="Q22" s="20">
        <f t="shared" ref="Q22:Q37" si="51">O22-P22</f>
        <v>-74980</v>
      </c>
      <c r="R22" s="44"/>
      <c r="S22" s="39">
        <f t="shared" ref="S22:S37" si="52">R22*0.92</f>
        <v>0</v>
      </c>
      <c r="T22" s="53">
        <f t="shared" ref="T22:T37" si="53">$R$2+$R$3+G40</f>
        <v>69726</v>
      </c>
      <c r="U22" s="20">
        <f t="shared" ref="U22:U37" si="54">S22-T22</f>
        <v>-69726</v>
      </c>
      <c r="V22" s="44"/>
      <c r="W22" s="39">
        <f t="shared" ref="W22:W37" si="55">V22*0.92</f>
        <v>0</v>
      </c>
      <c r="X22" s="53">
        <f t="shared" ref="X22:X37" si="56">$V$2+$V$3+G40</f>
        <v>61706</v>
      </c>
      <c r="Y22" s="20">
        <f t="shared" ref="Y22:Y37" si="57">W22-X22</f>
        <v>-61706</v>
      </c>
      <c r="Z22" s="44"/>
      <c r="AA22" s="39">
        <f t="shared" ref="AA22:AA37" si="58">Z22*0.92</f>
        <v>0</v>
      </c>
      <c r="AB22" s="53">
        <f t="shared" ref="AB22:AB37" si="59">$Z$2+$Z$3+G40</f>
        <v>61177</v>
      </c>
      <c r="AC22" s="20">
        <f t="shared" ref="AC22:AC37" si="60">AA22-AB22</f>
        <v>-61177</v>
      </c>
      <c r="AD22" s="44"/>
      <c r="AE22" s="39">
        <f t="shared" ref="AE22:AE37" si="61">AD22*0.92</f>
        <v>0</v>
      </c>
      <c r="AF22" s="53">
        <f t="shared" ref="AF22:AF37" si="62">$AD$2+$AD$3+G40</f>
        <v>207402</v>
      </c>
      <c r="AG22" s="20">
        <f t="shared" ref="AG22:AG37" si="63">AE22-AF22</f>
        <v>-207402</v>
      </c>
      <c r="AH22" s="44"/>
      <c r="AI22" s="39">
        <f t="shared" ref="AI22:AI37" si="64">AH22*0.92</f>
        <v>0</v>
      </c>
      <c r="AJ22" s="53">
        <f t="shared" ref="AJ22:AJ37" si="65">$AH$2+$AH$3+G40</f>
        <v>61459</v>
      </c>
      <c r="AK22" s="20">
        <f t="shared" ref="AK22:AK37" si="66">AI22-AJ22</f>
        <v>-61459</v>
      </c>
      <c r="AL22" s="44">
        <v>61301.0</v>
      </c>
      <c r="AM22" s="39">
        <f t="shared" ref="AM22:AM37" si="67">AL22*0.92</f>
        <v>56396.92</v>
      </c>
      <c r="AN22" s="53">
        <f t="shared" ref="AN22:AN37" si="68">$AL$2+$AL$3+G40</f>
        <v>75735</v>
      </c>
      <c r="AO22" s="20">
        <f t="shared" ref="AO22:AO37" si="69">AM22-AN22</f>
        <v>-19338.08</v>
      </c>
      <c r="AP22" s="44"/>
      <c r="AQ22" s="39">
        <f t="shared" ref="AQ22:AQ37" si="70">AP22*0.92</f>
        <v>0</v>
      </c>
      <c r="AR22" s="53">
        <f t="shared" ref="AR22:AR37" si="71">$AP$2+$AP$3+G40</f>
        <v>57852</v>
      </c>
      <c r="AS22" s="20">
        <f t="shared" ref="AS22:AS37" si="72">AQ22-AR22</f>
        <v>-57852</v>
      </c>
      <c r="AT22" s="44"/>
      <c r="AU22" s="39">
        <f t="shared" ref="AU22:AU37" si="73">AT22*0.895</f>
        <v>0</v>
      </c>
      <c r="AV22" s="53">
        <f t="shared" ref="AV22:AV37" si="74">$AT$2+$AT$3+G40</f>
        <v>99974</v>
      </c>
      <c r="AW22" s="20">
        <f t="shared" ref="AW22:AW37" si="75">AU22-AV22</f>
        <v>-99974</v>
      </c>
      <c r="AX22" s="44"/>
      <c r="AY22" s="39">
        <f t="shared" ref="AY22:AY37" si="76">AX22*0.895</f>
        <v>0</v>
      </c>
      <c r="AZ22" s="53">
        <f t="shared" ref="AZ22:AZ37" si="77">$AX$2+$AX$3+G40</f>
        <v>131883</v>
      </c>
      <c r="BA22" s="20">
        <f t="shared" ref="BA22:BA37" si="78">AY22-AZ22</f>
        <v>-131883</v>
      </c>
    </row>
    <row r="23" ht="15.75" customHeight="1">
      <c r="A23" s="52" t="s">
        <v>108</v>
      </c>
      <c r="B23" s="44"/>
      <c r="C23" s="39">
        <f t="shared" si="40"/>
        <v>0</v>
      </c>
      <c r="D23" s="53">
        <f t="shared" si="41"/>
        <v>63276</v>
      </c>
      <c r="E23" s="20">
        <f t="shared" si="42"/>
        <v>-63276</v>
      </c>
      <c r="F23" s="44"/>
      <c r="G23" s="39">
        <f t="shared" si="43"/>
        <v>0</v>
      </c>
      <c r="H23" s="53">
        <f t="shared" si="44"/>
        <v>75490</v>
      </c>
      <c r="I23" s="20">
        <f t="shared" si="45"/>
        <v>-75490</v>
      </c>
      <c r="J23" s="44"/>
      <c r="K23" s="39">
        <f t="shared" si="46"/>
        <v>0</v>
      </c>
      <c r="L23" s="53">
        <f t="shared" si="47"/>
        <v>68962</v>
      </c>
      <c r="M23" s="20">
        <f t="shared" si="48"/>
        <v>-68962</v>
      </c>
      <c r="N23" s="44"/>
      <c r="O23" s="39">
        <f t="shared" si="49"/>
        <v>0</v>
      </c>
      <c r="P23" s="53">
        <f t="shared" si="50"/>
        <v>74980</v>
      </c>
      <c r="Q23" s="20">
        <f t="shared" si="51"/>
        <v>-74980</v>
      </c>
      <c r="R23" s="44"/>
      <c r="S23" s="39">
        <f t="shared" si="52"/>
        <v>0</v>
      </c>
      <c r="T23" s="53">
        <f t="shared" si="53"/>
        <v>69726</v>
      </c>
      <c r="U23" s="20">
        <f t="shared" si="54"/>
        <v>-69726</v>
      </c>
      <c r="V23" s="44"/>
      <c r="W23" s="39">
        <f t="shared" si="55"/>
        <v>0</v>
      </c>
      <c r="X23" s="53">
        <f t="shared" si="56"/>
        <v>61706</v>
      </c>
      <c r="Y23" s="20">
        <f t="shared" si="57"/>
        <v>-61706</v>
      </c>
      <c r="Z23" s="44"/>
      <c r="AA23" s="39">
        <f t="shared" si="58"/>
        <v>0</v>
      </c>
      <c r="AB23" s="53">
        <f t="shared" si="59"/>
        <v>61177</v>
      </c>
      <c r="AC23" s="20">
        <f t="shared" si="60"/>
        <v>-61177</v>
      </c>
      <c r="AD23" s="44"/>
      <c r="AE23" s="39">
        <f t="shared" si="61"/>
        <v>0</v>
      </c>
      <c r="AF23" s="53">
        <f t="shared" si="62"/>
        <v>207402</v>
      </c>
      <c r="AG23" s="20">
        <f t="shared" si="63"/>
        <v>-207402</v>
      </c>
      <c r="AH23" s="44"/>
      <c r="AI23" s="39">
        <f t="shared" si="64"/>
        <v>0</v>
      </c>
      <c r="AJ23" s="53">
        <f t="shared" si="65"/>
        <v>61459</v>
      </c>
      <c r="AK23" s="20">
        <f t="shared" si="66"/>
        <v>-61459</v>
      </c>
      <c r="AL23" s="44">
        <v>61400.0</v>
      </c>
      <c r="AM23" s="39">
        <f t="shared" si="67"/>
        <v>56488</v>
      </c>
      <c r="AN23" s="53">
        <f t="shared" si="68"/>
        <v>75735</v>
      </c>
      <c r="AO23" s="20">
        <f t="shared" si="69"/>
        <v>-19247</v>
      </c>
      <c r="AP23" s="44"/>
      <c r="AQ23" s="39">
        <f t="shared" si="70"/>
        <v>0</v>
      </c>
      <c r="AR23" s="53">
        <f t="shared" si="71"/>
        <v>57852</v>
      </c>
      <c r="AS23" s="20">
        <f t="shared" si="72"/>
        <v>-57852</v>
      </c>
      <c r="AT23" s="44"/>
      <c r="AU23" s="39">
        <f t="shared" si="73"/>
        <v>0</v>
      </c>
      <c r="AV23" s="53">
        <f t="shared" si="74"/>
        <v>99974</v>
      </c>
      <c r="AW23" s="20">
        <f t="shared" si="75"/>
        <v>-99974</v>
      </c>
      <c r="AX23" s="44"/>
      <c r="AY23" s="39">
        <f t="shared" si="76"/>
        <v>0</v>
      </c>
      <c r="AZ23" s="53">
        <f t="shared" si="77"/>
        <v>131883</v>
      </c>
      <c r="BA23" s="20">
        <f t="shared" si="78"/>
        <v>-131883</v>
      </c>
    </row>
    <row r="24" ht="15.75" customHeight="1">
      <c r="A24" s="52" t="s">
        <v>109</v>
      </c>
      <c r="B24" s="44"/>
      <c r="C24" s="39">
        <f t="shared" si="40"/>
        <v>0</v>
      </c>
      <c r="D24" s="53">
        <f t="shared" si="41"/>
        <v>63341</v>
      </c>
      <c r="E24" s="20">
        <f t="shared" si="42"/>
        <v>-63341</v>
      </c>
      <c r="F24" s="44"/>
      <c r="G24" s="39">
        <f t="shared" si="43"/>
        <v>0</v>
      </c>
      <c r="H24" s="53">
        <f t="shared" si="44"/>
        <v>75555</v>
      </c>
      <c r="I24" s="20">
        <f t="shared" si="45"/>
        <v>-75555</v>
      </c>
      <c r="J24" s="44"/>
      <c r="K24" s="39">
        <f t="shared" si="46"/>
        <v>0</v>
      </c>
      <c r="L24" s="53">
        <f t="shared" si="47"/>
        <v>69027</v>
      </c>
      <c r="M24" s="20">
        <f t="shared" si="48"/>
        <v>-69027</v>
      </c>
      <c r="N24" s="44"/>
      <c r="O24" s="39">
        <f t="shared" si="49"/>
        <v>0</v>
      </c>
      <c r="P24" s="53">
        <f t="shared" si="50"/>
        <v>75045</v>
      </c>
      <c r="Q24" s="20">
        <f t="shared" si="51"/>
        <v>-75045</v>
      </c>
      <c r="R24" s="44"/>
      <c r="S24" s="39">
        <f t="shared" si="52"/>
        <v>0</v>
      </c>
      <c r="T24" s="53">
        <f t="shared" si="53"/>
        <v>69791</v>
      </c>
      <c r="U24" s="20">
        <f t="shared" si="54"/>
        <v>-69791</v>
      </c>
      <c r="V24" s="44"/>
      <c r="W24" s="39">
        <f t="shared" si="55"/>
        <v>0</v>
      </c>
      <c r="X24" s="53">
        <f t="shared" si="56"/>
        <v>61771</v>
      </c>
      <c r="Y24" s="20">
        <f t="shared" si="57"/>
        <v>-61771</v>
      </c>
      <c r="Z24" s="44"/>
      <c r="AA24" s="39">
        <f t="shared" si="58"/>
        <v>0</v>
      </c>
      <c r="AB24" s="53">
        <f t="shared" si="59"/>
        <v>61242</v>
      </c>
      <c r="AC24" s="20">
        <f t="shared" si="60"/>
        <v>-61242</v>
      </c>
      <c r="AD24" s="44"/>
      <c r="AE24" s="39">
        <f t="shared" si="61"/>
        <v>0</v>
      </c>
      <c r="AF24" s="53">
        <f t="shared" si="62"/>
        <v>207467</v>
      </c>
      <c r="AG24" s="20">
        <f t="shared" si="63"/>
        <v>-207467</v>
      </c>
      <c r="AH24" s="44"/>
      <c r="AI24" s="39">
        <f t="shared" si="64"/>
        <v>0</v>
      </c>
      <c r="AJ24" s="53">
        <f t="shared" si="65"/>
        <v>61524</v>
      </c>
      <c r="AK24" s="20">
        <f t="shared" si="66"/>
        <v>-61524</v>
      </c>
      <c r="AL24" s="44">
        <v>61401.0</v>
      </c>
      <c r="AM24" s="39">
        <f t="shared" si="67"/>
        <v>56488.92</v>
      </c>
      <c r="AN24" s="53">
        <f t="shared" si="68"/>
        <v>75800</v>
      </c>
      <c r="AO24" s="20">
        <f t="shared" si="69"/>
        <v>-19311.08</v>
      </c>
      <c r="AP24" s="44"/>
      <c r="AQ24" s="39">
        <f t="shared" si="70"/>
        <v>0</v>
      </c>
      <c r="AR24" s="53">
        <f t="shared" si="71"/>
        <v>57917</v>
      </c>
      <c r="AS24" s="20">
        <f t="shared" si="72"/>
        <v>-57917</v>
      </c>
      <c r="AT24" s="44"/>
      <c r="AU24" s="39">
        <f t="shared" si="73"/>
        <v>0</v>
      </c>
      <c r="AV24" s="53">
        <f t="shared" si="74"/>
        <v>100039</v>
      </c>
      <c r="AW24" s="20">
        <f t="shared" si="75"/>
        <v>-100039</v>
      </c>
      <c r="AX24" s="44"/>
      <c r="AY24" s="39">
        <f t="shared" si="76"/>
        <v>0</v>
      </c>
      <c r="AZ24" s="53">
        <f t="shared" si="77"/>
        <v>131948</v>
      </c>
      <c r="BA24" s="20">
        <f t="shared" si="78"/>
        <v>-131948</v>
      </c>
    </row>
    <row r="25" ht="15.75" customHeight="1">
      <c r="A25" s="52" t="s">
        <v>110</v>
      </c>
      <c r="B25" s="44"/>
      <c r="C25" s="39">
        <f t="shared" si="40"/>
        <v>0</v>
      </c>
      <c r="D25" s="53">
        <f t="shared" si="41"/>
        <v>65286</v>
      </c>
      <c r="E25" s="20">
        <f t="shared" si="42"/>
        <v>-65286</v>
      </c>
      <c r="F25" s="44"/>
      <c r="G25" s="39">
        <f t="shared" si="43"/>
        <v>0</v>
      </c>
      <c r="H25" s="53">
        <f t="shared" si="44"/>
        <v>77500</v>
      </c>
      <c r="I25" s="20">
        <f t="shared" si="45"/>
        <v>-77500</v>
      </c>
      <c r="J25" s="44"/>
      <c r="K25" s="39">
        <f t="shared" si="46"/>
        <v>0</v>
      </c>
      <c r="L25" s="53">
        <f t="shared" si="47"/>
        <v>70972</v>
      </c>
      <c r="M25" s="20">
        <f t="shared" si="48"/>
        <v>-70972</v>
      </c>
      <c r="N25" s="44"/>
      <c r="O25" s="39">
        <f t="shared" si="49"/>
        <v>0</v>
      </c>
      <c r="P25" s="53">
        <f t="shared" si="50"/>
        <v>76990</v>
      </c>
      <c r="Q25" s="20">
        <f t="shared" si="51"/>
        <v>-76990</v>
      </c>
      <c r="R25" s="44"/>
      <c r="S25" s="39">
        <f t="shared" si="52"/>
        <v>0</v>
      </c>
      <c r="T25" s="53">
        <f t="shared" si="53"/>
        <v>71736</v>
      </c>
      <c r="U25" s="20">
        <f t="shared" si="54"/>
        <v>-71736</v>
      </c>
      <c r="V25" s="44"/>
      <c r="W25" s="39">
        <f t="shared" si="55"/>
        <v>0</v>
      </c>
      <c r="X25" s="53">
        <f t="shared" si="56"/>
        <v>63716</v>
      </c>
      <c r="Y25" s="20">
        <f t="shared" si="57"/>
        <v>-63716</v>
      </c>
      <c r="Z25" s="44"/>
      <c r="AA25" s="39">
        <f t="shared" si="58"/>
        <v>0</v>
      </c>
      <c r="AB25" s="53">
        <f t="shared" si="59"/>
        <v>63187</v>
      </c>
      <c r="AC25" s="20">
        <f t="shared" si="60"/>
        <v>-63187</v>
      </c>
      <c r="AD25" s="44"/>
      <c r="AE25" s="39">
        <f t="shared" si="61"/>
        <v>0</v>
      </c>
      <c r="AF25" s="53">
        <f t="shared" si="62"/>
        <v>209412</v>
      </c>
      <c r="AG25" s="20">
        <f t="shared" si="63"/>
        <v>-209412</v>
      </c>
      <c r="AH25" s="44"/>
      <c r="AI25" s="39">
        <f t="shared" si="64"/>
        <v>0</v>
      </c>
      <c r="AJ25" s="53">
        <f t="shared" si="65"/>
        <v>63469</v>
      </c>
      <c r="AK25" s="20">
        <f t="shared" si="66"/>
        <v>-63469</v>
      </c>
      <c r="AL25" s="44">
        <v>61301.0</v>
      </c>
      <c r="AM25" s="39">
        <f t="shared" si="67"/>
        <v>56396.92</v>
      </c>
      <c r="AN25" s="53">
        <f t="shared" si="68"/>
        <v>77745</v>
      </c>
      <c r="AO25" s="20">
        <f t="shared" si="69"/>
        <v>-21348.08</v>
      </c>
      <c r="AP25" s="44"/>
      <c r="AQ25" s="39">
        <f t="shared" si="70"/>
        <v>0</v>
      </c>
      <c r="AR25" s="53">
        <f t="shared" si="71"/>
        <v>59862</v>
      </c>
      <c r="AS25" s="20">
        <f t="shared" si="72"/>
        <v>-59862</v>
      </c>
      <c r="AT25" s="44"/>
      <c r="AU25" s="39">
        <f t="shared" si="73"/>
        <v>0</v>
      </c>
      <c r="AV25" s="53">
        <f t="shared" si="74"/>
        <v>101984</v>
      </c>
      <c r="AW25" s="20">
        <f t="shared" si="75"/>
        <v>-101984</v>
      </c>
      <c r="AX25" s="44"/>
      <c r="AY25" s="39">
        <f t="shared" si="76"/>
        <v>0</v>
      </c>
      <c r="AZ25" s="53">
        <f t="shared" si="77"/>
        <v>133893</v>
      </c>
      <c r="BA25" s="20">
        <f t="shared" si="78"/>
        <v>-133893</v>
      </c>
    </row>
    <row r="26" ht="15.75" customHeight="1">
      <c r="A26" s="52" t="s">
        <v>111</v>
      </c>
      <c r="B26" s="44"/>
      <c r="C26" s="39">
        <f t="shared" si="40"/>
        <v>0</v>
      </c>
      <c r="D26" s="53">
        <f t="shared" si="41"/>
        <v>64236</v>
      </c>
      <c r="E26" s="20">
        <f t="shared" si="42"/>
        <v>-64236</v>
      </c>
      <c r="F26" s="44"/>
      <c r="G26" s="39">
        <f t="shared" si="43"/>
        <v>0</v>
      </c>
      <c r="H26" s="53">
        <f t="shared" si="44"/>
        <v>76450</v>
      </c>
      <c r="I26" s="20">
        <f t="shared" si="45"/>
        <v>-76450</v>
      </c>
      <c r="J26" s="44"/>
      <c r="K26" s="39">
        <f t="shared" si="46"/>
        <v>0</v>
      </c>
      <c r="L26" s="53">
        <f t="shared" si="47"/>
        <v>69922</v>
      </c>
      <c r="M26" s="20">
        <f t="shared" si="48"/>
        <v>-69922</v>
      </c>
      <c r="N26" s="44"/>
      <c r="O26" s="39">
        <f t="shared" si="49"/>
        <v>0</v>
      </c>
      <c r="P26" s="53">
        <f t="shared" si="50"/>
        <v>75940</v>
      </c>
      <c r="Q26" s="20">
        <f t="shared" si="51"/>
        <v>-75940</v>
      </c>
      <c r="R26" s="44"/>
      <c r="S26" s="39">
        <f t="shared" si="52"/>
        <v>0</v>
      </c>
      <c r="T26" s="53">
        <f t="shared" si="53"/>
        <v>70686</v>
      </c>
      <c r="U26" s="20">
        <f t="shared" si="54"/>
        <v>-70686</v>
      </c>
      <c r="V26" s="44"/>
      <c r="W26" s="39">
        <f t="shared" si="55"/>
        <v>0</v>
      </c>
      <c r="X26" s="53">
        <f t="shared" si="56"/>
        <v>62666</v>
      </c>
      <c r="Y26" s="20">
        <f t="shared" si="57"/>
        <v>-62666</v>
      </c>
      <c r="Z26" s="44"/>
      <c r="AA26" s="39">
        <f t="shared" si="58"/>
        <v>0</v>
      </c>
      <c r="AB26" s="53">
        <f t="shared" si="59"/>
        <v>62137</v>
      </c>
      <c r="AC26" s="20">
        <f t="shared" si="60"/>
        <v>-62137</v>
      </c>
      <c r="AD26" s="44"/>
      <c r="AE26" s="39">
        <f t="shared" si="61"/>
        <v>0</v>
      </c>
      <c r="AF26" s="53">
        <f t="shared" si="62"/>
        <v>208362</v>
      </c>
      <c r="AG26" s="20">
        <f t="shared" si="63"/>
        <v>-208362</v>
      </c>
      <c r="AH26" s="44"/>
      <c r="AI26" s="39">
        <f t="shared" si="64"/>
        <v>0</v>
      </c>
      <c r="AJ26" s="53">
        <f t="shared" si="65"/>
        <v>62419</v>
      </c>
      <c r="AK26" s="20">
        <f t="shared" si="66"/>
        <v>-62419</v>
      </c>
      <c r="AL26" s="44">
        <v>62101.0</v>
      </c>
      <c r="AM26" s="39">
        <f t="shared" si="67"/>
        <v>57132.92</v>
      </c>
      <c r="AN26" s="53">
        <f t="shared" si="68"/>
        <v>76695</v>
      </c>
      <c r="AO26" s="20">
        <f t="shared" si="69"/>
        <v>-19562.08</v>
      </c>
      <c r="AP26" s="44"/>
      <c r="AQ26" s="39">
        <f t="shared" si="70"/>
        <v>0</v>
      </c>
      <c r="AR26" s="53">
        <f t="shared" si="71"/>
        <v>58812</v>
      </c>
      <c r="AS26" s="20">
        <f t="shared" si="72"/>
        <v>-58812</v>
      </c>
      <c r="AT26" s="44"/>
      <c r="AU26" s="39">
        <f t="shared" si="73"/>
        <v>0</v>
      </c>
      <c r="AV26" s="53">
        <f t="shared" si="74"/>
        <v>100934</v>
      </c>
      <c r="AW26" s="20">
        <f t="shared" si="75"/>
        <v>-100934</v>
      </c>
      <c r="AX26" s="44"/>
      <c r="AY26" s="39">
        <f t="shared" si="76"/>
        <v>0</v>
      </c>
      <c r="AZ26" s="53">
        <f t="shared" si="77"/>
        <v>132843</v>
      </c>
      <c r="BA26" s="20">
        <f t="shared" si="78"/>
        <v>-132843</v>
      </c>
    </row>
    <row r="27" ht="15.75" customHeight="1">
      <c r="A27" s="52" t="s">
        <v>112</v>
      </c>
      <c r="B27" s="44"/>
      <c r="C27" s="39">
        <f t="shared" si="40"/>
        <v>0</v>
      </c>
      <c r="D27" s="53">
        <f t="shared" si="41"/>
        <v>64236</v>
      </c>
      <c r="E27" s="20">
        <f t="shared" si="42"/>
        <v>-64236</v>
      </c>
      <c r="F27" s="44"/>
      <c r="G27" s="39">
        <f t="shared" si="43"/>
        <v>0</v>
      </c>
      <c r="H27" s="53">
        <f t="shared" si="44"/>
        <v>76450</v>
      </c>
      <c r="I27" s="20">
        <f t="shared" si="45"/>
        <v>-76450</v>
      </c>
      <c r="J27" s="44"/>
      <c r="K27" s="39">
        <f t="shared" si="46"/>
        <v>0</v>
      </c>
      <c r="L27" s="53">
        <f t="shared" si="47"/>
        <v>69922</v>
      </c>
      <c r="M27" s="20">
        <f t="shared" si="48"/>
        <v>-69922</v>
      </c>
      <c r="N27" s="44"/>
      <c r="O27" s="39">
        <f t="shared" si="49"/>
        <v>0</v>
      </c>
      <c r="P27" s="53">
        <f t="shared" si="50"/>
        <v>75940</v>
      </c>
      <c r="Q27" s="20">
        <f t="shared" si="51"/>
        <v>-75940</v>
      </c>
      <c r="R27" s="44"/>
      <c r="S27" s="39">
        <f t="shared" si="52"/>
        <v>0</v>
      </c>
      <c r="T27" s="53">
        <f t="shared" si="53"/>
        <v>70686</v>
      </c>
      <c r="U27" s="20">
        <f t="shared" si="54"/>
        <v>-70686</v>
      </c>
      <c r="V27" s="44"/>
      <c r="W27" s="39">
        <f t="shared" si="55"/>
        <v>0</v>
      </c>
      <c r="X27" s="53">
        <f t="shared" si="56"/>
        <v>62666</v>
      </c>
      <c r="Y27" s="20">
        <f t="shared" si="57"/>
        <v>-62666</v>
      </c>
      <c r="Z27" s="44"/>
      <c r="AA27" s="39">
        <f t="shared" si="58"/>
        <v>0</v>
      </c>
      <c r="AB27" s="53">
        <f t="shared" si="59"/>
        <v>62137</v>
      </c>
      <c r="AC27" s="20">
        <f t="shared" si="60"/>
        <v>-62137</v>
      </c>
      <c r="AD27" s="44"/>
      <c r="AE27" s="39">
        <f t="shared" si="61"/>
        <v>0</v>
      </c>
      <c r="AF27" s="53">
        <f t="shared" si="62"/>
        <v>208362</v>
      </c>
      <c r="AG27" s="20">
        <f t="shared" si="63"/>
        <v>-208362</v>
      </c>
      <c r="AH27" s="44"/>
      <c r="AI27" s="39">
        <f t="shared" si="64"/>
        <v>0</v>
      </c>
      <c r="AJ27" s="53">
        <f t="shared" si="65"/>
        <v>62419</v>
      </c>
      <c r="AK27" s="20">
        <f t="shared" si="66"/>
        <v>-62419</v>
      </c>
      <c r="AL27" s="44">
        <v>62200.0</v>
      </c>
      <c r="AM27" s="39">
        <f t="shared" si="67"/>
        <v>57224</v>
      </c>
      <c r="AN27" s="53">
        <f t="shared" si="68"/>
        <v>76695</v>
      </c>
      <c r="AO27" s="20">
        <f t="shared" si="69"/>
        <v>-19471</v>
      </c>
      <c r="AP27" s="44"/>
      <c r="AQ27" s="39">
        <f t="shared" si="70"/>
        <v>0</v>
      </c>
      <c r="AR27" s="53">
        <f t="shared" si="71"/>
        <v>58812</v>
      </c>
      <c r="AS27" s="20">
        <f t="shared" si="72"/>
        <v>-58812</v>
      </c>
      <c r="AT27" s="44"/>
      <c r="AU27" s="39">
        <f t="shared" si="73"/>
        <v>0</v>
      </c>
      <c r="AV27" s="53">
        <f t="shared" si="74"/>
        <v>100934</v>
      </c>
      <c r="AW27" s="20">
        <f t="shared" si="75"/>
        <v>-100934</v>
      </c>
      <c r="AX27" s="44"/>
      <c r="AY27" s="39">
        <f t="shared" si="76"/>
        <v>0</v>
      </c>
      <c r="AZ27" s="53">
        <f t="shared" si="77"/>
        <v>132843</v>
      </c>
      <c r="BA27" s="20">
        <f t="shared" si="78"/>
        <v>-132843</v>
      </c>
    </row>
    <row r="28" ht="15.75" customHeight="1">
      <c r="A28" s="52" t="s">
        <v>113</v>
      </c>
      <c r="B28" s="44"/>
      <c r="C28" s="39">
        <f t="shared" si="40"/>
        <v>0</v>
      </c>
      <c r="D28" s="53">
        <f t="shared" si="41"/>
        <v>64301</v>
      </c>
      <c r="E28" s="20">
        <f t="shared" si="42"/>
        <v>-64301</v>
      </c>
      <c r="F28" s="44"/>
      <c r="G28" s="39">
        <f t="shared" si="43"/>
        <v>0</v>
      </c>
      <c r="H28" s="53">
        <f t="shared" si="44"/>
        <v>76515</v>
      </c>
      <c r="I28" s="20">
        <f t="shared" si="45"/>
        <v>-76515</v>
      </c>
      <c r="J28" s="44"/>
      <c r="K28" s="39">
        <f t="shared" si="46"/>
        <v>0</v>
      </c>
      <c r="L28" s="53">
        <f t="shared" si="47"/>
        <v>69987</v>
      </c>
      <c r="M28" s="20">
        <f t="shared" si="48"/>
        <v>-69987</v>
      </c>
      <c r="N28" s="44"/>
      <c r="O28" s="39">
        <f t="shared" si="49"/>
        <v>0</v>
      </c>
      <c r="P28" s="53">
        <f t="shared" si="50"/>
        <v>76005</v>
      </c>
      <c r="Q28" s="20">
        <f t="shared" si="51"/>
        <v>-76005</v>
      </c>
      <c r="R28" s="44"/>
      <c r="S28" s="39">
        <f t="shared" si="52"/>
        <v>0</v>
      </c>
      <c r="T28" s="53">
        <f t="shared" si="53"/>
        <v>70751</v>
      </c>
      <c r="U28" s="20">
        <f t="shared" si="54"/>
        <v>-70751</v>
      </c>
      <c r="V28" s="44"/>
      <c r="W28" s="39">
        <f t="shared" si="55"/>
        <v>0</v>
      </c>
      <c r="X28" s="53">
        <f t="shared" si="56"/>
        <v>62731</v>
      </c>
      <c r="Y28" s="20">
        <f t="shared" si="57"/>
        <v>-62731</v>
      </c>
      <c r="Z28" s="44"/>
      <c r="AA28" s="39">
        <f t="shared" si="58"/>
        <v>0</v>
      </c>
      <c r="AB28" s="53">
        <f t="shared" si="59"/>
        <v>62202</v>
      </c>
      <c r="AC28" s="20">
        <f t="shared" si="60"/>
        <v>-62202</v>
      </c>
      <c r="AD28" s="44"/>
      <c r="AE28" s="39">
        <f t="shared" si="61"/>
        <v>0</v>
      </c>
      <c r="AF28" s="53">
        <f t="shared" si="62"/>
        <v>208427</v>
      </c>
      <c r="AG28" s="20">
        <f t="shared" si="63"/>
        <v>-208427</v>
      </c>
      <c r="AH28" s="44"/>
      <c r="AI28" s="39">
        <f t="shared" si="64"/>
        <v>0</v>
      </c>
      <c r="AJ28" s="53">
        <f t="shared" si="65"/>
        <v>62484</v>
      </c>
      <c r="AK28" s="20">
        <f t="shared" si="66"/>
        <v>-62484</v>
      </c>
      <c r="AL28" s="44">
        <v>62009.0</v>
      </c>
      <c r="AM28" s="39">
        <f t="shared" si="67"/>
        <v>57048.28</v>
      </c>
      <c r="AN28" s="53">
        <f t="shared" si="68"/>
        <v>76760</v>
      </c>
      <c r="AO28" s="20">
        <f t="shared" si="69"/>
        <v>-19711.72</v>
      </c>
      <c r="AP28" s="44"/>
      <c r="AQ28" s="39">
        <f t="shared" si="70"/>
        <v>0</v>
      </c>
      <c r="AR28" s="53">
        <f t="shared" si="71"/>
        <v>58877</v>
      </c>
      <c r="AS28" s="20">
        <f t="shared" si="72"/>
        <v>-58877</v>
      </c>
      <c r="AT28" s="44"/>
      <c r="AU28" s="39">
        <f t="shared" si="73"/>
        <v>0</v>
      </c>
      <c r="AV28" s="53">
        <f t="shared" si="74"/>
        <v>100999</v>
      </c>
      <c r="AW28" s="20">
        <f t="shared" si="75"/>
        <v>-100999</v>
      </c>
      <c r="AX28" s="44"/>
      <c r="AY28" s="39">
        <f t="shared" si="76"/>
        <v>0</v>
      </c>
      <c r="AZ28" s="53">
        <f t="shared" si="77"/>
        <v>132908</v>
      </c>
      <c r="BA28" s="20">
        <f t="shared" si="78"/>
        <v>-132908</v>
      </c>
    </row>
    <row r="29" ht="15.75" customHeight="1">
      <c r="A29" s="52" t="s">
        <v>114</v>
      </c>
      <c r="B29" s="44"/>
      <c r="C29" s="39">
        <f t="shared" si="40"/>
        <v>0</v>
      </c>
      <c r="D29" s="53">
        <f t="shared" si="41"/>
        <v>65629</v>
      </c>
      <c r="E29" s="20">
        <f t="shared" si="42"/>
        <v>-65629</v>
      </c>
      <c r="F29" s="44"/>
      <c r="G29" s="39">
        <f t="shared" si="43"/>
        <v>0</v>
      </c>
      <c r="H29" s="53">
        <f t="shared" si="44"/>
        <v>77843</v>
      </c>
      <c r="I29" s="20">
        <f t="shared" si="45"/>
        <v>-77843</v>
      </c>
      <c r="J29" s="44"/>
      <c r="K29" s="39">
        <f t="shared" si="46"/>
        <v>0</v>
      </c>
      <c r="L29" s="53">
        <f t="shared" si="47"/>
        <v>71315</v>
      </c>
      <c r="M29" s="20">
        <f t="shared" si="48"/>
        <v>-71315</v>
      </c>
      <c r="N29" s="44"/>
      <c r="O29" s="39">
        <f t="shared" si="49"/>
        <v>0</v>
      </c>
      <c r="P29" s="53">
        <f t="shared" si="50"/>
        <v>77333</v>
      </c>
      <c r="Q29" s="20">
        <f t="shared" si="51"/>
        <v>-77333</v>
      </c>
      <c r="R29" s="44"/>
      <c r="S29" s="39">
        <f t="shared" si="52"/>
        <v>0</v>
      </c>
      <c r="T29" s="53">
        <f t="shared" si="53"/>
        <v>72079</v>
      </c>
      <c r="U29" s="20">
        <f t="shared" si="54"/>
        <v>-72079</v>
      </c>
      <c r="V29" s="44"/>
      <c r="W29" s="39">
        <f t="shared" si="55"/>
        <v>0</v>
      </c>
      <c r="X29" s="53">
        <f t="shared" si="56"/>
        <v>64059</v>
      </c>
      <c r="Y29" s="20">
        <f t="shared" si="57"/>
        <v>-64059</v>
      </c>
      <c r="Z29" s="44"/>
      <c r="AA29" s="39">
        <f t="shared" si="58"/>
        <v>0</v>
      </c>
      <c r="AB29" s="53">
        <f t="shared" si="59"/>
        <v>63530</v>
      </c>
      <c r="AC29" s="20">
        <f t="shared" si="60"/>
        <v>-63530</v>
      </c>
      <c r="AD29" s="44"/>
      <c r="AE29" s="39">
        <f t="shared" si="61"/>
        <v>0</v>
      </c>
      <c r="AF29" s="53">
        <f t="shared" si="62"/>
        <v>209755</v>
      </c>
      <c r="AG29" s="20">
        <f t="shared" si="63"/>
        <v>-209755</v>
      </c>
      <c r="AH29" s="44"/>
      <c r="AI29" s="39">
        <f t="shared" si="64"/>
        <v>0</v>
      </c>
      <c r="AJ29" s="53">
        <f t="shared" si="65"/>
        <v>63812</v>
      </c>
      <c r="AK29" s="20">
        <f t="shared" si="66"/>
        <v>-63812</v>
      </c>
      <c r="AL29" s="44">
        <v>65615.0</v>
      </c>
      <c r="AM29" s="39">
        <f t="shared" si="67"/>
        <v>60365.8</v>
      </c>
      <c r="AN29" s="53">
        <f t="shared" si="68"/>
        <v>78088</v>
      </c>
      <c r="AO29" s="20">
        <f t="shared" si="69"/>
        <v>-17722.2</v>
      </c>
      <c r="AP29" s="44"/>
      <c r="AQ29" s="39">
        <f t="shared" si="70"/>
        <v>0</v>
      </c>
      <c r="AR29" s="53">
        <f t="shared" si="71"/>
        <v>60205</v>
      </c>
      <c r="AS29" s="20">
        <f t="shared" si="72"/>
        <v>-60205</v>
      </c>
      <c r="AT29" s="44"/>
      <c r="AU29" s="39">
        <f t="shared" si="73"/>
        <v>0</v>
      </c>
      <c r="AV29" s="53">
        <f t="shared" si="74"/>
        <v>102327</v>
      </c>
      <c r="AW29" s="20">
        <f t="shared" si="75"/>
        <v>-102327</v>
      </c>
      <c r="AX29" s="44"/>
      <c r="AY29" s="39">
        <f t="shared" si="76"/>
        <v>0</v>
      </c>
      <c r="AZ29" s="53">
        <f t="shared" si="77"/>
        <v>134236</v>
      </c>
      <c r="BA29" s="20">
        <f t="shared" si="78"/>
        <v>-134236</v>
      </c>
    </row>
    <row r="30" ht="15.75" customHeight="1">
      <c r="A30" s="52" t="s">
        <v>115</v>
      </c>
      <c r="B30" s="44"/>
      <c r="C30" s="39">
        <f t="shared" si="40"/>
        <v>0</v>
      </c>
      <c r="D30" s="53">
        <f t="shared" si="41"/>
        <v>72876</v>
      </c>
      <c r="E30" s="20">
        <f t="shared" si="42"/>
        <v>-72876</v>
      </c>
      <c r="F30" s="44"/>
      <c r="G30" s="39">
        <f t="shared" si="43"/>
        <v>0</v>
      </c>
      <c r="H30" s="53">
        <f t="shared" si="44"/>
        <v>85090</v>
      </c>
      <c r="I30" s="20">
        <f t="shared" si="45"/>
        <v>-85090</v>
      </c>
      <c r="J30" s="44"/>
      <c r="K30" s="39">
        <f t="shared" si="46"/>
        <v>0</v>
      </c>
      <c r="L30" s="53">
        <f t="shared" si="47"/>
        <v>78562</v>
      </c>
      <c r="M30" s="20">
        <f t="shared" si="48"/>
        <v>-78562</v>
      </c>
      <c r="N30" s="44"/>
      <c r="O30" s="39">
        <f t="shared" si="49"/>
        <v>0</v>
      </c>
      <c r="P30" s="53">
        <f t="shared" si="50"/>
        <v>84580</v>
      </c>
      <c r="Q30" s="20">
        <f t="shared" si="51"/>
        <v>-84580</v>
      </c>
      <c r="R30" s="44"/>
      <c r="S30" s="39">
        <f t="shared" si="52"/>
        <v>0</v>
      </c>
      <c r="T30" s="53">
        <f t="shared" si="53"/>
        <v>79326</v>
      </c>
      <c r="U30" s="20">
        <f t="shared" si="54"/>
        <v>-79326</v>
      </c>
      <c r="V30" s="44"/>
      <c r="W30" s="39">
        <f t="shared" si="55"/>
        <v>0</v>
      </c>
      <c r="X30" s="53">
        <f t="shared" si="56"/>
        <v>71306</v>
      </c>
      <c r="Y30" s="20">
        <f t="shared" si="57"/>
        <v>-71306</v>
      </c>
      <c r="Z30" s="44"/>
      <c r="AA30" s="39">
        <f t="shared" si="58"/>
        <v>0</v>
      </c>
      <c r="AB30" s="53">
        <f t="shared" si="59"/>
        <v>70777</v>
      </c>
      <c r="AC30" s="20">
        <f t="shared" si="60"/>
        <v>-70777</v>
      </c>
      <c r="AD30" s="44"/>
      <c r="AE30" s="39">
        <f t="shared" si="61"/>
        <v>0</v>
      </c>
      <c r="AF30" s="53">
        <f t="shared" si="62"/>
        <v>217002</v>
      </c>
      <c r="AG30" s="20">
        <f t="shared" si="63"/>
        <v>-217002</v>
      </c>
      <c r="AH30" s="44"/>
      <c r="AI30" s="39">
        <f t="shared" si="64"/>
        <v>0</v>
      </c>
      <c r="AJ30" s="53">
        <f t="shared" si="65"/>
        <v>71059</v>
      </c>
      <c r="AK30" s="20">
        <f t="shared" si="66"/>
        <v>-71059</v>
      </c>
      <c r="AL30" s="44">
        <v>68601.0</v>
      </c>
      <c r="AM30" s="39">
        <f t="shared" si="67"/>
        <v>63112.92</v>
      </c>
      <c r="AN30" s="53">
        <f t="shared" si="68"/>
        <v>85335</v>
      </c>
      <c r="AO30" s="20">
        <f t="shared" si="69"/>
        <v>-22222.08</v>
      </c>
      <c r="AP30" s="44"/>
      <c r="AQ30" s="39">
        <f t="shared" si="70"/>
        <v>0</v>
      </c>
      <c r="AR30" s="53">
        <f t="shared" si="71"/>
        <v>67452</v>
      </c>
      <c r="AS30" s="20">
        <f t="shared" si="72"/>
        <v>-67452</v>
      </c>
      <c r="AT30" s="44"/>
      <c r="AU30" s="39">
        <f t="shared" si="73"/>
        <v>0</v>
      </c>
      <c r="AV30" s="53">
        <f t="shared" si="74"/>
        <v>109574</v>
      </c>
      <c r="AW30" s="20">
        <f t="shared" si="75"/>
        <v>-109574</v>
      </c>
      <c r="AX30" s="44"/>
      <c r="AY30" s="39">
        <f t="shared" si="76"/>
        <v>0</v>
      </c>
      <c r="AZ30" s="53">
        <f t="shared" si="77"/>
        <v>141483</v>
      </c>
      <c r="BA30" s="20">
        <f t="shared" si="78"/>
        <v>-141483</v>
      </c>
    </row>
    <row r="31" ht="15.75" customHeight="1">
      <c r="A31" s="52" t="s">
        <v>116</v>
      </c>
      <c r="B31" s="44"/>
      <c r="C31" s="39">
        <f t="shared" si="40"/>
        <v>0</v>
      </c>
      <c r="D31" s="53">
        <f t="shared" si="41"/>
        <v>72876</v>
      </c>
      <c r="E31" s="20">
        <f t="shared" si="42"/>
        <v>-72876</v>
      </c>
      <c r="F31" s="44"/>
      <c r="G31" s="39">
        <f t="shared" si="43"/>
        <v>0</v>
      </c>
      <c r="H31" s="53">
        <f t="shared" si="44"/>
        <v>85090</v>
      </c>
      <c r="I31" s="20">
        <f t="shared" si="45"/>
        <v>-85090</v>
      </c>
      <c r="J31" s="44"/>
      <c r="K31" s="39">
        <f t="shared" si="46"/>
        <v>0</v>
      </c>
      <c r="L31" s="53">
        <f t="shared" si="47"/>
        <v>78562</v>
      </c>
      <c r="M31" s="20">
        <f t="shared" si="48"/>
        <v>-78562</v>
      </c>
      <c r="N31" s="44"/>
      <c r="O31" s="39">
        <f t="shared" si="49"/>
        <v>0</v>
      </c>
      <c r="P31" s="53">
        <f t="shared" si="50"/>
        <v>84580</v>
      </c>
      <c r="Q31" s="20">
        <f t="shared" si="51"/>
        <v>-84580</v>
      </c>
      <c r="R31" s="44"/>
      <c r="S31" s="39">
        <f t="shared" si="52"/>
        <v>0</v>
      </c>
      <c r="T31" s="53">
        <f t="shared" si="53"/>
        <v>79326</v>
      </c>
      <c r="U31" s="20">
        <f t="shared" si="54"/>
        <v>-79326</v>
      </c>
      <c r="V31" s="44"/>
      <c r="W31" s="39">
        <f t="shared" si="55"/>
        <v>0</v>
      </c>
      <c r="X31" s="53">
        <f t="shared" si="56"/>
        <v>71306</v>
      </c>
      <c r="Y31" s="20">
        <f t="shared" si="57"/>
        <v>-71306</v>
      </c>
      <c r="Z31" s="44"/>
      <c r="AA31" s="39">
        <f t="shared" si="58"/>
        <v>0</v>
      </c>
      <c r="AB31" s="53">
        <f t="shared" si="59"/>
        <v>70777</v>
      </c>
      <c r="AC31" s="20">
        <f t="shared" si="60"/>
        <v>-70777</v>
      </c>
      <c r="AD31" s="44"/>
      <c r="AE31" s="39">
        <f t="shared" si="61"/>
        <v>0</v>
      </c>
      <c r="AF31" s="53">
        <f t="shared" si="62"/>
        <v>217002</v>
      </c>
      <c r="AG31" s="20">
        <f t="shared" si="63"/>
        <v>-217002</v>
      </c>
      <c r="AH31" s="44"/>
      <c r="AI31" s="39">
        <f t="shared" si="64"/>
        <v>0</v>
      </c>
      <c r="AJ31" s="53">
        <f t="shared" si="65"/>
        <v>71059</v>
      </c>
      <c r="AK31" s="20">
        <f t="shared" si="66"/>
        <v>-71059</v>
      </c>
      <c r="AL31" s="44">
        <v>68700.0</v>
      </c>
      <c r="AM31" s="39">
        <f t="shared" si="67"/>
        <v>63204</v>
      </c>
      <c r="AN31" s="53">
        <f t="shared" si="68"/>
        <v>85335</v>
      </c>
      <c r="AO31" s="20">
        <f t="shared" si="69"/>
        <v>-22131</v>
      </c>
      <c r="AP31" s="44"/>
      <c r="AQ31" s="39">
        <f t="shared" si="70"/>
        <v>0</v>
      </c>
      <c r="AR31" s="53">
        <f t="shared" si="71"/>
        <v>67452</v>
      </c>
      <c r="AS31" s="20">
        <f t="shared" si="72"/>
        <v>-67452</v>
      </c>
      <c r="AT31" s="44"/>
      <c r="AU31" s="39">
        <f t="shared" si="73"/>
        <v>0</v>
      </c>
      <c r="AV31" s="53">
        <f t="shared" si="74"/>
        <v>109574</v>
      </c>
      <c r="AW31" s="20">
        <f t="shared" si="75"/>
        <v>-109574</v>
      </c>
      <c r="AX31" s="44"/>
      <c r="AY31" s="39">
        <f t="shared" si="76"/>
        <v>0</v>
      </c>
      <c r="AZ31" s="53">
        <f t="shared" si="77"/>
        <v>141483</v>
      </c>
      <c r="BA31" s="20">
        <f t="shared" si="78"/>
        <v>-141483</v>
      </c>
    </row>
    <row r="32" ht="15.75" customHeight="1">
      <c r="A32" s="52" t="s">
        <v>117</v>
      </c>
      <c r="B32" s="44"/>
      <c r="C32" s="39">
        <f t="shared" si="40"/>
        <v>0</v>
      </c>
      <c r="D32" s="53">
        <f t="shared" si="41"/>
        <v>72941</v>
      </c>
      <c r="E32" s="20">
        <f t="shared" si="42"/>
        <v>-72941</v>
      </c>
      <c r="F32" s="44"/>
      <c r="G32" s="39">
        <f t="shared" si="43"/>
        <v>0</v>
      </c>
      <c r="H32" s="53">
        <f t="shared" si="44"/>
        <v>85155</v>
      </c>
      <c r="I32" s="20">
        <f t="shared" si="45"/>
        <v>-85155</v>
      </c>
      <c r="J32" s="44"/>
      <c r="K32" s="39">
        <f t="shared" si="46"/>
        <v>0</v>
      </c>
      <c r="L32" s="53">
        <f t="shared" si="47"/>
        <v>78627</v>
      </c>
      <c r="M32" s="20">
        <f t="shared" si="48"/>
        <v>-78627</v>
      </c>
      <c r="N32" s="44"/>
      <c r="O32" s="39">
        <f t="shared" si="49"/>
        <v>0</v>
      </c>
      <c r="P32" s="53">
        <f t="shared" si="50"/>
        <v>84645</v>
      </c>
      <c r="Q32" s="20">
        <f t="shared" si="51"/>
        <v>-84645</v>
      </c>
      <c r="R32" s="44"/>
      <c r="S32" s="39">
        <f t="shared" si="52"/>
        <v>0</v>
      </c>
      <c r="T32" s="53">
        <f t="shared" si="53"/>
        <v>79391</v>
      </c>
      <c r="U32" s="20">
        <f t="shared" si="54"/>
        <v>-79391</v>
      </c>
      <c r="V32" s="44"/>
      <c r="W32" s="39">
        <f t="shared" si="55"/>
        <v>0</v>
      </c>
      <c r="X32" s="53">
        <f t="shared" si="56"/>
        <v>71371</v>
      </c>
      <c r="Y32" s="20">
        <f t="shared" si="57"/>
        <v>-71371</v>
      </c>
      <c r="Z32" s="44"/>
      <c r="AA32" s="39">
        <f t="shared" si="58"/>
        <v>0</v>
      </c>
      <c r="AB32" s="53">
        <f t="shared" si="59"/>
        <v>70842</v>
      </c>
      <c r="AC32" s="20">
        <f t="shared" si="60"/>
        <v>-70842</v>
      </c>
      <c r="AD32" s="44"/>
      <c r="AE32" s="39">
        <f t="shared" si="61"/>
        <v>0</v>
      </c>
      <c r="AF32" s="53">
        <f t="shared" si="62"/>
        <v>217067</v>
      </c>
      <c r="AG32" s="20">
        <f t="shared" si="63"/>
        <v>-217067</v>
      </c>
      <c r="AH32" s="44"/>
      <c r="AI32" s="39">
        <f t="shared" si="64"/>
        <v>0</v>
      </c>
      <c r="AJ32" s="53">
        <f t="shared" si="65"/>
        <v>71124</v>
      </c>
      <c r="AK32" s="20">
        <f t="shared" si="66"/>
        <v>-71124</v>
      </c>
      <c r="AL32" s="44">
        <v>68702.0</v>
      </c>
      <c r="AM32" s="39">
        <f t="shared" si="67"/>
        <v>63205.84</v>
      </c>
      <c r="AN32" s="53">
        <f t="shared" si="68"/>
        <v>85400</v>
      </c>
      <c r="AO32" s="20">
        <f t="shared" si="69"/>
        <v>-22194.16</v>
      </c>
      <c r="AP32" s="44"/>
      <c r="AQ32" s="39">
        <f t="shared" si="70"/>
        <v>0</v>
      </c>
      <c r="AR32" s="53">
        <f t="shared" si="71"/>
        <v>67517</v>
      </c>
      <c r="AS32" s="20">
        <f t="shared" si="72"/>
        <v>-67517</v>
      </c>
      <c r="AT32" s="44"/>
      <c r="AU32" s="39">
        <f t="shared" si="73"/>
        <v>0</v>
      </c>
      <c r="AV32" s="53">
        <f t="shared" si="74"/>
        <v>109639</v>
      </c>
      <c r="AW32" s="20">
        <f t="shared" si="75"/>
        <v>-109639</v>
      </c>
      <c r="AX32" s="44"/>
      <c r="AY32" s="39">
        <f t="shared" si="76"/>
        <v>0</v>
      </c>
      <c r="AZ32" s="53">
        <f t="shared" si="77"/>
        <v>141548</v>
      </c>
      <c r="BA32" s="20">
        <f t="shared" si="78"/>
        <v>-141548</v>
      </c>
    </row>
    <row r="33" ht="15.75" customHeight="1">
      <c r="A33" s="52" t="s">
        <v>118</v>
      </c>
      <c r="B33" s="44"/>
      <c r="C33" s="39">
        <f t="shared" si="40"/>
        <v>0</v>
      </c>
      <c r="D33" s="53">
        <f t="shared" si="41"/>
        <v>74269</v>
      </c>
      <c r="E33" s="20">
        <f t="shared" si="42"/>
        <v>-74269</v>
      </c>
      <c r="F33" s="44"/>
      <c r="G33" s="39">
        <f t="shared" si="43"/>
        <v>0</v>
      </c>
      <c r="H33" s="53">
        <f t="shared" si="44"/>
        <v>86483</v>
      </c>
      <c r="I33" s="20">
        <f t="shared" si="45"/>
        <v>-86483</v>
      </c>
      <c r="J33" s="44"/>
      <c r="K33" s="39">
        <f t="shared" si="46"/>
        <v>0</v>
      </c>
      <c r="L33" s="53">
        <f t="shared" si="47"/>
        <v>79955</v>
      </c>
      <c r="M33" s="20">
        <f t="shared" si="48"/>
        <v>-79955</v>
      </c>
      <c r="N33" s="44"/>
      <c r="O33" s="39">
        <f t="shared" si="49"/>
        <v>0</v>
      </c>
      <c r="P33" s="53">
        <f t="shared" si="50"/>
        <v>85973</v>
      </c>
      <c r="Q33" s="20">
        <f t="shared" si="51"/>
        <v>-85973</v>
      </c>
      <c r="R33" s="44"/>
      <c r="S33" s="39">
        <f t="shared" si="52"/>
        <v>0</v>
      </c>
      <c r="T33" s="53">
        <f t="shared" si="53"/>
        <v>80719</v>
      </c>
      <c r="U33" s="20">
        <f t="shared" si="54"/>
        <v>-80719</v>
      </c>
      <c r="V33" s="44"/>
      <c r="W33" s="39">
        <f t="shared" si="55"/>
        <v>0</v>
      </c>
      <c r="X33" s="53">
        <f t="shared" si="56"/>
        <v>72699</v>
      </c>
      <c r="Y33" s="20">
        <f t="shared" si="57"/>
        <v>-72699</v>
      </c>
      <c r="Z33" s="44"/>
      <c r="AA33" s="39">
        <f t="shared" si="58"/>
        <v>0</v>
      </c>
      <c r="AB33" s="53">
        <f t="shared" si="59"/>
        <v>72170</v>
      </c>
      <c r="AC33" s="20">
        <f t="shared" si="60"/>
        <v>-72170</v>
      </c>
      <c r="AD33" s="44"/>
      <c r="AE33" s="39">
        <f t="shared" si="61"/>
        <v>0</v>
      </c>
      <c r="AF33" s="53">
        <f t="shared" si="62"/>
        <v>218395</v>
      </c>
      <c r="AG33" s="20">
        <f t="shared" si="63"/>
        <v>-218395</v>
      </c>
      <c r="AH33" s="44"/>
      <c r="AI33" s="39">
        <f t="shared" si="64"/>
        <v>0</v>
      </c>
      <c r="AJ33" s="53">
        <f t="shared" si="65"/>
        <v>72452</v>
      </c>
      <c r="AK33" s="20">
        <f t="shared" si="66"/>
        <v>-72452</v>
      </c>
      <c r="AL33" s="44">
        <v>68549.0</v>
      </c>
      <c r="AM33" s="39">
        <f t="shared" si="67"/>
        <v>63065.08</v>
      </c>
      <c r="AN33" s="53">
        <f t="shared" si="68"/>
        <v>86728</v>
      </c>
      <c r="AO33" s="20">
        <f t="shared" si="69"/>
        <v>-23662.92</v>
      </c>
      <c r="AP33" s="44"/>
      <c r="AQ33" s="39">
        <f t="shared" si="70"/>
        <v>0</v>
      </c>
      <c r="AR33" s="53">
        <f t="shared" si="71"/>
        <v>68845</v>
      </c>
      <c r="AS33" s="20">
        <f t="shared" si="72"/>
        <v>-68845</v>
      </c>
      <c r="AT33" s="44"/>
      <c r="AU33" s="39">
        <f t="shared" si="73"/>
        <v>0</v>
      </c>
      <c r="AV33" s="53">
        <f t="shared" si="74"/>
        <v>110967</v>
      </c>
      <c r="AW33" s="20">
        <f t="shared" si="75"/>
        <v>-110967</v>
      </c>
      <c r="AX33" s="44"/>
      <c r="AY33" s="39">
        <f t="shared" si="76"/>
        <v>0</v>
      </c>
      <c r="AZ33" s="53">
        <f t="shared" si="77"/>
        <v>142876</v>
      </c>
      <c r="BA33" s="20">
        <f t="shared" si="78"/>
        <v>-142876</v>
      </c>
    </row>
    <row r="34" ht="15.75" customHeight="1">
      <c r="A34" s="52" t="s">
        <v>119</v>
      </c>
      <c r="B34" s="44"/>
      <c r="C34" s="39">
        <f t="shared" si="40"/>
        <v>0</v>
      </c>
      <c r="D34" s="53">
        <f t="shared" si="41"/>
        <v>103692</v>
      </c>
      <c r="E34" s="20">
        <f t="shared" si="42"/>
        <v>-103692</v>
      </c>
      <c r="F34" s="44"/>
      <c r="G34" s="39">
        <f t="shared" si="43"/>
        <v>0</v>
      </c>
      <c r="H34" s="53">
        <f t="shared" si="44"/>
        <v>115906</v>
      </c>
      <c r="I34" s="20">
        <f t="shared" si="45"/>
        <v>-115906</v>
      </c>
      <c r="J34" s="44"/>
      <c r="K34" s="39">
        <f t="shared" si="46"/>
        <v>0</v>
      </c>
      <c r="L34" s="53">
        <f t="shared" si="47"/>
        <v>109378</v>
      </c>
      <c r="M34" s="20">
        <f t="shared" si="48"/>
        <v>-109378</v>
      </c>
      <c r="N34" s="44"/>
      <c r="O34" s="39">
        <f t="shared" si="49"/>
        <v>0</v>
      </c>
      <c r="P34" s="53">
        <f t="shared" si="50"/>
        <v>115396</v>
      </c>
      <c r="Q34" s="20">
        <f t="shared" si="51"/>
        <v>-115396</v>
      </c>
      <c r="R34" s="44"/>
      <c r="S34" s="39">
        <f t="shared" si="52"/>
        <v>0</v>
      </c>
      <c r="T34" s="53">
        <f t="shared" si="53"/>
        <v>110142</v>
      </c>
      <c r="U34" s="20">
        <f t="shared" si="54"/>
        <v>-110142</v>
      </c>
      <c r="V34" s="44"/>
      <c r="W34" s="39">
        <f t="shared" si="55"/>
        <v>0</v>
      </c>
      <c r="X34" s="53">
        <f t="shared" si="56"/>
        <v>102122</v>
      </c>
      <c r="Y34" s="20">
        <f t="shared" si="57"/>
        <v>-102122</v>
      </c>
      <c r="Z34" s="44"/>
      <c r="AA34" s="39">
        <f t="shared" si="58"/>
        <v>0</v>
      </c>
      <c r="AB34" s="53">
        <f t="shared" si="59"/>
        <v>101593</v>
      </c>
      <c r="AC34" s="20">
        <f t="shared" si="60"/>
        <v>-101593</v>
      </c>
      <c r="AD34" s="44"/>
      <c r="AE34" s="39">
        <f t="shared" si="61"/>
        <v>0</v>
      </c>
      <c r="AF34" s="53">
        <f t="shared" si="62"/>
        <v>247818</v>
      </c>
      <c r="AG34" s="20">
        <f t="shared" si="63"/>
        <v>-247818</v>
      </c>
      <c r="AH34" s="44"/>
      <c r="AI34" s="39">
        <f t="shared" si="64"/>
        <v>0</v>
      </c>
      <c r="AJ34" s="53">
        <f t="shared" si="65"/>
        <v>101875</v>
      </c>
      <c r="AK34" s="20">
        <f t="shared" si="66"/>
        <v>-101875</v>
      </c>
      <c r="AL34" s="44">
        <v>60014.0</v>
      </c>
      <c r="AM34" s="39">
        <f t="shared" si="67"/>
        <v>55212.88</v>
      </c>
      <c r="AN34" s="53">
        <f t="shared" si="68"/>
        <v>116151</v>
      </c>
      <c r="AO34" s="20">
        <f t="shared" si="69"/>
        <v>-60938.12</v>
      </c>
      <c r="AP34" s="44"/>
      <c r="AQ34" s="39">
        <f t="shared" si="70"/>
        <v>0</v>
      </c>
      <c r="AR34" s="53">
        <f t="shared" si="71"/>
        <v>98268</v>
      </c>
      <c r="AS34" s="20">
        <f t="shared" si="72"/>
        <v>-98268</v>
      </c>
      <c r="AT34" s="44"/>
      <c r="AU34" s="39">
        <f t="shared" si="73"/>
        <v>0</v>
      </c>
      <c r="AV34" s="53">
        <f t="shared" si="74"/>
        <v>140390</v>
      </c>
      <c r="AW34" s="20">
        <f t="shared" si="75"/>
        <v>-140390</v>
      </c>
      <c r="AX34" s="44"/>
      <c r="AY34" s="39">
        <f t="shared" si="76"/>
        <v>0</v>
      </c>
      <c r="AZ34" s="53">
        <f t="shared" si="77"/>
        <v>172299</v>
      </c>
      <c r="BA34" s="20">
        <f t="shared" si="78"/>
        <v>-172299</v>
      </c>
    </row>
    <row r="35" ht="15.75" customHeight="1">
      <c r="A35" s="52" t="s">
        <v>120</v>
      </c>
      <c r="B35" s="44"/>
      <c r="C35" s="39">
        <f t="shared" si="40"/>
        <v>0</v>
      </c>
      <c r="D35" s="53">
        <f t="shared" si="41"/>
        <v>103692</v>
      </c>
      <c r="E35" s="20">
        <f t="shared" si="42"/>
        <v>-103692</v>
      </c>
      <c r="F35" s="44"/>
      <c r="G35" s="39">
        <f t="shared" si="43"/>
        <v>0</v>
      </c>
      <c r="H35" s="53">
        <f t="shared" si="44"/>
        <v>115906</v>
      </c>
      <c r="I35" s="20">
        <f t="shared" si="45"/>
        <v>-115906</v>
      </c>
      <c r="J35" s="44"/>
      <c r="K35" s="39">
        <f t="shared" si="46"/>
        <v>0</v>
      </c>
      <c r="L35" s="53">
        <f t="shared" si="47"/>
        <v>109378</v>
      </c>
      <c r="M35" s="20">
        <f t="shared" si="48"/>
        <v>-109378</v>
      </c>
      <c r="N35" s="44"/>
      <c r="O35" s="39">
        <f t="shared" si="49"/>
        <v>0</v>
      </c>
      <c r="P35" s="53">
        <f t="shared" si="50"/>
        <v>115396</v>
      </c>
      <c r="Q35" s="20">
        <f t="shared" si="51"/>
        <v>-115396</v>
      </c>
      <c r="R35" s="44"/>
      <c r="S35" s="39">
        <f t="shared" si="52"/>
        <v>0</v>
      </c>
      <c r="T35" s="53">
        <f t="shared" si="53"/>
        <v>110142</v>
      </c>
      <c r="U35" s="20">
        <f t="shared" si="54"/>
        <v>-110142</v>
      </c>
      <c r="V35" s="44"/>
      <c r="W35" s="39">
        <f t="shared" si="55"/>
        <v>0</v>
      </c>
      <c r="X35" s="53">
        <f t="shared" si="56"/>
        <v>102122</v>
      </c>
      <c r="Y35" s="20">
        <f t="shared" si="57"/>
        <v>-102122</v>
      </c>
      <c r="Z35" s="44"/>
      <c r="AA35" s="39">
        <f t="shared" si="58"/>
        <v>0</v>
      </c>
      <c r="AB35" s="53">
        <f t="shared" si="59"/>
        <v>101593</v>
      </c>
      <c r="AC35" s="20">
        <f t="shared" si="60"/>
        <v>-101593</v>
      </c>
      <c r="AD35" s="44"/>
      <c r="AE35" s="39">
        <f t="shared" si="61"/>
        <v>0</v>
      </c>
      <c r="AF35" s="53">
        <f t="shared" si="62"/>
        <v>247818</v>
      </c>
      <c r="AG35" s="20">
        <f t="shared" si="63"/>
        <v>-247818</v>
      </c>
      <c r="AH35" s="44"/>
      <c r="AI35" s="39">
        <f t="shared" si="64"/>
        <v>0</v>
      </c>
      <c r="AJ35" s="53">
        <f t="shared" si="65"/>
        <v>101875</v>
      </c>
      <c r="AK35" s="20">
        <f t="shared" si="66"/>
        <v>-101875</v>
      </c>
      <c r="AL35" s="44">
        <v>75100.0</v>
      </c>
      <c r="AM35" s="39">
        <f t="shared" si="67"/>
        <v>69092</v>
      </c>
      <c r="AN35" s="53">
        <f t="shared" si="68"/>
        <v>116151</v>
      </c>
      <c r="AO35" s="20">
        <f t="shared" si="69"/>
        <v>-47059</v>
      </c>
      <c r="AP35" s="44"/>
      <c r="AQ35" s="39">
        <f t="shared" si="70"/>
        <v>0</v>
      </c>
      <c r="AR35" s="53">
        <f t="shared" si="71"/>
        <v>98268</v>
      </c>
      <c r="AS35" s="20">
        <f t="shared" si="72"/>
        <v>-98268</v>
      </c>
      <c r="AT35" s="44"/>
      <c r="AU35" s="39">
        <f t="shared" si="73"/>
        <v>0</v>
      </c>
      <c r="AV35" s="53">
        <f t="shared" si="74"/>
        <v>140390</v>
      </c>
      <c r="AW35" s="20">
        <f t="shared" si="75"/>
        <v>-140390</v>
      </c>
      <c r="AX35" s="44"/>
      <c r="AY35" s="39">
        <f t="shared" si="76"/>
        <v>0</v>
      </c>
      <c r="AZ35" s="53">
        <f t="shared" si="77"/>
        <v>172299</v>
      </c>
      <c r="BA35" s="20">
        <f t="shared" si="78"/>
        <v>-172299</v>
      </c>
    </row>
    <row r="36" ht="15.75" customHeight="1">
      <c r="A36" s="52" t="s">
        <v>121</v>
      </c>
      <c r="B36" s="44"/>
      <c r="C36" s="39">
        <f t="shared" si="40"/>
        <v>0</v>
      </c>
      <c r="D36" s="53">
        <f t="shared" si="41"/>
        <v>103757</v>
      </c>
      <c r="E36" s="20">
        <f t="shared" si="42"/>
        <v>-103757</v>
      </c>
      <c r="F36" s="44"/>
      <c r="G36" s="39">
        <f t="shared" si="43"/>
        <v>0</v>
      </c>
      <c r="H36" s="53">
        <f t="shared" si="44"/>
        <v>115971</v>
      </c>
      <c r="I36" s="20">
        <f t="shared" si="45"/>
        <v>-115971</v>
      </c>
      <c r="J36" s="44"/>
      <c r="K36" s="39">
        <f t="shared" si="46"/>
        <v>0</v>
      </c>
      <c r="L36" s="53">
        <f t="shared" si="47"/>
        <v>109443</v>
      </c>
      <c r="M36" s="20">
        <f t="shared" si="48"/>
        <v>-109443</v>
      </c>
      <c r="N36" s="44"/>
      <c r="O36" s="39">
        <f t="shared" si="49"/>
        <v>0</v>
      </c>
      <c r="P36" s="53">
        <f t="shared" si="50"/>
        <v>115461</v>
      </c>
      <c r="Q36" s="20">
        <f t="shared" si="51"/>
        <v>-115461</v>
      </c>
      <c r="R36" s="44"/>
      <c r="S36" s="39">
        <f t="shared" si="52"/>
        <v>0</v>
      </c>
      <c r="T36" s="53">
        <f t="shared" si="53"/>
        <v>110207</v>
      </c>
      <c r="U36" s="20">
        <f t="shared" si="54"/>
        <v>-110207</v>
      </c>
      <c r="V36" s="44"/>
      <c r="W36" s="39">
        <f t="shared" si="55"/>
        <v>0</v>
      </c>
      <c r="X36" s="53">
        <f t="shared" si="56"/>
        <v>102187</v>
      </c>
      <c r="Y36" s="20">
        <f t="shared" si="57"/>
        <v>-102187</v>
      </c>
      <c r="Z36" s="44"/>
      <c r="AA36" s="39">
        <f t="shared" si="58"/>
        <v>0</v>
      </c>
      <c r="AB36" s="53">
        <f t="shared" si="59"/>
        <v>101658</v>
      </c>
      <c r="AC36" s="20">
        <f t="shared" si="60"/>
        <v>-101658</v>
      </c>
      <c r="AD36" s="44"/>
      <c r="AE36" s="39">
        <f t="shared" si="61"/>
        <v>0</v>
      </c>
      <c r="AF36" s="53">
        <f t="shared" si="62"/>
        <v>247883</v>
      </c>
      <c r="AG36" s="20">
        <f t="shared" si="63"/>
        <v>-247883</v>
      </c>
      <c r="AH36" s="44"/>
      <c r="AI36" s="39">
        <f t="shared" si="64"/>
        <v>0</v>
      </c>
      <c r="AJ36" s="53">
        <f t="shared" si="65"/>
        <v>101940</v>
      </c>
      <c r="AK36" s="20">
        <f t="shared" si="66"/>
        <v>-101940</v>
      </c>
      <c r="AL36" s="44">
        <v>75003.0</v>
      </c>
      <c r="AM36" s="39">
        <f t="shared" si="67"/>
        <v>69002.76</v>
      </c>
      <c r="AN36" s="53">
        <f t="shared" si="68"/>
        <v>116216</v>
      </c>
      <c r="AO36" s="20">
        <f t="shared" si="69"/>
        <v>-47213.24</v>
      </c>
      <c r="AP36" s="44"/>
      <c r="AQ36" s="39">
        <f t="shared" si="70"/>
        <v>0</v>
      </c>
      <c r="AR36" s="53">
        <f t="shared" si="71"/>
        <v>98333</v>
      </c>
      <c r="AS36" s="20">
        <f t="shared" si="72"/>
        <v>-98333</v>
      </c>
      <c r="AT36" s="44"/>
      <c r="AU36" s="39">
        <f t="shared" si="73"/>
        <v>0</v>
      </c>
      <c r="AV36" s="53">
        <f t="shared" si="74"/>
        <v>140455</v>
      </c>
      <c r="AW36" s="20">
        <f t="shared" si="75"/>
        <v>-140455</v>
      </c>
      <c r="AX36" s="44"/>
      <c r="AY36" s="39">
        <f t="shared" si="76"/>
        <v>0</v>
      </c>
      <c r="AZ36" s="53">
        <f t="shared" si="77"/>
        <v>172364</v>
      </c>
      <c r="BA36" s="20">
        <f t="shared" si="78"/>
        <v>-172364</v>
      </c>
    </row>
    <row r="37" ht="15.75" customHeight="1">
      <c r="A37" s="52" t="s">
        <v>122</v>
      </c>
      <c r="B37" s="57"/>
      <c r="C37" s="39">
        <f t="shared" si="40"/>
        <v>0</v>
      </c>
      <c r="D37" s="58">
        <f t="shared" si="41"/>
        <v>105085</v>
      </c>
      <c r="E37" s="59">
        <f t="shared" si="42"/>
        <v>-105085</v>
      </c>
      <c r="F37" s="57"/>
      <c r="G37" s="39">
        <f t="shared" si="43"/>
        <v>0</v>
      </c>
      <c r="H37" s="58">
        <f t="shared" si="44"/>
        <v>117299</v>
      </c>
      <c r="I37" s="59">
        <f t="shared" si="45"/>
        <v>-117299</v>
      </c>
      <c r="J37" s="57"/>
      <c r="K37" s="39">
        <f t="shared" si="46"/>
        <v>0</v>
      </c>
      <c r="L37" s="58">
        <f t="shared" si="47"/>
        <v>110771</v>
      </c>
      <c r="M37" s="59">
        <f t="shared" si="48"/>
        <v>-110771</v>
      </c>
      <c r="N37" s="57"/>
      <c r="O37" s="39">
        <f t="shared" si="49"/>
        <v>0</v>
      </c>
      <c r="P37" s="58">
        <f t="shared" si="50"/>
        <v>116789</v>
      </c>
      <c r="Q37" s="59">
        <f t="shared" si="51"/>
        <v>-116789</v>
      </c>
      <c r="R37" s="57"/>
      <c r="S37" s="39">
        <f t="shared" si="52"/>
        <v>0</v>
      </c>
      <c r="T37" s="58">
        <f t="shared" si="53"/>
        <v>111535</v>
      </c>
      <c r="U37" s="59">
        <f t="shared" si="54"/>
        <v>-111535</v>
      </c>
      <c r="V37" s="57"/>
      <c r="W37" s="39">
        <f t="shared" si="55"/>
        <v>0</v>
      </c>
      <c r="X37" s="58">
        <f t="shared" si="56"/>
        <v>103515</v>
      </c>
      <c r="Y37" s="59">
        <f t="shared" si="57"/>
        <v>-103515</v>
      </c>
      <c r="Z37" s="57"/>
      <c r="AA37" s="39">
        <f t="shared" si="58"/>
        <v>0</v>
      </c>
      <c r="AB37" s="58">
        <f t="shared" si="59"/>
        <v>102986</v>
      </c>
      <c r="AC37" s="59">
        <f t="shared" si="60"/>
        <v>-102986</v>
      </c>
      <c r="AD37" s="57"/>
      <c r="AE37" s="39">
        <f t="shared" si="61"/>
        <v>0</v>
      </c>
      <c r="AF37" s="53">
        <f t="shared" si="62"/>
        <v>249211</v>
      </c>
      <c r="AG37" s="59">
        <f t="shared" si="63"/>
        <v>-249211</v>
      </c>
      <c r="AH37" s="57"/>
      <c r="AI37" s="39">
        <f t="shared" si="64"/>
        <v>0</v>
      </c>
      <c r="AJ37" s="53">
        <f t="shared" si="65"/>
        <v>103268</v>
      </c>
      <c r="AK37" s="59">
        <f t="shared" si="66"/>
        <v>-103268</v>
      </c>
      <c r="AL37" s="57">
        <v>75004.0</v>
      </c>
      <c r="AM37" s="39">
        <f t="shared" si="67"/>
        <v>69003.68</v>
      </c>
      <c r="AN37" s="53">
        <f t="shared" si="68"/>
        <v>117544</v>
      </c>
      <c r="AO37" s="59">
        <f t="shared" si="69"/>
        <v>-48540.32</v>
      </c>
      <c r="AP37" s="57"/>
      <c r="AQ37" s="39">
        <f t="shared" si="70"/>
        <v>0</v>
      </c>
      <c r="AR37" s="53">
        <f t="shared" si="71"/>
        <v>99661</v>
      </c>
      <c r="AS37" s="59">
        <f t="shared" si="72"/>
        <v>-99661</v>
      </c>
      <c r="AT37" s="57"/>
      <c r="AU37" s="60">
        <f t="shared" si="73"/>
        <v>0</v>
      </c>
      <c r="AV37" s="53">
        <f t="shared" si="74"/>
        <v>141783</v>
      </c>
      <c r="AW37" s="59">
        <f t="shared" si="75"/>
        <v>-141783</v>
      </c>
      <c r="AX37" s="57"/>
      <c r="AY37" s="60">
        <f t="shared" si="76"/>
        <v>0</v>
      </c>
      <c r="AZ37" s="53">
        <f t="shared" si="77"/>
        <v>173692</v>
      </c>
      <c r="BA37" s="59">
        <f t="shared" si="78"/>
        <v>-173692</v>
      </c>
    </row>
    <row r="38" ht="15.75" customHeight="1">
      <c r="AI38" s="1">
        <v>22.0</v>
      </c>
      <c r="AN38" s="1">
        <v>6.0</v>
      </c>
    </row>
    <row r="39" ht="15.75" customHeight="1">
      <c r="D39" s="1" t="s">
        <v>59</v>
      </c>
      <c r="N39" s="61"/>
      <c r="AI39" s="1">
        <v>5.0</v>
      </c>
      <c r="AN39" s="1">
        <v>2.0</v>
      </c>
    </row>
    <row r="40" ht="15.75" customHeight="1">
      <c r="A40" s="62" t="s">
        <v>124</v>
      </c>
      <c r="B40" s="63">
        <v>57848.0</v>
      </c>
      <c r="C40" s="64" t="s">
        <v>107</v>
      </c>
      <c r="D40" s="65">
        <v>1990.0</v>
      </c>
      <c r="G40" s="47">
        <f t="shared" ref="G40:G55" si="79">MIN(D40,F40)</f>
        <v>1990</v>
      </c>
      <c r="I40" s="1">
        <v>10.0</v>
      </c>
      <c r="AI40" s="1">
        <v>7.0</v>
      </c>
      <c r="AN40" s="1">
        <v>1.0</v>
      </c>
    </row>
    <row r="41" ht="15.75" customHeight="1">
      <c r="A41" s="66" t="s">
        <v>125</v>
      </c>
      <c r="B41" s="67">
        <v>54500.0</v>
      </c>
      <c r="C41" s="64" t="s">
        <v>108</v>
      </c>
      <c r="D41" s="65">
        <v>1990.0</v>
      </c>
      <c r="G41" s="47">
        <f t="shared" si="79"/>
        <v>1990</v>
      </c>
      <c r="I41" s="1">
        <v>4.0</v>
      </c>
      <c r="AN41" s="1">
        <v>14.0</v>
      </c>
    </row>
    <row r="42" ht="15.75" customHeight="1">
      <c r="A42" s="66" t="s">
        <v>126</v>
      </c>
      <c r="B42" s="67">
        <v>48816.0</v>
      </c>
      <c r="C42" s="64" t="s">
        <v>109</v>
      </c>
      <c r="D42" s="65">
        <v>2055.0</v>
      </c>
      <c r="G42" s="47">
        <f t="shared" si="79"/>
        <v>2055</v>
      </c>
      <c r="I42" s="1">
        <v>26.0</v>
      </c>
      <c r="AL42" s="1">
        <v>6744966.0</v>
      </c>
    </row>
    <row r="43" ht="15.75" customHeight="1">
      <c r="A43" s="66" t="s">
        <v>127</v>
      </c>
      <c r="B43" s="67">
        <v>55686.0</v>
      </c>
      <c r="C43" s="64" t="s">
        <v>110</v>
      </c>
      <c r="D43" s="65">
        <v>4000.0</v>
      </c>
      <c r="G43" s="47">
        <f t="shared" si="79"/>
        <v>4000</v>
      </c>
      <c r="I43" s="1">
        <v>11.0</v>
      </c>
    </row>
    <row r="44" ht="15.75" customHeight="1">
      <c r="A44" s="66" t="s">
        <v>128</v>
      </c>
      <c r="B44" s="67">
        <v>52993.0</v>
      </c>
      <c r="C44" s="64" t="s">
        <v>111</v>
      </c>
      <c r="D44" s="65">
        <v>4254.0</v>
      </c>
      <c r="E44" s="47">
        <f t="shared" ref="E44:E47" si="80">$B$48*48</f>
        <v>960</v>
      </c>
      <c r="F44" s="47">
        <f t="shared" ref="F44:F47" si="81">D40+E44</f>
        <v>2950</v>
      </c>
      <c r="G44" s="47">
        <f t="shared" si="79"/>
        <v>2950</v>
      </c>
    </row>
    <row r="45" ht="15.75" customHeight="1">
      <c r="A45" s="66" t="s">
        <v>129</v>
      </c>
      <c r="B45" s="67">
        <v>58995.0</v>
      </c>
      <c r="C45" s="64" t="s">
        <v>112</v>
      </c>
      <c r="D45" s="65">
        <v>4251.0</v>
      </c>
      <c r="E45" s="47">
        <f t="shared" si="80"/>
        <v>960</v>
      </c>
      <c r="F45" s="47">
        <f t="shared" si="81"/>
        <v>2950</v>
      </c>
      <c r="G45" s="47">
        <f t="shared" si="79"/>
        <v>2950</v>
      </c>
    </row>
    <row r="46" ht="15.75" customHeight="1">
      <c r="A46" s="68" t="s">
        <v>130</v>
      </c>
      <c r="B46" s="67">
        <v>87992.0</v>
      </c>
      <c r="C46" s="64" t="s">
        <v>113</v>
      </c>
      <c r="D46" s="65">
        <v>4302.0</v>
      </c>
      <c r="E46" s="47">
        <f t="shared" si="80"/>
        <v>960</v>
      </c>
      <c r="F46" s="47">
        <f t="shared" si="81"/>
        <v>3015</v>
      </c>
      <c r="G46" s="47">
        <f t="shared" si="79"/>
        <v>3015</v>
      </c>
    </row>
    <row r="47" ht="15.75" customHeight="1">
      <c r="A47" s="69" t="s">
        <v>131</v>
      </c>
      <c r="B47" s="70">
        <v>7993.0</v>
      </c>
      <c r="C47" s="64" t="s">
        <v>114</v>
      </c>
      <c r="D47" s="65">
        <v>4343.0</v>
      </c>
      <c r="E47" s="47">
        <f t="shared" si="80"/>
        <v>960</v>
      </c>
      <c r="F47" s="47">
        <f t="shared" si="81"/>
        <v>4960</v>
      </c>
      <c r="G47" s="47">
        <f t="shared" si="79"/>
        <v>4343</v>
      </c>
    </row>
    <row r="48" ht="15.75" customHeight="1">
      <c r="A48" s="71" t="s">
        <v>132</v>
      </c>
      <c r="B48" s="67">
        <v>20.0</v>
      </c>
      <c r="C48" s="64" t="s">
        <v>115</v>
      </c>
      <c r="D48" s="65"/>
      <c r="E48" s="47">
        <f t="shared" ref="E48:E51" si="82">$B$49*48</f>
        <v>8640</v>
      </c>
      <c r="F48" s="47">
        <f t="shared" ref="F48:F55" si="83">MIN(D44,F44)+E48</f>
        <v>11590</v>
      </c>
      <c r="G48" s="47">
        <f t="shared" si="79"/>
        <v>11590</v>
      </c>
    </row>
    <row r="49" ht="15.75" customHeight="1">
      <c r="A49" s="68" t="s">
        <v>133</v>
      </c>
      <c r="B49" s="67">
        <v>180.0</v>
      </c>
      <c r="C49" s="64" t="s">
        <v>116</v>
      </c>
      <c r="D49" s="65">
        <v>14578.0</v>
      </c>
      <c r="E49" s="47">
        <f t="shared" si="82"/>
        <v>8640</v>
      </c>
      <c r="F49" s="47">
        <f t="shared" si="83"/>
        <v>11590</v>
      </c>
      <c r="G49" s="47">
        <f t="shared" si="79"/>
        <v>11590</v>
      </c>
    </row>
    <row r="50" ht="15.75" customHeight="1">
      <c r="A50" s="69" t="s">
        <v>134</v>
      </c>
      <c r="B50" s="70">
        <v>642.0</v>
      </c>
      <c r="C50" s="64" t="s">
        <v>120</v>
      </c>
      <c r="D50" s="65">
        <v>14577.0</v>
      </c>
      <c r="E50" s="47">
        <f t="shared" si="82"/>
        <v>8640</v>
      </c>
      <c r="F50" s="47">
        <f t="shared" si="83"/>
        <v>11655</v>
      </c>
      <c r="G50" s="47">
        <f t="shared" si="79"/>
        <v>11655</v>
      </c>
    </row>
    <row r="51" ht="15.75" customHeight="1">
      <c r="B51" s="72"/>
      <c r="C51" s="64" t="s">
        <v>135</v>
      </c>
      <c r="D51" s="65">
        <v>18978.0</v>
      </c>
      <c r="E51" s="47">
        <f t="shared" si="82"/>
        <v>8640</v>
      </c>
      <c r="F51" s="47">
        <f t="shared" si="83"/>
        <v>12983</v>
      </c>
      <c r="G51" s="47">
        <f t="shared" si="79"/>
        <v>12983</v>
      </c>
    </row>
    <row r="52" ht="15.75" customHeight="1">
      <c r="A52" s="73" t="s">
        <v>136</v>
      </c>
      <c r="B52" s="65">
        <v>5600.0</v>
      </c>
      <c r="C52" s="64" t="s">
        <v>113</v>
      </c>
      <c r="D52" s="65">
        <v>57996.0</v>
      </c>
      <c r="E52" s="47">
        <f t="shared" ref="E52:E55" si="84">$B$50*48</f>
        <v>30816</v>
      </c>
      <c r="F52" s="47">
        <f t="shared" si="83"/>
        <v>42406</v>
      </c>
      <c r="G52" s="47">
        <f t="shared" si="79"/>
        <v>42406</v>
      </c>
    </row>
    <row r="53" ht="15.75" customHeight="1">
      <c r="A53" s="73" t="s">
        <v>137</v>
      </c>
      <c r="B53" s="65">
        <v>19000.0</v>
      </c>
      <c r="C53" s="64" t="s">
        <v>117</v>
      </c>
      <c r="D53" s="65">
        <v>57990.0</v>
      </c>
      <c r="E53" s="47">
        <f t="shared" si="84"/>
        <v>30816</v>
      </c>
      <c r="F53" s="47">
        <f t="shared" si="83"/>
        <v>42406</v>
      </c>
      <c r="G53" s="47">
        <f t="shared" si="79"/>
        <v>42406</v>
      </c>
    </row>
    <row r="54" ht="15.75" customHeight="1">
      <c r="A54" s="73" t="s">
        <v>138</v>
      </c>
      <c r="B54" s="65">
        <v>7977.0</v>
      </c>
      <c r="C54" s="64" t="s">
        <v>121</v>
      </c>
      <c r="D54" s="65">
        <v>58962.0</v>
      </c>
      <c r="E54" s="47">
        <f t="shared" si="84"/>
        <v>30816</v>
      </c>
      <c r="F54" s="47">
        <f t="shared" si="83"/>
        <v>42471</v>
      </c>
      <c r="G54" s="47">
        <f t="shared" si="79"/>
        <v>42471</v>
      </c>
    </row>
    <row r="55" ht="15.75" customHeight="1">
      <c r="A55" s="73" t="s">
        <v>139</v>
      </c>
      <c r="B55" s="65">
        <v>19997.0</v>
      </c>
      <c r="C55" s="64" t="s">
        <v>140</v>
      </c>
      <c r="D55" s="65">
        <v>64999.0</v>
      </c>
      <c r="E55" s="47">
        <f t="shared" si="84"/>
        <v>30816</v>
      </c>
      <c r="F55" s="47">
        <f t="shared" si="83"/>
        <v>43799</v>
      </c>
      <c r="G55" s="47">
        <f t="shared" si="79"/>
        <v>43799</v>
      </c>
    </row>
    <row r="56" ht="15.75" customHeight="1">
      <c r="A56" s="73" t="s">
        <v>141</v>
      </c>
      <c r="B56" s="65">
        <v>9888.0</v>
      </c>
      <c r="C56" s="72"/>
      <c r="D56" s="72"/>
    </row>
    <row r="57" ht="15.75" customHeight="1">
      <c r="A57" s="73" t="s">
        <v>142</v>
      </c>
      <c r="B57" s="65">
        <v>10900.0</v>
      </c>
      <c r="C57" s="72"/>
      <c r="D57" s="72"/>
    </row>
    <row r="58" ht="15.75" customHeight="1">
      <c r="A58" s="73" t="s">
        <v>143</v>
      </c>
      <c r="B58" s="65">
        <v>192.0</v>
      </c>
      <c r="C58" s="72"/>
      <c r="D58" s="72"/>
    </row>
    <row r="59" ht="15.75" customHeight="1">
      <c r="A59" s="73" t="s">
        <v>144</v>
      </c>
      <c r="B59" s="65">
        <v>150912.0</v>
      </c>
      <c r="C59" s="72"/>
      <c r="D59" s="72"/>
    </row>
    <row r="60" ht="15.75" customHeight="1">
      <c r="A60" s="73" t="s">
        <v>145</v>
      </c>
      <c r="B60" s="65">
        <v>6476.0</v>
      </c>
      <c r="C60" s="72"/>
      <c r="D60" s="72"/>
    </row>
    <row r="61" ht="15.75" customHeight="1">
      <c r="A61" s="73" t="s">
        <v>146</v>
      </c>
      <c r="B61" s="65">
        <v>15897.0</v>
      </c>
      <c r="C61" s="72"/>
      <c r="D61" s="72"/>
    </row>
    <row r="62" ht="15.75" customHeight="1">
      <c r="A62" s="73" t="s">
        <v>147</v>
      </c>
      <c r="B62" s="65">
        <v>176.0</v>
      </c>
      <c r="C62" s="72"/>
      <c r="D62" s="72"/>
    </row>
    <row r="63" ht="15.75" customHeight="1">
      <c r="A63" s="73" t="s">
        <v>148</v>
      </c>
      <c r="B63" s="65">
        <v>9992.0</v>
      </c>
      <c r="C63" s="72"/>
      <c r="D63" s="72"/>
    </row>
    <row r="64" ht="15.75" customHeight="1">
      <c r="A64" s="73" t="s">
        <v>149</v>
      </c>
      <c r="B64" s="65">
        <v>9998.0</v>
      </c>
      <c r="C64" s="72"/>
      <c r="D64" s="72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D1:AG1"/>
    <mergeCell ref="AH1:AK1"/>
    <mergeCell ref="AL1:AO1"/>
    <mergeCell ref="AP1:AS1"/>
    <mergeCell ref="AT1:AW1"/>
    <mergeCell ref="AX1:BA1"/>
    <mergeCell ref="B1:E1"/>
    <mergeCell ref="F1:I1"/>
    <mergeCell ref="J1:M1"/>
    <mergeCell ref="N1:Q1"/>
    <mergeCell ref="R1:U1"/>
    <mergeCell ref="V1:Y1"/>
    <mergeCell ref="Z1:AC1"/>
  </mergeCells>
  <conditionalFormatting sqref="E5:E20 I5:I20 M5:M20 Q5:Q20 U5:U20 Y5:Y20 AC5:AC20 AG5:AG20 AK5:AK20 AO5:AO20 AS5:AS20 AW5:AW20 BA5:BA20 E22:E37 I22:I37 M22:M37 Q22:Q37 U22:U37 Y22:Y37 AC22:AC37 AG22:AG37 AK22:AK37 AO22:AO37 AS22:AS37 AW22:AW37 BA22:BA37">
    <cfRule type="cellIs" dxfId="2" priority="1" operator="lessThan">
      <formula>0</formula>
    </cfRule>
  </conditionalFormatting>
  <conditionalFormatting sqref="E5:E20 I5:I20 M5:M20 Q5:Q20 U5:U20 Y5:Y20 AC5:AC20 AG5:AG20 AK5:AK20 AO5:AO20 AS5:AS20 AW5:AW20 BA5:BA20 E22:E37 I22:I37 M22:M37 Q22:Q37 U22:U37 Y22:Y37 AC22:AC37 AG22:AG37 AK22:AK37 AO22:AO37 AS22:AS37 AW22:AW37 BA22:BA37">
    <cfRule type="cellIs" dxfId="3" priority="2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19.14"/>
    <col customWidth="1" min="3" max="3" width="12.0"/>
    <col customWidth="1" min="4" max="4" width="15.14"/>
    <col customWidth="1" min="5" max="5" width="15.86"/>
    <col customWidth="1" min="6" max="6" width="20.14"/>
    <col customWidth="1" min="7" max="7" width="14.43"/>
    <col customWidth="1" min="8" max="8" width="12.29"/>
    <col customWidth="1" min="9" max="9" width="11.0"/>
    <col customWidth="1" min="10" max="10" width="20.14"/>
    <col customWidth="1" min="11" max="11" width="12.0"/>
    <col customWidth="1" min="12" max="12" width="12.29"/>
    <col customWidth="1" min="13" max="13" width="9.43"/>
    <col customWidth="1" min="14" max="14" width="20.29"/>
    <col customWidth="1" min="15" max="15" width="12.0"/>
    <col customWidth="1" min="16" max="16" width="12.29"/>
    <col customWidth="1" min="17" max="17" width="9.43"/>
    <col customWidth="1" min="18" max="18" width="20.57"/>
    <col customWidth="1" min="19" max="19" width="12.0"/>
    <col customWidth="1" min="20" max="20" width="12.29"/>
    <col customWidth="1" min="21" max="21" width="9.43"/>
    <col customWidth="1" min="22" max="22" width="17.29"/>
    <col customWidth="1" min="23" max="23" width="12.0"/>
    <col customWidth="1" min="24" max="24" width="12.29"/>
    <col customWidth="1" min="25" max="25" width="9.43"/>
    <col customWidth="1" min="26" max="26" width="15.43"/>
    <col customWidth="1" min="27" max="27" width="12.0"/>
    <col customWidth="1" min="28" max="28" width="12.29"/>
    <col customWidth="1" min="29" max="29" width="9.43"/>
    <col customWidth="1" min="30" max="30" width="13.43"/>
    <col customWidth="1" min="31" max="31" width="12.0"/>
    <col customWidth="1" min="32" max="32" width="12.29"/>
    <col customWidth="1" min="33" max="33" width="11.0"/>
    <col customWidth="1" min="34" max="34" width="17.14"/>
    <col customWidth="1" min="35" max="35" width="12.0"/>
    <col customWidth="1" min="36" max="36" width="12.29"/>
    <col customWidth="1" min="37" max="37" width="9.43"/>
    <col customWidth="1" min="38" max="38" width="14.71"/>
    <col customWidth="1" min="39" max="39" width="12.0"/>
    <col customWidth="1" min="40" max="40" width="12.29"/>
    <col customWidth="1" min="41" max="41" width="9.43"/>
    <col customWidth="1" min="42" max="42" width="14.71"/>
    <col customWidth="1" min="43" max="43" width="12.0"/>
    <col customWidth="1" min="44" max="44" width="12.29"/>
    <col customWidth="1" min="45" max="45" width="9.43"/>
    <col customWidth="1" min="46" max="50" width="10.57"/>
    <col customWidth="1" min="51" max="51" width="12.0"/>
    <col customWidth="1" min="52" max="52" width="12.29"/>
    <col customWidth="1" min="53" max="53" width="9.43"/>
  </cols>
  <sheetData>
    <row r="1">
      <c r="A1" s="62" t="s">
        <v>124</v>
      </c>
      <c r="B1" s="63">
        <v>57848.0</v>
      </c>
      <c r="C1" s="74" t="s">
        <v>59</v>
      </c>
      <c r="D1" s="75" t="s">
        <v>150</v>
      </c>
      <c r="E1" s="74" t="s">
        <v>151</v>
      </c>
      <c r="F1" s="75" t="s">
        <v>152</v>
      </c>
      <c r="G1" s="76" t="s">
        <v>153</v>
      </c>
    </row>
    <row r="2">
      <c r="A2" s="66" t="s">
        <v>125</v>
      </c>
      <c r="B2" s="67">
        <v>54500.0</v>
      </c>
      <c r="C2" s="77" t="s">
        <v>154</v>
      </c>
      <c r="D2" s="78">
        <v>1990.0</v>
      </c>
      <c r="E2" s="79"/>
      <c r="F2" s="80"/>
      <c r="G2" s="81">
        <f t="shared" ref="G2:G26" si="1">MIN(D2,F2)</f>
        <v>1990</v>
      </c>
    </row>
    <row r="3">
      <c r="A3" s="66" t="s">
        <v>126</v>
      </c>
      <c r="B3" s="67">
        <v>48816.0</v>
      </c>
      <c r="C3" s="82" t="s">
        <v>155</v>
      </c>
      <c r="D3" s="83">
        <v>1990.0</v>
      </c>
      <c r="F3" s="84"/>
      <c r="G3" s="85">
        <f t="shared" si="1"/>
        <v>1990</v>
      </c>
    </row>
    <row r="4">
      <c r="A4" s="66" t="s">
        <v>127</v>
      </c>
      <c r="B4" s="67">
        <v>55686.0</v>
      </c>
      <c r="C4" s="82" t="s">
        <v>156</v>
      </c>
      <c r="D4" s="83">
        <v>2055.0</v>
      </c>
      <c r="F4" s="84"/>
      <c r="G4" s="85">
        <f t="shared" si="1"/>
        <v>2055</v>
      </c>
    </row>
    <row r="5">
      <c r="A5" s="66" t="s">
        <v>128</v>
      </c>
      <c r="B5" s="67">
        <v>52993.0</v>
      </c>
      <c r="C5" s="82" t="s">
        <v>157</v>
      </c>
      <c r="D5" s="83">
        <v>4000.0</v>
      </c>
      <c r="E5" s="86"/>
      <c r="F5" s="87"/>
      <c r="G5" s="85">
        <f t="shared" si="1"/>
        <v>4000</v>
      </c>
    </row>
    <row r="6">
      <c r="A6" s="66" t="s">
        <v>129</v>
      </c>
      <c r="B6" s="67">
        <v>58995.0</v>
      </c>
      <c r="C6" s="88" t="s">
        <v>158</v>
      </c>
      <c r="D6" s="89">
        <v>4254.0</v>
      </c>
      <c r="E6" s="90"/>
      <c r="F6" s="91"/>
      <c r="G6" s="85">
        <f t="shared" si="1"/>
        <v>4254</v>
      </c>
    </row>
    <row r="7">
      <c r="A7" s="68" t="s">
        <v>130</v>
      </c>
      <c r="B7" s="67">
        <v>87992.0</v>
      </c>
      <c r="C7" s="82" t="s">
        <v>111</v>
      </c>
      <c r="D7" s="83">
        <v>2200.0</v>
      </c>
      <c r="E7" s="47">
        <f t="shared" ref="E7:E11" si="2">$B$9*48</f>
        <v>960</v>
      </c>
      <c r="F7" s="92">
        <f t="shared" ref="F7:F21" si="3">D2+E7</f>
        <v>2950</v>
      </c>
      <c r="G7" s="85">
        <f t="shared" si="1"/>
        <v>2200</v>
      </c>
    </row>
    <row r="8">
      <c r="A8" s="69" t="s">
        <v>131</v>
      </c>
      <c r="B8" s="70">
        <v>7993.0</v>
      </c>
      <c r="C8" s="82" t="s">
        <v>115</v>
      </c>
      <c r="D8" s="83">
        <v>4302.0</v>
      </c>
      <c r="E8" s="47">
        <f t="shared" si="2"/>
        <v>960</v>
      </c>
      <c r="F8" s="93">
        <f t="shared" si="3"/>
        <v>2950</v>
      </c>
      <c r="G8" s="85">
        <f t="shared" si="1"/>
        <v>2950</v>
      </c>
    </row>
    <row r="9">
      <c r="A9" s="71" t="s">
        <v>132</v>
      </c>
      <c r="B9" s="67">
        <v>20.0</v>
      </c>
      <c r="C9" s="82" t="s">
        <v>119</v>
      </c>
      <c r="D9" s="83">
        <v>4343.0</v>
      </c>
      <c r="E9" s="47">
        <f t="shared" si="2"/>
        <v>960</v>
      </c>
      <c r="F9" s="94">
        <f t="shared" si="3"/>
        <v>3015</v>
      </c>
      <c r="G9" s="85">
        <f t="shared" si="1"/>
        <v>3015</v>
      </c>
    </row>
    <row r="10">
      <c r="A10" s="68" t="s">
        <v>133</v>
      </c>
      <c r="B10" s="67">
        <v>180.0</v>
      </c>
      <c r="C10" s="82" t="s">
        <v>159</v>
      </c>
      <c r="D10" s="83"/>
      <c r="E10" s="47">
        <f t="shared" si="2"/>
        <v>960</v>
      </c>
      <c r="F10" s="95">
        <f t="shared" si="3"/>
        <v>4960</v>
      </c>
      <c r="G10" s="85">
        <f t="shared" si="1"/>
        <v>4960</v>
      </c>
    </row>
    <row r="11">
      <c r="A11" s="69" t="s">
        <v>134</v>
      </c>
      <c r="B11" s="70">
        <v>642.0</v>
      </c>
      <c r="C11" s="88" t="s">
        <v>160</v>
      </c>
      <c r="D11" s="89">
        <v>14578.0</v>
      </c>
      <c r="E11" s="96">
        <f t="shared" si="2"/>
        <v>960</v>
      </c>
      <c r="F11" s="97">
        <f t="shared" si="3"/>
        <v>5214</v>
      </c>
      <c r="G11" s="85">
        <f t="shared" si="1"/>
        <v>5214</v>
      </c>
    </row>
    <row r="12">
      <c r="B12" s="72"/>
      <c r="C12" s="82" t="s">
        <v>112</v>
      </c>
      <c r="D12" s="83">
        <v>14577.0</v>
      </c>
      <c r="E12" s="47">
        <f t="shared" ref="E12:E16" si="4">$B$10*48</f>
        <v>8640</v>
      </c>
      <c r="F12" s="92">
        <f t="shared" si="3"/>
        <v>10840</v>
      </c>
      <c r="G12" s="85">
        <f t="shared" si="1"/>
        <v>10840</v>
      </c>
    </row>
    <row r="13">
      <c r="A13" s="98" t="s">
        <v>136</v>
      </c>
      <c r="B13" s="99">
        <v>5600.0</v>
      </c>
      <c r="C13" s="82" t="s">
        <v>116</v>
      </c>
      <c r="D13" s="83">
        <v>18978.0</v>
      </c>
      <c r="E13" s="47">
        <f t="shared" si="4"/>
        <v>8640</v>
      </c>
      <c r="F13" s="93">
        <f t="shared" si="3"/>
        <v>12942</v>
      </c>
      <c r="G13" s="85">
        <f t="shared" si="1"/>
        <v>12942</v>
      </c>
    </row>
    <row r="14">
      <c r="A14" s="100" t="s">
        <v>137</v>
      </c>
      <c r="B14" s="101">
        <v>19000.0</v>
      </c>
      <c r="C14" s="82" t="s">
        <v>120</v>
      </c>
      <c r="D14" s="83">
        <v>57996.0</v>
      </c>
      <c r="E14" s="47">
        <f t="shared" si="4"/>
        <v>8640</v>
      </c>
      <c r="F14" s="94">
        <f t="shared" si="3"/>
        <v>12983</v>
      </c>
      <c r="G14" s="85">
        <f t="shared" si="1"/>
        <v>12983</v>
      </c>
    </row>
    <row r="15">
      <c r="A15" s="100" t="s">
        <v>138</v>
      </c>
      <c r="B15" s="101">
        <v>7977.0</v>
      </c>
      <c r="C15" s="82" t="s">
        <v>135</v>
      </c>
      <c r="D15" s="83">
        <v>57990.0</v>
      </c>
      <c r="E15" s="47">
        <f t="shared" si="4"/>
        <v>8640</v>
      </c>
      <c r="F15" s="95">
        <f t="shared" si="3"/>
        <v>8640</v>
      </c>
      <c r="G15" s="85">
        <f t="shared" si="1"/>
        <v>8640</v>
      </c>
    </row>
    <row r="16">
      <c r="A16" s="100" t="s">
        <v>139</v>
      </c>
      <c r="B16" s="101">
        <v>19997.0</v>
      </c>
      <c r="C16" s="88" t="s">
        <v>161</v>
      </c>
      <c r="D16" s="89">
        <v>58962.0</v>
      </c>
      <c r="E16" s="96">
        <f t="shared" si="4"/>
        <v>8640</v>
      </c>
      <c r="F16" s="97">
        <f t="shared" si="3"/>
        <v>23218</v>
      </c>
      <c r="G16" s="85">
        <f t="shared" si="1"/>
        <v>23218</v>
      </c>
    </row>
    <row r="17">
      <c r="A17" s="100" t="s">
        <v>141</v>
      </c>
      <c r="B17" s="101">
        <v>9888.0</v>
      </c>
      <c r="C17" s="82" t="s">
        <v>113</v>
      </c>
      <c r="D17" s="83">
        <v>64999.0</v>
      </c>
      <c r="E17" s="47">
        <f t="shared" ref="E17:E21" si="5">$B$11*48</f>
        <v>30816</v>
      </c>
      <c r="F17" s="92">
        <f t="shared" si="3"/>
        <v>45393</v>
      </c>
      <c r="G17" s="85">
        <f t="shared" si="1"/>
        <v>45393</v>
      </c>
    </row>
    <row r="18">
      <c r="A18" s="100" t="s">
        <v>142</v>
      </c>
      <c r="B18" s="101">
        <v>10900.0</v>
      </c>
      <c r="C18" s="82" t="s">
        <v>117</v>
      </c>
      <c r="D18" s="102"/>
      <c r="E18" s="47">
        <f t="shared" si="5"/>
        <v>30816</v>
      </c>
      <c r="F18" s="93">
        <f t="shared" si="3"/>
        <v>49794</v>
      </c>
      <c r="G18" s="85">
        <f t="shared" si="1"/>
        <v>49794</v>
      </c>
    </row>
    <row r="19">
      <c r="A19" s="100" t="s">
        <v>143</v>
      </c>
      <c r="B19" s="101">
        <v>192.0</v>
      </c>
      <c r="C19" s="82" t="s">
        <v>121</v>
      </c>
      <c r="D19" s="102"/>
      <c r="E19" s="47">
        <f t="shared" si="5"/>
        <v>30816</v>
      </c>
      <c r="F19" s="94">
        <f t="shared" si="3"/>
        <v>88812</v>
      </c>
      <c r="G19" s="85">
        <f t="shared" si="1"/>
        <v>88812</v>
      </c>
    </row>
    <row r="20">
      <c r="A20" s="100" t="s">
        <v>144</v>
      </c>
      <c r="B20" s="101">
        <v>150912.0</v>
      </c>
      <c r="C20" s="82" t="s">
        <v>140</v>
      </c>
      <c r="D20" s="102"/>
      <c r="E20" s="47">
        <f t="shared" si="5"/>
        <v>30816</v>
      </c>
      <c r="F20" s="95">
        <f t="shared" si="3"/>
        <v>88806</v>
      </c>
      <c r="G20" s="85">
        <f t="shared" si="1"/>
        <v>88806</v>
      </c>
    </row>
    <row r="21" ht="15.75" customHeight="1">
      <c r="A21" s="100" t="s">
        <v>145</v>
      </c>
      <c r="B21" s="101">
        <v>6476.0</v>
      </c>
      <c r="C21" s="88" t="s">
        <v>162</v>
      </c>
      <c r="D21" s="103"/>
      <c r="E21" s="96">
        <f t="shared" si="5"/>
        <v>30816</v>
      </c>
      <c r="F21" s="97">
        <f t="shared" si="3"/>
        <v>89778</v>
      </c>
      <c r="G21" s="85">
        <f t="shared" si="1"/>
        <v>89778</v>
      </c>
    </row>
    <row r="22" ht="15.75" customHeight="1">
      <c r="A22" s="100" t="s">
        <v>146</v>
      </c>
      <c r="B22" s="101">
        <v>15897.0</v>
      </c>
      <c r="C22" s="82" t="s">
        <v>114</v>
      </c>
      <c r="D22" s="102"/>
      <c r="E22" s="86"/>
      <c r="F22" s="87"/>
      <c r="G22" s="85">
        <f t="shared" si="1"/>
        <v>0</v>
      </c>
    </row>
    <row r="23" ht="15.75" customHeight="1">
      <c r="A23" s="100" t="s">
        <v>147</v>
      </c>
      <c r="B23" s="101">
        <v>176.0</v>
      </c>
      <c r="C23" s="82" t="s">
        <v>118</v>
      </c>
      <c r="D23" s="102"/>
      <c r="E23" s="86"/>
      <c r="F23" s="87"/>
      <c r="G23" s="85">
        <f t="shared" si="1"/>
        <v>0</v>
      </c>
    </row>
    <row r="24" ht="15.75" customHeight="1">
      <c r="A24" s="100" t="s">
        <v>148</v>
      </c>
      <c r="B24" s="101">
        <v>9992.0</v>
      </c>
      <c r="C24" s="82" t="s">
        <v>122</v>
      </c>
      <c r="D24" s="102"/>
      <c r="E24" s="86"/>
      <c r="F24" s="87"/>
      <c r="G24" s="85">
        <f t="shared" si="1"/>
        <v>0</v>
      </c>
    </row>
    <row r="25" ht="15.75" customHeight="1">
      <c r="A25" s="104" t="s">
        <v>149</v>
      </c>
      <c r="B25" s="105">
        <v>9998.0</v>
      </c>
      <c r="C25" s="82" t="s">
        <v>163</v>
      </c>
      <c r="D25" s="102"/>
      <c r="E25" s="86"/>
      <c r="F25" s="87"/>
      <c r="G25" s="85">
        <f t="shared" si="1"/>
        <v>0</v>
      </c>
    </row>
    <row r="26" ht="15.75" customHeight="1">
      <c r="C26" s="88" t="s">
        <v>164</v>
      </c>
      <c r="D26" s="103"/>
      <c r="E26" s="90"/>
      <c r="F26" s="91"/>
      <c r="G26" s="85">
        <f t="shared" si="1"/>
        <v>0</v>
      </c>
    </row>
    <row r="27" ht="15.75" customHeight="1"/>
    <row r="28" ht="15.75" customHeight="1"/>
    <row r="29" ht="15.75" customHeight="1">
      <c r="A29" s="39" t="s">
        <v>55</v>
      </c>
      <c r="B29" s="40" t="s">
        <v>90</v>
      </c>
      <c r="C29" s="41"/>
      <c r="D29" s="41"/>
      <c r="E29" s="42"/>
      <c r="F29" s="43" t="s">
        <v>91</v>
      </c>
      <c r="G29" s="41"/>
      <c r="H29" s="41"/>
      <c r="I29" s="42"/>
      <c r="J29" s="40" t="s">
        <v>92</v>
      </c>
      <c r="K29" s="41"/>
      <c r="L29" s="41"/>
      <c r="M29" s="42"/>
      <c r="N29" s="40" t="s">
        <v>93</v>
      </c>
      <c r="O29" s="41"/>
      <c r="P29" s="41"/>
      <c r="Q29" s="42"/>
      <c r="R29" s="40" t="s">
        <v>94</v>
      </c>
      <c r="S29" s="41"/>
      <c r="T29" s="41"/>
      <c r="U29" s="42"/>
      <c r="V29" s="43" t="s">
        <v>95</v>
      </c>
      <c r="W29" s="41"/>
      <c r="X29" s="41"/>
      <c r="Y29" s="42"/>
      <c r="Z29" s="40" t="s">
        <v>96</v>
      </c>
      <c r="AA29" s="41"/>
      <c r="AB29" s="41"/>
      <c r="AC29" s="42"/>
      <c r="AD29" s="40" t="s">
        <v>97</v>
      </c>
      <c r="AE29" s="41"/>
      <c r="AF29" s="41"/>
      <c r="AG29" s="42"/>
      <c r="AH29" s="40" t="s">
        <v>98</v>
      </c>
      <c r="AI29" s="41"/>
      <c r="AJ29" s="41"/>
      <c r="AK29" s="42"/>
      <c r="AL29" s="40" t="s">
        <v>99</v>
      </c>
      <c r="AM29" s="41"/>
      <c r="AN29" s="41"/>
      <c r="AO29" s="42"/>
      <c r="AP29" s="40" t="s">
        <v>100</v>
      </c>
      <c r="AQ29" s="41"/>
      <c r="AR29" s="41"/>
      <c r="AS29" s="42"/>
      <c r="AT29" s="43" t="s">
        <v>101</v>
      </c>
      <c r="AU29" s="41"/>
      <c r="AV29" s="41"/>
      <c r="AW29" s="42"/>
      <c r="AX29" s="43" t="s">
        <v>102</v>
      </c>
      <c r="AY29" s="41"/>
      <c r="AZ29" s="41"/>
      <c r="BA29" s="42"/>
    </row>
    <row r="30" ht="15.75" customHeight="1">
      <c r="A30" s="39" t="s">
        <v>56</v>
      </c>
      <c r="B30" s="44">
        <f>B13</f>
        <v>5600</v>
      </c>
      <c r="E30" s="20"/>
      <c r="F30" s="44">
        <f>B14</f>
        <v>19000</v>
      </c>
      <c r="I30" s="20"/>
      <c r="J30" s="44">
        <f>B15</f>
        <v>7977</v>
      </c>
      <c r="M30" s="20"/>
      <c r="N30" s="44">
        <f>B16</f>
        <v>19997</v>
      </c>
      <c r="Q30" s="45"/>
      <c r="R30" s="44">
        <f>B17</f>
        <v>9888</v>
      </c>
      <c r="U30" s="20"/>
      <c r="V30" s="44">
        <f>B18</f>
        <v>10900</v>
      </c>
      <c r="Y30" s="45"/>
      <c r="Z30" s="44">
        <f>B19</f>
        <v>192</v>
      </c>
      <c r="AC30" s="20"/>
      <c r="AD30" s="44">
        <f>B20</f>
        <v>150912</v>
      </c>
      <c r="AG30" s="20"/>
      <c r="AH30" s="44">
        <f>B21</f>
        <v>6476</v>
      </c>
      <c r="AK30" s="20"/>
      <c r="AL30" s="44">
        <f>B22</f>
        <v>15897</v>
      </c>
      <c r="AO30" s="20"/>
      <c r="AP30" s="44">
        <f>B23</f>
        <v>176</v>
      </c>
      <c r="AS30" s="45"/>
      <c r="AT30" s="44">
        <f>B24</f>
        <v>9992</v>
      </c>
      <c r="AW30" s="20"/>
      <c r="AX30" s="44">
        <f>B25</f>
        <v>9998</v>
      </c>
    </row>
    <row r="31" ht="15.75" customHeight="1">
      <c r="A31" s="39" t="s">
        <v>57</v>
      </c>
      <c r="B31" s="44">
        <f>B4</f>
        <v>55686</v>
      </c>
      <c r="E31" s="20"/>
      <c r="F31" s="44">
        <f>B2</f>
        <v>54500</v>
      </c>
      <c r="I31" s="20"/>
      <c r="J31" s="44">
        <f>B6</f>
        <v>58995</v>
      </c>
      <c r="M31" s="20"/>
      <c r="N31" s="44">
        <f>B5</f>
        <v>52993</v>
      </c>
      <c r="Q31" s="20"/>
      <c r="R31" s="44">
        <f>B1</f>
        <v>57848</v>
      </c>
      <c r="U31" s="20"/>
      <c r="V31" s="44">
        <f>B3</f>
        <v>48816</v>
      </c>
      <c r="Y31" s="20"/>
      <c r="Z31" s="46">
        <f>B6</f>
        <v>58995</v>
      </c>
      <c r="AC31" s="20"/>
      <c r="AD31" s="44">
        <f>B2</f>
        <v>54500</v>
      </c>
      <c r="AG31" s="20"/>
      <c r="AH31" s="44">
        <f>B5</f>
        <v>52993</v>
      </c>
      <c r="AK31" s="20"/>
      <c r="AL31" s="44">
        <f>B1</f>
        <v>57848</v>
      </c>
      <c r="AO31" s="20"/>
      <c r="AP31" s="44">
        <f>B4</f>
        <v>55686</v>
      </c>
      <c r="AS31" s="20"/>
      <c r="AT31" s="44">
        <f>B7</f>
        <v>87992</v>
      </c>
      <c r="AW31" s="20"/>
      <c r="AX31" s="44">
        <f>B8*15</f>
        <v>119895</v>
      </c>
    </row>
    <row r="32" ht="15.75" customHeight="1">
      <c r="A32" s="47"/>
      <c r="B32" s="48" t="s">
        <v>103</v>
      </c>
      <c r="C32" s="49" t="s">
        <v>104</v>
      </c>
      <c r="D32" s="50" t="s">
        <v>105</v>
      </c>
      <c r="E32" s="51" t="s">
        <v>106</v>
      </c>
      <c r="F32" s="48" t="s">
        <v>103</v>
      </c>
      <c r="G32" s="49" t="s">
        <v>104</v>
      </c>
      <c r="H32" s="50" t="s">
        <v>105</v>
      </c>
      <c r="I32" s="51" t="s">
        <v>106</v>
      </c>
      <c r="J32" s="48" t="s">
        <v>103</v>
      </c>
      <c r="K32" s="49" t="s">
        <v>104</v>
      </c>
      <c r="L32" s="50" t="s">
        <v>105</v>
      </c>
      <c r="M32" s="51" t="s">
        <v>106</v>
      </c>
      <c r="N32" s="48" t="s">
        <v>103</v>
      </c>
      <c r="O32" s="49" t="s">
        <v>104</v>
      </c>
      <c r="P32" s="50" t="s">
        <v>105</v>
      </c>
      <c r="Q32" s="51" t="s">
        <v>106</v>
      </c>
      <c r="R32" s="48" t="s">
        <v>103</v>
      </c>
      <c r="S32" s="49" t="s">
        <v>104</v>
      </c>
      <c r="T32" s="50" t="s">
        <v>105</v>
      </c>
      <c r="U32" s="51" t="s">
        <v>106</v>
      </c>
      <c r="V32" s="48" t="s">
        <v>103</v>
      </c>
      <c r="W32" s="49" t="s">
        <v>104</v>
      </c>
      <c r="X32" s="50" t="s">
        <v>105</v>
      </c>
      <c r="Y32" s="51" t="s">
        <v>106</v>
      </c>
      <c r="Z32" s="48" t="s">
        <v>103</v>
      </c>
      <c r="AA32" s="49" t="s">
        <v>104</v>
      </c>
      <c r="AB32" s="50" t="s">
        <v>105</v>
      </c>
      <c r="AC32" s="51" t="s">
        <v>106</v>
      </c>
      <c r="AD32" s="48" t="s">
        <v>103</v>
      </c>
      <c r="AE32" s="49" t="s">
        <v>104</v>
      </c>
      <c r="AF32" s="50" t="s">
        <v>105</v>
      </c>
      <c r="AG32" s="51" t="s">
        <v>106</v>
      </c>
      <c r="AH32" s="48" t="s">
        <v>103</v>
      </c>
      <c r="AI32" s="49" t="s">
        <v>104</v>
      </c>
      <c r="AJ32" s="50" t="s">
        <v>105</v>
      </c>
      <c r="AK32" s="51" t="s">
        <v>106</v>
      </c>
      <c r="AL32" s="48" t="s">
        <v>103</v>
      </c>
      <c r="AM32" s="49" t="s">
        <v>104</v>
      </c>
      <c r="AN32" s="50" t="s">
        <v>105</v>
      </c>
      <c r="AO32" s="51" t="s">
        <v>106</v>
      </c>
      <c r="AP32" s="48" t="s">
        <v>103</v>
      </c>
      <c r="AQ32" s="49" t="s">
        <v>104</v>
      </c>
      <c r="AR32" s="50" t="s">
        <v>105</v>
      </c>
      <c r="AS32" s="51" t="s">
        <v>106</v>
      </c>
      <c r="AT32" s="48" t="s">
        <v>103</v>
      </c>
      <c r="AU32" s="49" t="s">
        <v>104</v>
      </c>
      <c r="AV32" s="50" t="s">
        <v>105</v>
      </c>
      <c r="AW32" s="51" t="s">
        <v>106</v>
      </c>
      <c r="AX32" s="48" t="s">
        <v>103</v>
      </c>
      <c r="AY32" s="49" t="s">
        <v>104</v>
      </c>
      <c r="AZ32" s="50" t="s">
        <v>105</v>
      </c>
      <c r="BA32" s="51" t="s">
        <v>106</v>
      </c>
    </row>
    <row r="33" ht="15.75" customHeight="1">
      <c r="A33" s="52" t="s">
        <v>107</v>
      </c>
      <c r="B33" s="44"/>
      <c r="C33" s="39">
        <f t="shared" ref="C33:C48" si="6">B33*0.895</f>
        <v>0</v>
      </c>
      <c r="D33" s="53">
        <f t="shared" ref="D33:D48" si="7">$B$30+$B$31+G2</f>
        <v>63276</v>
      </c>
      <c r="E33" s="20">
        <f t="shared" ref="E33:E48" si="8">C33-D33</f>
        <v>-63276</v>
      </c>
      <c r="F33" s="44"/>
      <c r="G33" s="39">
        <f t="shared" ref="G33:G48" si="9">F33*0.895</f>
        <v>0</v>
      </c>
      <c r="H33" s="53">
        <f t="shared" ref="H33:H48" si="10">$F$30+$F$31+G2</f>
        <v>75490</v>
      </c>
      <c r="I33" s="20">
        <f t="shared" ref="I33:I48" si="11">G33-H33</f>
        <v>-75490</v>
      </c>
      <c r="J33" s="46"/>
      <c r="K33" s="39">
        <f t="shared" ref="K33:K48" si="12">J33*0.895</f>
        <v>0</v>
      </c>
      <c r="L33" s="53">
        <f t="shared" ref="L33:L48" si="13">$J$30+$J$31+G2</f>
        <v>68962</v>
      </c>
      <c r="M33" s="20">
        <f t="shared" ref="M33:M48" si="14">K33-L33</f>
        <v>-68962</v>
      </c>
      <c r="N33" s="44"/>
      <c r="O33" s="39">
        <f t="shared" ref="O33:O48" si="15">N33*0.895</f>
        <v>0</v>
      </c>
      <c r="P33" s="53">
        <f t="shared" ref="P33:P48" si="16">$N$30+$N$31+G2</f>
        <v>74980</v>
      </c>
      <c r="Q33" s="20">
        <f t="shared" ref="Q33:Q48" si="17">O33-P33</f>
        <v>-74980</v>
      </c>
      <c r="R33" s="44"/>
      <c r="S33" s="39">
        <f t="shared" ref="S33:S48" si="18">R33*0.895</f>
        <v>0</v>
      </c>
      <c r="T33" s="53">
        <f t="shared" ref="T33:T48" si="19">$R$30+$R$31+G2</f>
        <v>69726</v>
      </c>
      <c r="U33" s="20">
        <f t="shared" ref="U33:U48" si="20">S33-T33</f>
        <v>-69726</v>
      </c>
      <c r="V33" s="44"/>
      <c r="W33" s="39">
        <f t="shared" ref="W33:W48" si="21">V33*0.895</f>
        <v>0</v>
      </c>
      <c r="X33" s="53">
        <f t="shared" ref="X33:X48" si="22">$V$30+$V$31+G2</f>
        <v>61706</v>
      </c>
      <c r="Y33" s="20">
        <f t="shared" ref="Y33:Y48" si="23">W33-X33</f>
        <v>-61706</v>
      </c>
      <c r="Z33" s="44"/>
      <c r="AA33" s="39">
        <f t="shared" ref="AA33:AA48" si="24">Z33*0.895</f>
        <v>0</v>
      </c>
      <c r="AB33" s="53">
        <f t="shared" ref="AB33:AB48" si="25">$Z$30+$Z$31+G2</f>
        <v>61177</v>
      </c>
      <c r="AC33" s="20">
        <f t="shared" ref="AC33:AC48" si="26">AA33-AB33</f>
        <v>-61177</v>
      </c>
      <c r="AD33" s="44"/>
      <c r="AE33" s="39">
        <f t="shared" ref="AE33:AE48" si="27">AD33*0.895</f>
        <v>0</v>
      </c>
      <c r="AF33" s="53">
        <f t="shared" ref="AF33:AF48" si="28">$AD$30+$AD$31+G2</f>
        <v>207402</v>
      </c>
      <c r="AG33" s="20">
        <f t="shared" ref="AG33:AG48" si="29">AE33-AF33</f>
        <v>-207402</v>
      </c>
      <c r="AH33" s="44"/>
      <c r="AI33" s="39">
        <f t="shared" ref="AI33:AI48" si="30">AH33*0.895</f>
        <v>0</v>
      </c>
      <c r="AJ33" s="53">
        <f t="shared" ref="AJ33:AJ48" si="31">$AH$30+$AH$31+G2</f>
        <v>61459</v>
      </c>
      <c r="AK33" s="20">
        <f t="shared" ref="AK33:AK48" si="32">AI33-AJ33</f>
        <v>-61459</v>
      </c>
      <c r="AL33" s="44"/>
      <c r="AM33" s="39">
        <f t="shared" ref="AM33:AM48" si="33">AL33*0.895</f>
        <v>0</v>
      </c>
      <c r="AN33" s="53">
        <f t="shared" ref="AN33:AN48" si="34">$AL$30+$AL$31+G2</f>
        <v>75735</v>
      </c>
      <c r="AO33" s="20">
        <f t="shared" ref="AO33:AO48" si="35">AM33-AN33</f>
        <v>-75735</v>
      </c>
      <c r="AP33" s="44"/>
      <c r="AQ33" s="39">
        <f t="shared" ref="AQ33:AQ48" si="36">AP33*0.895</f>
        <v>0</v>
      </c>
      <c r="AR33" s="53">
        <f t="shared" ref="AR33:AR48" si="37">$AP$30+$AP$31+G2</f>
        <v>57852</v>
      </c>
      <c r="AS33" s="20">
        <f t="shared" ref="AS33:AS48" si="38">AQ33-AR33</f>
        <v>-57852</v>
      </c>
      <c r="AT33" s="44"/>
      <c r="AU33" s="39">
        <f t="shared" ref="AU33:AU48" si="39">AT33*0.895</f>
        <v>0</v>
      </c>
      <c r="AV33" s="53">
        <f t="shared" ref="AV33:AV48" si="40">$AT$30+$AT$31+G2</f>
        <v>99974</v>
      </c>
      <c r="AW33" s="20">
        <f t="shared" ref="AW33:AW48" si="41">AU33-AV33</f>
        <v>-99974</v>
      </c>
      <c r="AX33" s="44"/>
      <c r="AY33" s="39">
        <f t="shared" ref="AY33:AY48" si="42">AX33*0.895</f>
        <v>0</v>
      </c>
      <c r="AZ33" s="53">
        <f t="shared" ref="AZ33:AZ48" si="43">$AX$30+$AX$31+G2</f>
        <v>131883</v>
      </c>
      <c r="BA33" s="20">
        <f t="shared" ref="BA33:BA48" si="44">AY33-AZ33</f>
        <v>-131883</v>
      </c>
    </row>
    <row r="34" ht="15.75" customHeight="1">
      <c r="A34" s="52" t="s">
        <v>108</v>
      </c>
      <c r="B34" s="44"/>
      <c r="C34" s="39">
        <f t="shared" si="6"/>
        <v>0</v>
      </c>
      <c r="D34" s="53">
        <f t="shared" si="7"/>
        <v>63276</v>
      </c>
      <c r="E34" s="20">
        <f t="shared" si="8"/>
        <v>-63276</v>
      </c>
      <c r="F34" s="44"/>
      <c r="G34" s="39">
        <f t="shared" si="9"/>
        <v>0</v>
      </c>
      <c r="H34" s="53">
        <f t="shared" si="10"/>
        <v>75490</v>
      </c>
      <c r="I34" s="20">
        <f t="shared" si="11"/>
        <v>-75490</v>
      </c>
      <c r="J34" s="46"/>
      <c r="K34" s="39">
        <f t="shared" si="12"/>
        <v>0</v>
      </c>
      <c r="L34" s="53">
        <f t="shared" si="13"/>
        <v>68962</v>
      </c>
      <c r="M34" s="20">
        <f t="shared" si="14"/>
        <v>-68962</v>
      </c>
      <c r="N34" s="44"/>
      <c r="O34" s="39">
        <f t="shared" si="15"/>
        <v>0</v>
      </c>
      <c r="P34" s="53">
        <f t="shared" si="16"/>
        <v>74980</v>
      </c>
      <c r="Q34" s="20">
        <f t="shared" si="17"/>
        <v>-74980</v>
      </c>
      <c r="R34" s="44"/>
      <c r="S34" s="39">
        <f t="shared" si="18"/>
        <v>0</v>
      </c>
      <c r="T34" s="53">
        <f t="shared" si="19"/>
        <v>69726</v>
      </c>
      <c r="U34" s="20">
        <f t="shared" si="20"/>
        <v>-69726</v>
      </c>
      <c r="V34" s="44"/>
      <c r="W34" s="39">
        <f t="shared" si="21"/>
        <v>0</v>
      </c>
      <c r="X34" s="53">
        <f t="shared" si="22"/>
        <v>61706</v>
      </c>
      <c r="Y34" s="20">
        <f t="shared" si="23"/>
        <v>-61706</v>
      </c>
      <c r="Z34" s="44"/>
      <c r="AA34" s="39">
        <f t="shared" si="24"/>
        <v>0</v>
      </c>
      <c r="AB34" s="53">
        <f t="shared" si="25"/>
        <v>61177</v>
      </c>
      <c r="AC34" s="20">
        <f t="shared" si="26"/>
        <v>-61177</v>
      </c>
      <c r="AD34" s="44"/>
      <c r="AE34" s="39">
        <f t="shared" si="27"/>
        <v>0</v>
      </c>
      <c r="AF34" s="53">
        <f t="shared" si="28"/>
        <v>207402</v>
      </c>
      <c r="AG34" s="20">
        <f t="shared" si="29"/>
        <v>-207402</v>
      </c>
      <c r="AH34" s="44"/>
      <c r="AI34" s="39">
        <f t="shared" si="30"/>
        <v>0</v>
      </c>
      <c r="AJ34" s="53">
        <f t="shared" si="31"/>
        <v>61459</v>
      </c>
      <c r="AK34" s="20">
        <f t="shared" si="32"/>
        <v>-61459</v>
      </c>
      <c r="AL34" s="44"/>
      <c r="AM34" s="39">
        <f t="shared" si="33"/>
        <v>0</v>
      </c>
      <c r="AN34" s="53">
        <f t="shared" si="34"/>
        <v>75735</v>
      </c>
      <c r="AO34" s="20">
        <f t="shared" si="35"/>
        <v>-75735</v>
      </c>
      <c r="AP34" s="44"/>
      <c r="AQ34" s="39">
        <f t="shared" si="36"/>
        <v>0</v>
      </c>
      <c r="AR34" s="53">
        <f t="shared" si="37"/>
        <v>57852</v>
      </c>
      <c r="AS34" s="20">
        <f t="shared" si="38"/>
        <v>-57852</v>
      </c>
      <c r="AT34" s="44"/>
      <c r="AU34" s="39">
        <f t="shared" si="39"/>
        <v>0</v>
      </c>
      <c r="AV34" s="53">
        <f t="shared" si="40"/>
        <v>99974</v>
      </c>
      <c r="AW34" s="20">
        <f t="shared" si="41"/>
        <v>-99974</v>
      </c>
      <c r="AX34" s="44"/>
      <c r="AY34" s="39">
        <f t="shared" si="42"/>
        <v>0</v>
      </c>
      <c r="AZ34" s="53">
        <f t="shared" si="43"/>
        <v>131883</v>
      </c>
      <c r="BA34" s="20">
        <f t="shared" si="44"/>
        <v>-131883</v>
      </c>
    </row>
    <row r="35" ht="15.75" customHeight="1">
      <c r="A35" s="52" t="s">
        <v>109</v>
      </c>
      <c r="B35" s="44"/>
      <c r="C35" s="39">
        <f t="shared" si="6"/>
        <v>0</v>
      </c>
      <c r="D35" s="53">
        <f t="shared" si="7"/>
        <v>63341</v>
      </c>
      <c r="E35" s="20">
        <f t="shared" si="8"/>
        <v>-63341</v>
      </c>
      <c r="F35" s="44"/>
      <c r="G35" s="39">
        <f t="shared" si="9"/>
        <v>0</v>
      </c>
      <c r="H35" s="53">
        <f t="shared" si="10"/>
        <v>75555</v>
      </c>
      <c r="I35" s="20">
        <f t="shared" si="11"/>
        <v>-75555</v>
      </c>
      <c r="J35" s="46"/>
      <c r="K35" s="39">
        <f t="shared" si="12"/>
        <v>0</v>
      </c>
      <c r="L35" s="53">
        <f t="shared" si="13"/>
        <v>69027</v>
      </c>
      <c r="M35" s="20">
        <f t="shared" si="14"/>
        <v>-69027</v>
      </c>
      <c r="N35" s="44"/>
      <c r="O35" s="39">
        <f t="shared" si="15"/>
        <v>0</v>
      </c>
      <c r="P35" s="53">
        <f t="shared" si="16"/>
        <v>75045</v>
      </c>
      <c r="Q35" s="20">
        <f t="shared" si="17"/>
        <v>-75045</v>
      </c>
      <c r="R35" s="44"/>
      <c r="S35" s="39">
        <f t="shared" si="18"/>
        <v>0</v>
      </c>
      <c r="T35" s="53">
        <f t="shared" si="19"/>
        <v>69791</v>
      </c>
      <c r="U35" s="20">
        <f t="shared" si="20"/>
        <v>-69791</v>
      </c>
      <c r="V35" s="44"/>
      <c r="W35" s="39">
        <f t="shared" si="21"/>
        <v>0</v>
      </c>
      <c r="X35" s="53">
        <f t="shared" si="22"/>
        <v>61771</v>
      </c>
      <c r="Y35" s="20">
        <f t="shared" si="23"/>
        <v>-61771</v>
      </c>
      <c r="Z35" s="44"/>
      <c r="AA35" s="39">
        <f t="shared" si="24"/>
        <v>0</v>
      </c>
      <c r="AB35" s="53">
        <f t="shared" si="25"/>
        <v>61242</v>
      </c>
      <c r="AC35" s="20">
        <f t="shared" si="26"/>
        <v>-61242</v>
      </c>
      <c r="AD35" s="44"/>
      <c r="AE35" s="39">
        <f t="shared" si="27"/>
        <v>0</v>
      </c>
      <c r="AF35" s="53">
        <f t="shared" si="28"/>
        <v>207467</v>
      </c>
      <c r="AG35" s="20">
        <f t="shared" si="29"/>
        <v>-207467</v>
      </c>
      <c r="AH35" s="44"/>
      <c r="AI35" s="39">
        <f t="shared" si="30"/>
        <v>0</v>
      </c>
      <c r="AJ35" s="53">
        <f t="shared" si="31"/>
        <v>61524</v>
      </c>
      <c r="AK35" s="20">
        <f t="shared" si="32"/>
        <v>-61524</v>
      </c>
      <c r="AL35" s="44"/>
      <c r="AM35" s="39">
        <f t="shared" si="33"/>
        <v>0</v>
      </c>
      <c r="AN35" s="53">
        <f t="shared" si="34"/>
        <v>75800</v>
      </c>
      <c r="AO35" s="20">
        <f t="shared" si="35"/>
        <v>-75800</v>
      </c>
      <c r="AP35" s="44"/>
      <c r="AQ35" s="39">
        <f t="shared" si="36"/>
        <v>0</v>
      </c>
      <c r="AR35" s="53">
        <f t="shared" si="37"/>
        <v>57917</v>
      </c>
      <c r="AS35" s="20">
        <f t="shared" si="38"/>
        <v>-57917</v>
      </c>
      <c r="AT35" s="44"/>
      <c r="AU35" s="39">
        <f t="shared" si="39"/>
        <v>0</v>
      </c>
      <c r="AV35" s="53">
        <f t="shared" si="40"/>
        <v>100039</v>
      </c>
      <c r="AW35" s="20">
        <f t="shared" si="41"/>
        <v>-100039</v>
      </c>
      <c r="AX35" s="44"/>
      <c r="AY35" s="39">
        <f t="shared" si="42"/>
        <v>0</v>
      </c>
      <c r="AZ35" s="53">
        <f t="shared" si="43"/>
        <v>131948</v>
      </c>
      <c r="BA35" s="20">
        <f t="shared" si="44"/>
        <v>-131948</v>
      </c>
    </row>
    <row r="36" ht="15.75" customHeight="1">
      <c r="A36" s="52" t="s">
        <v>110</v>
      </c>
      <c r="B36" s="44"/>
      <c r="C36" s="39">
        <f t="shared" si="6"/>
        <v>0</v>
      </c>
      <c r="D36" s="53">
        <f t="shared" si="7"/>
        <v>65286</v>
      </c>
      <c r="E36" s="20">
        <f t="shared" si="8"/>
        <v>-65286</v>
      </c>
      <c r="F36" s="44"/>
      <c r="G36" s="39">
        <f t="shared" si="9"/>
        <v>0</v>
      </c>
      <c r="H36" s="53">
        <f t="shared" si="10"/>
        <v>77500</v>
      </c>
      <c r="I36" s="20">
        <f t="shared" si="11"/>
        <v>-77500</v>
      </c>
      <c r="J36" s="46"/>
      <c r="K36" s="39">
        <f t="shared" si="12"/>
        <v>0</v>
      </c>
      <c r="L36" s="53">
        <f t="shared" si="13"/>
        <v>70972</v>
      </c>
      <c r="M36" s="20">
        <f t="shared" si="14"/>
        <v>-70972</v>
      </c>
      <c r="N36" s="44"/>
      <c r="O36" s="39">
        <f t="shared" si="15"/>
        <v>0</v>
      </c>
      <c r="P36" s="53">
        <f t="shared" si="16"/>
        <v>76990</v>
      </c>
      <c r="Q36" s="20">
        <f t="shared" si="17"/>
        <v>-76990</v>
      </c>
      <c r="R36" s="44"/>
      <c r="S36" s="39">
        <f t="shared" si="18"/>
        <v>0</v>
      </c>
      <c r="T36" s="53">
        <f t="shared" si="19"/>
        <v>71736</v>
      </c>
      <c r="U36" s="20">
        <f t="shared" si="20"/>
        <v>-71736</v>
      </c>
      <c r="V36" s="44"/>
      <c r="W36" s="39">
        <f t="shared" si="21"/>
        <v>0</v>
      </c>
      <c r="X36" s="53">
        <f t="shared" si="22"/>
        <v>63716</v>
      </c>
      <c r="Y36" s="20">
        <f t="shared" si="23"/>
        <v>-63716</v>
      </c>
      <c r="Z36" s="44"/>
      <c r="AA36" s="39">
        <f t="shared" si="24"/>
        <v>0</v>
      </c>
      <c r="AB36" s="53">
        <f t="shared" si="25"/>
        <v>63187</v>
      </c>
      <c r="AC36" s="20">
        <f t="shared" si="26"/>
        <v>-63187</v>
      </c>
      <c r="AD36" s="44"/>
      <c r="AE36" s="39">
        <f t="shared" si="27"/>
        <v>0</v>
      </c>
      <c r="AF36" s="53">
        <f t="shared" si="28"/>
        <v>209412</v>
      </c>
      <c r="AG36" s="20">
        <f t="shared" si="29"/>
        <v>-209412</v>
      </c>
      <c r="AH36" s="44"/>
      <c r="AI36" s="39">
        <f t="shared" si="30"/>
        <v>0</v>
      </c>
      <c r="AJ36" s="53">
        <f t="shared" si="31"/>
        <v>63469</v>
      </c>
      <c r="AK36" s="20">
        <f t="shared" si="32"/>
        <v>-63469</v>
      </c>
      <c r="AL36" s="44"/>
      <c r="AM36" s="39">
        <f t="shared" si="33"/>
        <v>0</v>
      </c>
      <c r="AN36" s="53">
        <f t="shared" si="34"/>
        <v>77745</v>
      </c>
      <c r="AO36" s="20">
        <f t="shared" si="35"/>
        <v>-77745</v>
      </c>
      <c r="AP36" s="44"/>
      <c r="AQ36" s="39">
        <f t="shared" si="36"/>
        <v>0</v>
      </c>
      <c r="AR36" s="53">
        <f t="shared" si="37"/>
        <v>59862</v>
      </c>
      <c r="AS36" s="20">
        <f t="shared" si="38"/>
        <v>-59862</v>
      </c>
      <c r="AT36" s="44"/>
      <c r="AU36" s="39">
        <f t="shared" si="39"/>
        <v>0</v>
      </c>
      <c r="AV36" s="53">
        <f t="shared" si="40"/>
        <v>101984</v>
      </c>
      <c r="AW36" s="20">
        <f t="shared" si="41"/>
        <v>-101984</v>
      </c>
      <c r="AX36" s="44"/>
      <c r="AY36" s="39">
        <f t="shared" si="42"/>
        <v>0</v>
      </c>
      <c r="AZ36" s="53">
        <f t="shared" si="43"/>
        <v>133893</v>
      </c>
      <c r="BA36" s="20">
        <f t="shared" si="44"/>
        <v>-133893</v>
      </c>
    </row>
    <row r="37" ht="15.75" customHeight="1">
      <c r="A37" s="52" t="s">
        <v>111</v>
      </c>
      <c r="B37" s="44"/>
      <c r="C37" s="39">
        <f t="shared" si="6"/>
        <v>0</v>
      </c>
      <c r="D37" s="53">
        <f t="shared" si="7"/>
        <v>65540</v>
      </c>
      <c r="E37" s="20">
        <f t="shared" si="8"/>
        <v>-65540</v>
      </c>
      <c r="F37" s="44"/>
      <c r="G37" s="39">
        <f t="shared" si="9"/>
        <v>0</v>
      </c>
      <c r="H37" s="53">
        <f t="shared" si="10"/>
        <v>77754</v>
      </c>
      <c r="I37" s="20">
        <f t="shared" si="11"/>
        <v>-77754</v>
      </c>
      <c r="J37" s="46"/>
      <c r="K37" s="39">
        <f t="shared" si="12"/>
        <v>0</v>
      </c>
      <c r="L37" s="53">
        <f t="shared" si="13"/>
        <v>71226</v>
      </c>
      <c r="M37" s="20">
        <f t="shared" si="14"/>
        <v>-71226</v>
      </c>
      <c r="N37" s="44"/>
      <c r="O37" s="39">
        <f t="shared" si="15"/>
        <v>0</v>
      </c>
      <c r="P37" s="53">
        <f t="shared" si="16"/>
        <v>77244</v>
      </c>
      <c r="Q37" s="20">
        <f t="shared" si="17"/>
        <v>-77244</v>
      </c>
      <c r="R37" s="44"/>
      <c r="S37" s="39">
        <f t="shared" si="18"/>
        <v>0</v>
      </c>
      <c r="T37" s="53">
        <f t="shared" si="19"/>
        <v>71990</v>
      </c>
      <c r="U37" s="20">
        <f t="shared" si="20"/>
        <v>-71990</v>
      </c>
      <c r="V37" s="44"/>
      <c r="W37" s="39">
        <f t="shared" si="21"/>
        <v>0</v>
      </c>
      <c r="X37" s="53">
        <f t="shared" si="22"/>
        <v>63970</v>
      </c>
      <c r="Y37" s="20">
        <f t="shared" si="23"/>
        <v>-63970</v>
      </c>
      <c r="Z37" s="44"/>
      <c r="AA37" s="39">
        <f t="shared" si="24"/>
        <v>0</v>
      </c>
      <c r="AB37" s="53">
        <f t="shared" si="25"/>
        <v>63441</v>
      </c>
      <c r="AC37" s="20">
        <f t="shared" si="26"/>
        <v>-63441</v>
      </c>
      <c r="AD37" s="44"/>
      <c r="AE37" s="39">
        <f t="shared" si="27"/>
        <v>0</v>
      </c>
      <c r="AF37" s="53">
        <f t="shared" si="28"/>
        <v>209666</v>
      </c>
      <c r="AG37" s="20">
        <f t="shared" si="29"/>
        <v>-209666</v>
      </c>
      <c r="AH37" s="44"/>
      <c r="AI37" s="39">
        <f t="shared" si="30"/>
        <v>0</v>
      </c>
      <c r="AJ37" s="53">
        <f t="shared" si="31"/>
        <v>63723</v>
      </c>
      <c r="AK37" s="20">
        <f t="shared" si="32"/>
        <v>-63723</v>
      </c>
      <c r="AL37" s="44"/>
      <c r="AM37" s="39">
        <f t="shared" si="33"/>
        <v>0</v>
      </c>
      <c r="AN37" s="53">
        <f t="shared" si="34"/>
        <v>77999</v>
      </c>
      <c r="AO37" s="20">
        <f t="shared" si="35"/>
        <v>-77999</v>
      </c>
      <c r="AP37" s="44"/>
      <c r="AQ37" s="39">
        <f t="shared" si="36"/>
        <v>0</v>
      </c>
      <c r="AR37" s="53">
        <f t="shared" si="37"/>
        <v>60116</v>
      </c>
      <c r="AS37" s="20">
        <f t="shared" si="38"/>
        <v>-60116</v>
      </c>
      <c r="AT37" s="44"/>
      <c r="AU37" s="39">
        <f t="shared" si="39"/>
        <v>0</v>
      </c>
      <c r="AV37" s="53">
        <f t="shared" si="40"/>
        <v>102238</v>
      </c>
      <c r="AW37" s="20">
        <f t="shared" si="41"/>
        <v>-102238</v>
      </c>
      <c r="AX37" s="44"/>
      <c r="AY37" s="39">
        <f t="shared" si="42"/>
        <v>0</v>
      </c>
      <c r="AZ37" s="53">
        <f t="shared" si="43"/>
        <v>134147</v>
      </c>
      <c r="BA37" s="20">
        <f t="shared" si="44"/>
        <v>-134147</v>
      </c>
    </row>
    <row r="38" ht="15.75" customHeight="1">
      <c r="A38" s="52" t="s">
        <v>112</v>
      </c>
      <c r="B38" s="44"/>
      <c r="C38" s="39">
        <f t="shared" si="6"/>
        <v>0</v>
      </c>
      <c r="D38" s="53">
        <f t="shared" si="7"/>
        <v>63486</v>
      </c>
      <c r="E38" s="20">
        <f t="shared" si="8"/>
        <v>-63486</v>
      </c>
      <c r="F38" s="44"/>
      <c r="G38" s="39">
        <f t="shared" si="9"/>
        <v>0</v>
      </c>
      <c r="H38" s="53">
        <f t="shared" si="10"/>
        <v>75700</v>
      </c>
      <c r="I38" s="20">
        <f t="shared" si="11"/>
        <v>-75700</v>
      </c>
      <c r="J38" s="46"/>
      <c r="K38" s="39">
        <f t="shared" si="12"/>
        <v>0</v>
      </c>
      <c r="L38" s="53">
        <f t="shared" si="13"/>
        <v>69172</v>
      </c>
      <c r="M38" s="20">
        <f t="shared" si="14"/>
        <v>-69172</v>
      </c>
      <c r="N38" s="44"/>
      <c r="O38" s="39">
        <f t="shared" si="15"/>
        <v>0</v>
      </c>
      <c r="P38" s="53">
        <f t="shared" si="16"/>
        <v>75190</v>
      </c>
      <c r="Q38" s="20">
        <f t="shared" si="17"/>
        <v>-75190</v>
      </c>
      <c r="R38" s="44"/>
      <c r="S38" s="39">
        <f t="shared" si="18"/>
        <v>0</v>
      </c>
      <c r="T38" s="53">
        <f t="shared" si="19"/>
        <v>69936</v>
      </c>
      <c r="U38" s="20">
        <f t="shared" si="20"/>
        <v>-69936</v>
      </c>
      <c r="V38" s="44"/>
      <c r="W38" s="39">
        <f t="shared" si="21"/>
        <v>0</v>
      </c>
      <c r="X38" s="53">
        <f t="shared" si="22"/>
        <v>61916</v>
      </c>
      <c r="Y38" s="20">
        <f t="shared" si="23"/>
        <v>-61916</v>
      </c>
      <c r="Z38" s="44"/>
      <c r="AA38" s="39">
        <f t="shared" si="24"/>
        <v>0</v>
      </c>
      <c r="AB38" s="53">
        <f t="shared" si="25"/>
        <v>61387</v>
      </c>
      <c r="AC38" s="20">
        <f t="shared" si="26"/>
        <v>-61387</v>
      </c>
      <c r="AD38" s="44"/>
      <c r="AE38" s="39">
        <f t="shared" si="27"/>
        <v>0</v>
      </c>
      <c r="AF38" s="53">
        <f t="shared" si="28"/>
        <v>207612</v>
      </c>
      <c r="AG38" s="20">
        <f t="shared" si="29"/>
        <v>-207612</v>
      </c>
      <c r="AH38" s="44"/>
      <c r="AI38" s="39">
        <f t="shared" si="30"/>
        <v>0</v>
      </c>
      <c r="AJ38" s="53">
        <f t="shared" si="31"/>
        <v>61669</v>
      </c>
      <c r="AK38" s="20">
        <f t="shared" si="32"/>
        <v>-61669</v>
      </c>
      <c r="AL38" s="44"/>
      <c r="AM38" s="39">
        <f t="shared" si="33"/>
        <v>0</v>
      </c>
      <c r="AN38" s="53">
        <f t="shared" si="34"/>
        <v>75945</v>
      </c>
      <c r="AO38" s="20">
        <f t="shared" si="35"/>
        <v>-75945</v>
      </c>
      <c r="AP38" s="44"/>
      <c r="AQ38" s="39">
        <f t="shared" si="36"/>
        <v>0</v>
      </c>
      <c r="AR38" s="53">
        <f t="shared" si="37"/>
        <v>58062</v>
      </c>
      <c r="AS38" s="20">
        <f t="shared" si="38"/>
        <v>-58062</v>
      </c>
      <c r="AT38" s="44"/>
      <c r="AU38" s="39">
        <f t="shared" si="39"/>
        <v>0</v>
      </c>
      <c r="AV38" s="53">
        <f t="shared" si="40"/>
        <v>100184</v>
      </c>
      <c r="AW38" s="20">
        <f t="shared" si="41"/>
        <v>-100184</v>
      </c>
      <c r="AX38" s="44"/>
      <c r="AY38" s="39">
        <f t="shared" si="42"/>
        <v>0</v>
      </c>
      <c r="AZ38" s="53">
        <f t="shared" si="43"/>
        <v>132093</v>
      </c>
      <c r="BA38" s="20">
        <f t="shared" si="44"/>
        <v>-132093</v>
      </c>
    </row>
    <row r="39" ht="15.75" customHeight="1">
      <c r="A39" s="52" t="s">
        <v>113</v>
      </c>
      <c r="B39" s="44"/>
      <c r="C39" s="39">
        <f t="shared" si="6"/>
        <v>0</v>
      </c>
      <c r="D39" s="53">
        <f t="shared" si="7"/>
        <v>64236</v>
      </c>
      <c r="E39" s="20">
        <f t="shared" si="8"/>
        <v>-64236</v>
      </c>
      <c r="F39" s="44"/>
      <c r="G39" s="39">
        <f t="shared" si="9"/>
        <v>0</v>
      </c>
      <c r="H39" s="53">
        <f t="shared" si="10"/>
        <v>76450</v>
      </c>
      <c r="I39" s="20">
        <f t="shared" si="11"/>
        <v>-76450</v>
      </c>
      <c r="J39" s="46"/>
      <c r="K39" s="39">
        <f t="shared" si="12"/>
        <v>0</v>
      </c>
      <c r="L39" s="53">
        <f t="shared" si="13"/>
        <v>69922</v>
      </c>
      <c r="M39" s="20">
        <f t="shared" si="14"/>
        <v>-69922</v>
      </c>
      <c r="N39" s="44"/>
      <c r="O39" s="39">
        <f t="shared" si="15"/>
        <v>0</v>
      </c>
      <c r="P39" s="53">
        <f t="shared" si="16"/>
        <v>75940</v>
      </c>
      <c r="Q39" s="20">
        <f t="shared" si="17"/>
        <v>-75940</v>
      </c>
      <c r="R39" s="44"/>
      <c r="S39" s="39">
        <f t="shared" si="18"/>
        <v>0</v>
      </c>
      <c r="T39" s="53">
        <f t="shared" si="19"/>
        <v>70686</v>
      </c>
      <c r="U39" s="20">
        <f t="shared" si="20"/>
        <v>-70686</v>
      </c>
      <c r="V39" s="44"/>
      <c r="W39" s="39">
        <f t="shared" si="21"/>
        <v>0</v>
      </c>
      <c r="X39" s="53">
        <f t="shared" si="22"/>
        <v>62666</v>
      </c>
      <c r="Y39" s="20">
        <f t="shared" si="23"/>
        <v>-62666</v>
      </c>
      <c r="Z39" s="44"/>
      <c r="AA39" s="39">
        <f t="shared" si="24"/>
        <v>0</v>
      </c>
      <c r="AB39" s="53">
        <f t="shared" si="25"/>
        <v>62137</v>
      </c>
      <c r="AC39" s="20">
        <f t="shared" si="26"/>
        <v>-62137</v>
      </c>
      <c r="AD39" s="44"/>
      <c r="AE39" s="39">
        <f t="shared" si="27"/>
        <v>0</v>
      </c>
      <c r="AF39" s="53">
        <f t="shared" si="28"/>
        <v>208362</v>
      </c>
      <c r="AG39" s="20">
        <f t="shared" si="29"/>
        <v>-208362</v>
      </c>
      <c r="AH39" s="44"/>
      <c r="AI39" s="39">
        <f t="shared" si="30"/>
        <v>0</v>
      </c>
      <c r="AJ39" s="53">
        <f t="shared" si="31"/>
        <v>62419</v>
      </c>
      <c r="AK39" s="20">
        <f t="shared" si="32"/>
        <v>-62419</v>
      </c>
      <c r="AL39" s="44"/>
      <c r="AM39" s="39">
        <f t="shared" si="33"/>
        <v>0</v>
      </c>
      <c r="AN39" s="53">
        <f t="shared" si="34"/>
        <v>76695</v>
      </c>
      <c r="AO39" s="20">
        <f t="shared" si="35"/>
        <v>-76695</v>
      </c>
      <c r="AP39" s="44"/>
      <c r="AQ39" s="39">
        <f t="shared" si="36"/>
        <v>0</v>
      </c>
      <c r="AR39" s="53">
        <f t="shared" si="37"/>
        <v>58812</v>
      </c>
      <c r="AS39" s="20">
        <f t="shared" si="38"/>
        <v>-58812</v>
      </c>
      <c r="AT39" s="44"/>
      <c r="AU39" s="39">
        <f t="shared" si="39"/>
        <v>0</v>
      </c>
      <c r="AV39" s="53">
        <f t="shared" si="40"/>
        <v>100934</v>
      </c>
      <c r="AW39" s="20">
        <f t="shared" si="41"/>
        <v>-100934</v>
      </c>
      <c r="AX39" s="44"/>
      <c r="AY39" s="39">
        <f t="shared" si="42"/>
        <v>0</v>
      </c>
      <c r="AZ39" s="53">
        <f t="shared" si="43"/>
        <v>132843</v>
      </c>
      <c r="BA39" s="20">
        <f t="shared" si="44"/>
        <v>-132843</v>
      </c>
    </row>
    <row r="40" ht="15.75" customHeight="1">
      <c r="A40" s="52" t="s">
        <v>114</v>
      </c>
      <c r="B40" s="44"/>
      <c r="C40" s="39">
        <f t="shared" si="6"/>
        <v>0</v>
      </c>
      <c r="D40" s="53">
        <f t="shared" si="7"/>
        <v>64301</v>
      </c>
      <c r="E40" s="20">
        <f t="shared" si="8"/>
        <v>-64301</v>
      </c>
      <c r="F40" s="44"/>
      <c r="G40" s="39">
        <f t="shared" si="9"/>
        <v>0</v>
      </c>
      <c r="H40" s="53">
        <f t="shared" si="10"/>
        <v>76515</v>
      </c>
      <c r="I40" s="20">
        <f t="shared" si="11"/>
        <v>-76515</v>
      </c>
      <c r="J40" s="46"/>
      <c r="K40" s="39">
        <f t="shared" si="12"/>
        <v>0</v>
      </c>
      <c r="L40" s="53">
        <f t="shared" si="13"/>
        <v>69987</v>
      </c>
      <c r="M40" s="20">
        <f t="shared" si="14"/>
        <v>-69987</v>
      </c>
      <c r="N40" s="44"/>
      <c r="O40" s="39">
        <f t="shared" si="15"/>
        <v>0</v>
      </c>
      <c r="P40" s="53">
        <f t="shared" si="16"/>
        <v>76005</v>
      </c>
      <c r="Q40" s="20">
        <f t="shared" si="17"/>
        <v>-76005</v>
      </c>
      <c r="R40" s="44"/>
      <c r="S40" s="39">
        <f t="shared" si="18"/>
        <v>0</v>
      </c>
      <c r="T40" s="53">
        <f t="shared" si="19"/>
        <v>70751</v>
      </c>
      <c r="U40" s="20">
        <f t="shared" si="20"/>
        <v>-70751</v>
      </c>
      <c r="V40" s="44"/>
      <c r="W40" s="39">
        <f t="shared" si="21"/>
        <v>0</v>
      </c>
      <c r="X40" s="53">
        <f t="shared" si="22"/>
        <v>62731</v>
      </c>
      <c r="Y40" s="20">
        <f t="shared" si="23"/>
        <v>-62731</v>
      </c>
      <c r="Z40" s="44"/>
      <c r="AA40" s="39">
        <f t="shared" si="24"/>
        <v>0</v>
      </c>
      <c r="AB40" s="53">
        <f t="shared" si="25"/>
        <v>62202</v>
      </c>
      <c r="AC40" s="20">
        <f t="shared" si="26"/>
        <v>-62202</v>
      </c>
      <c r="AD40" s="44"/>
      <c r="AE40" s="39">
        <f t="shared" si="27"/>
        <v>0</v>
      </c>
      <c r="AF40" s="53">
        <f t="shared" si="28"/>
        <v>208427</v>
      </c>
      <c r="AG40" s="20">
        <f t="shared" si="29"/>
        <v>-208427</v>
      </c>
      <c r="AH40" s="44"/>
      <c r="AI40" s="39">
        <f t="shared" si="30"/>
        <v>0</v>
      </c>
      <c r="AJ40" s="53">
        <f t="shared" si="31"/>
        <v>62484</v>
      </c>
      <c r="AK40" s="20">
        <f t="shared" si="32"/>
        <v>-62484</v>
      </c>
      <c r="AL40" s="44"/>
      <c r="AM40" s="39">
        <f t="shared" si="33"/>
        <v>0</v>
      </c>
      <c r="AN40" s="53">
        <f t="shared" si="34"/>
        <v>76760</v>
      </c>
      <c r="AO40" s="20">
        <f t="shared" si="35"/>
        <v>-76760</v>
      </c>
      <c r="AP40" s="44"/>
      <c r="AQ40" s="39">
        <f t="shared" si="36"/>
        <v>0</v>
      </c>
      <c r="AR40" s="53">
        <f t="shared" si="37"/>
        <v>58877</v>
      </c>
      <c r="AS40" s="20">
        <f t="shared" si="38"/>
        <v>-58877</v>
      </c>
      <c r="AT40" s="44"/>
      <c r="AU40" s="39">
        <f t="shared" si="39"/>
        <v>0</v>
      </c>
      <c r="AV40" s="53">
        <f t="shared" si="40"/>
        <v>100999</v>
      </c>
      <c r="AW40" s="20">
        <f t="shared" si="41"/>
        <v>-100999</v>
      </c>
      <c r="AX40" s="44"/>
      <c r="AY40" s="39">
        <f t="shared" si="42"/>
        <v>0</v>
      </c>
      <c r="AZ40" s="53">
        <f t="shared" si="43"/>
        <v>132908</v>
      </c>
      <c r="BA40" s="20">
        <f t="shared" si="44"/>
        <v>-132908</v>
      </c>
    </row>
    <row r="41" ht="15.75" customHeight="1">
      <c r="A41" s="52" t="s">
        <v>115</v>
      </c>
      <c r="B41" s="44"/>
      <c r="C41" s="39">
        <f t="shared" si="6"/>
        <v>0</v>
      </c>
      <c r="D41" s="53">
        <f t="shared" si="7"/>
        <v>66246</v>
      </c>
      <c r="E41" s="20">
        <f t="shared" si="8"/>
        <v>-66246</v>
      </c>
      <c r="F41" s="44"/>
      <c r="G41" s="39">
        <f t="shared" si="9"/>
        <v>0</v>
      </c>
      <c r="H41" s="53">
        <f t="shared" si="10"/>
        <v>78460</v>
      </c>
      <c r="I41" s="20">
        <f t="shared" si="11"/>
        <v>-78460</v>
      </c>
      <c r="J41" s="46"/>
      <c r="K41" s="39">
        <f t="shared" si="12"/>
        <v>0</v>
      </c>
      <c r="L41" s="53">
        <f t="shared" si="13"/>
        <v>71932</v>
      </c>
      <c r="M41" s="20">
        <f t="shared" si="14"/>
        <v>-71932</v>
      </c>
      <c r="N41" s="44"/>
      <c r="O41" s="39">
        <f t="shared" si="15"/>
        <v>0</v>
      </c>
      <c r="P41" s="53">
        <f t="shared" si="16"/>
        <v>77950</v>
      </c>
      <c r="Q41" s="20">
        <f t="shared" si="17"/>
        <v>-77950</v>
      </c>
      <c r="R41" s="44"/>
      <c r="S41" s="39">
        <f t="shared" si="18"/>
        <v>0</v>
      </c>
      <c r="T41" s="53">
        <f t="shared" si="19"/>
        <v>72696</v>
      </c>
      <c r="U41" s="20">
        <f t="shared" si="20"/>
        <v>-72696</v>
      </c>
      <c r="V41" s="44"/>
      <c r="W41" s="39">
        <f t="shared" si="21"/>
        <v>0</v>
      </c>
      <c r="X41" s="53">
        <f t="shared" si="22"/>
        <v>64676</v>
      </c>
      <c r="Y41" s="20">
        <f t="shared" si="23"/>
        <v>-64676</v>
      </c>
      <c r="Z41" s="44"/>
      <c r="AA41" s="39">
        <f t="shared" si="24"/>
        <v>0</v>
      </c>
      <c r="AB41" s="53">
        <f t="shared" si="25"/>
        <v>64147</v>
      </c>
      <c r="AC41" s="20">
        <f t="shared" si="26"/>
        <v>-64147</v>
      </c>
      <c r="AD41" s="44"/>
      <c r="AE41" s="39">
        <f t="shared" si="27"/>
        <v>0</v>
      </c>
      <c r="AF41" s="53">
        <f t="shared" si="28"/>
        <v>210372</v>
      </c>
      <c r="AG41" s="20">
        <f t="shared" si="29"/>
        <v>-210372</v>
      </c>
      <c r="AH41" s="44"/>
      <c r="AI41" s="39">
        <f t="shared" si="30"/>
        <v>0</v>
      </c>
      <c r="AJ41" s="53">
        <f t="shared" si="31"/>
        <v>64429</v>
      </c>
      <c r="AK41" s="20">
        <f t="shared" si="32"/>
        <v>-64429</v>
      </c>
      <c r="AL41" s="44"/>
      <c r="AM41" s="39">
        <f t="shared" si="33"/>
        <v>0</v>
      </c>
      <c r="AN41" s="53">
        <f t="shared" si="34"/>
        <v>78705</v>
      </c>
      <c r="AO41" s="20">
        <f t="shared" si="35"/>
        <v>-78705</v>
      </c>
      <c r="AP41" s="44"/>
      <c r="AQ41" s="39">
        <f t="shared" si="36"/>
        <v>0</v>
      </c>
      <c r="AR41" s="53">
        <f t="shared" si="37"/>
        <v>60822</v>
      </c>
      <c r="AS41" s="20">
        <f t="shared" si="38"/>
        <v>-60822</v>
      </c>
      <c r="AT41" s="44"/>
      <c r="AU41" s="39">
        <f t="shared" si="39"/>
        <v>0</v>
      </c>
      <c r="AV41" s="53">
        <f t="shared" si="40"/>
        <v>102944</v>
      </c>
      <c r="AW41" s="20">
        <f t="shared" si="41"/>
        <v>-102944</v>
      </c>
      <c r="AX41" s="44"/>
      <c r="AY41" s="39">
        <f t="shared" si="42"/>
        <v>0</v>
      </c>
      <c r="AZ41" s="53">
        <f t="shared" si="43"/>
        <v>134853</v>
      </c>
      <c r="BA41" s="20">
        <f t="shared" si="44"/>
        <v>-134853</v>
      </c>
    </row>
    <row r="42" ht="15.75" customHeight="1">
      <c r="A42" s="52" t="s">
        <v>116</v>
      </c>
      <c r="B42" s="44"/>
      <c r="C42" s="39">
        <f t="shared" si="6"/>
        <v>0</v>
      </c>
      <c r="D42" s="53">
        <f t="shared" si="7"/>
        <v>66500</v>
      </c>
      <c r="E42" s="20">
        <f t="shared" si="8"/>
        <v>-66500</v>
      </c>
      <c r="F42" s="44"/>
      <c r="G42" s="39">
        <f t="shared" si="9"/>
        <v>0</v>
      </c>
      <c r="H42" s="53">
        <f t="shared" si="10"/>
        <v>78714</v>
      </c>
      <c r="I42" s="20">
        <f t="shared" si="11"/>
        <v>-78714</v>
      </c>
      <c r="J42" s="46"/>
      <c r="K42" s="39">
        <f t="shared" si="12"/>
        <v>0</v>
      </c>
      <c r="L42" s="53">
        <f t="shared" si="13"/>
        <v>72186</v>
      </c>
      <c r="M42" s="20">
        <f t="shared" si="14"/>
        <v>-72186</v>
      </c>
      <c r="N42" s="44"/>
      <c r="O42" s="39">
        <f t="shared" si="15"/>
        <v>0</v>
      </c>
      <c r="P42" s="53">
        <f t="shared" si="16"/>
        <v>78204</v>
      </c>
      <c r="Q42" s="20">
        <f t="shared" si="17"/>
        <v>-78204</v>
      </c>
      <c r="R42" s="44"/>
      <c r="S42" s="39">
        <f t="shared" si="18"/>
        <v>0</v>
      </c>
      <c r="T42" s="53">
        <f t="shared" si="19"/>
        <v>72950</v>
      </c>
      <c r="U42" s="20">
        <f t="shared" si="20"/>
        <v>-72950</v>
      </c>
      <c r="V42" s="44"/>
      <c r="W42" s="39">
        <f t="shared" si="21"/>
        <v>0</v>
      </c>
      <c r="X42" s="53">
        <f t="shared" si="22"/>
        <v>64930</v>
      </c>
      <c r="Y42" s="20">
        <f t="shared" si="23"/>
        <v>-64930</v>
      </c>
      <c r="Z42" s="44"/>
      <c r="AA42" s="39">
        <f t="shared" si="24"/>
        <v>0</v>
      </c>
      <c r="AB42" s="53">
        <f t="shared" si="25"/>
        <v>64401</v>
      </c>
      <c r="AC42" s="20">
        <f t="shared" si="26"/>
        <v>-64401</v>
      </c>
      <c r="AD42" s="44"/>
      <c r="AE42" s="39">
        <f t="shared" si="27"/>
        <v>0</v>
      </c>
      <c r="AF42" s="53">
        <f t="shared" si="28"/>
        <v>210626</v>
      </c>
      <c r="AG42" s="20">
        <f t="shared" si="29"/>
        <v>-210626</v>
      </c>
      <c r="AH42" s="44"/>
      <c r="AI42" s="39">
        <f t="shared" si="30"/>
        <v>0</v>
      </c>
      <c r="AJ42" s="53">
        <f t="shared" si="31"/>
        <v>64683</v>
      </c>
      <c r="AK42" s="20">
        <f t="shared" si="32"/>
        <v>-64683</v>
      </c>
      <c r="AL42" s="44"/>
      <c r="AM42" s="39">
        <f t="shared" si="33"/>
        <v>0</v>
      </c>
      <c r="AN42" s="53">
        <f t="shared" si="34"/>
        <v>78959</v>
      </c>
      <c r="AO42" s="20">
        <f t="shared" si="35"/>
        <v>-78959</v>
      </c>
      <c r="AP42" s="44"/>
      <c r="AQ42" s="39">
        <f t="shared" si="36"/>
        <v>0</v>
      </c>
      <c r="AR42" s="53">
        <f t="shared" si="37"/>
        <v>61076</v>
      </c>
      <c r="AS42" s="20">
        <f t="shared" si="38"/>
        <v>-61076</v>
      </c>
      <c r="AT42" s="44"/>
      <c r="AU42" s="39">
        <f t="shared" si="39"/>
        <v>0</v>
      </c>
      <c r="AV42" s="53">
        <f t="shared" si="40"/>
        <v>103198</v>
      </c>
      <c r="AW42" s="20">
        <f t="shared" si="41"/>
        <v>-103198</v>
      </c>
      <c r="AX42" s="44"/>
      <c r="AY42" s="39">
        <f t="shared" si="42"/>
        <v>0</v>
      </c>
      <c r="AZ42" s="53">
        <f t="shared" si="43"/>
        <v>135107</v>
      </c>
      <c r="BA42" s="20">
        <f t="shared" si="44"/>
        <v>-135107</v>
      </c>
    </row>
    <row r="43" ht="15.75" customHeight="1">
      <c r="A43" s="52" t="s">
        <v>117</v>
      </c>
      <c r="B43" s="44"/>
      <c r="C43" s="39">
        <f t="shared" si="6"/>
        <v>0</v>
      </c>
      <c r="D43" s="53">
        <f t="shared" si="7"/>
        <v>72126</v>
      </c>
      <c r="E43" s="20">
        <f t="shared" si="8"/>
        <v>-72126</v>
      </c>
      <c r="F43" s="44"/>
      <c r="G43" s="39">
        <f t="shared" si="9"/>
        <v>0</v>
      </c>
      <c r="H43" s="53">
        <f t="shared" si="10"/>
        <v>84340</v>
      </c>
      <c r="I43" s="20">
        <f t="shared" si="11"/>
        <v>-84340</v>
      </c>
      <c r="J43" s="46"/>
      <c r="K43" s="39">
        <f t="shared" si="12"/>
        <v>0</v>
      </c>
      <c r="L43" s="53">
        <f t="shared" si="13"/>
        <v>77812</v>
      </c>
      <c r="M43" s="20">
        <f t="shared" si="14"/>
        <v>-77812</v>
      </c>
      <c r="N43" s="44"/>
      <c r="O43" s="39">
        <f t="shared" si="15"/>
        <v>0</v>
      </c>
      <c r="P43" s="53">
        <f t="shared" si="16"/>
        <v>83830</v>
      </c>
      <c r="Q43" s="20">
        <f t="shared" si="17"/>
        <v>-83830</v>
      </c>
      <c r="R43" s="44"/>
      <c r="S43" s="39">
        <f t="shared" si="18"/>
        <v>0</v>
      </c>
      <c r="T43" s="53">
        <f t="shared" si="19"/>
        <v>78576</v>
      </c>
      <c r="U43" s="20">
        <f t="shared" si="20"/>
        <v>-78576</v>
      </c>
      <c r="V43" s="44"/>
      <c r="W43" s="39">
        <f t="shared" si="21"/>
        <v>0</v>
      </c>
      <c r="X43" s="53">
        <f t="shared" si="22"/>
        <v>70556</v>
      </c>
      <c r="Y43" s="20">
        <f t="shared" si="23"/>
        <v>-70556</v>
      </c>
      <c r="Z43" s="44"/>
      <c r="AA43" s="39">
        <f t="shared" si="24"/>
        <v>0</v>
      </c>
      <c r="AB43" s="53">
        <f t="shared" si="25"/>
        <v>70027</v>
      </c>
      <c r="AC43" s="20">
        <f t="shared" si="26"/>
        <v>-70027</v>
      </c>
      <c r="AD43" s="44"/>
      <c r="AE43" s="39">
        <f t="shared" si="27"/>
        <v>0</v>
      </c>
      <c r="AF43" s="53">
        <f t="shared" si="28"/>
        <v>216252</v>
      </c>
      <c r="AG43" s="20">
        <f t="shared" si="29"/>
        <v>-216252</v>
      </c>
      <c r="AH43" s="44"/>
      <c r="AI43" s="39">
        <f t="shared" si="30"/>
        <v>0</v>
      </c>
      <c r="AJ43" s="53">
        <f t="shared" si="31"/>
        <v>70309</v>
      </c>
      <c r="AK43" s="20">
        <f t="shared" si="32"/>
        <v>-70309</v>
      </c>
      <c r="AL43" s="44"/>
      <c r="AM43" s="39">
        <f t="shared" si="33"/>
        <v>0</v>
      </c>
      <c r="AN43" s="53">
        <f t="shared" si="34"/>
        <v>84585</v>
      </c>
      <c r="AO43" s="20">
        <f t="shared" si="35"/>
        <v>-84585</v>
      </c>
      <c r="AP43" s="44"/>
      <c r="AQ43" s="39">
        <f t="shared" si="36"/>
        <v>0</v>
      </c>
      <c r="AR43" s="53">
        <f t="shared" si="37"/>
        <v>66702</v>
      </c>
      <c r="AS43" s="20">
        <f t="shared" si="38"/>
        <v>-66702</v>
      </c>
      <c r="AT43" s="44"/>
      <c r="AU43" s="39">
        <f t="shared" si="39"/>
        <v>0</v>
      </c>
      <c r="AV43" s="53">
        <f t="shared" si="40"/>
        <v>108824</v>
      </c>
      <c r="AW43" s="20">
        <f t="shared" si="41"/>
        <v>-108824</v>
      </c>
      <c r="AX43" s="44"/>
      <c r="AY43" s="39">
        <f t="shared" si="42"/>
        <v>0</v>
      </c>
      <c r="AZ43" s="53">
        <f t="shared" si="43"/>
        <v>140733</v>
      </c>
      <c r="BA43" s="20">
        <f t="shared" si="44"/>
        <v>-140733</v>
      </c>
    </row>
    <row r="44" ht="15.75" customHeight="1">
      <c r="A44" s="52" t="s">
        <v>118</v>
      </c>
      <c r="B44" s="44"/>
      <c r="C44" s="39">
        <f t="shared" si="6"/>
        <v>0</v>
      </c>
      <c r="D44" s="53">
        <f t="shared" si="7"/>
        <v>74228</v>
      </c>
      <c r="E44" s="20">
        <f t="shared" si="8"/>
        <v>-74228</v>
      </c>
      <c r="F44" s="44"/>
      <c r="G44" s="39">
        <f t="shared" si="9"/>
        <v>0</v>
      </c>
      <c r="H44" s="53">
        <f t="shared" si="10"/>
        <v>86442</v>
      </c>
      <c r="I44" s="20">
        <f t="shared" si="11"/>
        <v>-86442</v>
      </c>
      <c r="J44" s="46"/>
      <c r="K44" s="39">
        <f t="shared" si="12"/>
        <v>0</v>
      </c>
      <c r="L44" s="53">
        <f t="shared" si="13"/>
        <v>79914</v>
      </c>
      <c r="M44" s="20">
        <f t="shared" si="14"/>
        <v>-79914</v>
      </c>
      <c r="N44" s="44"/>
      <c r="O44" s="39">
        <f t="shared" si="15"/>
        <v>0</v>
      </c>
      <c r="P44" s="53">
        <f t="shared" si="16"/>
        <v>85932</v>
      </c>
      <c r="Q44" s="20">
        <f t="shared" si="17"/>
        <v>-85932</v>
      </c>
      <c r="R44" s="44"/>
      <c r="S44" s="39">
        <f t="shared" si="18"/>
        <v>0</v>
      </c>
      <c r="T44" s="53">
        <f t="shared" si="19"/>
        <v>80678</v>
      </c>
      <c r="U44" s="20">
        <f t="shared" si="20"/>
        <v>-80678</v>
      </c>
      <c r="V44" s="44"/>
      <c r="W44" s="39">
        <f t="shared" si="21"/>
        <v>0</v>
      </c>
      <c r="X44" s="53">
        <f t="shared" si="22"/>
        <v>72658</v>
      </c>
      <c r="Y44" s="20">
        <f t="shared" si="23"/>
        <v>-72658</v>
      </c>
      <c r="Z44" s="44"/>
      <c r="AA44" s="39">
        <f t="shared" si="24"/>
        <v>0</v>
      </c>
      <c r="AB44" s="53">
        <f t="shared" si="25"/>
        <v>72129</v>
      </c>
      <c r="AC44" s="20">
        <f t="shared" si="26"/>
        <v>-72129</v>
      </c>
      <c r="AD44" s="44"/>
      <c r="AE44" s="39">
        <f t="shared" si="27"/>
        <v>0</v>
      </c>
      <c r="AF44" s="53">
        <f t="shared" si="28"/>
        <v>218354</v>
      </c>
      <c r="AG44" s="20">
        <f t="shared" si="29"/>
        <v>-218354</v>
      </c>
      <c r="AH44" s="44"/>
      <c r="AI44" s="39">
        <f t="shared" si="30"/>
        <v>0</v>
      </c>
      <c r="AJ44" s="53">
        <f t="shared" si="31"/>
        <v>72411</v>
      </c>
      <c r="AK44" s="20">
        <f t="shared" si="32"/>
        <v>-72411</v>
      </c>
      <c r="AL44" s="44"/>
      <c r="AM44" s="39">
        <f t="shared" si="33"/>
        <v>0</v>
      </c>
      <c r="AN44" s="53">
        <f t="shared" si="34"/>
        <v>86687</v>
      </c>
      <c r="AO44" s="20">
        <f t="shared" si="35"/>
        <v>-86687</v>
      </c>
      <c r="AP44" s="44"/>
      <c r="AQ44" s="39">
        <f t="shared" si="36"/>
        <v>0</v>
      </c>
      <c r="AR44" s="53">
        <f t="shared" si="37"/>
        <v>68804</v>
      </c>
      <c r="AS44" s="20">
        <f t="shared" si="38"/>
        <v>-68804</v>
      </c>
      <c r="AT44" s="44"/>
      <c r="AU44" s="39">
        <f t="shared" si="39"/>
        <v>0</v>
      </c>
      <c r="AV44" s="53">
        <f t="shared" si="40"/>
        <v>110926</v>
      </c>
      <c r="AW44" s="20">
        <f t="shared" si="41"/>
        <v>-110926</v>
      </c>
      <c r="AX44" s="44"/>
      <c r="AY44" s="39">
        <f t="shared" si="42"/>
        <v>0</v>
      </c>
      <c r="AZ44" s="53">
        <f t="shared" si="43"/>
        <v>142835</v>
      </c>
      <c r="BA44" s="20">
        <f t="shared" si="44"/>
        <v>-142835</v>
      </c>
    </row>
    <row r="45" ht="15.75" customHeight="1">
      <c r="A45" s="52" t="s">
        <v>119</v>
      </c>
      <c r="B45" s="44"/>
      <c r="C45" s="39">
        <f t="shared" si="6"/>
        <v>0</v>
      </c>
      <c r="D45" s="53">
        <f t="shared" si="7"/>
        <v>74269</v>
      </c>
      <c r="E45" s="20">
        <f t="shared" si="8"/>
        <v>-74269</v>
      </c>
      <c r="F45" s="46"/>
      <c r="G45" s="39">
        <f t="shared" si="9"/>
        <v>0</v>
      </c>
      <c r="H45" s="53">
        <f t="shared" si="10"/>
        <v>86483</v>
      </c>
      <c r="I45" s="20">
        <f t="shared" si="11"/>
        <v>-86483</v>
      </c>
      <c r="J45" s="46"/>
      <c r="K45" s="39">
        <f t="shared" si="12"/>
        <v>0</v>
      </c>
      <c r="L45" s="53">
        <f t="shared" si="13"/>
        <v>79955</v>
      </c>
      <c r="M45" s="20">
        <f t="shared" si="14"/>
        <v>-79955</v>
      </c>
      <c r="N45" s="44"/>
      <c r="O45" s="39">
        <f t="shared" si="15"/>
        <v>0</v>
      </c>
      <c r="P45" s="53">
        <f t="shared" si="16"/>
        <v>85973</v>
      </c>
      <c r="Q45" s="20">
        <f t="shared" si="17"/>
        <v>-85973</v>
      </c>
      <c r="R45" s="46"/>
      <c r="S45" s="39">
        <f t="shared" si="18"/>
        <v>0</v>
      </c>
      <c r="T45" s="53">
        <f t="shared" si="19"/>
        <v>80719</v>
      </c>
      <c r="U45" s="20">
        <f t="shared" si="20"/>
        <v>-80719</v>
      </c>
      <c r="V45" s="44"/>
      <c r="W45" s="39">
        <f t="shared" si="21"/>
        <v>0</v>
      </c>
      <c r="X45" s="53">
        <f t="shared" si="22"/>
        <v>72699</v>
      </c>
      <c r="Y45" s="20">
        <f t="shared" si="23"/>
        <v>-72699</v>
      </c>
      <c r="Z45" s="44"/>
      <c r="AA45" s="39">
        <f t="shared" si="24"/>
        <v>0</v>
      </c>
      <c r="AB45" s="53">
        <f t="shared" si="25"/>
        <v>72170</v>
      </c>
      <c r="AC45" s="20">
        <f t="shared" si="26"/>
        <v>-72170</v>
      </c>
      <c r="AD45" s="44"/>
      <c r="AE45" s="39">
        <f t="shared" si="27"/>
        <v>0</v>
      </c>
      <c r="AF45" s="53">
        <f t="shared" si="28"/>
        <v>218395</v>
      </c>
      <c r="AG45" s="20">
        <f t="shared" si="29"/>
        <v>-218395</v>
      </c>
      <c r="AH45" s="44"/>
      <c r="AI45" s="39">
        <f t="shared" si="30"/>
        <v>0</v>
      </c>
      <c r="AJ45" s="53">
        <f t="shared" si="31"/>
        <v>72452</v>
      </c>
      <c r="AK45" s="20">
        <f t="shared" si="32"/>
        <v>-72452</v>
      </c>
      <c r="AL45" s="44"/>
      <c r="AM45" s="39">
        <f t="shared" si="33"/>
        <v>0</v>
      </c>
      <c r="AN45" s="53">
        <f t="shared" si="34"/>
        <v>86728</v>
      </c>
      <c r="AO45" s="20">
        <f t="shared" si="35"/>
        <v>-86728</v>
      </c>
      <c r="AP45" s="46"/>
      <c r="AQ45" s="39">
        <f t="shared" si="36"/>
        <v>0</v>
      </c>
      <c r="AR45" s="53">
        <f t="shared" si="37"/>
        <v>68845</v>
      </c>
      <c r="AS45" s="20">
        <f t="shared" si="38"/>
        <v>-68845</v>
      </c>
      <c r="AT45" s="44"/>
      <c r="AU45" s="39">
        <f t="shared" si="39"/>
        <v>0</v>
      </c>
      <c r="AV45" s="53">
        <f t="shared" si="40"/>
        <v>110967</v>
      </c>
      <c r="AW45" s="20">
        <f t="shared" si="41"/>
        <v>-110967</v>
      </c>
      <c r="AX45" s="44"/>
      <c r="AY45" s="39">
        <f t="shared" si="42"/>
        <v>0</v>
      </c>
      <c r="AZ45" s="53">
        <f t="shared" si="43"/>
        <v>142876</v>
      </c>
      <c r="BA45" s="20">
        <f t="shared" si="44"/>
        <v>-142876</v>
      </c>
    </row>
    <row r="46" ht="15.75" customHeight="1">
      <c r="A46" s="52" t="s">
        <v>120</v>
      </c>
      <c r="B46" s="44"/>
      <c r="C46" s="39">
        <f t="shared" si="6"/>
        <v>0</v>
      </c>
      <c r="D46" s="53">
        <f t="shared" si="7"/>
        <v>69926</v>
      </c>
      <c r="E46" s="20">
        <f t="shared" si="8"/>
        <v>-69926</v>
      </c>
      <c r="F46" s="44"/>
      <c r="G46" s="39">
        <f t="shared" si="9"/>
        <v>0</v>
      </c>
      <c r="H46" s="53">
        <f t="shared" si="10"/>
        <v>82140</v>
      </c>
      <c r="I46" s="20">
        <f t="shared" si="11"/>
        <v>-82140</v>
      </c>
      <c r="J46" s="46"/>
      <c r="K46" s="39">
        <f t="shared" si="12"/>
        <v>0</v>
      </c>
      <c r="L46" s="53">
        <f t="shared" si="13"/>
        <v>75612</v>
      </c>
      <c r="M46" s="20">
        <f t="shared" si="14"/>
        <v>-75612</v>
      </c>
      <c r="N46" s="44"/>
      <c r="O46" s="39">
        <f t="shared" si="15"/>
        <v>0</v>
      </c>
      <c r="P46" s="53">
        <f t="shared" si="16"/>
        <v>81630</v>
      </c>
      <c r="Q46" s="20">
        <f t="shared" si="17"/>
        <v>-81630</v>
      </c>
      <c r="R46" s="44"/>
      <c r="S46" s="39">
        <f t="shared" si="18"/>
        <v>0</v>
      </c>
      <c r="T46" s="53">
        <f t="shared" si="19"/>
        <v>76376</v>
      </c>
      <c r="U46" s="20">
        <f t="shared" si="20"/>
        <v>-76376</v>
      </c>
      <c r="V46" s="44"/>
      <c r="W46" s="39">
        <f t="shared" si="21"/>
        <v>0</v>
      </c>
      <c r="X46" s="53">
        <f t="shared" si="22"/>
        <v>68356</v>
      </c>
      <c r="Y46" s="20">
        <f t="shared" si="23"/>
        <v>-68356</v>
      </c>
      <c r="Z46" s="44"/>
      <c r="AA46" s="39">
        <f t="shared" si="24"/>
        <v>0</v>
      </c>
      <c r="AB46" s="53">
        <f t="shared" si="25"/>
        <v>67827</v>
      </c>
      <c r="AC46" s="20">
        <f t="shared" si="26"/>
        <v>-67827</v>
      </c>
      <c r="AD46" s="44"/>
      <c r="AE46" s="39">
        <f t="shared" si="27"/>
        <v>0</v>
      </c>
      <c r="AF46" s="53">
        <f t="shared" si="28"/>
        <v>214052</v>
      </c>
      <c r="AG46" s="20">
        <f t="shared" si="29"/>
        <v>-214052</v>
      </c>
      <c r="AH46" s="44"/>
      <c r="AI46" s="39">
        <f t="shared" si="30"/>
        <v>0</v>
      </c>
      <c r="AJ46" s="53">
        <f t="shared" si="31"/>
        <v>68109</v>
      </c>
      <c r="AK46" s="20">
        <f t="shared" si="32"/>
        <v>-68109</v>
      </c>
      <c r="AL46" s="44"/>
      <c r="AM46" s="39">
        <f t="shared" si="33"/>
        <v>0</v>
      </c>
      <c r="AN46" s="53">
        <f t="shared" si="34"/>
        <v>82385</v>
      </c>
      <c r="AO46" s="20">
        <f t="shared" si="35"/>
        <v>-82385</v>
      </c>
      <c r="AP46" s="44"/>
      <c r="AQ46" s="39">
        <f t="shared" si="36"/>
        <v>0</v>
      </c>
      <c r="AR46" s="53">
        <f t="shared" si="37"/>
        <v>64502</v>
      </c>
      <c r="AS46" s="20">
        <f t="shared" si="38"/>
        <v>-64502</v>
      </c>
      <c r="AT46" s="44"/>
      <c r="AU46" s="39">
        <f t="shared" si="39"/>
        <v>0</v>
      </c>
      <c r="AV46" s="53">
        <f t="shared" si="40"/>
        <v>106624</v>
      </c>
      <c r="AW46" s="20">
        <f t="shared" si="41"/>
        <v>-106624</v>
      </c>
      <c r="AX46" s="44"/>
      <c r="AY46" s="39">
        <f t="shared" si="42"/>
        <v>0</v>
      </c>
      <c r="AZ46" s="53">
        <f t="shared" si="43"/>
        <v>138533</v>
      </c>
      <c r="BA46" s="20">
        <f t="shared" si="44"/>
        <v>-138533</v>
      </c>
    </row>
    <row r="47" ht="15.75" customHeight="1">
      <c r="A47" s="52" t="s">
        <v>121</v>
      </c>
      <c r="B47" s="44"/>
      <c r="C47" s="39">
        <f t="shared" si="6"/>
        <v>0</v>
      </c>
      <c r="D47" s="53">
        <f t="shared" si="7"/>
        <v>84504</v>
      </c>
      <c r="E47" s="20">
        <f t="shared" si="8"/>
        <v>-84504</v>
      </c>
      <c r="F47" s="44"/>
      <c r="G47" s="39">
        <f t="shared" si="9"/>
        <v>0</v>
      </c>
      <c r="H47" s="53">
        <f t="shared" si="10"/>
        <v>96718</v>
      </c>
      <c r="I47" s="20">
        <f t="shared" si="11"/>
        <v>-96718</v>
      </c>
      <c r="J47" s="46"/>
      <c r="K47" s="39">
        <f t="shared" si="12"/>
        <v>0</v>
      </c>
      <c r="L47" s="53">
        <f t="shared" si="13"/>
        <v>90190</v>
      </c>
      <c r="M47" s="20">
        <f t="shared" si="14"/>
        <v>-90190</v>
      </c>
      <c r="N47" s="44"/>
      <c r="O47" s="39">
        <f t="shared" si="15"/>
        <v>0</v>
      </c>
      <c r="P47" s="53">
        <f t="shared" si="16"/>
        <v>96208</v>
      </c>
      <c r="Q47" s="20">
        <f t="shared" si="17"/>
        <v>-96208</v>
      </c>
      <c r="R47" s="44"/>
      <c r="S47" s="39">
        <f t="shared" si="18"/>
        <v>0</v>
      </c>
      <c r="T47" s="53">
        <f t="shared" si="19"/>
        <v>90954</v>
      </c>
      <c r="U47" s="20">
        <f t="shared" si="20"/>
        <v>-90954</v>
      </c>
      <c r="V47" s="44"/>
      <c r="W47" s="39">
        <f t="shared" si="21"/>
        <v>0</v>
      </c>
      <c r="X47" s="53">
        <f t="shared" si="22"/>
        <v>82934</v>
      </c>
      <c r="Y47" s="20">
        <f t="shared" si="23"/>
        <v>-82934</v>
      </c>
      <c r="Z47" s="44"/>
      <c r="AA47" s="39">
        <f t="shared" si="24"/>
        <v>0</v>
      </c>
      <c r="AB47" s="53">
        <f t="shared" si="25"/>
        <v>82405</v>
      </c>
      <c r="AC47" s="20">
        <f t="shared" si="26"/>
        <v>-82405</v>
      </c>
      <c r="AD47" s="44"/>
      <c r="AE47" s="39">
        <f t="shared" si="27"/>
        <v>0</v>
      </c>
      <c r="AF47" s="53">
        <f t="shared" si="28"/>
        <v>228630</v>
      </c>
      <c r="AG47" s="20">
        <f t="shared" si="29"/>
        <v>-228630</v>
      </c>
      <c r="AH47" s="44"/>
      <c r="AI47" s="39">
        <f t="shared" si="30"/>
        <v>0</v>
      </c>
      <c r="AJ47" s="53">
        <f t="shared" si="31"/>
        <v>82687</v>
      </c>
      <c r="AK47" s="20">
        <f t="shared" si="32"/>
        <v>-82687</v>
      </c>
      <c r="AL47" s="44"/>
      <c r="AM47" s="39">
        <f t="shared" si="33"/>
        <v>0</v>
      </c>
      <c r="AN47" s="53">
        <f t="shared" si="34"/>
        <v>96963</v>
      </c>
      <c r="AO47" s="20">
        <f t="shared" si="35"/>
        <v>-96963</v>
      </c>
      <c r="AP47" s="44"/>
      <c r="AQ47" s="39">
        <f t="shared" si="36"/>
        <v>0</v>
      </c>
      <c r="AR47" s="53">
        <f t="shared" si="37"/>
        <v>79080</v>
      </c>
      <c r="AS47" s="20">
        <f t="shared" si="38"/>
        <v>-79080</v>
      </c>
      <c r="AT47" s="44"/>
      <c r="AU47" s="39">
        <f t="shared" si="39"/>
        <v>0</v>
      </c>
      <c r="AV47" s="53">
        <f t="shared" si="40"/>
        <v>121202</v>
      </c>
      <c r="AW47" s="20">
        <f t="shared" si="41"/>
        <v>-121202</v>
      </c>
      <c r="AX47" s="44"/>
      <c r="AY47" s="39">
        <f t="shared" si="42"/>
        <v>0</v>
      </c>
      <c r="AZ47" s="53">
        <f t="shared" si="43"/>
        <v>153111</v>
      </c>
      <c r="BA47" s="20">
        <f t="shared" si="44"/>
        <v>-153111</v>
      </c>
    </row>
    <row r="48" ht="15.75" customHeight="1">
      <c r="A48" s="52" t="s">
        <v>122</v>
      </c>
      <c r="B48" s="44"/>
      <c r="C48" s="39">
        <f t="shared" si="6"/>
        <v>0</v>
      </c>
      <c r="D48" s="53">
        <f t="shared" si="7"/>
        <v>106679</v>
      </c>
      <c r="E48" s="20">
        <f t="shared" si="8"/>
        <v>-106679</v>
      </c>
      <c r="F48" s="44"/>
      <c r="G48" s="39">
        <f t="shared" si="9"/>
        <v>0</v>
      </c>
      <c r="H48" s="53">
        <f t="shared" si="10"/>
        <v>118893</v>
      </c>
      <c r="I48" s="20">
        <f t="shared" si="11"/>
        <v>-118893</v>
      </c>
      <c r="J48" s="46"/>
      <c r="K48" s="39">
        <f t="shared" si="12"/>
        <v>0</v>
      </c>
      <c r="L48" s="53">
        <f t="shared" si="13"/>
        <v>112365</v>
      </c>
      <c r="M48" s="20">
        <f t="shared" si="14"/>
        <v>-112365</v>
      </c>
      <c r="N48" s="44"/>
      <c r="O48" s="39">
        <f t="shared" si="15"/>
        <v>0</v>
      </c>
      <c r="P48" s="53">
        <f t="shared" si="16"/>
        <v>118383</v>
      </c>
      <c r="Q48" s="20">
        <f t="shared" si="17"/>
        <v>-118383</v>
      </c>
      <c r="R48" s="44"/>
      <c r="S48" s="39">
        <f t="shared" si="18"/>
        <v>0</v>
      </c>
      <c r="T48" s="53">
        <f t="shared" si="19"/>
        <v>113129</v>
      </c>
      <c r="U48" s="20">
        <f t="shared" si="20"/>
        <v>-113129</v>
      </c>
      <c r="V48" s="44"/>
      <c r="W48" s="39">
        <f t="shared" si="21"/>
        <v>0</v>
      </c>
      <c r="X48" s="53">
        <f t="shared" si="22"/>
        <v>105109</v>
      </c>
      <c r="Y48" s="20">
        <f t="shared" si="23"/>
        <v>-105109</v>
      </c>
      <c r="Z48" s="44"/>
      <c r="AA48" s="39">
        <f t="shared" si="24"/>
        <v>0</v>
      </c>
      <c r="AB48" s="53">
        <f t="shared" si="25"/>
        <v>104580</v>
      </c>
      <c r="AC48" s="20">
        <f t="shared" si="26"/>
        <v>-104580</v>
      </c>
      <c r="AD48" s="44"/>
      <c r="AE48" s="39">
        <f t="shared" si="27"/>
        <v>0</v>
      </c>
      <c r="AF48" s="53">
        <f t="shared" si="28"/>
        <v>250805</v>
      </c>
      <c r="AG48" s="20">
        <f t="shared" si="29"/>
        <v>-250805</v>
      </c>
      <c r="AH48" s="44"/>
      <c r="AI48" s="39">
        <f t="shared" si="30"/>
        <v>0</v>
      </c>
      <c r="AJ48" s="53">
        <f t="shared" si="31"/>
        <v>104862</v>
      </c>
      <c r="AK48" s="20">
        <f t="shared" si="32"/>
        <v>-104862</v>
      </c>
      <c r="AL48" s="44"/>
      <c r="AM48" s="39">
        <f t="shared" si="33"/>
        <v>0</v>
      </c>
      <c r="AN48" s="53">
        <f t="shared" si="34"/>
        <v>119138</v>
      </c>
      <c r="AO48" s="20">
        <f t="shared" si="35"/>
        <v>-119138</v>
      </c>
      <c r="AP48" s="44"/>
      <c r="AQ48" s="39">
        <f t="shared" si="36"/>
        <v>0</v>
      </c>
      <c r="AR48" s="53">
        <f t="shared" si="37"/>
        <v>101255</v>
      </c>
      <c r="AS48" s="20">
        <f t="shared" si="38"/>
        <v>-101255</v>
      </c>
      <c r="AT48" s="44"/>
      <c r="AU48" s="39">
        <f t="shared" si="39"/>
        <v>0</v>
      </c>
      <c r="AV48" s="53">
        <f t="shared" si="40"/>
        <v>143377</v>
      </c>
      <c r="AW48" s="20">
        <f t="shared" si="41"/>
        <v>-143377</v>
      </c>
      <c r="AX48" s="44"/>
      <c r="AY48" s="39">
        <f t="shared" si="42"/>
        <v>0</v>
      </c>
      <c r="AZ48" s="53">
        <f t="shared" si="43"/>
        <v>175286</v>
      </c>
      <c r="BA48" s="20">
        <f t="shared" si="44"/>
        <v>-175286</v>
      </c>
    </row>
    <row r="49" ht="15.75" customHeight="1">
      <c r="A49" s="47"/>
      <c r="B49" s="54" t="s">
        <v>84</v>
      </c>
      <c r="C49" s="50" t="s">
        <v>123</v>
      </c>
      <c r="D49" s="55"/>
      <c r="E49" s="56"/>
      <c r="F49" s="54" t="s">
        <v>84</v>
      </c>
      <c r="G49" s="50" t="s">
        <v>123</v>
      </c>
      <c r="H49" s="55"/>
      <c r="I49" s="56"/>
      <c r="J49" s="54" t="s">
        <v>84</v>
      </c>
      <c r="K49" s="50" t="s">
        <v>123</v>
      </c>
      <c r="L49" s="55"/>
      <c r="M49" s="56"/>
      <c r="N49" s="54" t="s">
        <v>84</v>
      </c>
      <c r="O49" s="50" t="s">
        <v>123</v>
      </c>
      <c r="P49" s="55"/>
      <c r="Q49" s="56"/>
      <c r="R49" s="54" t="s">
        <v>84</v>
      </c>
      <c r="S49" s="50" t="s">
        <v>123</v>
      </c>
      <c r="T49" s="55"/>
      <c r="U49" s="56"/>
      <c r="V49" s="54" t="s">
        <v>84</v>
      </c>
      <c r="W49" s="50" t="s">
        <v>123</v>
      </c>
      <c r="X49" s="55"/>
      <c r="Y49" s="56"/>
      <c r="Z49" s="54" t="s">
        <v>84</v>
      </c>
      <c r="AA49" s="50" t="s">
        <v>123</v>
      </c>
      <c r="AB49" s="55"/>
      <c r="AC49" s="56"/>
      <c r="AD49" s="54" t="s">
        <v>84</v>
      </c>
      <c r="AE49" s="50" t="s">
        <v>123</v>
      </c>
      <c r="AF49" s="55"/>
      <c r="AG49" s="56"/>
      <c r="AH49" s="54" t="s">
        <v>84</v>
      </c>
      <c r="AI49" s="50" t="s">
        <v>123</v>
      </c>
      <c r="AJ49" s="55"/>
      <c r="AK49" s="56"/>
      <c r="AL49" s="54" t="s">
        <v>84</v>
      </c>
      <c r="AM49" s="50" t="s">
        <v>123</v>
      </c>
      <c r="AN49" s="55"/>
      <c r="AO49" s="56"/>
      <c r="AP49" s="54" t="s">
        <v>84</v>
      </c>
      <c r="AQ49" s="50" t="s">
        <v>123</v>
      </c>
      <c r="AR49" s="55"/>
      <c r="AS49" s="56"/>
      <c r="AT49" s="54" t="s">
        <v>84</v>
      </c>
      <c r="AU49" s="50" t="s">
        <v>123</v>
      </c>
      <c r="AV49" s="55"/>
      <c r="AW49" s="56"/>
      <c r="AX49" s="54" t="s">
        <v>84</v>
      </c>
      <c r="AY49" s="50" t="s">
        <v>123</v>
      </c>
      <c r="AZ49" s="55"/>
      <c r="BA49" s="56"/>
    </row>
    <row r="50" ht="15.75" customHeight="1">
      <c r="A50" s="52" t="s">
        <v>107</v>
      </c>
      <c r="B50" s="44"/>
      <c r="C50" s="39">
        <f t="shared" ref="C50:C65" si="45">B50*0.92</f>
        <v>0</v>
      </c>
      <c r="D50" s="53">
        <f t="shared" ref="D50:D65" si="46">$B$30+$B$31+G2</f>
        <v>63276</v>
      </c>
      <c r="E50" s="20">
        <f t="shared" ref="E50:E65" si="47">C50-D50</f>
        <v>-63276</v>
      </c>
      <c r="F50" s="44"/>
      <c r="G50" s="39">
        <f t="shared" ref="G50:G65" si="48">F50*0.92</f>
        <v>0</v>
      </c>
      <c r="H50" s="53">
        <f t="shared" ref="H50:H65" si="49">$F$30+$F$31+G2</f>
        <v>75490</v>
      </c>
      <c r="I50" s="20">
        <f t="shared" ref="I50:I65" si="50">G50-H50</f>
        <v>-75490</v>
      </c>
      <c r="J50" s="44"/>
      <c r="K50" s="39">
        <f t="shared" ref="K50:K65" si="51">J50*0.92</f>
        <v>0</v>
      </c>
      <c r="L50" s="53">
        <f t="shared" ref="L50:L65" si="52">$J$30+$J$31+G2</f>
        <v>68962</v>
      </c>
      <c r="M50" s="20">
        <f t="shared" ref="M50:M65" si="53">K50-L50</f>
        <v>-68962</v>
      </c>
      <c r="N50" s="44"/>
      <c r="O50" s="39">
        <f t="shared" ref="O50:O65" si="54">N50*0.92</f>
        <v>0</v>
      </c>
      <c r="P50" s="53">
        <f t="shared" ref="P50:P65" si="55">$N$30+$N$31+G2</f>
        <v>74980</v>
      </c>
      <c r="Q50" s="20">
        <f t="shared" ref="Q50:Q65" si="56">O50-P50</f>
        <v>-74980</v>
      </c>
      <c r="R50" s="44"/>
      <c r="S50" s="39">
        <f t="shared" ref="S50:S65" si="57">R50*0.92</f>
        <v>0</v>
      </c>
      <c r="T50" s="53">
        <f t="shared" ref="T50:T65" si="58">$R$30+$R$31+G2</f>
        <v>69726</v>
      </c>
      <c r="U50" s="20">
        <f t="shared" ref="U50:U65" si="59">S50-T50</f>
        <v>-69726</v>
      </c>
      <c r="V50" s="44"/>
      <c r="W50" s="39">
        <f t="shared" ref="W50:W65" si="60">V50*0.92</f>
        <v>0</v>
      </c>
      <c r="X50" s="53">
        <f t="shared" ref="X50:X65" si="61">$V$30+$V$31+G2</f>
        <v>61706</v>
      </c>
      <c r="Y50" s="20">
        <f t="shared" ref="Y50:Y65" si="62">W50-X50</f>
        <v>-61706</v>
      </c>
      <c r="Z50" s="44"/>
      <c r="AA50" s="39">
        <f t="shared" ref="AA50:AA65" si="63">Z50*0.92</f>
        <v>0</v>
      </c>
      <c r="AB50" s="53">
        <f t="shared" ref="AB50:AB65" si="64">$Z$30+$Z$31+G2</f>
        <v>61177</v>
      </c>
      <c r="AC50" s="20">
        <f t="shared" ref="AC50:AC65" si="65">AA50-AB50</f>
        <v>-61177</v>
      </c>
      <c r="AD50" s="44"/>
      <c r="AE50" s="39">
        <f t="shared" ref="AE50:AE65" si="66">AD50*0.92</f>
        <v>0</v>
      </c>
      <c r="AF50" s="53">
        <f t="shared" ref="AF50:AF65" si="67">$AD$30+$AD$31+G2</f>
        <v>207402</v>
      </c>
      <c r="AG50" s="20">
        <f t="shared" ref="AG50:AG65" si="68">AE50-AF50</f>
        <v>-207402</v>
      </c>
      <c r="AH50" s="44"/>
      <c r="AI50" s="39">
        <f t="shared" ref="AI50:AI65" si="69">AH50*0.92</f>
        <v>0</v>
      </c>
      <c r="AJ50" s="53">
        <f t="shared" ref="AJ50:AJ65" si="70">$AH$30+$AH$31+G2</f>
        <v>61459</v>
      </c>
      <c r="AK50" s="20">
        <f t="shared" ref="AK50:AK65" si="71">AI50-AJ50</f>
        <v>-61459</v>
      </c>
      <c r="AL50" s="44">
        <v>61301.0</v>
      </c>
      <c r="AM50" s="39">
        <f t="shared" ref="AM50:AM65" si="72">AL50*0.92</f>
        <v>56396.92</v>
      </c>
      <c r="AN50" s="53">
        <f t="shared" ref="AN50:AN65" si="73">$AL$30+$AL$31+G2</f>
        <v>75735</v>
      </c>
      <c r="AO50" s="20">
        <f t="shared" ref="AO50:AO65" si="74">AM50-AN50</f>
        <v>-19338.08</v>
      </c>
      <c r="AP50" s="44"/>
      <c r="AQ50" s="39">
        <f t="shared" ref="AQ50:AQ65" si="75">AP50*0.92</f>
        <v>0</v>
      </c>
      <c r="AR50" s="53">
        <f t="shared" ref="AR50:AR65" si="76">$AP$30+$AP$31+G2</f>
        <v>57852</v>
      </c>
      <c r="AS50" s="20">
        <f t="shared" ref="AS50:AS65" si="77">AQ50-AR50</f>
        <v>-57852</v>
      </c>
      <c r="AT50" s="44"/>
      <c r="AU50" s="39">
        <f t="shared" ref="AU50:AU65" si="78">AT50*0.895</f>
        <v>0</v>
      </c>
      <c r="AV50" s="53">
        <f t="shared" ref="AV50:AV65" si="79">$AT$30+$AT$31+G2</f>
        <v>99974</v>
      </c>
      <c r="AW50" s="20">
        <f t="shared" ref="AW50:AW65" si="80">AU50-AV50</f>
        <v>-99974</v>
      </c>
      <c r="AX50" s="44"/>
      <c r="AY50" s="39">
        <f t="shared" ref="AY50:AY65" si="81">AX50*0.895</f>
        <v>0</v>
      </c>
      <c r="AZ50" s="53">
        <f t="shared" ref="AZ50:AZ65" si="82">$AX$30+$AX$31+G2</f>
        <v>131883</v>
      </c>
      <c r="BA50" s="20">
        <f t="shared" ref="BA50:BA65" si="83">AY50-AZ50</f>
        <v>-131883</v>
      </c>
    </row>
    <row r="51" ht="15.75" customHeight="1">
      <c r="A51" s="52" t="s">
        <v>108</v>
      </c>
      <c r="B51" s="44"/>
      <c r="C51" s="39">
        <f t="shared" si="45"/>
        <v>0</v>
      </c>
      <c r="D51" s="53">
        <f t="shared" si="46"/>
        <v>63276</v>
      </c>
      <c r="E51" s="20">
        <f t="shared" si="47"/>
        <v>-63276</v>
      </c>
      <c r="F51" s="44"/>
      <c r="G51" s="39">
        <f t="shared" si="48"/>
        <v>0</v>
      </c>
      <c r="H51" s="53">
        <f t="shared" si="49"/>
        <v>75490</v>
      </c>
      <c r="I51" s="20">
        <f t="shared" si="50"/>
        <v>-75490</v>
      </c>
      <c r="J51" s="44"/>
      <c r="K51" s="39">
        <f t="shared" si="51"/>
        <v>0</v>
      </c>
      <c r="L51" s="53">
        <f t="shared" si="52"/>
        <v>68962</v>
      </c>
      <c r="M51" s="20">
        <f t="shared" si="53"/>
        <v>-68962</v>
      </c>
      <c r="N51" s="44"/>
      <c r="O51" s="39">
        <f t="shared" si="54"/>
        <v>0</v>
      </c>
      <c r="P51" s="53">
        <f t="shared" si="55"/>
        <v>74980</v>
      </c>
      <c r="Q51" s="20">
        <f t="shared" si="56"/>
        <v>-74980</v>
      </c>
      <c r="R51" s="44"/>
      <c r="S51" s="39">
        <f t="shared" si="57"/>
        <v>0</v>
      </c>
      <c r="T51" s="53">
        <f t="shared" si="58"/>
        <v>69726</v>
      </c>
      <c r="U51" s="20">
        <f t="shared" si="59"/>
        <v>-69726</v>
      </c>
      <c r="V51" s="44"/>
      <c r="W51" s="39">
        <f t="shared" si="60"/>
        <v>0</v>
      </c>
      <c r="X51" s="53">
        <f t="shared" si="61"/>
        <v>61706</v>
      </c>
      <c r="Y51" s="20">
        <f t="shared" si="62"/>
        <v>-61706</v>
      </c>
      <c r="Z51" s="44"/>
      <c r="AA51" s="39">
        <f t="shared" si="63"/>
        <v>0</v>
      </c>
      <c r="AB51" s="53">
        <f t="shared" si="64"/>
        <v>61177</v>
      </c>
      <c r="AC51" s="20">
        <f t="shared" si="65"/>
        <v>-61177</v>
      </c>
      <c r="AD51" s="44"/>
      <c r="AE51" s="39">
        <f t="shared" si="66"/>
        <v>0</v>
      </c>
      <c r="AF51" s="53">
        <f t="shared" si="67"/>
        <v>207402</v>
      </c>
      <c r="AG51" s="20">
        <f t="shared" si="68"/>
        <v>-207402</v>
      </c>
      <c r="AH51" s="44"/>
      <c r="AI51" s="39">
        <f t="shared" si="69"/>
        <v>0</v>
      </c>
      <c r="AJ51" s="53">
        <f t="shared" si="70"/>
        <v>61459</v>
      </c>
      <c r="AK51" s="20">
        <f t="shared" si="71"/>
        <v>-61459</v>
      </c>
      <c r="AL51" s="44">
        <v>61400.0</v>
      </c>
      <c r="AM51" s="39">
        <f t="shared" si="72"/>
        <v>56488</v>
      </c>
      <c r="AN51" s="53">
        <f t="shared" si="73"/>
        <v>75735</v>
      </c>
      <c r="AO51" s="20">
        <f t="shared" si="74"/>
        <v>-19247</v>
      </c>
      <c r="AP51" s="44"/>
      <c r="AQ51" s="39">
        <f t="shared" si="75"/>
        <v>0</v>
      </c>
      <c r="AR51" s="53">
        <f t="shared" si="76"/>
        <v>57852</v>
      </c>
      <c r="AS51" s="20">
        <f t="shared" si="77"/>
        <v>-57852</v>
      </c>
      <c r="AT51" s="44"/>
      <c r="AU51" s="39">
        <f t="shared" si="78"/>
        <v>0</v>
      </c>
      <c r="AV51" s="53">
        <f t="shared" si="79"/>
        <v>99974</v>
      </c>
      <c r="AW51" s="20">
        <f t="shared" si="80"/>
        <v>-99974</v>
      </c>
      <c r="AX51" s="44"/>
      <c r="AY51" s="39">
        <f t="shared" si="81"/>
        <v>0</v>
      </c>
      <c r="AZ51" s="53">
        <f t="shared" si="82"/>
        <v>131883</v>
      </c>
      <c r="BA51" s="20">
        <f t="shared" si="83"/>
        <v>-131883</v>
      </c>
    </row>
    <row r="52" ht="15.75" customHeight="1">
      <c r="A52" s="52" t="s">
        <v>109</v>
      </c>
      <c r="B52" s="44"/>
      <c r="C52" s="39">
        <f t="shared" si="45"/>
        <v>0</v>
      </c>
      <c r="D52" s="53">
        <f t="shared" si="46"/>
        <v>63341</v>
      </c>
      <c r="E52" s="20">
        <f t="shared" si="47"/>
        <v>-63341</v>
      </c>
      <c r="F52" s="44"/>
      <c r="G52" s="39">
        <f t="shared" si="48"/>
        <v>0</v>
      </c>
      <c r="H52" s="53">
        <f t="shared" si="49"/>
        <v>75555</v>
      </c>
      <c r="I52" s="20">
        <f t="shared" si="50"/>
        <v>-75555</v>
      </c>
      <c r="J52" s="44"/>
      <c r="K52" s="39">
        <f t="shared" si="51"/>
        <v>0</v>
      </c>
      <c r="L52" s="53">
        <f t="shared" si="52"/>
        <v>69027</v>
      </c>
      <c r="M52" s="20">
        <f t="shared" si="53"/>
        <v>-69027</v>
      </c>
      <c r="N52" s="44"/>
      <c r="O52" s="39">
        <f t="shared" si="54"/>
        <v>0</v>
      </c>
      <c r="P52" s="53">
        <f t="shared" si="55"/>
        <v>75045</v>
      </c>
      <c r="Q52" s="20">
        <f t="shared" si="56"/>
        <v>-75045</v>
      </c>
      <c r="R52" s="44"/>
      <c r="S52" s="39">
        <f t="shared" si="57"/>
        <v>0</v>
      </c>
      <c r="T52" s="53">
        <f t="shared" si="58"/>
        <v>69791</v>
      </c>
      <c r="U52" s="20">
        <f t="shared" si="59"/>
        <v>-69791</v>
      </c>
      <c r="V52" s="44"/>
      <c r="W52" s="39">
        <f t="shared" si="60"/>
        <v>0</v>
      </c>
      <c r="X52" s="53">
        <f t="shared" si="61"/>
        <v>61771</v>
      </c>
      <c r="Y52" s="20">
        <f t="shared" si="62"/>
        <v>-61771</v>
      </c>
      <c r="Z52" s="44"/>
      <c r="AA52" s="39">
        <f t="shared" si="63"/>
        <v>0</v>
      </c>
      <c r="AB52" s="53">
        <f t="shared" si="64"/>
        <v>61242</v>
      </c>
      <c r="AC52" s="20">
        <f t="shared" si="65"/>
        <v>-61242</v>
      </c>
      <c r="AD52" s="44"/>
      <c r="AE52" s="39">
        <f t="shared" si="66"/>
        <v>0</v>
      </c>
      <c r="AF52" s="53">
        <f t="shared" si="67"/>
        <v>207467</v>
      </c>
      <c r="AG52" s="20">
        <f t="shared" si="68"/>
        <v>-207467</v>
      </c>
      <c r="AH52" s="44"/>
      <c r="AI52" s="39">
        <f t="shared" si="69"/>
        <v>0</v>
      </c>
      <c r="AJ52" s="53">
        <f t="shared" si="70"/>
        <v>61524</v>
      </c>
      <c r="AK52" s="20">
        <f t="shared" si="71"/>
        <v>-61524</v>
      </c>
      <c r="AL52" s="44">
        <v>61401.0</v>
      </c>
      <c r="AM52" s="39">
        <f t="shared" si="72"/>
        <v>56488.92</v>
      </c>
      <c r="AN52" s="53">
        <f t="shared" si="73"/>
        <v>75800</v>
      </c>
      <c r="AO52" s="20">
        <f t="shared" si="74"/>
        <v>-19311.08</v>
      </c>
      <c r="AP52" s="44"/>
      <c r="AQ52" s="39">
        <f t="shared" si="75"/>
        <v>0</v>
      </c>
      <c r="AR52" s="53">
        <f t="shared" si="76"/>
        <v>57917</v>
      </c>
      <c r="AS52" s="20">
        <f t="shared" si="77"/>
        <v>-57917</v>
      </c>
      <c r="AT52" s="44"/>
      <c r="AU52" s="39">
        <f t="shared" si="78"/>
        <v>0</v>
      </c>
      <c r="AV52" s="53">
        <f t="shared" si="79"/>
        <v>100039</v>
      </c>
      <c r="AW52" s="20">
        <f t="shared" si="80"/>
        <v>-100039</v>
      </c>
      <c r="AX52" s="44"/>
      <c r="AY52" s="39">
        <f t="shared" si="81"/>
        <v>0</v>
      </c>
      <c r="AZ52" s="53">
        <f t="shared" si="82"/>
        <v>131948</v>
      </c>
      <c r="BA52" s="20">
        <f t="shared" si="83"/>
        <v>-131948</v>
      </c>
    </row>
    <row r="53" ht="15.75" customHeight="1">
      <c r="A53" s="52" t="s">
        <v>110</v>
      </c>
      <c r="B53" s="44"/>
      <c r="C53" s="39">
        <f t="shared" si="45"/>
        <v>0</v>
      </c>
      <c r="D53" s="53">
        <f t="shared" si="46"/>
        <v>65286</v>
      </c>
      <c r="E53" s="20">
        <f t="shared" si="47"/>
        <v>-65286</v>
      </c>
      <c r="F53" s="44"/>
      <c r="G53" s="39">
        <f t="shared" si="48"/>
        <v>0</v>
      </c>
      <c r="H53" s="53">
        <f t="shared" si="49"/>
        <v>77500</v>
      </c>
      <c r="I53" s="20">
        <f t="shared" si="50"/>
        <v>-77500</v>
      </c>
      <c r="J53" s="44"/>
      <c r="K53" s="39">
        <f t="shared" si="51"/>
        <v>0</v>
      </c>
      <c r="L53" s="53">
        <f t="shared" si="52"/>
        <v>70972</v>
      </c>
      <c r="M53" s="20">
        <f t="shared" si="53"/>
        <v>-70972</v>
      </c>
      <c r="N53" s="44"/>
      <c r="O53" s="39">
        <f t="shared" si="54"/>
        <v>0</v>
      </c>
      <c r="P53" s="53">
        <f t="shared" si="55"/>
        <v>76990</v>
      </c>
      <c r="Q53" s="20">
        <f t="shared" si="56"/>
        <v>-76990</v>
      </c>
      <c r="R53" s="44"/>
      <c r="S53" s="39">
        <f t="shared" si="57"/>
        <v>0</v>
      </c>
      <c r="T53" s="53">
        <f t="shared" si="58"/>
        <v>71736</v>
      </c>
      <c r="U53" s="20">
        <f t="shared" si="59"/>
        <v>-71736</v>
      </c>
      <c r="V53" s="44"/>
      <c r="W53" s="39">
        <f t="shared" si="60"/>
        <v>0</v>
      </c>
      <c r="X53" s="53">
        <f t="shared" si="61"/>
        <v>63716</v>
      </c>
      <c r="Y53" s="20">
        <f t="shared" si="62"/>
        <v>-63716</v>
      </c>
      <c r="Z53" s="44"/>
      <c r="AA53" s="39">
        <f t="shared" si="63"/>
        <v>0</v>
      </c>
      <c r="AB53" s="53">
        <f t="shared" si="64"/>
        <v>63187</v>
      </c>
      <c r="AC53" s="20">
        <f t="shared" si="65"/>
        <v>-63187</v>
      </c>
      <c r="AD53" s="44"/>
      <c r="AE53" s="39">
        <f t="shared" si="66"/>
        <v>0</v>
      </c>
      <c r="AF53" s="53">
        <f t="shared" si="67"/>
        <v>209412</v>
      </c>
      <c r="AG53" s="20">
        <f t="shared" si="68"/>
        <v>-209412</v>
      </c>
      <c r="AH53" s="44"/>
      <c r="AI53" s="39">
        <f t="shared" si="69"/>
        <v>0</v>
      </c>
      <c r="AJ53" s="53">
        <f t="shared" si="70"/>
        <v>63469</v>
      </c>
      <c r="AK53" s="20">
        <f t="shared" si="71"/>
        <v>-63469</v>
      </c>
      <c r="AL53" s="44">
        <v>61301.0</v>
      </c>
      <c r="AM53" s="39">
        <f t="shared" si="72"/>
        <v>56396.92</v>
      </c>
      <c r="AN53" s="53">
        <f t="shared" si="73"/>
        <v>77745</v>
      </c>
      <c r="AO53" s="20">
        <f t="shared" si="74"/>
        <v>-21348.08</v>
      </c>
      <c r="AP53" s="44"/>
      <c r="AQ53" s="39">
        <f t="shared" si="75"/>
        <v>0</v>
      </c>
      <c r="AR53" s="53">
        <f t="shared" si="76"/>
        <v>59862</v>
      </c>
      <c r="AS53" s="20">
        <f t="shared" si="77"/>
        <v>-59862</v>
      </c>
      <c r="AT53" s="44"/>
      <c r="AU53" s="39">
        <f t="shared" si="78"/>
        <v>0</v>
      </c>
      <c r="AV53" s="53">
        <f t="shared" si="79"/>
        <v>101984</v>
      </c>
      <c r="AW53" s="20">
        <f t="shared" si="80"/>
        <v>-101984</v>
      </c>
      <c r="AX53" s="44"/>
      <c r="AY53" s="39">
        <f t="shared" si="81"/>
        <v>0</v>
      </c>
      <c r="AZ53" s="53">
        <f t="shared" si="82"/>
        <v>133893</v>
      </c>
      <c r="BA53" s="20">
        <f t="shared" si="83"/>
        <v>-133893</v>
      </c>
    </row>
    <row r="54" ht="15.75" customHeight="1">
      <c r="A54" s="52" t="s">
        <v>111</v>
      </c>
      <c r="B54" s="44"/>
      <c r="C54" s="39">
        <f t="shared" si="45"/>
        <v>0</v>
      </c>
      <c r="D54" s="53">
        <f t="shared" si="46"/>
        <v>65540</v>
      </c>
      <c r="E54" s="20">
        <f t="shared" si="47"/>
        <v>-65540</v>
      </c>
      <c r="F54" s="44"/>
      <c r="G54" s="39">
        <f t="shared" si="48"/>
        <v>0</v>
      </c>
      <c r="H54" s="53">
        <f t="shared" si="49"/>
        <v>77754</v>
      </c>
      <c r="I54" s="20">
        <f t="shared" si="50"/>
        <v>-77754</v>
      </c>
      <c r="J54" s="44"/>
      <c r="K54" s="39">
        <f t="shared" si="51"/>
        <v>0</v>
      </c>
      <c r="L54" s="53">
        <f t="shared" si="52"/>
        <v>71226</v>
      </c>
      <c r="M54" s="20">
        <f t="shared" si="53"/>
        <v>-71226</v>
      </c>
      <c r="N54" s="44"/>
      <c r="O54" s="39">
        <f t="shared" si="54"/>
        <v>0</v>
      </c>
      <c r="P54" s="53">
        <f t="shared" si="55"/>
        <v>77244</v>
      </c>
      <c r="Q54" s="20">
        <f t="shared" si="56"/>
        <v>-77244</v>
      </c>
      <c r="R54" s="44"/>
      <c r="S54" s="39">
        <f t="shared" si="57"/>
        <v>0</v>
      </c>
      <c r="T54" s="53">
        <f t="shared" si="58"/>
        <v>71990</v>
      </c>
      <c r="U54" s="20">
        <f t="shared" si="59"/>
        <v>-71990</v>
      </c>
      <c r="V54" s="44"/>
      <c r="W54" s="39">
        <f t="shared" si="60"/>
        <v>0</v>
      </c>
      <c r="X54" s="53">
        <f t="shared" si="61"/>
        <v>63970</v>
      </c>
      <c r="Y54" s="20">
        <f t="shared" si="62"/>
        <v>-63970</v>
      </c>
      <c r="Z54" s="44"/>
      <c r="AA54" s="39">
        <f t="shared" si="63"/>
        <v>0</v>
      </c>
      <c r="AB54" s="53">
        <f t="shared" si="64"/>
        <v>63441</v>
      </c>
      <c r="AC54" s="20">
        <f t="shared" si="65"/>
        <v>-63441</v>
      </c>
      <c r="AD54" s="44"/>
      <c r="AE54" s="39">
        <f t="shared" si="66"/>
        <v>0</v>
      </c>
      <c r="AF54" s="53">
        <f t="shared" si="67"/>
        <v>209666</v>
      </c>
      <c r="AG54" s="20">
        <f t="shared" si="68"/>
        <v>-209666</v>
      </c>
      <c r="AH54" s="44"/>
      <c r="AI54" s="39">
        <f t="shared" si="69"/>
        <v>0</v>
      </c>
      <c r="AJ54" s="53">
        <f t="shared" si="70"/>
        <v>63723</v>
      </c>
      <c r="AK54" s="20">
        <f t="shared" si="71"/>
        <v>-63723</v>
      </c>
      <c r="AL54" s="44">
        <v>62101.0</v>
      </c>
      <c r="AM54" s="39">
        <f t="shared" si="72"/>
        <v>57132.92</v>
      </c>
      <c r="AN54" s="53">
        <f t="shared" si="73"/>
        <v>77999</v>
      </c>
      <c r="AO54" s="20">
        <f t="shared" si="74"/>
        <v>-20866.08</v>
      </c>
      <c r="AP54" s="44"/>
      <c r="AQ54" s="39">
        <f t="shared" si="75"/>
        <v>0</v>
      </c>
      <c r="AR54" s="53">
        <f t="shared" si="76"/>
        <v>60116</v>
      </c>
      <c r="AS54" s="20">
        <f t="shared" si="77"/>
        <v>-60116</v>
      </c>
      <c r="AT54" s="44"/>
      <c r="AU54" s="39">
        <f t="shared" si="78"/>
        <v>0</v>
      </c>
      <c r="AV54" s="53">
        <f t="shared" si="79"/>
        <v>102238</v>
      </c>
      <c r="AW54" s="20">
        <f t="shared" si="80"/>
        <v>-102238</v>
      </c>
      <c r="AX54" s="44"/>
      <c r="AY54" s="39">
        <f t="shared" si="81"/>
        <v>0</v>
      </c>
      <c r="AZ54" s="53">
        <f t="shared" si="82"/>
        <v>134147</v>
      </c>
      <c r="BA54" s="20">
        <f t="shared" si="83"/>
        <v>-134147</v>
      </c>
    </row>
    <row r="55" ht="15.75" customHeight="1">
      <c r="A55" s="52" t="s">
        <v>112</v>
      </c>
      <c r="B55" s="44"/>
      <c r="C55" s="39">
        <f t="shared" si="45"/>
        <v>0</v>
      </c>
      <c r="D55" s="53">
        <f t="shared" si="46"/>
        <v>63486</v>
      </c>
      <c r="E55" s="20">
        <f t="shared" si="47"/>
        <v>-63486</v>
      </c>
      <c r="F55" s="44"/>
      <c r="G55" s="39">
        <f t="shared" si="48"/>
        <v>0</v>
      </c>
      <c r="H55" s="53">
        <f t="shared" si="49"/>
        <v>75700</v>
      </c>
      <c r="I55" s="20">
        <f t="shared" si="50"/>
        <v>-75700</v>
      </c>
      <c r="J55" s="44"/>
      <c r="K55" s="39">
        <f t="shared" si="51"/>
        <v>0</v>
      </c>
      <c r="L55" s="53">
        <f t="shared" si="52"/>
        <v>69172</v>
      </c>
      <c r="M55" s="20">
        <f t="shared" si="53"/>
        <v>-69172</v>
      </c>
      <c r="N55" s="44"/>
      <c r="O55" s="39">
        <f t="shared" si="54"/>
        <v>0</v>
      </c>
      <c r="P55" s="53">
        <f t="shared" si="55"/>
        <v>75190</v>
      </c>
      <c r="Q55" s="20">
        <f t="shared" si="56"/>
        <v>-75190</v>
      </c>
      <c r="R55" s="44"/>
      <c r="S55" s="39">
        <f t="shared" si="57"/>
        <v>0</v>
      </c>
      <c r="T55" s="53">
        <f t="shared" si="58"/>
        <v>69936</v>
      </c>
      <c r="U55" s="20">
        <f t="shared" si="59"/>
        <v>-69936</v>
      </c>
      <c r="V55" s="44"/>
      <c r="W55" s="39">
        <f t="shared" si="60"/>
        <v>0</v>
      </c>
      <c r="X55" s="53">
        <f t="shared" si="61"/>
        <v>61916</v>
      </c>
      <c r="Y55" s="20">
        <f t="shared" si="62"/>
        <v>-61916</v>
      </c>
      <c r="Z55" s="44"/>
      <c r="AA55" s="39">
        <f t="shared" si="63"/>
        <v>0</v>
      </c>
      <c r="AB55" s="53">
        <f t="shared" si="64"/>
        <v>61387</v>
      </c>
      <c r="AC55" s="20">
        <f t="shared" si="65"/>
        <v>-61387</v>
      </c>
      <c r="AD55" s="44"/>
      <c r="AE55" s="39">
        <f t="shared" si="66"/>
        <v>0</v>
      </c>
      <c r="AF55" s="53">
        <f t="shared" si="67"/>
        <v>207612</v>
      </c>
      <c r="AG55" s="20">
        <f t="shared" si="68"/>
        <v>-207612</v>
      </c>
      <c r="AH55" s="44"/>
      <c r="AI55" s="39">
        <f t="shared" si="69"/>
        <v>0</v>
      </c>
      <c r="AJ55" s="53">
        <f t="shared" si="70"/>
        <v>61669</v>
      </c>
      <c r="AK55" s="20">
        <f t="shared" si="71"/>
        <v>-61669</v>
      </c>
      <c r="AL55" s="44">
        <v>62200.0</v>
      </c>
      <c r="AM55" s="39">
        <f t="shared" si="72"/>
        <v>57224</v>
      </c>
      <c r="AN55" s="53">
        <f t="shared" si="73"/>
        <v>75945</v>
      </c>
      <c r="AO55" s="20">
        <f t="shared" si="74"/>
        <v>-18721</v>
      </c>
      <c r="AP55" s="44"/>
      <c r="AQ55" s="39">
        <f t="shared" si="75"/>
        <v>0</v>
      </c>
      <c r="AR55" s="53">
        <f t="shared" si="76"/>
        <v>58062</v>
      </c>
      <c r="AS55" s="20">
        <f t="shared" si="77"/>
        <v>-58062</v>
      </c>
      <c r="AT55" s="44"/>
      <c r="AU55" s="39">
        <f t="shared" si="78"/>
        <v>0</v>
      </c>
      <c r="AV55" s="53">
        <f t="shared" si="79"/>
        <v>100184</v>
      </c>
      <c r="AW55" s="20">
        <f t="shared" si="80"/>
        <v>-100184</v>
      </c>
      <c r="AX55" s="44"/>
      <c r="AY55" s="39">
        <f t="shared" si="81"/>
        <v>0</v>
      </c>
      <c r="AZ55" s="53">
        <f t="shared" si="82"/>
        <v>132093</v>
      </c>
      <c r="BA55" s="20">
        <f t="shared" si="83"/>
        <v>-132093</v>
      </c>
    </row>
    <row r="56" ht="15.75" customHeight="1">
      <c r="A56" s="52" t="s">
        <v>113</v>
      </c>
      <c r="B56" s="44"/>
      <c r="C56" s="39">
        <f t="shared" si="45"/>
        <v>0</v>
      </c>
      <c r="D56" s="53">
        <f t="shared" si="46"/>
        <v>64236</v>
      </c>
      <c r="E56" s="20">
        <f t="shared" si="47"/>
        <v>-64236</v>
      </c>
      <c r="F56" s="44"/>
      <c r="G56" s="39">
        <f t="shared" si="48"/>
        <v>0</v>
      </c>
      <c r="H56" s="53">
        <f t="shared" si="49"/>
        <v>76450</v>
      </c>
      <c r="I56" s="20">
        <f t="shared" si="50"/>
        <v>-76450</v>
      </c>
      <c r="J56" s="44"/>
      <c r="K56" s="39">
        <f t="shared" si="51"/>
        <v>0</v>
      </c>
      <c r="L56" s="53">
        <f t="shared" si="52"/>
        <v>69922</v>
      </c>
      <c r="M56" s="20">
        <f t="shared" si="53"/>
        <v>-69922</v>
      </c>
      <c r="N56" s="44"/>
      <c r="O56" s="39">
        <f t="shared" si="54"/>
        <v>0</v>
      </c>
      <c r="P56" s="53">
        <f t="shared" si="55"/>
        <v>75940</v>
      </c>
      <c r="Q56" s="20">
        <f t="shared" si="56"/>
        <v>-75940</v>
      </c>
      <c r="R56" s="44"/>
      <c r="S56" s="39">
        <f t="shared" si="57"/>
        <v>0</v>
      </c>
      <c r="T56" s="53">
        <f t="shared" si="58"/>
        <v>70686</v>
      </c>
      <c r="U56" s="20">
        <f t="shared" si="59"/>
        <v>-70686</v>
      </c>
      <c r="V56" s="44"/>
      <c r="W56" s="39">
        <f t="shared" si="60"/>
        <v>0</v>
      </c>
      <c r="X56" s="53">
        <f t="shared" si="61"/>
        <v>62666</v>
      </c>
      <c r="Y56" s="20">
        <f t="shared" si="62"/>
        <v>-62666</v>
      </c>
      <c r="Z56" s="44"/>
      <c r="AA56" s="39">
        <f t="shared" si="63"/>
        <v>0</v>
      </c>
      <c r="AB56" s="53">
        <f t="shared" si="64"/>
        <v>62137</v>
      </c>
      <c r="AC56" s="20">
        <f t="shared" si="65"/>
        <v>-62137</v>
      </c>
      <c r="AD56" s="44"/>
      <c r="AE56" s="39">
        <f t="shared" si="66"/>
        <v>0</v>
      </c>
      <c r="AF56" s="53">
        <f t="shared" si="67"/>
        <v>208362</v>
      </c>
      <c r="AG56" s="20">
        <f t="shared" si="68"/>
        <v>-208362</v>
      </c>
      <c r="AH56" s="44"/>
      <c r="AI56" s="39">
        <f t="shared" si="69"/>
        <v>0</v>
      </c>
      <c r="AJ56" s="53">
        <f t="shared" si="70"/>
        <v>62419</v>
      </c>
      <c r="AK56" s="20">
        <f t="shared" si="71"/>
        <v>-62419</v>
      </c>
      <c r="AL56" s="44">
        <v>62009.0</v>
      </c>
      <c r="AM56" s="39">
        <f t="shared" si="72"/>
        <v>57048.28</v>
      </c>
      <c r="AN56" s="53">
        <f t="shared" si="73"/>
        <v>76695</v>
      </c>
      <c r="AO56" s="20">
        <f t="shared" si="74"/>
        <v>-19646.72</v>
      </c>
      <c r="AP56" s="44"/>
      <c r="AQ56" s="39">
        <f t="shared" si="75"/>
        <v>0</v>
      </c>
      <c r="AR56" s="53">
        <f t="shared" si="76"/>
        <v>58812</v>
      </c>
      <c r="AS56" s="20">
        <f t="shared" si="77"/>
        <v>-58812</v>
      </c>
      <c r="AT56" s="44"/>
      <c r="AU56" s="39">
        <f t="shared" si="78"/>
        <v>0</v>
      </c>
      <c r="AV56" s="53">
        <f t="shared" si="79"/>
        <v>100934</v>
      </c>
      <c r="AW56" s="20">
        <f t="shared" si="80"/>
        <v>-100934</v>
      </c>
      <c r="AX56" s="44"/>
      <c r="AY56" s="39">
        <f t="shared" si="81"/>
        <v>0</v>
      </c>
      <c r="AZ56" s="53">
        <f t="shared" si="82"/>
        <v>132843</v>
      </c>
      <c r="BA56" s="20">
        <f t="shared" si="83"/>
        <v>-132843</v>
      </c>
    </row>
    <row r="57" ht="15.75" customHeight="1">
      <c r="A57" s="52" t="s">
        <v>114</v>
      </c>
      <c r="B57" s="44"/>
      <c r="C57" s="39">
        <f t="shared" si="45"/>
        <v>0</v>
      </c>
      <c r="D57" s="53">
        <f t="shared" si="46"/>
        <v>64301</v>
      </c>
      <c r="E57" s="20">
        <f t="shared" si="47"/>
        <v>-64301</v>
      </c>
      <c r="F57" s="44"/>
      <c r="G57" s="39">
        <f t="shared" si="48"/>
        <v>0</v>
      </c>
      <c r="H57" s="53">
        <f t="shared" si="49"/>
        <v>76515</v>
      </c>
      <c r="I57" s="20">
        <f t="shared" si="50"/>
        <v>-76515</v>
      </c>
      <c r="J57" s="44"/>
      <c r="K57" s="39">
        <f t="shared" si="51"/>
        <v>0</v>
      </c>
      <c r="L57" s="53">
        <f t="shared" si="52"/>
        <v>69987</v>
      </c>
      <c r="M57" s="20">
        <f t="shared" si="53"/>
        <v>-69987</v>
      </c>
      <c r="N57" s="44"/>
      <c r="O57" s="39">
        <f t="shared" si="54"/>
        <v>0</v>
      </c>
      <c r="P57" s="53">
        <f t="shared" si="55"/>
        <v>76005</v>
      </c>
      <c r="Q57" s="20">
        <f t="shared" si="56"/>
        <v>-76005</v>
      </c>
      <c r="R57" s="44"/>
      <c r="S57" s="39">
        <f t="shared" si="57"/>
        <v>0</v>
      </c>
      <c r="T57" s="53">
        <f t="shared" si="58"/>
        <v>70751</v>
      </c>
      <c r="U57" s="20">
        <f t="shared" si="59"/>
        <v>-70751</v>
      </c>
      <c r="V57" s="44"/>
      <c r="W57" s="39">
        <f t="shared" si="60"/>
        <v>0</v>
      </c>
      <c r="X57" s="53">
        <f t="shared" si="61"/>
        <v>62731</v>
      </c>
      <c r="Y57" s="20">
        <f t="shared" si="62"/>
        <v>-62731</v>
      </c>
      <c r="Z57" s="44"/>
      <c r="AA57" s="39">
        <f t="shared" si="63"/>
        <v>0</v>
      </c>
      <c r="AB57" s="53">
        <f t="shared" si="64"/>
        <v>62202</v>
      </c>
      <c r="AC57" s="20">
        <f t="shared" si="65"/>
        <v>-62202</v>
      </c>
      <c r="AD57" s="44"/>
      <c r="AE57" s="39">
        <f t="shared" si="66"/>
        <v>0</v>
      </c>
      <c r="AF57" s="53">
        <f t="shared" si="67"/>
        <v>208427</v>
      </c>
      <c r="AG57" s="20">
        <f t="shared" si="68"/>
        <v>-208427</v>
      </c>
      <c r="AH57" s="44"/>
      <c r="AI57" s="39">
        <f t="shared" si="69"/>
        <v>0</v>
      </c>
      <c r="AJ57" s="53">
        <f t="shared" si="70"/>
        <v>62484</v>
      </c>
      <c r="AK57" s="20">
        <f t="shared" si="71"/>
        <v>-62484</v>
      </c>
      <c r="AL57" s="44">
        <v>65615.0</v>
      </c>
      <c r="AM57" s="39">
        <f t="shared" si="72"/>
        <v>60365.8</v>
      </c>
      <c r="AN57" s="53">
        <f t="shared" si="73"/>
        <v>76760</v>
      </c>
      <c r="AO57" s="20">
        <f t="shared" si="74"/>
        <v>-16394.2</v>
      </c>
      <c r="AP57" s="44"/>
      <c r="AQ57" s="39">
        <f t="shared" si="75"/>
        <v>0</v>
      </c>
      <c r="AR57" s="53">
        <f t="shared" si="76"/>
        <v>58877</v>
      </c>
      <c r="AS57" s="20">
        <f t="shared" si="77"/>
        <v>-58877</v>
      </c>
      <c r="AT57" s="44"/>
      <c r="AU57" s="39">
        <f t="shared" si="78"/>
        <v>0</v>
      </c>
      <c r="AV57" s="53">
        <f t="shared" si="79"/>
        <v>100999</v>
      </c>
      <c r="AW57" s="20">
        <f t="shared" si="80"/>
        <v>-100999</v>
      </c>
      <c r="AX57" s="44"/>
      <c r="AY57" s="39">
        <f t="shared" si="81"/>
        <v>0</v>
      </c>
      <c r="AZ57" s="53">
        <f t="shared" si="82"/>
        <v>132908</v>
      </c>
      <c r="BA57" s="20">
        <f t="shared" si="83"/>
        <v>-132908</v>
      </c>
    </row>
    <row r="58" ht="15.75" customHeight="1">
      <c r="A58" s="52" t="s">
        <v>115</v>
      </c>
      <c r="B58" s="44"/>
      <c r="C58" s="39">
        <f t="shared" si="45"/>
        <v>0</v>
      </c>
      <c r="D58" s="53">
        <f t="shared" si="46"/>
        <v>66246</v>
      </c>
      <c r="E58" s="20">
        <f t="shared" si="47"/>
        <v>-66246</v>
      </c>
      <c r="F58" s="44"/>
      <c r="G58" s="39">
        <f t="shared" si="48"/>
        <v>0</v>
      </c>
      <c r="H58" s="53">
        <f t="shared" si="49"/>
        <v>78460</v>
      </c>
      <c r="I58" s="20">
        <f t="shared" si="50"/>
        <v>-78460</v>
      </c>
      <c r="J58" s="44"/>
      <c r="K58" s="39">
        <f t="shared" si="51"/>
        <v>0</v>
      </c>
      <c r="L58" s="53">
        <f t="shared" si="52"/>
        <v>71932</v>
      </c>
      <c r="M58" s="20">
        <f t="shared" si="53"/>
        <v>-71932</v>
      </c>
      <c r="N58" s="44"/>
      <c r="O58" s="39">
        <f t="shared" si="54"/>
        <v>0</v>
      </c>
      <c r="P58" s="53">
        <f t="shared" si="55"/>
        <v>77950</v>
      </c>
      <c r="Q58" s="20">
        <f t="shared" si="56"/>
        <v>-77950</v>
      </c>
      <c r="R58" s="44"/>
      <c r="S58" s="39">
        <f t="shared" si="57"/>
        <v>0</v>
      </c>
      <c r="T58" s="53">
        <f t="shared" si="58"/>
        <v>72696</v>
      </c>
      <c r="U58" s="20">
        <f t="shared" si="59"/>
        <v>-72696</v>
      </c>
      <c r="V58" s="44"/>
      <c r="W58" s="39">
        <f t="shared" si="60"/>
        <v>0</v>
      </c>
      <c r="X58" s="53">
        <f t="shared" si="61"/>
        <v>64676</v>
      </c>
      <c r="Y58" s="20">
        <f t="shared" si="62"/>
        <v>-64676</v>
      </c>
      <c r="Z58" s="44"/>
      <c r="AA58" s="39">
        <f t="shared" si="63"/>
        <v>0</v>
      </c>
      <c r="AB58" s="53">
        <f t="shared" si="64"/>
        <v>64147</v>
      </c>
      <c r="AC58" s="20">
        <f t="shared" si="65"/>
        <v>-64147</v>
      </c>
      <c r="AD58" s="44"/>
      <c r="AE58" s="39">
        <f t="shared" si="66"/>
        <v>0</v>
      </c>
      <c r="AF58" s="53">
        <f t="shared" si="67"/>
        <v>210372</v>
      </c>
      <c r="AG58" s="20">
        <f t="shared" si="68"/>
        <v>-210372</v>
      </c>
      <c r="AH58" s="44"/>
      <c r="AI58" s="39">
        <f t="shared" si="69"/>
        <v>0</v>
      </c>
      <c r="AJ58" s="53">
        <f t="shared" si="70"/>
        <v>64429</v>
      </c>
      <c r="AK58" s="20">
        <f t="shared" si="71"/>
        <v>-64429</v>
      </c>
      <c r="AL58" s="44">
        <v>68601.0</v>
      </c>
      <c r="AM58" s="39">
        <f t="shared" si="72"/>
        <v>63112.92</v>
      </c>
      <c r="AN58" s="53">
        <f t="shared" si="73"/>
        <v>78705</v>
      </c>
      <c r="AO58" s="20">
        <f t="shared" si="74"/>
        <v>-15592.08</v>
      </c>
      <c r="AP58" s="44"/>
      <c r="AQ58" s="39">
        <f t="shared" si="75"/>
        <v>0</v>
      </c>
      <c r="AR58" s="53">
        <f t="shared" si="76"/>
        <v>60822</v>
      </c>
      <c r="AS58" s="20">
        <f t="shared" si="77"/>
        <v>-60822</v>
      </c>
      <c r="AT58" s="44"/>
      <c r="AU58" s="39">
        <f t="shared" si="78"/>
        <v>0</v>
      </c>
      <c r="AV58" s="53">
        <f t="shared" si="79"/>
        <v>102944</v>
      </c>
      <c r="AW58" s="20">
        <f t="shared" si="80"/>
        <v>-102944</v>
      </c>
      <c r="AX58" s="44"/>
      <c r="AY58" s="39">
        <f t="shared" si="81"/>
        <v>0</v>
      </c>
      <c r="AZ58" s="53">
        <f t="shared" si="82"/>
        <v>134853</v>
      </c>
      <c r="BA58" s="20">
        <f t="shared" si="83"/>
        <v>-134853</v>
      </c>
    </row>
    <row r="59" ht="15.75" customHeight="1">
      <c r="A59" s="52" t="s">
        <v>116</v>
      </c>
      <c r="B59" s="44"/>
      <c r="C59" s="39">
        <f t="shared" si="45"/>
        <v>0</v>
      </c>
      <c r="D59" s="53">
        <f t="shared" si="46"/>
        <v>66500</v>
      </c>
      <c r="E59" s="20">
        <f t="shared" si="47"/>
        <v>-66500</v>
      </c>
      <c r="F59" s="44"/>
      <c r="G59" s="39">
        <f t="shared" si="48"/>
        <v>0</v>
      </c>
      <c r="H59" s="53">
        <f t="shared" si="49"/>
        <v>78714</v>
      </c>
      <c r="I59" s="20">
        <f t="shared" si="50"/>
        <v>-78714</v>
      </c>
      <c r="J59" s="44"/>
      <c r="K59" s="39">
        <f t="shared" si="51"/>
        <v>0</v>
      </c>
      <c r="L59" s="53">
        <f t="shared" si="52"/>
        <v>72186</v>
      </c>
      <c r="M59" s="20">
        <f t="shared" si="53"/>
        <v>-72186</v>
      </c>
      <c r="N59" s="44"/>
      <c r="O59" s="39">
        <f t="shared" si="54"/>
        <v>0</v>
      </c>
      <c r="P59" s="53">
        <f t="shared" si="55"/>
        <v>78204</v>
      </c>
      <c r="Q59" s="20">
        <f t="shared" si="56"/>
        <v>-78204</v>
      </c>
      <c r="R59" s="44"/>
      <c r="S59" s="39">
        <f t="shared" si="57"/>
        <v>0</v>
      </c>
      <c r="T59" s="53">
        <f t="shared" si="58"/>
        <v>72950</v>
      </c>
      <c r="U59" s="20">
        <f t="shared" si="59"/>
        <v>-72950</v>
      </c>
      <c r="V59" s="44"/>
      <c r="W59" s="39">
        <f t="shared" si="60"/>
        <v>0</v>
      </c>
      <c r="X59" s="53">
        <f t="shared" si="61"/>
        <v>64930</v>
      </c>
      <c r="Y59" s="20">
        <f t="shared" si="62"/>
        <v>-64930</v>
      </c>
      <c r="Z59" s="44"/>
      <c r="AA59" s="39">
        <f t="shared" si="63"/>
        <v>0</v>
      </c>
      <c r="AB59" s="53">
        <f t="shared" si="64"/>
        <v>64401</v>
      </c>
      <c r="AC59" s="20">
        <f t="shared" si="65"/>
        <v>-64401</v>
      </c>
      <c r="AD59" s="44"/>
      <c r="AE59" s="39">
        <f t="shared" si="66"/>
        <v>0</v>
      </c>
      <c r="AF59" s="53">
        <f t="shared" si="67"/>
        <v>210626</v>
      </c>
      <c r="AG59" s="20">
        <f t="shared" si="68"/>
        <v>-210626</v>
      </c>
      <c r="AH59" s="44"/>
      <c r="AI59" s="39">
        <f t="shared" si="69"/>
        <v>0</v>
      </c>
      <c r="AJ59" s="53">
        <f t="shared" si="70"/>
        <v>64683</v>
      </c>
      <c r="AK59" s="20">
        <f t="shared" si="71"/>
        <v>-64683</v>
      </c>
      <c r="AL59" s="44">
        <v>68700.0</v>
      </c>
      <c r="AM59" s="39">
        <f t="shared" si="72"/>
        <v>63204</v>
      </c>
      <c r="AN59" s="53">
        <f t="shared" si="73"/>
        <v>78959</v>
      </c>
      <c r="AO59" s="20">
        <f t="shared" si="74"/>
        <v>-15755</v>
      </c>
      <c r="AP59" s="44"/>
      <c r="AQ59" s="39">
        <f t="shared" si="75"/>
        <v>0</v>
      </c>
      <c r="AR59" s="53">
        <f t="shared" si="76"/>
        <v>61076</v>
      </c>
      <c r="AS59" s="20">
        <f t="shared" si="77"/>
        <v>-61076</v>
      </c>
      <c r="AT59" s="44"/>
      <c r="AU59" s="39">
        <f t="shared" si="78"/>
        <v>0</v>
      </c>
      <c r="AV59" s="53">
        <f t="shared" si="79"/>
        <v>103198</v>
      </c>
      <c r="AW59" s="20">
        <f t="shared" si="80"/>
        <v>-103198</v>
      </c>
      <c r="AX59" s="44"/>
      <c r="AY59" s="39">
        <f t="shared" si="81"/>
        <v>0</v>
      </c>
      <c r="AZ59" s="53">
        <f t="shared" si="82"/>
        <v>135107</v>
      </c>
      <c r="BA59" s="20">
        <f t="shared" si="83"/>
        <v>-135107</v>
      </c>
    </row>
    <row r="60" ht="15.75" customHeight="1">
      <c r="A60" s="52" t="s">
        <v>117</v>
      </c>
      <c r="B60" s="44"/>
      <c r="C60" s="39">
        <f t="shared" si="45"/>
        <v>0</v>
      </c>
      <c r="D60" s="53">
        <f t="shared" si="46"/>
        <v>72126</v>
      </c>
      <c r="E60" s="20">
        <f t="shared" si="47"/>
        <v>-72126</v>
      </c>
      <c r="F60" s="44"/>
      <c r="G60" s="39">
        <f t="shared" si="48"/>
        <v>0</v>
      </c>
      <c r="H60" s="53">
        <f t="shared" si="49"/>
        <v>84340</v>
      </c>
      <c r="I60" s="20">
        <f t="shared" si="50"/>
        <v>-84340</v>
      </c>
      <c r="J60" s="44"/>
      <c r="K60" s="39">
        <f t="shared" si="51"/>
        <v>0</v>
      </c>
      <c r="L60" s="53">
        <f t="shared" si="52"/>
        <v>77812</v>
      </c>
      <c r="M60" s="20">
        <f t="shared" si="53"/>
        <v>-77812</v>
      </c>
      <c r="N60" s="44"/>
      <c r="O60" s="39">
        <f t="shared" si="54"/>
        <v>0</v>
      </c>
      <c r="P60" s="53">
        <f t="shared" si="55"/>
        <v>83830</v>
      </c>
      <c r="Q60" s="20">
        <f t="shared" si="56"/>
        <v>-83830</v>
      </c>
      <c r="R60" s="44"/>
      <c r="S60" s="39">
        <f t="shared" si="57"/>
        <v>0</v>
      </c>
      <c r="T60" s="53">
        <f t="shared" si="58"/>
        <v>78576</v>
      </c>
      <c r="U60" s="20">
        <f t="shared" si="59"/>
        <v>-78576</v>
      </c>
      <c r="V60" s="44"/>
      <c r="W60" s="39">
        <f t="shared" si="60"/>
        <v>0</v>
      </c>
      <c r="X60" s="53">
        <f t="shared" si="61"/>
        <v>70556</v>
      </c>
      <c r="Y60" s="20">
        <f t="shared" si="62"/>
        <v>-70556</v>
      </c>
      <c r="Z60" s="44"/>
      <c r="AA60" s="39">
        <f t="shared" si="63"/>
        <v>0</v>
      </c>
      <c r="AB60" s="53">
        <f t="shared" si="64"/>
        <v>70027</v>
      </c>
      <c r="AC60" s="20">
        <f t="shared" si="65"/>
        <v>-70027</v>
      </c>
      <c r="AD60" s="44"/>
      <c r="AE60" s="39">
        <f t="shared" si="66"/>
        <v>0</v>
      </c>
      <c r="AF60" s="53">
        <f t="shared" si="67"/>
        <v>216252</v>
      </c>
      <c r="AG60" s="20">
        <f t="shared" si="68"/>
        <v>-216252</v>
      </c>
      <c r="AH60" s="44"/>
      <c r="AI60" s="39">
        <f t="shared" si="69"/>
        <v>0</v>
      </c>
      <c r="AJ60" s="53">
        <f t="shared" si="70"/>
        <v>70309</v>
      </c>
      <c r="AK60" s="20">
        <f t="shared" si="71"/>
        <v>-70309</v>
      </c>
      <c r="AL60" s="44">
        <v>68702.0</v>
      </c>
      <c r="AM60" s="39">
        <f t="shared" si="72"/>
        <v>63205.84</v>
      </c>
      <c r="AN60" s="53">
        <f t="shared" si="73"/>
        <v>84585</v>
      </c>
      <c r="AO60" s="20">
        <f t="shared" si="74"/>
        <v>-21379.16</v>
      </c>
      <c r="AP60" s="44"/>
      <c r="AQ60" s="39">
        <f t="shared" si="75"/>
        <v>0</v>
      </c>
      <c r="AR60" s="53">
        <f t="shared" si="76"/>
        <v>66702</v>
      </c>
      <c r="AS60" s="20">
        <f t="shared" si="77"/>
        <v>-66702</v>
      </c>
      <c r="AT60" s="44"/>
      <c r="AU60" s="39">
        <f t="shared" si="78"/>
        <v>0</v>
      </c>
      <c r="AV60" s="53">
        <f t="shared" si="79"/>
        <v>108824</v>
      </c>
      <c r="AW60" s="20">
        <f t="shared" si="80"/>
        <v>-108824</v>
      </c>
      <c r="AX60" s="44"/>
      <c r="AY60" s="39">
        <f t="shared" si="81"/>
        <v>0</v>
      </c>
      <c r="AZ60" s="53">
        <f t="shared" si="82"/>
        <v>140733</v>
      </c>
      <c r="BA60" s="20">
        <f t="shared" si="83"/>
        <v>-140733</v>
      </c>
    </row>
    <row r="61" ht="15.75" customHeight="1">
      <c r="A61" s="52" t="s">
        <v>118</v>
      </c>
      <c r="B61" s="44"/>
      <c r="C61" s="39">
        <f t="shared" si="45"/>
        <v>0</v>
      </c>
      <c r="D61" s="53">
        <f t="shared" si="46"/>
        <v>74228</v>
      </c>
      <c r="E61" s="20">
        <f t="shared" si="47"/>
        <v>-74228</v>
      </c>
      <c r="F61" s="44"/>
      <c r="G61" s="39">
        <f t="shared" si="48"/>
        <v>0</v>
      </c>
      <c r="H61" s="53">
        <f t="shared" si="49"/>
        <v>86442</v>
      </c>
      <c r="I61" s="20">
        <f t="shared" si="50"/>
        <v>-86442</v>
      </c>
      <c r="J61" s="44"/>
      <c r="K61" s="39">
        <f t="shared" si="51"/>
        <v>0</v>
      </c>
      <c r="L61" s="53">
        <f t="shared" si="52"/>
        <v>79914</v>
      </c>
      <c r="M61" s="20">
        <f t="shared" si="53"/>
        <v>-79914</v>
      </c>
      <c r="N61" s="44"/>
      <c r="O61" s="39">
        <f t="shared" si="54"/>
        <v>0</v>
      </c>
      <c r="P61" s="53">
        <f t="shared" si="55"/>
        <v>85932</v>
      </c>
      <c r="Q61" s="20">
        <f t="shared" si="56"/>
        <v>-85932</v>
      </c>
      <c r="R61" s="44"/>
      <c r="S61" s="39">
        <f t="shared" si="57"/>
        <v>0</v>
      </c>
      <c r="T61" s="53">
        <f t="shared" si="58"/>
        <v>80678</v>
      </c>
      <c r="U61" s="20">
        <f t="shared" si="59"/>
        <v>-80678</v>
      </c>
      <c r="V61" s="44"/>
      <c r="W61" s="39">
        <f t="shared" si="60"/>
        <v>0</v>
      </c>
      <c r="X61" s="53">
        <f t="shared" si="61"/>
        <v>72658</v>
      </c>
      <c r="Y61" s="20">
        <f t="shared" si="62"/>
        <v>-72658</v>
      </c>
      <c r="Z61" s="44"/>
      <c r="AA61" s="39">
        <f t="shared" si="63"/>
        <v>0</v>
      </c>
      <c r="AB61" s="53">
        <f t="shared" si="64"/>
        <v>72129</v>
      </c>
      <c r="AC61" s="20">
        <f t="shared" si="65"/>
        <v>-72129</v>
      </c>
      <c r="AD61" s="44"/>
      <c r="AE61" s="39">
        <f t="shared" si="66"/>
        <v>0</v>
      </c>
      <c r="AF61" s="53">
        <f t="shared" si="67"/>
        <v>218354</v>
      </c>
      <c r="AG61" s="20">
        <f t="shared" si="68"/>
        <v>-218354</v>
      </c>
      <c r="AH61" s="44"/>
      <c r="AI61" s="39">
        <f t="shared" si="69"/>
        <v>0</v>
      </c>
      <c r="AJ61" s="53">
        <f t="shared" si="70"/>
        <v>72411</v>
      </c>
      <c r="AK61" s="20">
        <f t="shared" si="71"/>
        <v>-72411</v>
      </c>
      <c r="AL61" s="44">
        <v>68549.0</v>
      </c>
      <c r="AM61" s="39">
        <f t="shared" si="72"/>
        <v>63065.08</v>
      </c>
      <c r="AN61" s="53">
        <f t="shared" si="73"/>
        <v>86687</v>
      </c>
      <c r="AO61" s="20">
        <f t="shared" si="74"/>
        <v>-23621.92</v>
      </c>
      <c r="AP61" s="44"/>
      <c r="AQ61" s="39">
        <f t="shared" si="75"/>
        <v>0</v>
      </c>
      <c r="AR61" s="53">
        <f t="shared" si="76"/>
        <v>68804</v>
      </c>
      <c r="AS61" s="20">
        <f t="shared" si="77"/>
        <v>-68804</v>
      </c>
      <c r="AT61" s="44"/>
      <c r="AU61" s="39">
        <f t="shared" si="78"/>
        <v>0</v>
      </c>
      <c r="AV61" s="53">
        <f t="shared" si="79"/>
        <v>110926</v>
      </c>
      <c r="AW61" s="20">
        <f t="shared" si="80"/>
        <v>-110926</v>
      </c>
      <c r="AX61" s="44"/>
      <c r="AY61" s="39">
        <f t="shared" si="81"/>
        <v>0</v>
      </c>
      <c r="AZ61" s="53">
        <f t="shared" si="82"/>
        <v>142835</v>
      </c>
      <c r="BA61" s="20">
        <f t="shared" si="83"/>
        <v>-142835</v>
      </c>
    </row>
    <row r="62" ht="15.75" customHeight="1">
      <c r="A62" s="52" t="s">
        <v>119</v>
      </c>
      <c r="B62" s="44"/>
      <c r="C62" s="39">
        <f t="shared" si="45"/>
        <v>0</v>
      </c>
      <c r="D62" s="53">
        <f t="shared" si="46"/>
        <v>74269</v>
      </c>
      <c r="E62" s="20">
        <f t="shared" si="47"/>
        <v>-74269</v>
      </c>
      <c r="F62" s="44"/>
      <c r="G62" s="39">
        <f t="shared" si="48"/>
        <v>0</v>
      </c>
      <c r="H62" s="53">
        <f t="shared" si="49"/>
        <v>86483</v>
      </c>
      <c r="I62" s="20">
        <f t="shared" si="50"/>
        <v>-86483</v>
      </c>
      <c r="J62" s="44"/>
      <c r="K62" s="39">
        <f t="shared" si="51"/>
        <v>0</v>
      </c>
      <c r="L62" s="53">
        <f t="shared" si="52"/>
        <v>79955</v>
      </c>
      <c r="M62" s="20">
        <f t="shared" si="53"/>
        <v>-79955</v>
      </c>
      <c r="N62" s="44"/>
      <c r="O62" s="39">
        <f t="shared" si="54"/>
        <v>0</v>
      </c>
      <c r="P62" s="53">
        <f t="shared" si="55"/>
        <v>85973</v>
      </c>
      <c r="Q62" s="20">
        <f t="shared" si="56"/>
        <v>-85973</v>
      </c>
      <c r="R62" s="44"/>
      <c r="S62" s="39">
        <f t="shared" si="57"/>
        <v>0</v>
      </c>
      <c r="T62" s="53">
        <f t="shared" si="58"/>
        <v>80719</v>
      </c>
      <c r="U62" s="20">
        <f t="shared" si="59"/>
        <v>-80719</v>
      </c>
      <c r="V62" s="44"/>
      <c r="W62" s="39">
        <f t="shared" si="60"/>
        <v>0</v>
      </c>
      <c r="X62" s="53">
        <f t="shared" si="61"/>
        <v>72699</v>
      </c>
      <c r="Y62" s="20">
        <f t="shared" si="62"/>
        <v>-72699</v>
      </c>
      <c r="Z62" s="44"/>
      <c r="AA62" s="39">
        <f t="shared" si="63"/>
        <v>0</v>
      </c>
      <c r="AB62" s="53">
        <f t="shared" si="64"/>
        <v>72170</v>
      </c>
      <c r="AC62" s="20">
        <f t="shared" si="65"/>
        <v>-72170</v>
      </c>
      <c r="AD62" s="44"/>
      <c r="AE62" s="39">
        <f t="shared" si="66"/>
        <v>0</v>
      </c>
      <c r="AF62" s="53">
        <f t="shared" si="67"/>
        <v>218395</v>
      </c>
      <c r="AG62" s="20">
        <f t="shared" si="68"/>
        <v>-218395</v>
      </c>
      <c r="AH62" s="44"/>
      <c r="AI62" s="39">
        <f t="shared" si="69"/>
        <v>0</v>
      </c>
      <c r="AJ62" s="53">
        <f t="shared" si="70"/>
        <v>72452</v>
      </c>
      <c r="AK62" s="20">
        <f t="shared" si="71"/>
        <v>-72452</v>
      </c>
      <c r="AL62" s="44">
        <v>60014.0</v>
      </c>
      <c r="AM62" s="39">
        <f t="shared" si="72"/>
        <v>55212.88</v>
      </c>
      <c r="AN62" s="53">
        <f t="shared" si="73"/>
        <v>86728</v>
      </c>
      <c r="AO62" s="20">
        <f t="shared" si="74"/>
        <v>-31515.12</v>
      </c>
      <c r="AP62" s="44"/>
      <c r="AQ62" s="39">
        <f t="shared" si="75"/>
        <v>0</v>
      </c>
      <c r="AR62" s="53">
        <f t="shared" si="76"/>
        <v>68845</v>
      </c>
      <c r="AS62" s="20">
        <f t="shared" si="77"/>
        <v>-68845</v>
      </c>
      <c r="AT62" s="44"/>
      <c r="AU62" s="39">
        <f t="shared" si="78"/>
        <v>0</v>
      </c>
      <c r="AV62" s="53">
        <f t="shared" si="79"/>
        <v>110967</v>
      </c>
      <c r="AW62" s="20">
        <f t="shared" si="80"/>
        <v>-110967</v>
      </c>
      <c r="AX62" s="44"/>
      <c r="AY62" s="39">
        <f t="shared" si="81"/>
        <v>0</v>
      </c>
      <c r="AZ62" s="53">
        <f t="shared" si="82"/>
        <v>142876</v>
      </c>
      <c r="BA62" s="20">
        <f t="shared" si="83"/>
        <v>-142876</v>
      </c>
    </row>
    <row r="63" ht="15.75" customHeight="1">
      <c r="A63" s="52" t="s">
        <v>120</v>
      </c>
      <c r="B63" s="44"/>
      <c r="C63" s="39">
        <f t="shared" si="45"/>
        <v>0</v>
      </c>
      <c r="D63" s="53">
        <f t="shared" si="46"/>
        <v>69926</v>
      </c>
      <c r="E63" s="20">
        <f t="shared" si="47"/>
        <v>-69926</v>
      </c>
      <c r="F63" s="44"/>
      <c r="G63" s="39">
        <f t="shared" si="48"/>
        <v>0</v>
      </c>
      <c r="H63" s="53">
        <f t="shared" si="49"/>
        <v>82140</v>
      </c>
      <c r="I63" s="20">
        <f t="shared" si="50"/>
        <v>-82140</v>
      </c>
      <c r="J63" s="44"/>
      <c r="K63" s="39">
        <f t="shared" si="51"/>
        <v>0</v>
      </c>
      <c r="L63" s="53">
        <f t="shared" si="52"/>
        <v>75612</v>
      </c>
      <c r="M63" s="20">
        <f t="shared" si="53"/>
        <v>-75612</v>
      </c>
      <c r="N63" s="44"/>
      <c r="O63" s="39">
        <f t="shared" si="54"/>
        <v>0</v>
      </c>
      <c r="P63" s="53">
        <f t="shared" si="55"/>
        <v>81630</v>
      </c>
      <c r="Q63" s="20">
        <f t="shared" si="56"/>
        <v>-81630</v>
      </c>
      <c r="R63" s="44"/>
      <c r="S63" s="39">
        <f t="shared" si="57"/>
        <v>0</v>
      </c>
      <c r="T63" s="53">
        <f t="shared" si="58"/>
        <v>76376</v>
      </c>
      <c r="U63" s="20">
        <f t="shared" si="59"/>
        <v>-76376</v>
      </c>
      <c r="V63" s="44"/>
      <c r="W63" s="39">
        <f t="shared" si="60"/>
        <v>0</v>
      </c>
      <c r="X63" s="53">
        <f t="shared" si="61"/>
        <v>68356</v>
      </c>
      <c r="Y63" s="20">
        <f t="shared" si="62"/>
        <v>-68356</v>
      </c>
      <c r="Z63" s="44"/>
      <c r="AA63" s="39">
        <f t="shared" si="63"/>
        <v>0</v>
      </c>
      <c r="AB63" s="53">
        <f t="shared" si="64"/>
        <v>67827</v>
      </c>
      <c r="AC63" s="20">
        <f t="shared" si="65"/>
        <v>-67827</v>
      </c>
      <c r="AD63" s="44"/>
      <c r="AE63" s="39">
        <f t="shared" si="66"/>
        <v>0</v>
      </c>
      <c r="AF63" s="53">
        <f t="shared" si="67"/>
        <v>214052</v>
      </c>
      <c r="AG63" s="20">
        <f t="shared" si="68"/>
        <v>-214052</v>
      </c>
      <c r="AH63" s="44"/>
      <c r="AI63" s="39">
        <f t="shared" si="69"/>
        <v>0</v>
      </c>
      <c r="AJ63" s="53">
        <f t="shared" si="70"/>
        <v>68109</v>
      </c>
      <c r="AK63" s="20">
        <f t="shared" si="71"/>
        <v>-68109</v>
      </c>
      <c r="AL63" s="44">
        <v>75100.0</v>
      </c>
      <c r="AM63" s="39">
        <f t="shared" si="72"/>
        <v>69092</v>
      </c>
      <c r="AN63" s="53">
        <f t="shared" si="73"/>
        <v>82385</v>
      </c>
      <c r="AO63" s="20">
        <f t="shared" si="74"/>
        <v>-13293</v>
      </c>
      <c r="AP63" s="44"/>
      <c r="AQ63" s="39">
        <f t="shared" si="75"/>
        <v>0</v>
      </c>
      <c r="AR63" s="53">
        <f t="shared" si="76"/>
        <v>64502</v>
      </c>
      <c r="AS63" s="20">
        <f t="shared" si="77"/>
        <v>-64502</v>
      </c>
      <c r="AT63" s="44"/>
      <c r="AU63" s="39">
        <f t="shared" si="78"/>
        <v>0</v>
      </c>
      <c r="AV63" s="53">
        <f t="shared" si="79"/>
        <v>106624</v>
      </c>
      <c r="AW63" s="20">
        <f t="shared" si="80"/>
        <v>-106624</v>
      </c>
      <c r="AX63" s="44"/>
      <c r="AY63" s="39">
        <f t="shared" si="81"/>
        <v>0</v>
      </c>
      <c r="AZ63" s="53">
        <f t="shared" si="82"/>
        <v>138533</v>
      </c>
      <c r="BA63" s="20">
        <f t="shared" si="83"/>
        <v>-138533</v>
      </c>
    </row>
    <row r="64" ht="15.75" customHeight="1">
      <c r="A64" s="52" t="s">
        <v>121</v>
      </c>
      <c r="B64" s="44"/>
      <c r="C64" s="39">
        <f t="shared" si="45"/>
        <v>0</v>
      </c>
      <c r="D64" s="53">
        <f t="shared" si="46"/>
        <v>84504</v>
      </c>
      <c r="E64" s="20">
        <f t="shared" si="47"/>
        <v>-84504</v>
      </c>
      <c r="F64" s="44"/>
      <c r="G64" s="39">
        <f t="shared" si="48"/>
        <v>0</v>
      </c>
      <c r="H64" s="53">
        <f t="shared" si="49"/>
        <v>96718</v>
      </c>
      <c r="I64" s="20">
        <f t="shared" si="50"/>
        <v>-96718</v>
      </c>
      <c r="J64" s="44"/>
      <c r="K64" s="39">
        <f t="shared" si="51"/>
        <v>0</v>
      </c>
      <c r="L64" s="53">
        <f t="shared" si="52"/>
        <v>90190</v>
      </c>
      <c r="M64" s="20">
        <f t="shared" si="53"/>
        <v>-90190</v>
      </c>
      <c r="N64" s="44"/>
      <c r="O64" s="39">
        <f t="shared" si="54"/>
        <v>0</v>
      </c>
      <c r="P64" s="53">
        <f t="shared" si="55"/>
        <v>96208</v>
      </c>
      <c r="Q64" s="20">
        <f t="shared" si="56"/>
        <v>-96208</v>
      </c>
      <c r="R64" s="44"/>
      <c r="S64" s="39">
        <f t="shared" si="57"/>
        <v>0</v>
      </c>
      <c r="T64" s="53">
        <f t="shared" si="58"/>
        <v>90954</v>
      </c>
      <c r="U64" s="20">
        <f t="shared" si="59"/>
        <v>-90954</v>
      </c>
      <c r="V64" s="44"/>
      <c r="W64" s="39">
        <f t="shared" si="60"/>
        <v>0</v>
      </c>
      <c r="X64" s="53">
        <f t="shared" si="61"/>
        <v>82934</v>
      </c>
      <c r="Y64" s="20">
        <f t="shared" si="62"/>
        <v>-82934</v>
      </c>
      <c r="Z64" s="44"/>
      <c r="AA64" s="39">
        <f t="shared" si="63"/>
        <v>0</v>
      </c>
      <c r="AB64" s="53">
        <f t="shared" si="64"/>
        <v>82405</v>
      </c>
      <c r="AC64" s="20">
        <f t="shared" si="65"/>
        <v>-82405</v>
      </c>
      <c r="AD64" s="44"/>
      <c r="AE64" s="39">
        <f t="shared" si="66"/>
        <v>0</v>
      </c>
      <c r="AF64" s="53">
        <f t="shared" si="67"/>
        <v>228630</v>
      </c>
      <c r="AG64" s="20">
        <f t="shared" si="68"/>
        <v>-228630</v>
      </c>
      <c r="AH64" s="44"/>
      <c r="AI64" s="39">
        <f t="shared" si="69"/>
        <v>0</v>
      </c>
      <c r="AJ64" s="53">
        <f t="shared" si="70"/>
        <v>82687</v>
      </c>
      <c r="AK64" s="20">
        <f t="shared" si="71"/>
        <v>-82687</v>
      </c>
      <c r="AL64" s="44">
        <v>75003.0</v>
      </c>
      <c r="AM64" s="39">
        <f t="shared" si="72"/>
        <v>69002.76</v>
      </c>
      <c r="AN64" s="53">
        <f t="shared" si="73"/>
        <v>96963</v>
      </c>
      <c r="AO64" s="20">
        <f t="shared" si="74"/>
        <v>-27960.24</v>
      </c>
      <c r="AP64" s="44"/>
      <c r="AQ64" s="39">
        <f t="shared" si="75"/>
        <v>0</v>
      </c>
      <c r="AR64" s="53">
        <f t="shared" si="76"/>
        <v>79080</v>
      </c>
      <c r="AS64" s="20">
        <f t="shared" si="77"/>
        <v>-79080</v>
      </c>
      <c r="AT64" s="44"/>
      <c r="AU64" s="39">
        <f t="shared" si="78"/>
        <v>0</v>
      </c>
      <c r="AV64" s="53">
        <f t="shared" si="79"/>
        <v>121202</v>
      </c>
      <c r="AW64" s="20">
        <f t="shared" si="80"/>
        <v>-121202</v>
      </c>
      <c r="AX64" s="44"/>
      <c r="AY64" s="39">
        <f t="shared" si="81"/>
        <v>0</v>
      </c>
      <c r="AZ64" s="53">
        <f t="shared" si="82"/>
        <v>153111</v>
      </c>
      <c r="BA64" s="20">
        <f t="shared" si="83"/>
        <v>-153111</v>
      </c>
    </row>
    <row r="65" ht="15.75" customHeight="1">
      <c r="A65" s="52" t="s">
        <v>122</v>
      </c>
      <c r="B65" s="57"/>
      <c r="C65" s="39">
        <f t="shared" si="45"/>
        <v>0</v>
      </c>
      <c r="D65" s="58">
        <f t="shared" si="46"/>
        <v>106679</v>
      </c>
      <c r="E65" s="59">
        <f t="shared" si="47"/>
        <v>-106679</v>
      </c>
      <c r="F65" s="57"/>
      <c r="G65" s="39">
        <f t="shared" si="48"/>
        <v>0</v>
      </c>
      <c r="H65" s="58">
        <f t="shared" si="49"/>
        <v>118893</v>
      </c>
      <c r="I65" s="59">
        <f t="shared" si="50"/>
        <v>-118893</v>
      </c>
      <c r="J65" s="57"/>
      <c r="K65" s="39">
        <f t="shared" si="51"/>
        <v>0</v>
      </c>
      <c r="L65" s="58">
        <f t="shared" si="52"/>
        <v>112365</v>
      </c>
      <c r="M65" s="59">
        <f t="shared" si="53"/>
        <v>-112365</v>
      </c>
      <c r="N65" s="57"/>
      <c r="O65" s="39">
        <f t="shared" si="54"/>
        <v>0</v>
      </c>
      <c r="P65" s="58">
        <f t="shared" si="55"/>
        <v>118383</v>
      </c>
      <c r="Q65" s="59">
        <f t="shared" si="56"/>
        <v>-118383</v>
      </c>
      <c r="R65" s="57"/>
      <c r="S65" s="39">
        <f t="shared" si="57"/>
        <v>0</v>
      </c>
      <c r="T65" s="58">
        <f t="shared" si="58"/>
        <v>113129</v>
      </c>
      <c r="U65" s="59">
        <f t="shared" si="59"/>
        <v>-113129</v>
      </c>
      <c r="V65" s="57"/>
      <c r="W65" s="39">
        <f t="shared" si="60"/>
        <v>0</v>
      </c>
      <c r="X65" s="58">
        <f t="shared" si="61"/>
        <v>105109</v>
      </c>
      <c r="Y65" s="59">
        <f t="shared" si="62"/>
        <v>-105109</v>
      </c>
      <c r="Z65" s="57"/>
      <c r="AA65" s="39">
        <f t="shared" si="63"/>
        <v>0</v>
      </c>
      <c r="AB65" s="58">
        <f t="shared" si="64"/>
        <v>104580</v>
      </c>
      <c r="AC65" s="59">
        <f t="shared" si="65"/>
        <v>-104580</v>
      </c>
      <c r="AD65" s="57"/>
      <c r="AE65" s="39">
        <f t="shared" si="66"/>
        <v>0</v>
      </c>
      <c r="AF65" s="53">
        <f t="shared" si="67"/>
        <v>250805</v>
      </c>
      <c r="AG65" s="59">
        <f t="shared" si="68"/>
        <v>-250805</v>
      </c>
      <c r="AH65" s="57"/>
      <c r="AI65" s="39">
        <f t="shared" si="69"/>
        <v>0</v>
      </c>
      <c r="AJ65" s="53">
        <f t="shared" si="70"/>
        <v>104862</v>
      </c>
      <c r="AK65" s="59">
        <f t="shared" si="71"/>
        <v>-104862</v>
      </c>
      <c r="AL65" s="57">
        <v>75004.0</v>
      </c>
      <c r="AM65" s="39">
        <f t="shared" si="72"/>
        <v>69003.68</v>
      </c>
      <c r="AN65" s="53">
        <f t="shared" si="73"/>
        <v>119138</v>
      </c>
      <c r="AO65" s="59">
        <f t="shared" si="74"/>
        <v>-50134.32</v>
      </c>
      <c r="AP65" s="57"/>
      <c r="AQ65" s="39">
        <f t="shared" si="75"/>
        <v>0</v>
      </c>
      <c r="AR65" s="53">
        <f t="shared" si="76"/>
        <v>101255</v>
      </c>
      <c r="AS65" s="59">
        <f t="shared" si="77"/>
        <v>-101255</v>
      </c>
      <c r="AT65" s="57"/>
      <c r="AU65" s="60">
        <f t="shared" si="78"/>
        <v>0</v>
      </c>
      <c r="AV65" s="53">
        <f t="shared" si="79"/>
        <v>143377</v>
      </c>
      <c r="AW65" s="59">
        <f t="shared" si="80"/>
        <v>-143377</v>
      </c>
      <c r="AX65" s="57"/>
      <c r="AY65" s="60">
        <f t="shared" si="81"/>
        <v>0</v>
      </c>
      <c r="AZ65" s="53">
        <f t="shared" si="82"/>
        <v>175286</v>
      </c>
      <c r="BA65" s="59">
        <f t="shared" si="83"/>
        <v>-175286</v>
      </c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>
      <c r="N93" s="61"/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B29:E29"/>
    <mergeCell ref="F29:I29"/>
    <mergeCell ref="R29:U29"/>
    <mergeCell ref="V29:Y29"/>
    <mergeCell ref="Z29:AC29"/>
    <mergeCell ref="AD29:AG29"/>
    <mergeCell ref="J29:M29"/>
    <mergeCell ref="N29:Q29"/>
    <mergeCell ref="AH29:AK29"/>
    <mergeCell ref="AL29:AO29"/>
    <mergeCell ref="AP29:AS29"/>
    <mergeCell ref="AT29:AW29"/>
    <mergeCell ref="AX29:BA29"/>
  </mergeCells>
  <conditionalFormatting sqref="I5:I18 M5:M18 Q5:Q18 U5:U18 Y5:Y18 AC5:AC18 AG5:AG18 AK5:AK18 AO5:AO18 AS5:AS18 AW5:AW18 BA5:BA18 E30 I30 M30 Q30 U30 Y30 AC30 AG30 AK30 AO30 AS30 AW30 BA30 E32:E48 I32:I48 M32:M48 Q32:Q48 U32:U48 Y32:Y48 AC32:AC48 AG32:AG48 AK32:AK48 AO32:AO48 AS32:AS48 AW32:AW48 BA32:BA48 E50:E74 I50:I74 M50:M74 Q50:Q74 U50:U74 Y50:Y74 AC50:AC74 AG50:AG74 AK50:AK74 AO50:AO74 AS50:AS74 AW50:AW74 BA50:BA74 E76:E91 I76:I91 M76:M91 Q76:Q91 U76:U91 Y76:Y91 AC76:AC91 AG76:AG91 AK76:AK91 AO76:AO91 AS76:AS91 AW76:AW91 BA76:BA91">
    <cfRule type="cellIs" dxfId="2" priority="1" operator="lessThan">
      <formula>0</formula>
    </cfRule>
  </conditionalFormatting>
  <conditionalFormatting sqref="I5:I18 M5:M18 Q5:Q18 U5:U18 Y5:Y18 AC5:AC18 AG5:AG18 AK5:AK18 AO5:AO18 AS5:AS18 AW5:AW18 BA5:BA18 E30 I30 M30 Q30 U30 Y30 AC30 AG30 AK30 AO30 AS30 AW30 BA30 E32:E48 I32:I48 M32:M48 Q32:Q48 U32:U48 Y32:Y48 AC32:AC48 AG32:AG48 AK32:AK48 AO32:AO48 AS32:AS48 AW32:AW48 BA32:BA48 E50:E74 I50:I74 M50:M74 Q50:Q74 U50:U74 Y50:Y74 AC50:AC74 AG50:AG74 AK50:AK74 AO50:AO74 AS50:AS74 AW50:AW74 BA50:BA74 E76:E91 I76:I91 M76:M91 Q76:Q91 U76:U91 Y76:Y91 AC76:AC91 AG76:AG91 AK76:AK91 AO76:AO91 AS76:AS91 AW76:AW91 BA76:BA91">
    <cfRule type="cellIs" dxfId="3" priority="2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0.71"/>
    <col customWidth="1" min="2" max="2" width="19.14"/>
    <col customWidth="1" min="3" max="3" width="12.0"/>
    <col customWidth="1" min="4" max="4" width="12.29"/>
    <col customWidth="1" min="5" max="5" width="11.0"/>
    <col customWidth="1" min="6" max="6" width="20.14"/>
    <col customWidth="1" min="7" max="7" width="12.0"/>
    <col customWidth="1" min="8" max="8" width="12.29"/>
    <col customWidth="1" min="9" max="9" width="11.0"/>
    <col customWidth="1" min="10" max="10" width="20.14"/>
    <col customWidth="1" min="11" max="11" width="12.0"/>
    <col customWidth="1" min="12" max="12" width="12.29"/>
    <col customWidth="1" min="13" max="13" width="9.43"/>
    <col customWidth="1" min="14" max="14" width="20.29"/>
    <col customWidth="1" min="15" max="15" width="12.0"/>
    <col customWidth="1" min="16" max="16" width="12.29"/>
    <col customWidth="1" min="17" max="17" width="9.43"/>
    <col customWidth="1" min="18" max="18" width="20.57"/>
    <col customWidth="1" min="19" max="19" width="12.0"/>
    <col customWidth="1" min="20" max="20" width="12.29"/>
    <col customWidth="1" min="21" max="21" width="9.43"/>
    <col customWidth="1" min="22" max="22" width="17.29"/>
    <col customWidth="1" min="23" max="23" width="12.0"/>
    <col customWidth="1" min="24" max="24" width="12.29"/>
    <col customWidth="1" min="25" max="25" width="9.43"/>
    <col customWidth="1" min="26" max="26" width="15.43"/>
    <col customWidth="1" min="27" max="27" width="12.0"/>
    <col customWidth="1" min="28" max="28" width="12.29"/>
    <col customWidth="1" min="29" max="29" width="9.43"/>
    <col customWidth="1" min="30" max="30" width="13.43"/>
    <col customWidth="1" min="31" max="31" width="12.0"/>
    <col customWidth="1" min="32" max="32" width="12.29"/>
    <col customWidth="1" min="33" max="33" width="11.0"/>
    <col customWidth="1" min="34" max="34" width="17.14"/>
    <col customWidth="1" min="35" max="35" width="12.0"/>
    <col customWidth="1" min="36" max="36" width="12.29"/>
    <col customWidth="1" min="37" max="37" width="9.43"/>
    <col customWidth="1" min="38" max="38" width="14.71"/>
    <col customWidth="1" min="39" max="39" width="12.0"/>
    <col customWidth="1" min="40" max="40" width="12.29"/>
    <col customWidth="1" min="41" max="41" width="9.43"/>
    <col customWidth="1" min="42" max="42" width="14.71"/>
    <col customWidth="1" min="43" max="43" width="12.0"/>
    <col customWidth="1" min="44" max="44" width="12.29"/>
    <col customWidth="1" min="45" max="45" width="9.43"/>
    <col customWidth="1" min="46" max="50" width="10.57"/>
    <col customWidth="1" min="51" max="51" width="12.0"/>
    <col customWidth="1" min="52" max="52" width="12.29"/>
    <col customWidth="1" min="53" max="53" width="9.43"/>
  </cols>
  <sheetData>
    <row r="1">
      <c r="A1" s="39" t="s">
        <v>55</v>
      </c>
      <c r="B1" s="40" t="s">
        <v>90</v>
      </c>
      <c r="C1" s="41"/>
      <c r="D1" s="41"/>
      <c r="E1" s="42"/>
      <c r="F1" s="43" t="s">
        <v>91</v>
      </c>
      <c r="G1" s="41"/>
      <c r="H1" s="41"/>
      <c r="I1" s="42"/>
      <c r="J1" s="40" t="s">
        <v>92</v>
      </c>
      <c r="K1" s="41"/>
      <c r="L1" s="41"/>
      <c r="M1" s="42"/>
      <c r="N1" s="40" t="s">
        <v>93</v>
      </c>
      <c r="O1" s="41"/>
      <c r="P1" s="41"/>
      <c r="Q1" s="42"/>
      <c r="R1" s="40" t="s">
        <v>94</v>
      </c>
      <c r="S1" s="41"/>
      <c r="T1" s="41"/>
      <c r="U1" s="42"/>
      <c r="V1" s="43" t="s">
        <v>95</v>
      </c>
      <c r="W1" s="41"/>
      <c r="X1" s="41"/>
      <c r="Y1" s="42"/>
      <c r="Z1" s="40" t="s">
        <v>96</v>
      </c>
      <c r="AA1" s="41"/>
      <c r="AB1" s="41"/>
      <c r="AC1" s="42"/>
      <c r="AD1" s="40" t="s">
        <v>97</v>
      </c>
      <c r="AE1" s="41"/>
      <c r="AF1" s="41"/>
      <c r="AG1" s="42"/>
      <c r="AH1" s="40" t="s">
        <v>98</v>
      </c>
      <c r="AI1" s="41"/>
      <c r="AJ1" s="41"/>
      <c r="AK1" s="42"/>
      <c r="AL1" s="40" t="s">
        <v>99</v>
      </c>
      <c r="AM1" s="41"/>
      <c r="AN1" s="41"/>
      <c r="AO1" s="42"/>
      <c r="AP1" s="40" t="s">
        <v>100</v>
      </c>
      <c r="AQ1" s="41"/>
      <c r="AR1" s="41"/>
      <c r="AS1" s="42"/>
      <c r="AT1" s="43" t="s">
        <v>101</v>
      </c>
      <c r="AU1" s="41"/>
      <c r="AV1" s="41"/>
      <c r="AW1" s="42"/>
      <c r="AX1" s="43" t="s">
        <v>102</v>
      </c>
      <c r="AY1" s="41"/>
      <c r="AZ1" s="41"/>
      <c r="BA1" s="42"/>
    </row>
    <row r="2">
      <c r="A2" s="39" t="s">
        <v>56</v>
      </c>
      <c r="B2" s="44">
        <f>B52</f>
        <v>54979</v>
      </c>
      <c r="E2" s="20"/>
      <c r="F2" s="44" t="str">
        <f>B53</f>
        <v/>
      </c>
      <c r="I2" s="20"/>
      <c r="J2" s="44">
        <f>B54</f>
        <v>72100</v>
      </c>
      <c r="M2" s="20"/>
      <c r="N2" s="44">
        <f>B55</f>
        <v>65000</v>
      </c>
      <c r="Q2" s="45"/>
      <c r="R2" s="44" t="str">
        <f>B56</f>
        <v/>
      </c>
      <c r="U2" s="20"/>
      <c r="V2" s="44">
        <f>B57</f>
        <v>65999</v>
      </c>
      <c r="Y2" s="45"/>
      <c r="Z2" s="44">
        <f>B58</f>
        <v>2995</v>
      </c>
      <c r="AC2" s="20"/>
      <c r="AD2" s="44">
        <f>B59</f>
        <v>168969</v>
      </c>
      <c r="AG2" s="20"/>
      <c r="AH2" s="44">
        <f>B60</f>
        <v>26979</v>
      </c>
      <c r="AK2" s="20"/>
      <c r="AL2" s="44">
        <f>B61</f>
        <v>35525</v>
      </c>
      <c r="AO2" s="20"/>
      <c r="AP2" s="44">
        <f>B62</f>
        <v>1493</v>
      </c>
      <c r="AS2" s="45"/>
      <c r="AT2" s="44">
        <f>B63</f>
        <v>111994</v>
      </c>
      <c r="AW2" s="20"/>
      <c r="AX2" s="44">
        <f>B64</f>
        <v>66982</v>
      </c>
      <c r="BA2" s="20"/>
    </row>
    <row r="3">
      <c r="A3" s="39" t="s">
        <v>57</v>
      </c>
      <c r="B3" s="44">
        <f>B43</f>
        <v>55686</v>
      </c>
      <c r="E3" s="20"/>
      <c r="F3" s="44">
        <f>B41</f>
        <v>54500</v>
      </c>
      <c r="I3" s="20"/>
      <c r="J3" s="44">
        <f>B45</f>
        <v>58995</v>
      </c>
      <c r="M3" s="20"/>
      <c r="N3" s="44">
        <f>B44</f>
        <v>52993</v>
      </c>
      <c r="Q3" s="20"/>
      <c r="R3" s="44">
        <f>B40</f>
        <v>57848</v>
      </c>
      <c r="U3" s="20"/>
      <c r="V3" s="44">
        <f>B42</f>
        <v>48816</v>
      </c>
      <c r="Y3" s="20"/>
      <c r="Z3" s="46">
        <f>B45</f>
        <v>58995</v>
      </c>
      <c r="AC3" s="20"/>
      <c r="AD3" s="44">
        <f>B41</f>
        <v>54500</v>
      </c>
      <c r="AG3" s="20"/>
      <c r="AH3" s="44">
        <f>B44</f>
        <v>52993</v>
      </c>
      <c r="AK3" s="20"/>
      <c r="AL3" s="44">
        <f>B40</f>
        <v>57848</v>
      </c>
      <c r="AO3" s="20"/>
      <c r="AP3" s="44">
        <f>B43</f>
        <v>55686</v>
      </c>
      <c r="AS3" s="20"/>
      <c r="AT3" s="44">
        <f>B46</f>
        <v>87992</v>
      </c>
      <c r="AW3" s="20"/>
      <c r="AX3" s="44">
        <f>B47*15</f>
        <v>119895</v>
      </c>
      <c r="BA3" s="20"/>
    </row>
    <row r="4">
      <c r="A4" s="47"/>
      <c r="B4" s="48" t="s">
        <v>103</v>
      </c>
      <c r="C4" s="49" t="s">
        <v>104</v>
      </c>
      <c r="D4" s="50" t="s">
        <v>105</v>
      </c>
      <c r="E4" s="51" t="s">
        <v>106</v>
      </c>
      <c r="F4" s="48" t="s">
        <v>103</v>
      </c>
      <c r="G4" s="49" t="s">
        <v>104</v>
      </c>
      <c r="H4" s="50" t="s">
        <v>105</v>
      </c>
      <c r="I4" s="51" t="s">
        <v>106</v>
      </c>
      <c r="J4" s="48" t="s">
        <v>103</v>
      </c>
      <c r="K4" s="49" t="s">
        <v>104</v>
      </c>
      <c r="L4" s="50" t="s">
        <v>105</v>
      </c>
      <c r="M4" s="51" t="s">
        <v>106</v>
      </c>
      <c r="N4" s="48" t="s">
        <v>103</v>
      </c>
      <c r="O4" s="49" t="s">
        <v>104</v>
      </c>
      <c r="P4" s="50" t="s">
        <v>105</v>
      </c>
      <c r="Q4" s="51" t="s">
        <v>106</v>
      </c>
      <c r="R4" s="48" t="s">
        <v>103</v>
      </c>
      <c r="S4" s="49" t="s">
        <v>104</v>
      </c>
      <c r="T4" s="50" t="s">
        <v>105</v>
      </c>
      <c r="U4" s="51" t="s">
        <v>106</v>
      </c>
      <c r="V4" s="48" t="s">
        <v>103</v>
      </c>
      <c r="W4" s="49" t="s">
        <v>104</v>
      </c>
      <c r="X4" s="50" t="s">
        <v>105</v>
      </c>
      <c r="Y4" s="51" t="s">
        <v>106</v>
      </c>
      <c r="Z4" s="48" t="s">
        <v>103</v>
      </c>
      <c r="AA4" s="49" t="s">
        <v>104</v>
      </c>
      <c r="AB4" s="50" t="s">
        <v>105</v>
      </c>
      <c r="AC4" s="51" t="s">
        <v>106</v>
      </c>
      <c r="AD4" s="48" t="s">
        <v>103</v>
      </c>
      <c r="AE4" s="49" t="s">
        <v>104</v>
      </c>
      <c r="AF4" s="50" t="s">
        <v>105</v>
      </c>
      <c r="AG4" s="51" t="s">
        <v>106</v>
      </c>
      <c r="AH4" s="48" t="s">
        <v>103</v>
      </c>
      <c r="AI4" s="49" t="s">
        <v>104</v>
      </c>
      <c r="AJ4" s="50" t="s">
        <v>105</v>
      </c>
      <c r="AK4" s="51" t="s">
        <v>106</v>
      </c>
      <c r="AL4" s="48" t="s">
        <v>103</v>
      </c>
      <c r="AM4" s="49" t="s">
        <v>104</v>
      </c>
      <c r="AN4" s="50" t="s">
        <v>105</v>
      </c>
      <c r="AO4" s="51" t="s">
        <v>106</v>
      </c>
      <c r="AP4" s="48" t="s">
        <v>103</v>
      </c>
      <c r="AQ4" s="49" t="s">
        <v>104</v>
      </c>
      <c r="AR4" s="50" t="s">
        <v>105</v>
      </c>
      <c r="AS4" s="51" t="s">
        <v>106</v>
      </c>
      <c r="AT4" s="48" t="s">
        <v>103</v>
      </c>
      <c r="AU4" s="49" t="s">
        <v>104</v>
      </c>
      <c r="AV4" s="50" t="s">
        <v>105</v>
      </c>
      <c r="AW4" s="51" t="s">
        <v>106</v>
      </c>
      <c r="AX4" s="48" t="s">
        <v>103</v>
      </c>
      <c r="AY4" s="49" t="s">
        <v>104</v>
      </c>
      <c r="AZ4" s="50" t="s">
        <v>105</v>
      </c>
      <c r="BA4" s="51" t="s">
        <v>106</v>
      </c>
    </row>
    <row r="5">
      <c r="A5" s="52" t="s">
        <v>107</v>
      </c>
      <c r="B5" s="44"/>
      <c r="C5" s="39">
        <f t="shared" ref="C5:C20" si="1">B5*0.895</f>
        <v>0</v>
      </c>
      <c r="D5" s="53">
        <f t="shared" ref="D5:D20" si="2">$B$2+$B$3+G40</f>
        <v>118663</v>
      </c>
      <c r="E5" s="20">
        <f t="shared" ref="E5:E20" si="3">C5-D5</f>
        <v>-118663</v>
      </c>
      <c r="F5" s="44"/>
      <c r="G5" s="39">
        <f t="shared" ref="G5:G20" si="4">F5*0.895</f>
        <v>0</v>
      </c>
      <c r="H5" s="53">
        <f t="shared" ref="H5:H20" si="5">$F$2+$F$3+G40</f>
        <v>62498</v>
      </c>
      <c r="I5" s="20">
        <f t="shared" ref="I5:I20" si="6">G5-H5</f>
        <v>-62498</v>
      </c>
      <c r="J5" s="46"/>
      <c r="K5" s="39">
        <f t="shared" ref="K5:K20" si="7">J5*0.895</f>
        <v>0</v>
      </c>
      <c r="L5" s="53">
        <f t="shared" ref="L5:L20" si="8">$J$2+$J$3+G40</f>
        <v>139093</v>
      </c>
      <c r="M5" s="20">
        <f t="shared" ref="M5:M20" si="9">K5-L5</f>
        <v>-139093</v>
      </c>
      <c r="N5" s="44"/>
      <c r="O5" s="39">
        <f t="shared" ref="O5:O20" si="10">N5*0.895</f>
        <v>0</v>
      </c>
      <c r="P5" s="53">
        <f t="shared" ref="P5:P20" si="11">$N$2+$N$3+G40</f>
        <v>125991</v>
      </c>
      <c r="Q5" s="20">
        <f t="shared" ref="Q5:Q20" si="12">O5-P5</f>
        <v>-125991</v>
      </c>
      <c r="R5" s="44"/>
      <c r="S5" s="39">
        <f t="shared" ref="S5:S20" si="13">R5*0.895</f>
        <v>0</v>
      </c>
      <c r="T5" s="53">
        <f t="shared" ref="T5:T20" si="14">$R$2+$R$3+G40</f>
        <v>65846</v>
      </c>
      <c r="U5" s="20">
        <f t="shared" ref="U5:U20" si="15">S5-T5</f>
        <v>-65846</v>
      </c>
      <c r="V5" s="44"/>
      <c r="W5" s="39">
        <f t="shared" ref="W5:W20" si="16">V5*0.895</f>
        <v>0</v>
      </c>
      <c r="X5" s="53">
        <f t="shared" ref="X5:X20" si="17">$V$2+$V$3+G40</f>
        <v>122813</v>
      </c>
      <c r="Y5" s="20">
        <f t="shared" ref="Y5:Y20" si="18">W5-X5</f>
        <v>-122813</v>
      </c>
      <c r="Z5" s="44"/>
      <c r="AA5" s="39">
        <f t="shared" ref="AA5:AA20" si="19">Z5*0.895</f>
        <v>0</v>
      </c>
      <c r="AB5" s="53">
        <f t="shared" ref="AB5:AB20" si="20">$Z$2+$Z$3+G40</f>
        <v>69988</v>
      </c>
      <c r="AC5" s="20">
        <f t="shared" ref="AC5:AC20" si="21">AA5-AB5</f>
        <v>-69988</v>
      </c>
      <c r="AD5" s="44"/>
      <c r="AE5" s="39">
        <f t="shared" ref="AE5:AE20" si="22">AD5*0.895</f>
        <v>0</v>
      </c>
      <c r="AF5" s="53">
        <f t="shared" ref="AF5:AF20" si="23">$AD$2+$AD$3+G40</f>
        <v>231467</v>
      </c>
      <c r="AG5" s="20">
        <f t="shared" ref="AG5:AG20" si="24">AE5-AF5</f>
        <v>-231467</v>
      </c>
      <c r="AH5" s="44"/>
      <c r="AI5" s="39">
        <f t="shared" ref="AI5:AI20" si="25">AH5*0.895</f>
        <v>0</v>
      </c>
      <c r="AJ5" s="53">
        <f t="shared" ref="AJ5:AJ20" si="26">$AH$2+$AH$3+G40</f>
        <v>87970</v>
      </c>
      <c r="AK5" s="20">
        <f t="shared" ref="AK5:AK20" si="27">AI5-AJ5</f>
        <v>-87970</v>
      </c>
      <c r="AL5" s="44"/>
      <c r="AM5" s="39">
        <f t="shared" ref="AM5:AM20" si="28">AL5*0.895</f>
        <v>0</v>
      </c>
      <c r="AN5" s="53">
        <f t="shared" ref="AN5:AN20" si="29">$AL$2+$AL$3+G40</f>
        <v>101371</v>
      </c>
      <c r="AO5" s="20">
        <f t="shared" ref="AO5:AO20" si="30">AM5-AN5</f>
        <v>-101371</v>
      </c>
      <c r="AP5" s="44"/>
      <c r="AQ5" s="39">
        <f t="shared" ref="AQ5:AQ20" si="31">AP5*0.895</f>
        <v>0</v>
      </c>
      <c r="AR5" s="53">
        <f t="shared" ref="AR5:AR20" si="32">$AP$2+$AP$3+G40</f>
        <v>65177</v>
      </c>
      <c r="AS5" s="20">
        <f t="shared" ref="AS5:AS20" si="33">AQ5-AR5</f>
        <v>-65177</v>
      </c>
      <c r="AT5" s="44"/>
      <c r="AU5" s="39">
        <f t="shared" ref="AU5:AU20" si="34">AT5*0.895</f>
        <v>0</v>
      </c>
      <c r="AV5" s="53">
        <f t="shared" ref="AV5:AV20" si="35">$AT$2+$AT$3+G40</f>
        <v>207984</v>
      </c>
      <c r="AW5" s="20">
        <f t="shared" ref="AW5:AW20" si="36">AU5-AV5</f>
        <v>-207984</v>
      </c>
      <c r="AX5" s="44"/>
      <c r="AY5" s="39">
        <f t="shared" ref="AY5:AY20" si="37">AX5*0.895</f>
        <v>0</v>
      </c>
      <c r="AZ5" s="53">
        <f t="shared" ref="AZ5:AZ20" si="38">$AX$2+$AX$3+G40</f>
        <v>194875</v>
      </c>
      <c r="BA5" s="20">
        <f t="shared" ref="BA5:BA20" si="39">AY5-AZ5</f>
        <v>-194875</v>
      </c>
    </row>
    <row r="6">
      <c r="A6" s="52" t="s">
        <v>108</v>
      </c>
      <c r="B6" s="44"/>
      <c r="C6" s="39">
        <f t="shared" si="1"/>
        <v>0</v>
      </c>
      <c r="D6" s="53">
        <f t="shared" si="2"/>
        <v>118663</v>
      </c>
      <c r="E6" s="20">
        <f t="shared" si="3"/>
        <v>-118663</v>
      </c>
      <c r="F6" s="44"/>
      <c r="G6" s="39">
        <f t="shared" si="4"/>
        <v>0</v>
      </c>
      <c r="H6" s="53">
        <f t="shared" si="5"/>
        <v>62498</v>
      </c>
      <c r="I6" s="20">
        <f t="shared" si="6"/>
        <v>-62498</v>
      </c>
      <c r="J6" s="46"/>
      <c r="K6" s="39">
        <f t="shared" si="7"/>
        <v>0</v>
      </c>
      <c r="L6" s="53">
        <f t="shared" si="8"/>
        <v>139093</v>
      </c>
      <c r="M6" s="20">
        <f t="shared" si="9"/>
        <v>-139093</v>
      </c>
      <c r="N6" s="44"/>
      <c r="O6" s="39">
        <f t="shared" si="10"/>
        <v>0</v>
      </c>
      <c r="P6" s="53">
        <f t="shared" si="11"/>
        <v>125991</v>
      </c>
      <c r="Q6" s="20">
        <f t="shared" si="12"/>
        <v>-125991</v>
      </c>
      <c r="R6" s="44"/>
      <c r="S6" s="39">
        <f t="shared" si="13"/>
        <v>0</v>
      </c>
      <c r="T6" s="53">
        <f t="shared" si="14"/>
        <v>65846</v>
      </c>
      <c r="U6" s="20">
        <f t="shared" si="15"/>
        <v>-65846</v>
      </c>
      <c r="V6" s="44"/>
      <c r="W6" s="39">
        <f t="shared" si="16"/>
        <v>0</v>
      </c>
      <c r="X6" s="53">
        <f t="shared" si="17"/>
        <v>122813</v>
      </c>
      <c r="Y6" s="20">
        <f t="shared" si="18"/>
        <v>-122813</v>
      </c>
      <c r="Z6" s="44"/>
      <c r="AA6" s="39">
        <f t="shared" si="19"/>
        <v>0</v>
      </c>
      <c r="AB6" s="53">
        <f t="shared" si="20"/>
        <v>69988</v>
      </c>
      <c r="AC6" s="20">
        <f t="shared" si="21"/>
        <v>-69988</v>
      </c>
      <c r="AD6" s="44"/>
      <c r="AE6" s="39">
        <f t="shared" si="22"/>
        <v>0</v>
      </c>
      <c r="AF6" s="53">
        <f t="shared" si="23"/>
        <v>231467</v>
      </c>
      <c r="AG6" s="20">
        <f t="shared" si="24"/>
        <v>-231467</v>
      </c>
      <c r="AH6" s="44"/>
      <c r="AI6" s="39">
        <f t="shared" si="25"/>
        <v>0</v>
      </c>
      <c r="AJ6" s="53">
        <f t="shared" si="26"/>
        <v>87970</v>
      </c>
      <c r="AK6" s="20">
        <f t="shared" si="27"/>
        <v>-87970</v>
      </c>
      <c r="AL6" s="44"/>
      <c r="AM6" s="39">
        <f t="shared" si="28"/>
        <v>0</v>
      </c>
      <c r="AN6" s="53">
        <f t="shared" si="29"/>
        <v>101371</v>
      </c>
      <c r="AO6" s="20">
        <f t="shared" si="30"/>
        <v>-101371</v>
      </c>
      <c r="AP6" s="44"/>
      <c r="AQ6" s="39">
        <f t="shared" si="31"/>
        <v>0</v>
      </c>
      <c r="AR6" s="53">
        <f t="shared" si="32"/>
        <v>65177</v>
      </c>
      <c r="AS6" s="20">
        <f t="shared" si="33"/>
        <v>-65177</v>
      </c>
      <c r="AT6" s="44"/>
      <c r="AU6" s="39">
        <f t="shared" si="34"/>
        <v>0</v>
      </c>
      <c r="AV6" s="53">
        <f t="shared" si="35"/>
        <v>207984</v>
      </c>
      <c r="AW6" s="20">
        <f t="shared" si="36"/>
        <v>-207984</v>
      </c>
      <c r="AX6" s="44"/>
      <c r="AY6" s="39">
        <f t="shared" si="37"/>
        <v>0</v>
      </c>
      <c r="AZ6" s="53">
        <f t="shared" si="38"/>
        <v>194875</v>
      </c>
      <c r="BA6" s="20">
        <f t="shared" si="39"/>
        <v>-194875</v>
      </c>
    </row>
    <row r="7">
      <c r="A7" s="52" t="s">
        <v>109</v>
      </c>
      <c r="B7" s="44"/>
      <c r="C7" s="39">
        <f t="shared" si="1"/>
        <v>0</v>
      </c>
      <c r="D7" s="53">
        <f t="shared" si="2"/>
        <v>118661</v>
      </c>
      <c r="E7" s="20">
        <f t="shared" si="3"/>
        <v>-118661</v>
      </c>
      <c r="F7" s="44"/>
      <c r="G7" s="39">
        <f t="shared" si="4"/>
        <v>0</v>
      </c>
      <c r="H7" s="53">
        <f t="shared" si="5"/>
        <v>62496</v>
      </c>
      <c r="I7" s="20">
        <f t="shared" si="6"/>
        <v>-62496</v>
      </c>
      <c r="J7" s="46"/>
      <c r="K7" s="39">
        <f t="shared" si="7"/>
        <v>0</v>
      </c>
      <c r="L7" s="53">
        <f t="shared" si="8"/>
        <v>139091</v>
      </c>
      <c r="M7" s="20">
        <f t="shared" si="9"/>
        <v>-139091</v>
      </c>
      <c r="N7" s="44"/>
      <c r="O7" s="39">
        <f t="shared" si="10"/>
        <v>0</v>
      </c>
      <c r="P7" s="53">
        <f t="shared" si="11"/>
        <v>125989</v>
      </c>
      <c r="Q7" s="20">
        <f t="shared" si="12"/>
        <v>-125989</v>
      </c>
      <c r="R7" s="44"/>
      <c r="S7" s="39">
        <f t="shared" si="13"/>
        <v>0</v>
      </c>
      <c r="T7" s="53">
        <f t="shared" si="14"/>
        <v>65844</v>
      </c>
      <c r="U7" s="20">
        <f t="shared" si="15"/>
        <v>-65844</v>
      </c>
      <c r="V7" s="44"/>
      <c r="W7" s="39">
        <f t="shared" si="16"/>
        <v>0</v>
      </c>
      <c r="X7" s="53">
        <f t="shared" si="17"/>
        <v>122811</v>
      </c>
      <c r="Y7" s="20">
        <f t="shared" si="18"/>
        <v>-122811</v>
      </c>
      <c r="Z7" s="44"/>
      <c r="AA7" s="39">
        <f t="shared" si="19"/>
        <v>0</v>
      </c>
      <c r="AB7" s="53">
        <f t="shared" si="20"/>
        <v>69986</v>
      </c>
      <c r="AC7" s="20">
        <f t="shared" si="21"/>
        <v>-69986</v>
      </c>
      <c r="AD7" s="44"/>
      <c r="AE7" s="39">
        <f t="shared" si="22"/>
        <v>0</v>
      </c>
      <c r="AF7" s="53">
        <f t="shared" si="23"/>
        <v>231465</v>
      </c>
      <c r="AG7" s="20">
        <f t="shared" si="24"/>
        <v>-231465</v>
      </c>
      <c r="AH7" s="44"/>
      <c r="AI7" s="39">
        <f t="shared" si="25"/>
        <v>0</v>
      </c>
      <c r="AJ7" s="53">
        <f t="shared" si="26"/>
        <v>87968</v>
      </c>
      <c r="AK7" s="20">
        <f t="shared" si="27"/>
        <v>-87968</v>
      </c>
      <c r="AL7" s="44"/>
      <c r="AM7" s="39">
        <f t="shared" si="28"/>
        <v>0</v>
      </c>
      <c r="AN7" s="53">
        <f t="shared" si="29"/>
        <v>101369</v>
      </c>
      <c r="AO7" s="20">
        <f t="shared" si="30"/>
        <v>-101369</v>
      </c>
      <c r="AP7" s="44"/>
      <c r="AQ7" s="39">
        <f t="shared" si="31"/>
        <v>0</v>
      </c>
      <c r="AR7" s="53">
        <f t="shared" si="32"/>
        <v>65175</v>
      </c>
      <c r="AS7" s="20">
        <f t="shared" si="33"/>
        <v>-65175</v>
      </c>
      <c r="AT7" s="44"/>
      <c r="AU7" s="39">
        <f t="shared" si="34"/>
        <v>0</v>
      </c>
      <c r="AV7" s="53">
        <f t="shared" si="35"/>
        <v>207982</v>
      </c>
      <c r="AW7" s="20">
        <f t="shared" si="36"/>
        <v>-207982</v>
      </c>
      <c r="AX7" s="44"/>
      <c r="AY7" s="39">
        <f t="shared" si="37"/>
        <v>0</v>
      </c>
      <c r="AZ7" s="53">
        <f t="shared" si="38"/>
        <v>194873</v>
      </c>
      <c r="BA7" s="20">
        <f t="shared" si="39"/>
        <v>-194873</v>
      </c>
    </row>
    <row r="8">
      <c r="A8" s="52" t="s">
        <v>110</v>
      </c>
      <c r="B8" s="44"/>
      <c r="C8" s="39">
        <f t="shared" si="1"/>
        <v>0</v>
      </c>
      <c r="D8" s="53">
        <f t="shared" si="2"/>
        <v>121645</v>
      </c>
      <c r="E8" s="20">
        <f t="shared" si="3"/>
        <v>-121645</v>
      </c>
      <c r="F8" s="44"/>
      <c r="G8" s="39">
        <f t="shared" si="4"/>
        <v>0</v>
      </c>
      <c r="H8" s="53">
        <f t="shared" si="5"/>
        <v>65480</v>
      </c>
      <c r="I8" s="20">
        <f t="shared" si="6"/>
        <v>-65480</v>
      </c>
      <c r="J8" s="46"/>
      <c r="K8" s="39">
        <f t="shared" si="7"/>
        <v>0</v>
      </c>
      <c r="L8" s="53">
        <f t="shared" si="8"/>
        <v>142075</v>
      </c>
      <c r="M8" s="20">
        <f t="shared" si="9"/>
        <v>-142075</v>
      </c>
      <c r="N8" s="44"/>
      <c r="O8" s="39">
        <f t="shared" si="10"/>
        <v>0</v>
      </c>
      <c r="P8" s="53">
        <f t="shared" si="11"/>
        <v>128973</v>
      </c>
      <c r="Q8" s="20">
        <f t="shared" si="12"/>
        <v>-128973</v>
      </c>
      <c r="R8" s="44"/>
      <c r="S8" s="39">
        <f t="shared" si="13"/>
        <v>0</v>
      </c>
      <c r="T8" s="53">
        <f t="shared" si="14"/>
        <v>68828</v>
      </c>
      <c r="U8" s="20">
        <f t="shared" si="15"/>
        <v>-68828</v>
      </c>
      <c r="V8" s="44"/>
      <c r="W8" s="39">
        <f t="shared" si="16"/>
        <v>0</v>
      </c>
      <c r="X8" s="53">
        <f t="shared" si="17"/>
        <v>125795</v>
      </c>
      <c r="Y8" s="20">
        <f t="shared" si="18"/>
        <v>-125795</v>
      </c>
      <c r="Z8" s="44"/>
      <c r="AA8" s="39">
        <f t="shared" si="19"/>
        <v>0</v>
      </c>
      <c r="AB8" s="53">
        <f t="shared" si="20"/>
        <v>72970</v>
      </c>
      <c r="AC8" s="20">
        <f t="shared" si="21"/>
        <v>-72970</v>
      </c>
      <c r="AD8" s="44"/>
      <c r="AE8" s="39">
        <f t="shared" si="22"/>
        <v>0</v>
      </c>
      <c r="AF8" s="53">
        <f t="shared" si="23"/>
        <v>234449</v>
      </c>
      <c r="AG8" s="20">
        <f t="shared" si="24"/>
        <v>-234449</v>
      </c>
      <c r="AH8" s="44"/>
      <c r="AI8" s="39">
        <f t="shared" si="25"/>
        <v>0</v>
      </c>
      <c r="AJ8" s="53">
        <f t="shared" si="26"/>
        <v>90952</v>
      </c>
      <c r="AK8" s="20">
        <f t="shared" si="27"/>
        <v>-90952</v>
      </c>
      <c r="AL8" s="44"/>
      <c r="AM8" s="39">
        <f t="shared" si="28"/>
        <v>0</v>
      </c>
      <c r="AN8" s="53">
        <f t="shared" si="29"/>
        <v>104353</v>
      </c>
      <c r="AO8" s="20">
        <f t="shared" si="30"/>
        <v>-104353</v>
      </c>
      <c r="AP8" s="44"/>
      <c r="AQ8" s="39">
        <f t="shared" si="31"/>
        <v>0</v>
      </c>
      <c r="AR8" s="53">
        <f t="shared" si="32"/>
        <v>68159</v>
      </c>
      <c r="AS8" s="20">
        <f t="shared" si="33"/>
        <v>-68159</v>
      </c>
      <c r="AT8" s="44"/>
      <c r="AU8" s="39">
        <f t="shared" si="34"/>
        <v>0</v>
      </c>
      <c r="AV8" s="53">
        <f t="shared" si="35"/>
        <v>210966</v>
      </c>
      <c r="AW8" s="20">
        <f t="shared" si="36"/>
        <v>-210966</v>
      </c>
      <c r="AX8" s="44"/>
      <c r="AY8" s="39">
        <f t="shared" si="37"/>
        <v>0</v>
      </c>
      <c r="AZ8" s="53">
        <f t="shared" si="38"/>
        <v>197857</v>
      </c>
      <c r="BA8" s="20">
        <f t="shared" si="39"/>
        <v>-197857</v>
      </c>
    </row>
    <row r="9">
      <c r="A9" s="52" t="s">
        <v>111</v>
      </c>
      <c r="B9" s="44"/>
      <c r="C9" s="39">
        <f t="shared" si="1"/>
        <v>0</v>
      </c>
      <c r="D9" s="53">
        <f t="shared" si="2"/>
        <v>122023</v>
      </c>
      <c r="E9" s="20">
        <f t="shared" si="3"/>
        <v>-122023</v>
      </c>
      <c r="F9" s="44"/>
      <c r="G9" s="39">
        <f t="shared" si="4"/>
        <v>0</v>
      </c>
      <c r="H9" s="53">
        <f t="shared" si="5"/>
        <v>65858</v>
      </c>
      <c r="I9" s="20">
        <f t="shared" si="6"/>
        <v>-65858</v>
      </c>
      <c r="J9" s="46"/>
      <c r="K9" s="39">
        <f t="shared" si="7"/>
        <v>0</v>
      </c>
      <c r="L9" s="53">
        <f t="shared" si="8"/>
        <v>142453</v>
      </c>
      <c r="M9" s="20">
        <f t="shared" si="9"/>
        <v>-142453</v>
      </c>
      <c r="N9" s="44"/>
      <c r="O9" s="39">
        <f t="shared" si="10"/>
        <v>0</v>
      </c>
      <c r="P9" s="53">
        <f t="shared" si="11"/>
        <v>129351</v>
      </c>
      <c r="Q9" s="20">
        <f t="shared" si="12"/>
        <v>-129351</v>
      </c>
      <c r="R9" s="44"/>
      <c r="S9" s="39">
        <f t="shared" si="13"/>
        <v>0</v>
      </c>
      <c r="T9" s="53">
        <f t="shared" si="14"/>
        <v>69206</v>
      </c>
      <c r="U9" s="20">
        <f t="shared" si="15"/>
        <v>-69206</v>
      </c>
      <c r="V9" s="44"/>
      <c r="W9" s="39">
        <f t="shared" si="16"/>
        <v>0</v>
      </c>
      <c r="X9" s="53">
        <f t="shared" si="17"/>
        <v>126173</v>
      </c>
      <c r="Y9" s="20">
        <f t="shared" si="18"/>
        <v>-126173</v>
      </c>
      <c r="Z9" s="44"/>
      <c r="AA9" s="39">
        <f t="shared" si="19"/>
        <v>0</v>
      </c>
      <c r="AB9" s="53">
        <f t="shared" si="20"/>
        <v>73348</v>
      </c>
      <c r="AC9" s="20">
        <f t="shared" si="21"/>
        <v>-73348</v>
      </c>
      <c r="AD9" s="44"/>
      <c r="AE9" s="39">
        <f t="shared" si="22"/>
        <v>0</v>
      </c>
      <c r="AF9" s="53">
        <f t="shared" si="23"/>
        <v>234827</v>
      </c>
      <c r="AG9" s="20">
        <f t="shared" si="24"/>
        <v>-234827</v>
      </c>
      <c r="AH9" s="44"/>
      <c r="AI9" s="39">
        <f t="shared" si="25"/>
        <v>0</v>
      </c>
      <c r="AJ9" s="53">
        <f t="shared" si="26"/>
        <v>91330</v>
      </c>
      <c r="AK9" s="20">
        <f t="shared" si="27"/>
        <v>-91330</v>
      </c>
      <c r="AL9" s="44"/>
      <c r="AM9" s="39">
        <f t="shared" si="28"/>
        <v>0</v>
      </c>
      <c r="AN9" s="53">
        <f t="shared" si="29"/>
        <v>104731</v>
      </c>
      <c r="AO9" s="20">
        <f t="shared" si="30"/>
        <v>-104731</v>
      </c>
      <c r="AP9" s="44"/>
      <c r="AQ9" s="39">
        <f t="shared" si="31"/>
        <v>0</v>
      </c>
      <c r="AR9" s="53">
        <f t="shared" si="32"/>
        <v>68537</v>
      </c>
      <c r="AS9" s="20">
        <f t="shared" si="33"/>
        <v>-68537</v>
      </c>
      <c r="AT9" s="44"/>
      <c r="AU9" s="39">
        <f t="shared" si="34"/>
        <v>0</v>
      </c>
      <c r="AV9" s="53">
        <f t="shared" si="35"/>
        <v>211344</v>
      </c>
      <c r="AW9" s="20">
        <f t="shared" si="36"/>
        <v>-211344</v>
      </c>
      <c r="AX9" s="44"/>
      <c r="AY9" s="39">
        <f t="shared" si="37"/>
        <v>0</v>
      </c>
      <c r="AZ9" s="53">
        <f t="shared" si="38"/>
        <v>198235</v>
      </c>
      <c r="BA9" s="20">
        <f t="shared" si="39"/>
        <v>-198235</v>
      </c>
    </row>
    <row r="10">
      <c r="A10" s="52" t="s">
        <v>112</v>
      </c>
      <c r="B10" s="44"/>
      <c r="C10" s="39">
        <f t="shared" si="1"/>
        <v>0</v>
      </c>
      <c r="D10" s="53">
        <f t="shared" si="2"/>
        <v>122023</v>
      </c>
      <c r="E10" s="20">
        <f t="shared" si="3"/>
        <v>-122023</v>
      </c>
      <c r="F10" s="44"/>
      <c r="G10" s="39">
        <f t="shared" si="4"/>
        <v>0</v>
      </c>
      <c r="H10" s="53">
        <f t="shared" si="5"/>
        <v>65858</v>
      </c>
      <c r="I10" s="20">
        <f t="shared" si="6"/>
        <v>-65858</v>
      </c>
      <c r="J10" s="46"/>
      <c r="K10" s="39">
        <f t="shared" si="7"/>
        <v>0</v>
      </c>
      <c r="L10" s="53">
        <f t="shared" si="8"/>
        <v>142453</v>
      </c>
      <c r="M10" s="20">
        <f t="shared" si="9"/>
        <v>-142453</v>
      </c>
      <c r="N10" s="44"/>
      <c r="O10" s="39">
        <f t="shared" si="10"/>
        <v>0</v>
      </c>
      <c r="P10" s="53">
        <f t="shared" si="11"/>
        <v>129351</v>
      </c>
      <c r="Q10" s="20">
        <f t="shared" si="12"/>
        <v>-129351</v>
      </c>
      <c r="R10" s="44"/>
      <c r="S10" s="39">
        <f t="shared" si="13"/>
        <v>0</v>
      </c>
      <c r="T10" s="53">
        <f t="shared" si="14"/>
        <v>69206</v>
      </c>
      <c r="U10" s="20">
        <f t="shared" si="15"/>
        <v>-69206</v>
      </c>
      <c r="V10" s="44"/>
      <c r="W10" s="39">
        <f t="shared" si="16"/>
        <v>0</v>
      </c>
      <c r="X10" s="53">
        <f t="shared" si="17"/>
        <v>126173</v>
      </c>
      <c r="Y10" s="20">
        <f t="shared" si="18"/>
        <v>-126173</v>
      </c>
      <c r="Z10" s="44"/>
      <c r="AA10" s="39">
        <f t="shared" si="19"/>
        <v>0</v>
      </c>
      <c r="AB10" s="53">
        <f t="shared" si="20"/>
        <v>73348</v>
      </c>
      <c r="AC10" s="20">
        <f t="shared" si="21"/>
        <v>-73348</v>
      </c>
      <c r="AD10" s="44"/>
      <c r="AE10" s="39">
        <f t="shared" si="22"/>
        <v>0</v>
      </c>
      <c r="AF10" s="53">
        <f t="shared" si="23"/>
        <v>234827</v>
      </c>
      <c r="AG10" s="20">
        <f t="shared" si="24"/>
        <v>-234827</v>
      </c>
      <c r="AH10" s="44"/>
      <c r="AI10" s="39">
        <f t="shared" si="25"/>
        <v>0</v>
      </c>
      <c r="AJ10" s="53">
        <f t="shared" si="26"/>
        <v>91330</v>
      </c>
      <c r="AK10" s="20">
        <f t="shared" si="27"/>
        <v>-91330</v>
      </c>
      <c r="AL10" s="44"/>
      <c r="AM10" s="39">
        <f t="shared" si="28"/>
        <v>0</v>
      </c>
      <c r="AN10" s="53">
        <f t="shared" si="29"/>
        <v>104731</v>
      </c>
      <c r="AO10" s="20">
        <f t="shared" si="30"/>
        <v>-104731</v>
      </c>
      <c r="AP10" s="44"/>
      <c r="AQ10" s="39">
        <f t="shared" si="31"/>
        <v>0</v>
      </c>
      <c r="AR10" s="53">
        <f t="shared" si="32"/>
        <v>68537</v>
      </c>
      <c r="AS10" s="20">
        <f t="shared" si="33"/>
        <v>-68537</v>
      </c>
      <c r="AT10" s="44"/>
      <c r="AU10" s="39">
        <f t="shared" si="34"/>
        <v>0</v>
      </c>
      <c r="AV10" s="53">
        <f t="shared" si="35"/>
        <v>211344</v>
      </c>
      <c r="AW10" s="20">
        <f t="shared" si="36"/>
        <v>-211344</v>
      </c>
      <c r="AX10" s="44"/>
      <c r="AY10" s="39">
        <f t="shared" si="37"/>
        <v>0</v>
      </c>
      <c r="AZ10" s="53">
        <f t="shared" si="38"/>
        <v>198235</v>
      </c>
      <c r="BA10" s="20">
        <f t="shared" si="39"/>
        <v>-198235</v>
      </c>
    </row>
    <row r="11">
      <c r="A11" s="52" t="s">
        <v>113</v>
      </c>
      <c r="B11" s="44"/>
      <c r="C11" s="39">
        <f t="shared" si="1"/>
        <v>0</v>
      </c>
      <c r="D11" s="53">
        <f t="shared" si="2"/>
        <v>122021</v>
      </c>
      <c r="E11" s="20">
        <f t="shared" si="3"/>
        <v>-122021</v>
      </c>
      <c r="F11" s="44"/>
      <c r="G11" s="39">
        <f t="shared" si="4"/>
        <v>0</v>
      </c>
      <c r="H11" s="53">
        <f t="shared" si="5"/>
        <v>65856</v>
      </c>
      <c r="I11" s="20">
        <f t="shared" si="6"/>
        <v>-65856</v>
      </c>
      <c r="J11" s="46"/>
      <c r="K11" s="39">
        <f t="shared" si="7"/>
        <v>0</v>
      </c>
      <c r="L11" s="53">
        <f t="shared" si="8"/>
        <v>142451</v>
      </c>
      <c r="M11" s="20">
        <f t="shared" si="9"/>
        <v>-142451</v>
      </c>
      <c r="N11" s="44"/>
      <c r="O11" s="39">
        <f t="shared" si="10"/>
        <v>0</v>
      </c>
      <c r="P11" s="53">
        <f t="shared" si="11"/>
        <v>129349</v>
      </c>
      <c r="Q11" s="20">
        <f t="shared" si="12"/>
        <v>-129349</v>
      </c>
      <c r="R11" s="44"/>
      <c r="S11" s="39">
        <f t="shared" si="13"/>
        <v>0</v>
      </c>
      <c r="T11" s="53">
        <f t="shared" si="14"/>
        <v>69204</v>
      </c>
      <c r="U11" s="20">
        <f t="shared" si="15"/>
        <v>-69204</v>
      </c>
      <c r="V11" s="44"/>
      <c r="W11" s="39">
        <f t="shared" si="16"/>
        <v>0</v>
      </c>
      <c r="X11" s="53">
        <f t="shared" si="17"/>
        <v>126171</v>
      </c>
      <c r="Y11" s="20">
        <f t="shared" si="18"/>
        <v>-126171</v>
      </c>
      <c r="Z11" s="44"/>
      <c r="AA11" s="39">
        <f t="shared" si="19"/>
        <v>0</v>
      </c>
      <c r="AB11" s="53">
        <f t="shared" si="20"/>
        <v>73346</v>
      </c>
      <c r="AC11" s="20">
        <f t="shared" si="21"/>
        <v>-73346</v>
      </c>
      <c r="AD11" s="44"/>
      <c r="AE11" s="39">
        <f t="shared" si="22"/>
        <v>0</v>
      </c>
      <c r="AF11" s="53">
        <f t="shared" si="23"/>
        <v>234825</v>
      </c>
      <c r="AG11" s="20">
        <f t="shared" si="24"/>
        <v>-234825</v>
      </c>
      <c r="AH11" s="44"/>
      <c r="AI11" s="39">
        <f t="shared" si="25"/>
        <v>0</v>
      </c>
      <c r="AJ11" s="53">
        <f t="shared" si="26"/>
        <v>91328</v>
      </c>
      <c r="AK11" s="20">
        <f t="shared" si="27"/>
        <v>-91328</v>
      </c>
      <c r="AL11" s="44"/>
      <c r="AM11" s="39">
        <f t="shared" si="28"/>
        <v>0</v>
      </c>
      <c r="AN11" s="53">
        <f t="shared" si="29"/>
        <v>104729</v>
      </c>
      <c r="AO11" s="20">
        <f t="shared" si="30"/>
        <v>-104729</v>
      </c>
      <c r="AP11" s="44"/>
      <c r="AQ11" s="39">
        <f t="shared" si="31"/>
        <v>0</v>
      </c>
      <c r="AR11" s="53">
        <f t="shared" si="32"/>
        <v>68535</v>
      </c>
      <c r="AS11" s="20">
        <f t="shared" si="33"/>
        <v>-68535</v>
      </c>
      <c r="AT11" s="44"/>
      <c r="AU11" s="39">
        <f t="shared" si="34"/>
        <v>0</v>
      </c>
      <c r="AV11" s="53">
        <f t="shared" si="35"/>
        <v>211342</v>
      </c>
      <c r="AW11" s="20">
        <f t="shared" si="36"/>
        <v>-211342</v>
      </c>
      <c r="AX11" s="44"/>
      <c r="AY11" s="39">
        <f t="shared" si="37"/>
        <v>0</v>
      </c>
      <c r="AZ11" s="53">
        <f t="shared" si="38"/>
        <v>198233</v>
      </c>
      <c r="BA11" s="20">
        <f t="shared" si="39"/>
        <v>-198233</v>
      </c>
    </row>
    <row r="12">
      <c r="A12" s="52" t="s">
        <v>114</v>
      </c>
      <c r="B12" s="44"/>
      <c r="C12" s="39">
        <f t="shared" si="1"/>
        <v>0</v>
      </c>
      <c r="D12" s="53">
        <f t="shared" si="2"/>
        <v>125005</v>
      </c>
      <c r="E12" s="20">
        <f t="shared" si="3"/>
        <v>-125005</v>
      </c>
      <c r="F12" s="44"/>
      <c r="G12" s="39">
        <f t="shared" si="4"/>
        <v>0</v>
      </c>
      <c r="H12" s="53">
        <f t="shared" si="5"/>
        <v>68840</v>
      </c>
      <c r="I12" s="20">
        <f t="shared" si="6"/>
        <v>-68840</v>
      </c>
      <c r="J12" s="46"/>
      <c r="K12" s="39">
        <f t="shared" si="7"/>
        <v>0</v>
      </c>
      <c r="L12" s="53">
        <f t="shared" si="8"/>
        <v>145435</v>
      </c>
      <c r="M12" s="20">
        <f t="shared" si="9"/>
        <v>-145435</v>
      </c>
      <c r="N12" s="44"/>
      <c r="O12" s="39">
        <f t="shared" si="10"/>
        <v>0</v>
      </c>
      <c r="P12" s="53">
        <f t="shared" si="11"/>
        <v>132333</v>
      </c>
      <c r="Q12" s="20">
        <f t="shared" si="12"/>
        <v>-132333</v>
      </c>
      <c r="R12" s="44"/>
      <c r="S12" s="39">
        <f t="shared" si="13"/>
        <v>0</v>
      </c>
      <c r="T12" s="53">
        <f t="shared" si="14"/>
        <v>72188</v>
      </c>
      <c r="U12" s="20">
        <f t="shared" si="15"/>
        <v>-72188</v>
      </c>
      <c r="V12" s="44"/>
      <c r="W12" s="39">
        <f t="shared" si="16"/>
        <v>0</v>
      </c>
      <c r="X12" s="53">
        <f t="shared" si="17"/>
        <v>129155</v>
      </c>
      <c r="Y12" s="20">
        <f t="shared" si="18"/>
        <v>-129155</v>
      </c>
      <c r="Z12" s="44"/>
      <c r="AA12" s="39">
        <f t="shared" si="19"/>
        <v>0</v>
      </c>
      <c r="AB12" s="53">
        <f t="shared" si="20"/>
        <v>76330</v>
      </c>
      <c r="AC12" s="20">
        <f t="shared" si="21"/>
        <v>-76330</v>
      </c>
      <c r="AD12" s="44"/>
      <c r="AE12" s="39">
        <f t="shared" si="22"/>
        <v>0</v>
      </c>
      <c r="AF12" s="53">
        <f t="shared" si="23"/>
        <v>237809</v>
      </c>
      <c r="AG12" s="20">
        <f t="shared" si="24"/>
        <v>-237809</v>
      </c>
      <c r="AH12" s="44"/>
      <c r="AI12" s="39">
        <f t="shared" si="25"/>
        <v>0</v>
      </c>
      <c r="AJ12" s="53">
        <f t="shared" si="26"/>
        <v>94312</v>
      </c>
      <c r="AK12" s="20">
        <f t="shared" si="27"/>
        <v>-94312</v>
      </c>
      <c r="AL12" s="44"/>
      <c r="AM12" s="39">
        <f t="shared" si="28"/>
        <v>0</v>
      </c>
      <c r="AN12" s="53">
        <f t="shared" si="29"/>
        <v>107713</v>
      </c>
      <c r="AO12" s="20">
        <f t="shared" si="30"/>
        <v>-107713</v>
      </c>
      <c r="AP12" s="44"/>
      <c r="AQ12" s="39">
        <f t="shared" si="31"/>
        <v>0</v>
      </c>
      <c r="AR12" s="53">
        <f t="shared" si="32"/>
        <v>71519</v>
      </c>
      <c r="AS12" s="20">
        <f t="shared" si="33"/>
        <v>-71519</v>
      </c>
      <c r="AT12" s="44"/>
      <c r="AU12" s="39">
        <f t="shared" si="34"/>
        <v>0</v>
      </c>
      <c r="AV12" s="53">
        <f t="shared" si="35"/>
        <v>214326</v>
      </c>
      <c r="AW12" s="20">
        <f t="shared" si="36"/>
        <v>-214326</v>
      </c>
      <c r="AX12" s="44"/>
      <c r="AY12" s="39">
        <f t="shared" si="37"/>
        <v>0</v>
      </c>
      <c r="AZ12" s="53">
        <f t="shared" si="38"/>
        <v>201217</v>
      </c>
      <c r="BA12" s="20">
        <f t="shared" si="39"/>
        <v>-201217</v>
      </c>
    </row>
    <row r="13">
      <c r="A13" s="52" t="s">
        <v>115</v>
      </c>
      <c r="B13" s="44"/>
      <c r="C13" s="39">
        <f t="shared" si="1"/>
        <v>0</v>
      </c>
      <c r="D13" s="53">
        <f t="shared" si="2"/>
        <v>139687</v>
      </c>
      <c r="E13" s="20">
        <f t="shared" si="3"/>
        <v>-139687</v>
      </c>
      <c r="F13" s="44"/>
      <c r="G13" s="39">
        <f t="shared" si="4"/>
        <v>0</v>
      </c>
      <c r="H13" s="53">
        <f t="shared" si="5"/>
        <v>83522</v>
      </c>
      <c r="I13" s="20">
        <f t="shared" si="6"/>
        <v>-83522</v>
      </c>
      <c r="J13" s="46"/>
      <c r="K13" s="39">
        <f t="shared" si="7"/>
        <v>0</v>
      </c>
      <c r="L13" s="53">
        <f t="shared" si="8"/>
        <v>160117</v>
      </c>
      <c r="M13" s="20">
        <f t="shared" si="9"/>
        <v>-160117</v>
      </c>
      <c r="N13" s="44"/>
      <c r="O13" s="39">
        <f t="shared" si="10"/>
        <v>0</v>
      </c>
      <c r="P13" s="53">
        <f t="shared" si="11"/>
        <v>147015</v>
      </c>
      <c r="Q13" s="20">
        <f t="shared" si="12"/>
        <v>-147015</v>
      </c>
      <c r="R13" s="44"/>
      <c r="S13" s="39">
        <f t="shared" si="13"/>
        <v>0</v>
      </c>
      <c r="T13" s="53">
        <f t="shared" si="14"/>
        <v>86870</v>
      </c>
      <c r="U13" s="20">
        <f t="shared" si="15"/>
        <v>-86870</v>
      </c>
      <c r="V13" s="44"/>
      <c r="W13" s="39">
        <f t="shared" si="16"/>
        <v>0</v>
      </c>
      <c r="X13" s="53">
        <f t="shared" si="17"/>
        <v>143837</v>
      </c>
      <c r="Y13" s="20">
        <f t="shared" si="18"/>
        <v>-143837</v>
      </c>
      <c r="Z13" s="44"/>
      <c r="AA13" s="39">
        <f t="shared" si="19"/>
        <v>0</v>
      </c>
      <c r="AB13" s="53">
        <f t="shared" si="20"/>
        <v>91012</v>
      </c>
      <c r="AC13" s="20">
        <f t="shared" si="21"/>
        <v>-91012</v>
      </c>
      <c r="AD13" s="44"/>
      <c r="AE13" s="39">
        <f t="shared" si="22"/>
        <v>0</v>
      </c>
      <c r="AF13" s="53">
        <f t="shared" si="23"/>
        <v>252491</v>
      </c>
      <c r="AG13" s="20">
        <f t="shared" si="24"/>
        <v>-252491</v>
      </c>
      <c r="AH13" s="44"/>
      <c r="AI13" s="39">
        <f t="shared" si="25"/>
        <v>0</v>
      </c>
      <c r="AJ13" s="53">
        <f t="shared" si="26"/>
        <v>108994</v>
      </c>
      <c r="AK13" s="20">
        <f t="shared" si="27"/>
        <v>-108994</v>
      </c>
      <c r="AL13" s="44"/>
      <c r="AM13" s="39">
        <f t="shared" si="28"/>
        <v>0</v>
      </c>
      <c r="AN13" s="53">
        <f t="shared" si="29"/>
        <v>122395</v>
      </c>
      <c r="AO13" s="20">
        <f t="shared" si="30"/>
        <v>-122395</v>
      </c>
      <c r="AP13" s="44"/>
      <c r="AQ13" s="39">
        <f t="shared" si="31"/>
        <v>0</v>
      </c>
      <c r="AR13" s="53">
        <f t="shared" si="32"/>
        <v>86201</v>
      </c>
      <c r="AS13" s="20">
        <f t="shared" si="33"/>
        <v>-86201</v>
      </c>
      <c r="AT13" s="44"/>
      <c r="AU13" s="39">
        <f t="shared" si="34"/>
        <v>0</v>
      </c>
      <c r="AV13" s="53">
        <f t="shared" si="35"/>
        <v>229008</v>
      </c>
      <c r="AW13" s="20">
        <f t="shared" si="36"/>
        <v>-229008</v>
      </c>
      <c r="AX13" s="44"/>
      <c r="AY13" s="39">
        <f t="shared" si="37"/>
        <v>0</v>
      </c>
      <c r="AZ13" s="53">
        <f t="shared" si="38"/>
        <v>215899</v>
      </c>
      <c r="BA13" s="20">
        <f t="shared" si="39"/>
        <v>-215899</v>
      </c>
    </row>
    <row r="14">
      <c r="A14" s="52" t="s">
        <v>116</v>
      </c>
      <c r="B14" s="44"/>
      <c r="C14" s="39">
        <f t="shared" si="1"/>
        <v>0</v>
      </c>
      <c r="D14" s="53">
        <f t="shared" si="2"/>
        <v>139687</v>
      </c>
      <c r="E14" s="20">
        <f t="shared" si="3"/>
        <v>-139687</v>
      </c>
      <c r="F14" s="44"/>
      <c r="G14" s="39">
        <f t="shared" si="4"/>
        <v>0</v>
      </c>
      <c r="H14" s="53">
        <f t="shared" si="5"/>
        <v>83522</v>
      </c>
      <c r="I14" s="20">
        <f t="shared" si="6"/>
        <v>-83522</v>
      </c>
      <c r="J14" s="46"/>
      <c r="K14" s="39">
        <f t="shared" si="7"/>
        <v>0</v>
      </c>
      <c r="L14" s="53">
        <f t="shared" si="8"/>
        <v>160117</v>
      </c>
      <c r="M14" s="20">
        <f t="shared" si="9"/>
        <v>-160117</v>
      </c>
      <c r="N14" s="44"/>
      <c r="O14" s="39">
        <f t="shared" si="10"/>
        <v>0</v>
      </c>
      <c r="P14" s="53">
        <f t="shared" si="11"/>
        <v>147015</v>
      </c>
      <c r="Q14" s="20">
        <f t="shared" si="12"/>
        <v>-147015</v>
      </c>
      <c r="R14" s="44"/>
      <c r="S14" s="39">
        <f t="shared" si="13"/>
        <v>0</v>
      </c>
      <c r="T14" s="53">
        <f t="shared" si="14"/>
        <v>86870</v>
      </c>
      <c r="U14" s="20">
        <f t="shared" si="15"/>
        <v>-86870</v>
      </c>
      <c r="V14" s="44"/>
      <c r="W14" s="39">
        <f t="shared" si="16"/>
        <v>0</v>
      </c>
      <c r="X14" s="53">
        <f t="shared" si="17"/>
        <v>143837</v>
      </c>
      <c r="Y14" s="20">
        <f t="shared" si="18"/>
        <v>-143837</v>
      </c>
      <c r="Z14" s="44"/>
      <c r="AA14" s="39">
        <f t="shared" si="19"/>
        <v>0</v>
      </c>
      <c r="AB14" s="53">
        <f t="shared" si="20"/>
        <v>91012</v>
      </c>
      <c r="AC14" s="20">
        <f t="shared" si="21"/>
        <v>-91012</v>
      </c>
      <c r="AD14" s="44"/>
      <c r="AE14" s="39">
        <f t="shared" si="22"/>
        <v>0</v>
      </c>
      <c r="AF14" s="53">
        <f t="shared" si="23"/>
        <v>252491</v>
      </c>
      <c r="AG14" s="20">
        <f t="shared" si="24"/>
        <v>-252491</v>
      </c>
      <c r="AH14" s="44"/>
      <c r="AI14" s="39">
        <f t="shared" si="25"/>
        <v>0</v>
      </c>
      <c r="AJ14" s="53">
        <f t="shared" si="26"/>
        <v>108994</v>
      </c>
      <c r="AK14" s="20">
        <f t="shared" si="27"/>
        <v>-108994</v>
      </c>
      <c r="AL14" s="44"/>
      <c r="AM14" s="39">
        <f t="shared" si="28"/>
        <v>0</v>
      </c>
      <c r="AN14" s="53">
        <f t="shared" si="29"/>
        <v>122395</v>
      </c>
      <c r="AO14" s="20">
        <f t="shared" si="30"/>
        <v>-122395</v>
      </c>
      <c r="AP14" s="44"/>
      <c r="AQ14" s="39">
        <f t="shared" si="31"/>
        <v>0</v>
      </c>
      <c r="AR14" s="53">
        <f t="shared" si="32"/>
        <v>86201</v>
      </c>
      <c r="AS14" s="20">
        <f t="shared" si="33"/>
        <v>-86201</v>
      </c>
      <c r="AT14" s="44"/>
      <c r="AU14" s="39">
        <f t="shared" si="34"/>
        <v>0</v>
      </c>
      <c r="AV14" s="53">
        <f t="shared" si="35"/>
        <v>229008</v>
      </c>
      <c r="AW14" s="20">
        <f t="shared" si="36"/>
        <v>-229008</v>
      </c>
      <c r="AX14" s="44"/>
      <c r="AY14" s="39">
        <f t="shared" si="37"/>
        <v>0</v>
      </c>
      <c r="AZ14" s="53">
        <f t="shared" si="38"/>
        <v>215899</v>
      </c>
      <c r="BA14" s="20">
        <f t="shared" si="39"/>
        <v>-215899</v>
      </c>
    </row>
    <row r="15">
      <c r="A15" s="52" t="s">
        <v>117</v>
      </c>
      <c r="B15" s="44"/>
      <c r="C15" s="39">
        <f t="shared" si="1"/>
        <v>0</v>
      </c>
      <c r="D15" s="53">
        <f t="shared" si="2"/>
        <v>139685</v>
      </c>
      <c r="E15" s="20">
        <f t="shared" si="3"/>
        <v>-139685</v>
      </c>
      <c r="F15" s="44"/>
      <c r="G15" s="39">
        <f t="shared" si="4"/>
        <v>0</v>
      </c>
      <c r="H15" s="53">
        <f t="shared" si="5"/>
        <v>83520</v>
      </c>
      <c r="I15" s="20">
        <f t="shared" si="6"/>
        <v>-83520</v>
      </c>
      <c r="J15" s="46"/>
      <c r="K15" s="39">
        <f t="shared" si="7"/>
        <v>0</v>
      </c>
      <c r="L15" s="53">
        <f t="shared" si="8"/>
        <v>160115</v>
      </c>
      <c r="M15" s="20">
        <f t="shared" si="9"/>
        <v>-160115</v>
      </c>
      <c r="N15" s="44"/>
      <c r="O15" s="39">
        <f t="shared" si="10"/>
        <v>0</v>
      </c>
      <c r="P15" s="53">
        <f t="shared" si="11"/>
        <v>147013</v>
      </c>
      <c r="Q15" s="20">
        <f t="shared" si="12"/>
        <v>-147013</v>
      </c>
      <c r="R15" s="44"/>
      <c r="S15" s="39">
        <f t="shared" si="13"/>
        <v>0</v>
      </c>
      <c r="T15" s="53">
        <f t="shared" si="14"/>
        <v>86868</v>
      </c>
      <c r="U15" s="20">
        <f t="shared" si="15"/>
        <v>-86868</v>
      </c>
      <c r="V15" s="44"/>
      <c r="W15" s="39">
        <f t="shared" si="16"/>
        <v>0</v>
      </c>
      <c r="X15" s="53">
        <f t="shared" si="17"/>
        <v>143835</v>
      </c>
      <c r="Y15" s="20">
        <f t="shared" si="18"/>
        <v>-143835</v>
      </c>
      <c r="Z15" s="44"/>
      <c r="AA15" s="39">
        <f t="shared" si="19"/>
        <v>0</v>
      </c>
      <c r="AB15" s="53">
        <f t="shared" si="20"/>
        <v>91010</v>
      </c>
      <c r="AC15" s="20">
        <f t="shared" si="21"/>
        <v>-91010</v>
      </c>
      <c r="AD15" s="44"/>
      <c r="AE15" s="39">
        <f t="shared" si="22"/>
        <v>0</v>
      </c>
      <c r="AF15" s="53">
        <f t="shared" si="23"/>
        <v>252489</v>
      </c>
      <c r="AG15" s="20">
        <f t="shared" si="24"/>
        <v>-252489</v>
      </c>
      <c r="AH15" s="44"/>
      <c r="AI15" s="39">
        <f t="shared" si="25"/>
        <v>0</v>
      </c>
      <c r="AJ15" s="53">
        <f t="shared" si="26"/>
        <v>108992</v>
      </c>
      <c r="AK15" s="20">
        <f t="shared" si="27"/>
        <v>-108992</v>
      </c>
      <c r="AL15" s="44"/>
      <c r="AM15" s="39">
        <f t="shared" si="28"/>
        <v>0</v>
      </c>
      <c r="AN15" s="53">
        <f t="shared" si="29"/>
        <v>122393</v>
      </c>
      <c r="AO15" s="20">
        <f t="shared" si="30"/>
        <v>-122393</v>
      </c>
      <c r="AP15" s="44"/>
      <c r="AQ15" s="39">
        <f t="shared" si="31"/>
        <v>0</v>
      </c>
      <c r="AR15" s="53">
        <f t="shared" si="32"/>
        <v>86199</v>
      </c>
      <c r="AS15" s="20">
        <f t="shared" si="33"/>
        <v>-86199</v>
      </c>
      <c r="AT15" s="44"/>
      <c r="AU15" s="39">
        <f t="shared" si="34"/>
        <v>0</v>
      </c>
      <c r="AV15" s="53">
        <f t="shared" si="35"/>
        <v>229006</v>
      </c>
      <c r="AW15" s="20">
        <f t="shared" si="36"/>
        <v>-229006</v>
      </c>
      <c r="AX15" s="44"/>
      <c r="AY15" s="39">
        <f t="shared" si="37"/>
        <v>0</v>
      </c>
      <c r="AZ15" s="53">
        <f t="shared" si="38"/>
        <v>215897</v>
      </c>
      <c r="BA15" s="20">
        <f t="shared" si="39"/>
        <v>-215897</v>
      </c>
    </row>
    <row r="16">
      <c r="A16" s="52" t="s">
        <v>118</v>
      </c>
      <c r="B16" s="44"/>
      <c r="C16" s="39">
        <f t="shared" si="1"/>
        <v>0</v>
      </c>
      <c r="D16" s="53">
        <f t="shared" si="2"/>
        <v>142669</v>
      </c>
      <c r="E16" s="20">
        <f t="shared" si="3"/>
        <v>-142669</v>
      </c>
      <c r="F16" s="44"/>
      <c r="G16" s="39">
        <f t="shared" si="4"/>
        <v>0</v>
      </c>
      <c r="H16" s="53">
        <f t="shared" si="5"/>
        <v>86504</v>
      </c>
      <c r="I16" s="20">
        <f t="shared" si="6"/>
        <v>-86504</v>
      </c>
      <c r="J16" s="46"/>
      <c r="K16" s="39">
        <f t="shared" si="7"/>
        <v>0</v>
      </c>
      <c r="L16" s="53">
        <f t="shared" si="8"/>
        <v>163099</v>
      </c>
      <c r="M16" s="20">
        <f t="shared" si="9"/>
        <v>-163099</v>
      </c>
      <c r="N16" s="44"/>
      <c r="O16" s="39">
        <f t="shared" si="10"/>
        <v>0</v>
      </c>
      <c r="P16" s="53">
        <f t="shared" si="11"/>
        <v>149997</v>
      </c>
      <c r="Q16" s="20">
        <f t="shared" si="12"/>
        <v>-149997</v>
      </c>
      <c r="R16" s="44"/>
      <c r="S16" s="39">
        <f t="shared" si="13"/>
        <v>0</v>
      </c>
      <c r="T16" s="53">
        <f t="shared" si="14"/>
        <v>89852</v>
      </c>
      <c r="U16" s="20">
        <f t="shared" si="15"/>
        <v>-89852</v>
      </c>
      <c r="V16" s="44"/>
      <c r="W16" s="39">
        <f t="shared" si="16"/>
        <v>0</v>
      </c>
      <c r="X16" s="53">
        <f t="shared" si="17"/>
        <v>146819</v>
      </c>
      <c r="Y16" s="20">
        <f t="shared" si="18"/>
        <v>-146819</v>
      </c>
      <c r="Z16" s="44"/>
      <c r="AA16" s="39">
        <f t="shared" si="19"/>
        <v>0</v>
      </c>
      <c r="AB16" s="53">
        <f t="shared" si="20"/>
        <v>93994</v>
      </c>
      <c r="AC16" s="20">
        <f t="shared" si="21"/>
        <v>-93994</v>
      </c>
      <c r="AD16" s="44"/>
      <c r="AE16" s="39">
        <f t="shared" si="22"/>
        <v>0</v>
      </c>
      <c r="AF16" s="53">
        <f t="shared" si="23"/>
        <v>255473</v>
      </c>
      <c r="AG16" s="20">
        <f t="shared" si="24"/>
        <v>-255473</v>
      </c>
      <c r="AH16" s="44"/>
      <c r="AI16" s="39">
        <f t="shared" si="25"/>
        <v>0</v>
      </c>
      <c r="AJ16" s="53">
        <f t="shared" si="26"/>
        <v>111976</v>
      </c>
      <c r="AK16" s="20">
        <f t="shared" si="27"/>
        <v>-111976</v>
      </c>
      <c r="AL16" s="44"/>
      <c r="AM16" s="39">
        <f t="shared" si="28"/>
        <v>0</v>
      </c>
      <c r="AN16" s="53">
        <f t="shared" si="29"/>
        <v>125377</v>
      </c>
      <c r="AO16" s="20">
        <f t="shared" si="30"/>
        <v>-125377</v>
      </c>
      <c r="AP16" s="44"/>
      <c r="AQ16" s="39">
        <f t="shared" si="31"/>
        <v>0</v>
      </c>
      <c r="AR16" s="53">
        <f t="shared" si="32"/>
        <v>89183</v>
      </c>
      <c r="AS16" s="20">
        <f t="shared" si="33"/>
        <v>-89183</v>
      </c>
      <c r="AT16" s="44"/>
      <c r="AU16" s="39">
        <f t="shared" si="34"/>
        <v>0</v>
      </c>
      <c r="AV16" s="53">
        <f t="shared" si="35"/>
        <v>231990</v>
      </c>
      <c r="AW16" s="20">
        <f t="shared" si="36"/>
        <v>-231990</v>
      </c>
      <c r="AX16" s="44"/>
      <c r="AY16" s="39">
        <f t="shared" si="37"/>
        <v>0</v>
      </c>
      <c r="AZ16" s="53">
        <f t="shared" si="38"/>
        <v>218881</v>
      </c>
      <c r="BA16" s="20">
        <f t="shared" si="39"/>
        <v>-218881</v>
      </c>
    </row>
    <row r="17">
      <c r="A17" s="52" t="s">
        <v>119</v>
      </c>
      <c r="B17" s="44"/>
      <c r="C17" s="39">
        <f t="shared" si="1"/>
        <v>0</v>
      </c>
      <c r="D17" s="53">
        <f t="shared" si="2"/>
        <v>198439</v>
      </c>
      <c r="E17" s="20">
        <f t="shared" si="3"/>
        <v>-198439</v>
      </c>
      <c r="F17" s="44"/>
      <c r="G17" s="39">
        <f t="shared" si="4"/>
        <v>0</v>
      </c>
      <c r="H17" s="53">
        <f t="shared" si="5"/>
        <v>142274</v>
      </c>
      <c r="I17" s="20">
        <f t="shared" si="6"/>
        <v>-142274</v>
      </c>
      <c r="J17" s="46"/>
      <c r="K17" s="39">
        <f t="shared" si="7"/>
        <v>0</v>
      </c>
      <c r="L17" s="53">
        <f t="shared" si="8"/>
        <v>218869</v>
      </c>
      <c r="M17" s="20">
        <f t="shared" si="9"/>
        <v>-218869</v>
      </c>
      <c r="N17" s="44"/>
      <c r="O17" s="39">
        <f t="shared" si="10"/>
        <v>0</v>
      </c>
      <c r="P17" s="53">
        <f t="shared" si="11"/>
        <v>205767</v>
      </c>
      <c r="Q17" s="20">
        <f t="shared" si="12"/>
        <v>-205767</v>
      </c>
      <c r="R17" s="46"/>
      <c r="S17" s="39">
        <f t="shared" si="13"/>
        <v>0</v>
      </c>
      <c r="T17" s="53">
        <f t="shared" si="14"/>
        <v>145622</v>
      </c>
      <c r="U17" s="20">
        <f t="shared" si="15"/>
        <v>-145622</v>
      </c>
      <c r="V17" s="44"/>
      <c r="W17" s="39">
        <f t="shared" si="16"/>
        <v>0</v>
      </c>
      <c r="X17" s="53">
        <f t="shared" si="17"/>
        <v>202589</v>
      </c>
      <c r="Y17" s="20">
        <f t="shared" si="18"/>
        <v>-202589</v>
      </c>
      <c r="Z17" s="44"/>
      <c r="AA17" s="39">
        <f t="shared" si="19"/>
        <v>0</v>
      </c>
      <c r="AB17" s="53">
        <f t="shared" si="20"/>
        <v>149764</v>
      </c>
      <c r="AC17" s="20">
        <f t="shared" si="21"/>
        <v>-149764</v>
      </c>
      <c r="AD17" s="44"/>
      <c r="AE17" s="39">
        <f t="shared" si="22"/>
        <v>0</v>
      </c>
      <c r="AF17" s="53">
        <f t="shared" si="23"/>
        <v>311243</v>
      </c>
      <c r="AG17" s="20">
        <f t="shared" si="24"/>
        <v>-311243</v>
      </c>
      <c r="AH17" s="44"/>
      <c r="AI17" s="39">
        <f t="shared" si="25"/>
        <v>0</v>
      </c>
      <c r="AJ17" s="53">
        <f t="shared" si="26"/>
        <v>167746</v>
      </c>
      <c r="AK17" s="20">
        <f t="shared" si="27"/>
        <v>-167746</v>
      </c>
      <c r="AL17" s="44"/>
      <c r="AM17" s="39">
        <f t="shared" si="28"/>
        <v>0</v>
      </c>
      <c r="AN17" s="53">
        <f t="shared" si="29"/>
        <v>181147</v>
      </c>
      <c r="AO17" s="20">
        <f t="shared" si="30"/>
        <v>-181147</v>
      </c>
      <c r="AP17" s="46"/>
      <c r="AQ17" s="39">
        <f t="shared" si="31"/>
        <v>0</v>
      </c>
      <c r="AR17" s="53">
        <f t="shared" si="32"/>
        <v>144953</v>
      </c>
      <c r="AS17" s="20">
        <f t="shared" si="33"/>
        <v>-144953</v>
      </c>
      <c r="AT17" s="44"/>
      <c r="AU17" s="39">
        <f t="shared" si="34"/>
        <v>0</v>
      </c>
      <c r="AV17" s="53">
        <f t="shared" si="35"/>
        <v>287760</v>
      </c>
      <c r="AW17" s="20">
        <f t="shared" si="36"/>
        <v>-287760</v>
      </c>
      <c r="AX17" s="44"/>
      <c r="AY17" s="39">
        <f t="shared" si="37"/>
        <v>0</v>
      </c>
      <c r="AZ17" s="53">
        <f t="shared" si="38"/>
        <v>274651</v>
      </c>
      <c r="BA17" s="20">
        <f t="shared" si="39"/>
        <v>-274651</v>
      </c>
    </row>
    <row r="18">
      <c r="A18" s="52" t="s">
        <v>120</v>
      </c>
      <c r="B18" s="44"/>
      <c r="C18" s="39">
        <f t="shared" si="1"/>
        <v>0</v>
      </c>
      <c r="D18" s="53">
        <f t="shared" si="2"/>
        <v>198439</v>
      </c>
      <c r="E18" s="20">
        <f t="shared" si="3"/>
        <v>-198439</v>
      </c>
      <c r="F18" s="44"/>
      <c r="G18" s="39">
        <f t="shared" si="4"/>
        <v>0</v>
      </c>
      <c r="H18" s="53">
        <f t="shared" si="5"/>
        <v>142274</v>
      </c>
      <c r="I18" s="20">
        <f t="shared" si="6"/>
        <v>-142274</v>
      </c>
      <c r="J18" s="46"/>
      <c r="K18" s="39">
        <f t="shared" si="7"/>
        <v>0</v>
      </c>
      <c r="L18" s="53">
        <f t="shared" si="8"/>
        <v>218869</v>
      </c>
      <c r="M18" s="20">
        <f t="shared" si="9"/>
        <v>-218869</v>
      </c>
      <c r="N18" s="44"/>
      <c r="O18" s="39">
        <f t="shared" si="10"/>
        <v>0</v>
      </c>
      <c r="P18" s="53">
        <f t="shared" si="11"/>
        <v>205767</v>
      </c>
      <c r="Q18" s="20">
        <f t="shared" si="12"/>
        <v>-205767</v>
      </c>
      <c r="R18" s="44"/>
      <c r="S18" s="39">
        <f t="shared" si="13"/>
        <v>0</v>
      </c>
      <c r="T18" s="53">
        <f t="shared" si="14"/>
        <v>145622</v>
      </c>
      <c r="U18" s="20">
        <f t="shared" si="15"/>
        <v>-145622</v>
      </c>
      <c r="V18" s="44"/>
      <c r="W18" s="39">
        <f t="shared" si="16"/>
        <v>0</v>
      </c>
      <c r="X18" s="53">
        <f t="shared" si="17"/>
        <v>202589</v>
      </c>
      <c r="Y18" s="20">
        <f t="shared" si="18"/>
        <v>-202589</v>
      </c>
      <c r="Z18" s="44"/>
      <c r="AA18" s="39">
        <f t="shared" si="19"/>
        <v>0</v>
      </c>
      <c r="AB18" s="53">
        <f t="shared" si="20"/>
        <v>149764</v>
      </c>
      <c r="AC18" s="20">
        <f t="shared" si="21"/>
        <v>-149764</v>
      </c>
      <c r="AD18" s="44"/>
      <c r="AE18" s="39">
        <f t="shared" si="22"/>
        <v>0</v>
      </c>
      <c r="AF18" s="53">
        <f t="shared" si="23"/>
        <v>311243</v>
      </c>
      <c r="AG18" s="20">
        <f t="shared" si="24"/>
        <v>-311243</v>
      </c>
      <c r="AH18" s="44"/>
      <c r="AI18" s="39">
        <f t="shared" si="25"/>
        <v>0</v>
      </c>
      <c r="AJ18" s="53">
        <f t="shared" si="26"/>
        <v>167746</v>
      </c>
      <c r="AK18" s="20">
        <f t="shared" si="27"/>
        <v>-167746</v>
      </c>
      <c r="AL18" s="44"/>
      <c r="AM18" s="39">
        <f t="shared" si="28"/>
        <v>0</v>
      </c>
      <c r="AN18" s="53">
        <f t="shared" si="29"/>
        <v>181147</v>
      </c>
      <c r="AO18" s="20">
        <f t="shared" si="30"/>
        <v>-181147</v>
      </c>
      <c r="AP18" s="44"/>
      <c r="AQ18" s="39">
        <f t="shared" si="31"/>
        <v>0</v>
      </c>
      <c r="AR18" s="53">
        <f t="shared" si="32"/>
        <v>144953</v>
      </c>
      <c r="AS18" s="20">
        <f t="shared" si="33"/>
        <v>-144953</v>
      </c>
      <c r="AT18" s="44"/>
      <c r="AU18" s="39">
        <f t="shared" si="34"/>
        <v>0</v>
      </c>
      <c r="AV18" s="53">
        <f t="shared" si="35"/>
        <v>287760</v>
      </c>
      <c r="AW18" s="20">
        <f t="shared" si="36"/>
        <v>-287760</v>
      </c>
      <c r="AX18" s="44"/>
      <c r="AY18" s="39">
        <f t="shared" si="37"/>
        <v>0</v>
      </c>
      <c r="AZ18" s="53">
        <f t="shared" si="38"/>
        <v>274651</v>
      </c>
      <c r="BA18" s="20">
        <f t="shared" si="39"/>
        <v>-274651</v>
      </c>
    </row>
    <row r="19">
      <c r="A19" s="52" t="s">
        <v>121</v>
      </c>
      <c r="B19" s="44"/>
      <c r="C19" s="39">
        <f t="shared" si="1"/>
        <v>0</v>
      </c>
      <c r="D19" s="53">
        <f t="shared" si="2"/>
        <v>198437</v>
      </c>
      <c r="E19" s="20">
        <f t="shared" si="3"/>
        <v>-198437</v>
      </c>
      <c r="F19" s="44"/>
      <c r="G19" s="39">
        <f t="shared" si="4"/>
        <v>0</v>
      </c>
      <c r="H19" s="53">
        <f t="shared" si="5"/>
        <v>142272</v>
      </c>
      <c r="I19" s="20">
        <f t="shared" si="6"/>
        <v>-142272</v>
      </c>
      <c r="J19" s="46"/>
      <c r="K19" s="39">
        <f t="shared" si="7"/>
        <v>0</v>
      </c>
      <c r="L19" s="53">
        <f t="shared" si="8"/>
        <v>218867</v>
      </c>
      <c r="M19" s="20">
        <f t="shared" si="9"/>
        <v>-218867</v>
      </c>
      <c r="N19" s="44"/>
      <c r="O19" s="39">
        <f t="shared" si="10"/>
        <v>0</v>
      </c>
      <c r="P19" s="53">
        <f t="shared" si="11"/>
        <v>205765</v>
      </c>
      <c r="Q19" s="20">
        <f t="shared" si="12"/>
        <v>-205765</v>
      </c>
      <c r="R19" s="44"/>
      <c r="S19" s="39">
        <f t="shared" si="13"/>
        <v>0</v>
      </c>
      <c r="T19" s="53">
        <f t="shared" si="14"/>
        <v>145620</v>
      </c>
      <c r="U19" s="20">
        <f t="shared" si="15"/>
        <v>-145620</v>
      </c>
      <c r="V19" s="44"/>
      <c r="W19" s="39">
        <f t="shared" si="16"/>
        <v>0</v>
      </c>
      <c r="X19" s="53">
        <f t="shared" si="17"/>
        <v>202587</v>
      </c>
      <c r="Y19" s="20">
        <f t="shared" si="18"/>
        <v>-202587</v>
      </c>
      <c r="Z19" s="44"/>
      <c r="AA19" s="39">
        <f t="shared" si="19"/>
        <v>0</v>
      </c>
      <c r="AB19" s="53">
        <f t="shared" si="20"/>
        <v>149762</v>
      </c>
      <c r="AC19" s="20">
        <f t="shared" si="21"/>
        <v>-149762</v>
      </c>
      <c r="AD19" s="44"/>
      <c r="AE19" s="39">
        <f t="shared" si="22"/>
        <v>0</v>
      </c>
      <c r="AF19" s="53">
        <f t="shared" si="23"/>
        <v>311241</v>
      </c>
      <c r="AG19" s="20">
        <f t="shared" si="24"/>
        <v>-311241</v>
      </c>
      <c r="AH19" s="44"/>
      <c r="AI19" s="39">
        <f t="shared" si="25"/>
        <v>0</v>
      </c>
      <c r="AJ19" s="53">
        <f t="shared" si="26"/>
        <v>167744</v>
      </c>
      <c r="AK19" s="20">
        <f t="shared" si="27"/>
        <v>-167744</v>
      </c>
      <c r="AL19" s="44"/>
      <c r="AM19" s="39">
        <f t="shared" si="28"/>
        <v>0</v>
      </c>
      <c r="AN19" s="53">
        <f t="shared" si="29"/>
        <v>181145</v>
      </c>
      <c r="AO19" s="20">
        <f t="shared" si="30"/>
        <v>-181145</v>
      </c>
      <c r="AP19" s="44"/>
      <c r="AQ19" s="39">
        <f t="shared" si="31"/>
        <v>0</v>
      </c>
      <c r="AR19" s="53">
        <f t="shared" si="32"/>
        <v>144951</v>
      </c>
      <c r="AS19" s="20">
        <f t="shared" si="33"/>
        <v>-144951</v>
      </c>
      <c r="AT19" s="44"/>
      <c r="AU19" s="39">
        <f t="shared" si="34"/>
        <v>0</v>
      </c>
      <c r="AV19" s="53">
        <f t="shared" si="35"/>
        <v>287758</v>
      </c>
      <c r="AW19" s="20">
        <f t="shared" si="36"/>
        <v>-287758</v>
      </c>
      <c r="AX19" s="44"/>
      <c r="AY19" s="39">
        <f t="shared" si="37"/>
        <v>0</v>
      </c>
      <c r="AZ19" s="53">
        <f t="shared" si="38"/>
        <v>274649</v>
      </c>
      <c r="BA19" s="20">
        <f t="shared" si="39"/>
        <v>-274649</v>
      </c>
    </row>
    <row r="20">
      <c r="A20" s="52" t="s">
        <v>122</v>
      </c>
      <c r="B20" s="44"/>
      <c r="C20" s="39">
        <f t="shared" si="1"/>
        <v>0</v>
      </c>
      <c r="D20" s="53">
        <f t="shared" si="2"/>
        <v>201421</v>
      </c>
      <c r="E20" s="20">
        <f t="shared" si="3"/>
        <v>-201421</v>
      </c>
      <c r="F20" s="44"/>
      <c r="G20" s="39">
        <f t="shared" si="4"/>
        <v>0</v>
      </c>
      <c r="H20" s="53">
        <f t="shared" si="5"/>
        <v>145256</v>
      </c>
      <c r="I20" s="20">
        <f t="shared" si="6"/>
        <v>-145256</v>
      </c>
      <c r="J20" s="46"/>
      <c r="K20" s="39">
        <f t="shared" si="7"/>
        <v>0</v>
      </c>
      <c r="L20" s="53">
        <f t="shared" si="8"/>
        <v>221851</v>
      </c>
      <c r="M20" s="20">
        <f t="shared" si="9"/>
        <v>-221851</v>
      </c>
      <c r="N20" s="44"/>
      <c r="O20" s="39">
        <f t="shared" si="10"/>
        <v>0</v>
      </c>
      <c r="P20" s="53">
        <f t="shared" si="11"/>
        <v>208749</v>
      </c>
      <c r="Q20" s="20">
        <f t="shared" si="12"/>
        <v>-208749</v>
      </c>
      <c r="R20" s="44"/>
      <c r="S20" s="39">
        <f t="shared" si="13"/>
        <v>0</v>
      </c>
      <c r="T20" s="53">
        <f t="shared" si="14"/>
        <v>148604</v>
      </c>
      <c r="U20" s="20">
        <f t="shared" si="15"/>
        <v>-148604</v>
      </c>
      <c r="V20" s="44"/>
      <c r="W20" s="39">
        <f t="shared" si="16"/>
        <v>0</v>
      </c>
      <c r="X20" s="53">
        <f t="shared" si="17"/>
        <v>205571</v>
      </c>
      <c r="Y20" s="20">
        <f t="shared" si="18"/>
        <v>-205571</v>
      </c>
      <c r="Z20" s="44"/>
      <c r="AA20" s="39">
        <f t="shared" si="19"/>
        <v>0</v>
      </c>
      <c r="AB20" s="53">
        <f t="shared" si="20"/>
        <v>152746</v>
      </c>
      <c r="AC20" s="20">
        <f t="shared" si="21"/>
        <v>-152746</v>
      </c>
      <c r="AD20" s="44"/>
      <c r="AE20" s="39">
        <f t="shared" si="22"/>
        <v>0</v>
      </c>
      <c r="AF20" s="53">
        <f t="shared" si="23"/>
        <v>314225</v>
      </c>
      <c r="AG20" s="20">
        <f t="shared" si="24"/>
        <v>-314225</v>
      </c>
      <c r="AH20" s="44"/>
      <c r="AI20" s="39">
        <f t="shared" si="25"/>
        <v>0</v>
      </c>
      <c r="AJ20" s="53">
        <f t="shared" si="26"/>
        <v>170728</v>
      </c>
      <c r="AK20" s="20">
        <f t="shared" si="27"/>
        <v>-170728</v>
      </c>
      <c r="AL20" s="44"/>
      <c r="AM20" s="39">
        <f t="shared" si="28"/>
        <v>0</v>
      </c>
      <c r="AN20" s="53">
        <f t="shared" si="29"/>
        <v>184129</v>
      </c>
      <c r="AO20" s="20">
        <f t="shared" si="30"/>
        <v>-184129</v>
      </c>
      <c r="AP20" s="44"/>
      <c r="AQ20" s="39">
        <f t="shared" si="31"/>
        <v>0</v>
      </c>
      <c r="AR20" s="53">
        <f t="shared" si="32"/>
        <v>147935</v>
      </c>
      <c r="AS20" s="20">
        <f t="shared" si="33"/>
        <v>-147935</v>
      </c>
      <c r="AT20" s="44"/>
      <c r="AU20" s="39">
        <f t="shared" si="34"/>
        <v>0</v>
      </c>
      <c r="AV20" s="53">
        <f t="shared" si="35"/>
        <v>290742</v>
      </c>
      <c r="AW20" s="20">
        <f t="shared" si="36"/>
        <v>-290742</v>
      </c>
      <c r="AX20" s="44"/>
      <c r="AY20" s="39">
        <f t="shared" si="37"/>
        <v>0</v>
      </c>
      <c r="AZ20" s="53">
        <f t="shared" si="38"/>
        <v>277633</v>
      </c>
      <c r="BA20" s="20">
        <f t="shared" si="39"/>
        <v>-277633</v>
      </c>
    </row>
    <row r="21" ht="15.75" customHeight="1">
      <c r="A21" s="47"/>
      <c r="B21" s="54" t="s">
        <v>84</v>
      </c>
      <c r="C21" s="50" t="s">
        <v>123</v>
      </c>
      <c r="D21" s="55"/>
      <c r="E21" s="56"/>
      <c r="F21" s="54" t="s">
        <v>84</v>
      </c>
      <c r="G21" s="50" t="s">
        <v>123</v>
      </c>
      <c r="H21" s="55"/>
      <c r="I21" s="56"/>
      <c r="J21" s="54" t="s">
        <v>84</v>
      </c>
      <c r="K21" s="50" t="s">
        <v>123</v>
      </c>
      <c r="L21" s="55"/>
      <c r="M21" s="56"/>
      <c r="N21" s="54" t="s">
        <v>84</v>
      </c>
      <c r="O21" s="50" t="s">
        <v>123</v>
      </c>
      <c r="P21" s="55"/>
      <c r="Q21" s="56"/>
      <c r="R21" s="54" t="s">
        <v>84</v>
      </c>
      <c r="S21" s="50" t="s">
        <v>123</v>
      </c>
      <c r="T21" s="55"/>
      <c r="U21" s="56"/>
      <c r="V21" s="54" t="s">
        <v>84</v>
      </c>
      <c r="W21" s="50" t="s">
        <v>123</v>
      </c>
      <c r="X21" s="55"/>
      <c r="Y21" s="56"/>
      <c r="Z21" s="54" t="s">
        <v>84</v>
      </c>
      <c r="AA21" s="50" t="s">
        <v>123</v>
      </c>
      <c r="AB21" s="55"/>
      <c r="AC21" s="56"/>
      <c r="AD21" s="54" t="s">
        <v>84</v>
      </c>
      <c r="AE21" s="50" t="s">
        <v>123</v>
      </c>
      <c r="AF21" s="55"/>
      <c r="AG21" s="56"/>
      <c r="AH21" s="54" t="s">
        <v>84</v>
      </c>
      <c r="AI21" s="50" t="s">
        <v>123</v>
      </c>
      <c r="AJ21" s="55"/>
      <c r="AK21" s="56"/>
      <c r="AL21" s="54" t="s">
        <v>84</v>
      </c>
      <c r="AM21" s="50" t="s">
        <v>123</v>
      </c>
      <c r="AN21" s="55"/>
      <c r="AO21" s="56"/>
      <c r="AP21" s="54" t="s">
        <v>84</v>
      </c>
      <c r="AQ21" s="50" t="s">
        <v>123</v>
      </c>
      <c r="AR21" s="55"/>
      <c r="AS21" s="56"/>
      <c r="AT21" s="54" t="s">
        <v>84</v>
      </c>
      <c r="AU21" s="50" t="s">
        <v>123</v>
      </c>
      <c r="AV21" s="55"/>
      <c r="AW21" s="56"/>
      <c r="AX21" s="54" t="s">
        <v>84</v>
      </c>
      <c r="AY21" s="50" t="s">
        <v>123</v>
      </c>
      <c r="AZ21" s="55"/>
      <c r="BA21" s="56"/>
    </row>
    <row r="22" ht="15.75" customHeight="1">
      <c r="A22" s="52" t="s">
        <v>107</v>
      </c>
      <c r="B22" s="44"/>
      <c r="C22" s="39">
        <f t="shared" ref="C22:C37" si="40">B22*0.92</f>
        <v>0</v>
      </c>
      <c r="D22" s="53">
        <f t="shared" ref="D22:D37" si="41">$B$2+$B$3+G40</f>
        <v>118663</v>
      </c>
      <c r="E22" s="20">
        <f t="shared" ref="E22:E37" si="42">C22-D22</f>
        <v>-118663</v>
      </c>
      <c r="F22" s="44"/>
      <c r="G22" s="39">
        <f t="shared" ref="G22:G37" si="43">F22*0.92</f>
        <v>0</v>
      </c>
      <c r="H22" s="53">
        <f t="shared" ref="H22:H37" si="44">$F$2+$F$3+G40</f>
        <v>62498</v>
      </c>
      <c r="I22" s="20">
        <f t="shared" ref="I22:I37" si="45">G22-H22</f>
        <v>-62498</v>
      </c>
      <c r="J22" s="44"/>
      <c r="K22" s="39">
        <f t="shared" ref="K22:K37" si="46">J22*0.92</f>
        <v>0</v>
      </c>
      <c r="L22" s="53">
        <f t="shared" ref="L22:L37" si="47">$J$2+$J$3+G40</f>
        <v>139093</v>
      </c>
      <c r="M22" s="20">
        <f t="shared" ref="M22:M37" si="48">K22-L22</f>
        <v>-139093</v>
      </c>
      <c r="N22" s="44"/>
      <c r="O22" s="39">
        <f t="shared" ref="O22:O37" si="49">N22*0.92</f>
        <v>0</v>
      </c>
      <c r="P22" s="53">
        <f t="shared" ref="P22:P37" si="50">$N$2+$N$3+G40</f>
        <v>125991</v>
      </c>
      <c r="Q22" s="20">
        <f t="shared" ref="Q22:Q37" si="51">O22-P22</f>
        <v>-125991</v>
      </c>
      <c r="R22" s="44"/>
      <c r="S22" s="39">
        <f t="shared" ref="S22:S37" si="52">R22*0.92</f>
        <v>0</v>
      </c>
      <c r="T22" s="53">
        <f t="shared" ref="T22:T37" si="53">$R$2+$R$3+G40</f>
        <v>65846</v>
      </c>
      <c r="U22" s="20">
        <f t="shared" ref="U22:U37" si="54">S22-T22</f>
        <v>-65846</v>
      </c>
      <c r="V22" s="44"/>
      <c r="W22" s="39">
        <f t="shared" ref="W22:W37" si="55">V22*0.92</f>
        <v>0</v>
      </c>
      <c r="X22" s="53">
        <f t="shared" ref="X22:X37" si="56">$V$2+$V$3+G40</f>
        <v>122813</v>
      </c>
      <c r="Y22" s="20">
        <f t="shared" ref="Y22:Y37" si="57">W22-X22</f>
        <v>-122813</v>
      </c>
      <c r="Z22" s="44"/>
      <c r="AA22" s="39">
        <f t="shared" ref="AA22:AA37" si="58">Z22*0.92</f>
        <v>0</v>
      </c>
      <c r="AB22" s="53">
        <f t="shared" ref="AB22:AB37" si="59">$Z$2+$Z$3+G40</f>
        <v>69988</v>
      </c>
      <c r="AC22" s="20">
        <f t="shared" ref="AC22:AC37" si="60">AA22-AB22</f>
        <v>-69988</v>
      </c>
      <c r="AD22" s="44"/>
      <c r="AE22" s="39">
        <f t="shared" ref="AE22:AE37" si="61">AD22*0.92</f>
        <v>0</v>
      </c>
      <c r="AF22" s="53">
        <f t="shared" ref="AF22:AF37" si="62">$AD$2+$AD$3+G40</f>
        <v>231467</v>
      </c>
      <c r="AG22" s="20">
        <f t="shared" ref="AG22:AG37" si="63">AE22-AF22</f>
        <v>-231467</v>
      </c>
      <c r="AH22" s="44"/>
      <c r="AI22" s="39">
        <f t="shared" ref="AI22:AI37" si="64">AH22*0.92</f>
        <v>0</v>
      </c>
      <c r="AJ22" s="53">
        <f t="shared" ref="AJ22:AJ37" si="65">$AH$2+$AH$3+G40</f>
        <v>87970</v>
      </c>
      <c r="AK22" s="20">
        <f t="shared" ref="AK22:AK37" si="66">AI22-AJ22</f>
        <v>-87970</v>
      </c>
      <c r="AL22" s="44"/>
      <c r="AM22" s="39">
        <f t="shared" ref="AM22:AM37" si="67">AL22*0.92</f>
        <v>0</v>
      </c>
      <c r="AN22" s="53">
        <f t="shared" ref="AN22:AN37" si="68">$AL$2+$AL$3+G40</f>
        <v>101371</v>
      </c>
      <c r="AO22" s="20">
        <f t="shared" ref="AO22:AO37" si="69">AM22-AN22</f>
        <v>-101371</v>
      </c>
      <c r="AP22" s="44"/>
      <c r="AQ22" s="39">
        <f t="shared" ref="AQ22:AQ37" si="70">AP22*0.92</f>
        <v>0</v>
      </c>
      <c r="AR22" s="53">
        <f t="shared" ref="AR22:AR37" si="71">$AP$2+$AP$3+G40</f>
        <v>65177</v>
      </c>
      <c r="AS22" s="20">
        <f t="shared" ref="AS22:AS37" si="72">AQ22-AR22</f>
        <v>-65177</v>
      </c>
      <c r="AT22" s="44"/>
      <c r="AU22" s="39">
        <f t="shared" ref="AU22:AU37" si="73">AT22*0.895</f>
        <v>0</v>
      </c>
      <c r="AV22" s="53">
        <f t="shared" ref="AV22:AV37" si="74">$AT$2+$AT$3+G40</f>
        <v>207984</v>
      </c>
      <c r="AW22" s="20">
        <f t="shared" ref="AW22:AW37" si="75">AU22-AV22</f>
        <v>-207984</v>
      </c>
      <c r="AX22" s="44"/>
      <c r="AY22" s="39">
        <f t="shared" ref="AY22:AY37" si="76">AX22*0.895</f>
        <v>0</v>
      </c>
      <c r="AZ22" s="53">
        <f t="shared" ref="AZ22:AZ37" si="77">$AX$2+$AX$3+G40</f>
        <v>194875</v>
      </c>
      <c r="BA22" s="20">
        <f t="shared" ref="BA22:BA37" si="78">AY22-AZ22</f>
        <v>-194875</v>
      </c>
    </row>
    <row r="23" ht="15.75" customHeight="1">
      <c r="A23" s="52" t="s">
        <v>108</v>
      </c>
      <c r="B23" s="44"/>
      <c r="C23" s="39">
        <f t="shared" si="40"/>
        <v>0</v>
      </c>
      <c r="D23" s="53">
        <f t="shared" si="41"/>
        <v>118663</v>
      </c>
      <c r="E23" s="20">
        <f t="shared" si="42"/>
        <v>-118663</v>
      </c>
      <c r="F23" s="44"/>
      <c r="G23" s="39">
        <f t="shared" si="43"/>
        <v>0</v>
      </c>
      <c r="H23" s="53">
        <f t="shared" si="44"/>
        <v>62498</v>
      </c>
      <c r="I23" s="20">
        <f t="shared" si="45"/>
        <v>-62498</v>
      </c>
      <c r="J23" s="44"/>
      <c r="K23" s="39">
        <f t="shared" si="46"/>
        <v>0</v>
      </c>
      <c r="L23" s="53">
        <f t="shared" si="47"/>
        <v>139093</v>
      </c>
      <c r="M23" s="20">
        <f t="shared" si="48"/>
        <v>-139093</v>
      </c>
      <c r="N23" s="44"/>
      <c r="O23" s="39">
        <f t="shared" si="49"/>
        <v>0</v>
      </c>
      <c r="P23" s="53">
        <f t="shared" si="50"/>
        <v>125991</v>
      </c>
      <c r="Q23" s="20">
        <f t="shared" si="51"/>
        <v>-125991</v>
      </c>
      <c r="R23" s="44"/>
      <c r="S23" s="39">
        <f t="shared" si="52"/>
        <v>0</v>
      </c>
      <c r="T23" s="53">
        <f t="shared" si="53"/>
        <v>65846</v>
      </c>
      <c r="U23" s="20">
        <f t="shared" si="54"/>
        <v>-65846</v>
      </c>
      <c r="V23" s="44"/>
      <c r="W23" s="39">
        <f t="shared" si="55"/>
        <v>0</v>
      </c>
      <c r="X23" s="53">
        <f t="shared" si="56"/>
        <v>122813</v>
      </c>
      <c r="Y23" s="20">
        <f t="shared" si="57"/>
        <v>-122813</v>
      </c>
      <c r="Z23" s="44"/>
      <c r="AA23" s="39">
        <f t="shared" si="58"/>
        <v>0</v>
      </c>
      <c r="AB23" s="53">
        <f t="shared" si="59"/>
        <v>69988</v>
      </c>
      <c r="AC23" s="20">
        <f t="shared" si="60"/>
        <v>-69988</v>
      </c>
      <c r="AD23" s="44"/>
      <c r="AE23" s="39">
        <f t="shared" si="61"/>
        <v>0</v>
      </c>
      <c r="AF23" s="53">
        <f t="shared" si="62"/>
        <v>231467</v>
      </c>
      <c r="AG23" s="20">
        <f t="shared" si="63"/>
        <v>-231467</v>
      </c>
      <c r="AH23" s="44"/>
      <c r="AI23" s="39">
        <f t="shared" si="64"/>
        <v>0</v>
      </c>
      <c r="AJ23" s="53">
        <f t="shared" si="65"/>
        <v>87970</v>
      </c>
      <c r="AK23" s="20">
        <f t="shared" si="66"/>
        <v>-87970</v>
      </c>
      <c r="AL23" s="44"/>
      <c r="AM23" s="39">
        <f t="shared" si="67"/>
        <v>0</v>
      </c>
      <c r="AN23" s="53">
        <f t="shared" si="68"/>
        <v>101371</v>
      </c>
      <c r="AO23" s="20">
        <f t="shared" si="69"/>
        <v>-101371</v>
      </c>
      <c r="AP23" s="44"/>
      <c r="AQ23" s="39">
        <f t="shared" si="70"/>
        <v>0</v>
      </c>
      <c r="AR23" s="53">
        <f t="shared" si="71"/>
        <v>65177</v>
      </c>
      <c r="AS23" s="20">
        <f t="shared" si="72"/>
        <v>-65177</v>
      </c>
      <c r="AT23" s="44"/>
      <c r="AU23" s="39">
        <f t="shared" si="73"/>
        <v>0</v>
      </c>
      <c r="AV23" s="53">
        <f t="shared" si="74"/>
        <v>207984</v>
      </c>
      <c r="AW23" s="20">
        <f t="shared" si="75"/>
        <v>-207984</v>
      </c>
      <c r="AX23" s="44"/>
      <c r="AY23" s="39">
        <f t="shared" si="76"/>
        <v>0</v>
      </c>
      <c r="AZ23" s="53">
        <f t="shared" si="77"/>
        <v>194875</v>
      </c>
      <c r="BA23" s="20">
        <f t="shared" si="78"/>
        <v>-194875</v>
      </c>
    </row>
    <row r="24" ht="15.75" customHeight="1">
      <c r="A24" s="52" t="s">
        <v>109</v>
      </c>
      <c r="B24" s="44"/>
      <c r="C24" s="39">
        <f t="shared" si="40"/>
        <v>0</v>
      </c>
      <c r="D24" s="53">
        <f t="shared" si="41"/>
        <v>118661</v>
      </c>
      <c r="E24" s="20">
        <f t="shared" si="42"/>
        <v>-118661</v>
      </c>
      <c r="F24" s="44"/>
      <c r="G24" s="39">
        <f t="shared" si="43"/>
        <v>0</v>
      </c>
      <c r="H24" s="53">
        <f t="shared" si="44"/>
        <v>62496</v>
      </c>
      <c r="I24" s="20">
        <f t="shared" si="45"/>
        <v>-62496</v>
      </c>
      <c r="J24" s="44"/>
      <c r="K24" s="39">
        <f t="shared" si="46"/>
        <v>0</v>
      </c>
      <c r="L24" s="53">
        <f t="shared" si="47"/>
        <v>139091</v>
      </c>
      <c r="M24" s="20">
        <f t="shared" si="48"/>
        <v>-139091</v>
      </c>
      <c r="N24" s="44"/>
      <c r="O24" s="39">
        <f t="shared" si="49"/>
        <v>0</v>
      </c>
      <c r="P24" s="53">
        <f t="shared" si="50"/>
        <v>125989</v>
      </c>
      <c r="Q24" s="20">
        <f t="shared" si="51"/>
        <v>-125989</v>
      </c>
      <c r="R24" s="44"/>
      <c r="S24" s="39">
        <f t="shared" si="52"/>
        <v>0</v>
      </c>
      <c r="T24" s="53">
        <f t="shared" si="53"/>
        <v>65844</v>
      </c>
      <c r="U24" s="20">
        <f t="shared" si="54"/>
        <v>-65844</v>
      </c>
      <c r="V24" s="44"/>
      <c r="W24" s="39">
        <f t="shared" si="55"/>
        <v>0</v>
      </c>
      <c r="X24" s="53">
        <f t="shared" si="56"/>
        <v>122811</v>
      </c>
      <c r="Y24" s="20">
        <f t="shared" si="57"/>
        <v>-122811</v>
      </c>
      <c r="Z24" s="44"/>
      <c r="AA24" s="39">
        <f t="shared" si="58"/>
        <v>0</v>
      </c>
      <c r="AB24" s="53">
        <f t="shared" si="59"/>
        <v>69986</v>
      </c>
      <c r="AC24" s="20">
        <f t="shared" si="60"/>
        <v>-69986</v>
      </c>
      <c r="AD24" s="44"/>
      <c r="AE24" s="39">
        <f t="shared" si="61"/>
        <v>0</v>
      </c>
      <c r="AF24" s="53">
        <f t="shared" si="62"/>
        <v>231465</v>
      </c>
      <c r="AG24" s="20">
        <f t="shared" si="63"/>
        <v>-231465</v>
      </c>
      <c r="AH24" s="44"/>
      <c r="AI24" s="39">
        <f t="shared" si="64"/>
        <v>0</v>
      </c>
      <c r="AJ24" s="53">
        <f t="shared" si="65"/>
        <v>87968</v>
      </c>
      <c r="AK24" s="20">
        <f t="shared" si="66"/>
        <v>-87968</v>
      </c>
      <c r="AL24" s="44"/>
      <c r="AM24" s="39">
        <f t="shared" si="67"/>
        <v>0</v>
      </c>
      <c r="AN24" s="53">
        <f t="shared" si="68"/>
        <v>101369</v>
      </c>
      <c r="AO24" s="20">
        <f t="shared" si="69"/>
        <v>-101369</v>
      </c>
      <c r="AP24" s="44"/>
      <c r="AQ24" s="39">
        <f t="shared" si="70"/>
        <v>0</v>
      </c>
      <c r="AR24" s="53">
        <f t="shared" si="71"/>
        <v>65175</v>
      </c>
      <c r="AS24" s="20">
        <f t="shared" si="72"/>
        <v>-65175</v>
      </c>
      <c r="AT24" s="44"/>
      <c r="AU24" s="39">
        <f t="shared" si="73"/>
        <v>0</v>
      </c>
      <c r="AV24" s="53">
        <f t="shared" si="74"/>
        <v>207982</v>
      </c>
      <c r="AW24" s="20">
        <f t="shared" si="75"/>
        <v>-207982</v>
      </c>
      <c r="AX24" s="44"/>
      <c r="AY24" s="39">
        <f t="shared" si="76"/>
        <v>0</v>
      </c>
      <c r="AZ24" s="53">
        <f t="shared" si="77"/>
        <v>194873</v>
      </c>
      <c r="BA24" s="20">
        <f t="shared" si="78"/>
        <v>-194873</v>
      </c>
    </row>
    <row r="25" ht="15.75" customHeight="1">
      <c r="A25" s="106" t="s">
        <v>110</v>
      </c>
      <c r="B25" s="57"/>
      <c r="C25" s="60">
        <f t="shared" si="40"/>
        <v>0</v>
      </c>
      <c r="D25" s="58">
        <f t="shared" si="41"/>
        <v>121645</v>
      </c>
      <c r="E25" s="59">
        <f t="shared" si="42"/>
        <v>-121645</v>
      </c>
      <c r="F25" s="57"/>
      <c r="G25" s="60">
        <f t="shared" si="43"/>
        <v>0</v>
      </c>
      <c r="H25" s="58">
        <f t="shared" si="44"/>
        <v>65480</v>
      </c>
      <c r="I25" s="59">
        <f t="shared" si="45"/>
        <v>-65480</v>
      </c>
      <c r="J25" s="57"/>
      <c r="K25" s="60">
        <f t="shared" si="46"/>
        <v>0</v>
      </c>
      <c r="L25" s="58">
        <f t="shared" si="47"/>
        <v>142075</v>
      </c>
      <c r="M25" s="59">
        <f t="shared" si="48"/>
        <v>-142075</v>
      </c>
      <c r="N25" s="57"/>
      <c r="O25" s="60">
        <f t="shared" si="49"/>
        <v>0</v>
      </c>
      <c r="P25" s="58">
        <f t="shared" si="50"/>
        <v>128973</v>
      </c>
      <c r="Q25" s="59">
        <f t="shared" si="51"/>
        <v>-128973</v>
      </c>
      <c r="R25" s="57"/>
      <c r="S25" s="60">
        <f t="shared" si="52"/>
        <v>0</v>
      </c>
      <c r="T25" s="58">
        <f t="shared" si="53"/>
        <v>68828</v>
      </c>
      <c r="U25" s="59">
        <f t="shared" si="54"/>
        <v>-68828</v>
      </c>
      <c r="V25" s="57"/>
      <c r="W25" s="60">
        <f t="shared" si="55"/>
        <v>0</v>
      </c>
      <c r="X25" s="58">
        <f t="shared" si="56"/>
        <v>125795</v>
      </c>
      <c r="Y25" s="59">
        <f t="shared" si="57"/>
        <v>-125795</v>
      </c>
      <c r="Z25" s="57"/>
      <c r="AA25" s="60">
        <f t="shared" si="58"/>
        <v>0</v>
      </c>
      <c r="AB25" s="58">
        <f t="shared" si="59"/>
        <v>72970</v>
      </c>
      <c r="AC25" s="59">
        <f t="shared" si="60"/>
        <v>-72970</v>
      </c>
      <c r="AD25" s="57"/>
      <c r="AE25" s="60">
        <f t="shared" si="61"/>
        <v>0</v>
      </c>
      <c r="AF25" s="58">
        <f t="shared" si="62"/>
        <v>234449</v>
      </c>
      <c r="AG25" s="59">
        <f t="shared" si="63"/>
        <v>-234449</v>
      </c>
      <c r="AH25" s="57"/>
      <c r="AI25" s="60">
        <f t="shared" si="64"/>
        <v>0</v>
      </c>
      <c r="AJ25" s="58">
        <f t="shared" si="65"/>
        <v>90952</v>
      </c>
      <c r="AK25" s="59">
        <f t="shared" si="66"/>
        <v>-90952</v>
      </c>
      <c r="AL25" s="57"/>
      <c r="AM25" s="60">
        <f t="shared" si="67"/>
        <v>0</v>
      </c>
      <c r="AN25" s="58">
        <f t="shared" si="68"/>
        <v>104353</v>
      </c>
      <c r="AO25" s="59">
        <f t="shared" si="69"/>
        <v>-104353</v>
      </c>
      <c r="AP25" s="57"/>
      <c r="AQ25" s="60">
        <f t="shared" si="70"/>
        <v>0</v>
      </c>
      <c r="AR25" s="58">
        <f t="shared" si="71"/>
        <v>68159</v>
      </c>
      <c r="AS25" s="59">
        <f t="shared" si="72"/>
        <v>-68159</v>
      </c>
      <c r="AT25" s="57"/>
      <c r="AU25" s="60">
        <f t="shared" si="73"/>
        <v>0</v>
      </c>
      <c r="AV25" s="58">
        <f t="shared" si="74"/>
        <v>210966</v>
      </c>
      <c r="AW25" s="59">
        <f t="shared" si="75"/>
        <v>-210966</v>
      </c>
      <c r="AX25" s="57"/>
      <c r="AY25" s="60">
        <f t="shared" si="76"/>
        <v>0</v>
      </c>
      <c r="AZ25" s="58">
        <f t="shared" si="77"/>
        <v>197857</v>
      </c>
      <c r="BA25" s="59">
        <f t="shared" si="78"/>
        <v>-197857</v>
      </c>
    </row>
    <row r="26" ht="15.75" customHeight="1">
      <c r="A26" s="52" t="s">
        <v>111</v>
      </c>
      <c r="B26" s="44"/>
      <c r="C26" s="39">
        <f t="shared" si="40"/>
        <v>0</v>
      </c>
      <c r="D26" s="53">
        <f t="shared" si="41"/>
        <v>122023</v>
      </c>
      <c r="E26" s="20">
        <f t="shared" si="42"/>
        <v>-122023</v>
      </c>
      <c r="F26" s="44"/>
      <c r="G26" s="39">
        <f t="shared" si="43"/>
        <v>0</v>
      </c>
      <c r="H26" s="53">
        <f t="shared" si="44"/>
        <v>65858</v>
      </c>
      <c r="I26" s="20">
        <f t="shared" si="45"/>
        <v>-65858</v>
      </c>
      <c r="J26" s="44"/>
      <c r="K26" s="39">
        <f t="shared" si="46"/>
        <v>0</v>
      </c>
      <c r="L26" s="53">
        <f t="shared" si="47"/>
        <v>142453</v>
      </c>
      <c r="M26" s="20">
        <f t="shared" si="48"/>
        <v>-142453</v>
      </c>
      <c r="N26" s="44"/>
      <c r="O26" s="39">
        <f t="shared" si="49"/>
        <v>0</v>
      </c>
      <c r="P26" s="53">
        <f t="shared" si="50"/>
        <v>129351</v>
      </c>
      <c r="Q26" s="20">
        <f t="shared" si="51"/>
        <v>-129351</v>
      </c>
      <c r="R26" s="44"/>
      <c r="S26" s="39">
        <f t="shared" si="52"/>
        <v>0</v>
      </c>
      <c r="T26" s="53">
        <f t="shared" si="53"/>
        <v>69206</v>
      </c>
      <c r="U26" s="20">
        <f t="shared" si="54"/>
        <v>-69206</v>
      </c>
      <c r="V26" s="44"/>
      <c r="W26" s="39">
        <f t="shared" si="55"/>
        <v>0</v>
      </c>
      <c r="X26" s="53">
        <f t="shared" si="56"/>
        <v>126173</v>
      </c>
      <c r="Y26" s="20">
        <f t="shared" si="57"/>
        <v>-126173</v>
      </c>
      <c r="Z26" s="44"/>
      <c r="AA26" s="39">
        <f t="shared" si="58"/>
        <v>0</v>
      </c>
      <c r="AB26" s="53">
        <f t="shared" si="59"/>
        <v>73348</v>
      </c>
      <c r="AC26" s="20">
        <f t="shared" si="60"/>
        <v>-73348</v>
      </c>
      <c r="AD26" s="44"/>
      <c r="AE26" s="39">
        <f t="shared" si="61"/>
        <v>0</v>
      </c>
      <c r="AF26" s="53">
        <f t="shared" si="62"/>
        <v>234827</v>
      </c>
      <c r="AG26" s="20">
        <f t="shared" si="63"/>
        <v>-234827</v>
      </c>
      <c r="AH26" s="44"/>
      <c r="AI26" s="39">
        <f t="shared" si="64"/>
        <v>0</v>
      </c>
      <c r="AJ26" s="53">
        <f t="shared" si="65"/>
        <v>91330</v>
      </c>
      <c r="AK26" s="20">
        <f t="shared" si="66"/>
        <v>-91330</v>
      </c>
      <c r="AL26" s="44"/>
      <c r="AM26" s="39">
        <f t="shared" si="67"/>
        <v>0</v>
      </c>
      <c r="AN26" s="53">
        <f t="shared" si="68"/>
        <v>104731</v>
      </c>
      <c r="AO26" s="20">
        <f t="shared" si="69"/>
        <v>-104731</v>
      </c>
      <c r="AP26" s="44"/>
      <c r="AQ26" s="39">
        <f t="shared" si="70"/>
        <v>0</v>
      </c>
      <c r="AR26" s="53">
        <f t="shared" si="71"/>
        <v>68537</v>
      </c>
      <c r="AS26" s="20">
        <f t="shared" si="72"/>
        <v>-68537</v>
      </c>
      <c r="AT26" s="44"/>
      <c r="AU26" s="39">
        <f t="shared" si="73"/>
        <v>0</v>
      </c>
      <c r="AV26" s="53">
        <f t="shared" si="74"/>
        <v>211344</v>
      </c>
      <c r="AW26" s="20">
        <f t="shared" si="75"/>
        <v>-211344</v>
      </c>
      <c r="AX26" s="44"/>
      <c r="AY26" s="39">
        <f t="shared" si="76"/>
        <v>0</v>
      </c>
      <c r="AZ26" s="53">
        <f t="shared" si="77"/>
        <v>198235</v>
      </c>
      <c r="BA26" s="20">
        <f t="shared" si="78"/>
        <v>-198235</v>
      </c>
    </row>
    <row r="27" ht="15.75" customHeight="1">
      <c r="A27" s="52" t="s">
        <v>112</v>
      </c>
      <c r="B27" s="44"/>
      <c r="C27" s="39">
        <f t="shared" si="40"/>
        <v>0</v>
      </c>
      <c r="D27" s="53">
        <f t="shared" si="41"/>
        <v>122023</v>
      </c>
      <c r="E27" s="20">
        <f t="shared" si="42"/>
        <v>-122023</v>
      </c>
      <c r="F27" s="44"/>
      <c r="G27" s="39">
        <f t="shared" si="43"/>
        <v>0</v>
      </c>
      <c r="H27" s="53">
        <f t="shared" si="44"/>
        <v>65858</v>
      </c>
      <c r="I27" s="20">
        <f t="shared" si="45"/>
        <v>-65858</v>
      </c>
      <c r="J27" s="44"/>
      <c r="K27" s="39">
        <f t="shared" si="46"/>
        <v>0</v>
      </c>
      <c r="L27" s="53">
        <f t="shared" si="47"/>
        <v>142453</v>
      </c>
      <c r="M27" s="20">
        <f t="shared" si="48"/>
        <v>-142453</v>
      </c>
      <c r="N27" s="44"/>
      <c r="O27" s="39">
        <f t="shared" si="49"/>
        <v>0</v>
      </c>
      <c r="P27" s="53">
        <f t="shared" si="50"/>
        <v>129351</v>
      </c>
      <c r="Q27" s="20">
        <f t="shared" si="51"/>
        <v>-129351</v>
      </c>
      <c r="R27" s="44"/>
      <c r="S27" s="39">
        <f t="shared" si="52"/>
        <v>0</v>
      </c>
      <c r="T27" s="53">
        <f t="shared" si="53"/>
        <v>69206</v>
      </c>
      <c r="U27" s="20">
        <f t="shared" si="54"/>
        <v>-69206</v>
      </c>
      <c r="V27" s="44"/>
      <c r="W27" s="39">
        <f t="shared" si="55"/>
        <v>0</v>
      </c>
      <c r="X27" s="53">
        <f t="shared" si="56"/>
        <v>126173</v>
      </c>
      <c r="Y27" s="20">
        <f t="shared" si="57"/>
        <v>-126173</v>
      </c>
      <c r="Z27" s="44"/>
      <c r="AA27" s="39">
        <f t="shared" si="58"/>
        <v>0</v>
      </c>
      <c r="AB27" s="53">
        <f t="shared" si="59"/>
        <v>73348</v>
      </c>
      <c r="AC27" s="20">
        <f t="shared" si="60"/>
        <v>-73348</v>
      </c>
      <c r="AD27" s="44"/>
      <c r="AE27" s="39">
        <f t="shared" si="61"/>
        <v>0</v>
      </c>
      <c r="AF27" s="53">
        <f t="shared" si="62"/>
        <v>234827</v>
      </c>
      <c r="AG27" s="20">
        <f t="shared" si="63"/>
        <v>-234827</v>
      </c>
      <c r="AH27" s="44"/>
      <c r="AI27" s="39">
        <f t="shared" si="64"/>
        <v>0</v>
      </c>
      <c r="AJ27" s="53">
        <f t="shared" si="65"/>
        <v>91330</v>
      </c>
      <c r="AK27" s="20">
        <f t="shared" si="66"/>
        <v>-91330</v>
      </c>
      <c r="AL27" s="44"/>
      <c r="AM27" s="39">
        <f t="shared" si="67"/>
        <v>0</v>
      </c>
      <c r="AN27" s="53">
        <f t="shared" si="68"/>
        <v>104731</v>
      </c>
      <c r="AO27" s="20">
        <f t="shared" si="69"/>
        <v>-104731</v>
      </c>
      <c r="AP27" s="44"/>
      <c r="AQ27" s="39">
        <f t="shared" si="70"/>
        <v>0</v>
      </c>
      <c r="AR27" s="53">
        <f t="shared" si="71"/>
        <v>68537</v>
      </c>
      <c r="AS27" s="20">
        <f t="shared" si="72"/>
        <v>-68537</v>
      </c>
      <c r="AT27" s="44"/>
      <c r="AU27" s="39">
        <f t="shared" si="73"/>
        <v>0</v>
      </c>
      <c r="AV27" s="53">
        <f t="shared" si="74"/>
        <v>211344</v>
      </c>
      <c r="AW27" s="20">
        <f t="shared" si="75"/>
        <v>-211344</v>
      </c>
      <c r="AX27" s="44"/>
      <c r="AY27" s="39">
        <f t="shared" si="76"/>
        <v>0</v>
      </c>
      <c r="AZ27" s="53">
        <f t="shared" si="77"/>
        <v>198235</v>
      </c>
      <c r="BA27" s="20">
        <f t="shared" si="78"/>
        <v>-198235</v>
      </c>
    </row>
    <row r="28" ht="15.75" customHeight="1">
      <c r="A28" s="52" t="s">
        <v>113</v>
      </c>
      <c r="B28" s="44"/>
      <c r="C28" s="39">
        <f t="shared" si="40"/>
        <v>0</v>
      </c>
      <c r="D28" s="53">
        <f t="shared" si="41"/>
        <v>122021</v>
      </c>
      <c r="E28" s="20">
        <f t="shared" si="42"/>
        <v>-122021</v>
      </c>
      <c r="F28" s="44"/>
      <c r="G28" s="39">
        <f t="shared" si="43"/>
        <v>0</v>
      </c>
      <c r="H28" s="53">
        <f t="shared" si="44"/>
        <v>65856</v>
      </c>
      <c r="I28" s="20">
        <f t="shared" si="45"/>
        <v>-65856</v>
      </c>
      <c r="J28" s="44"/>
      <c r="K28" s="39">
        <f t="shared" si="46"/>
        <v>0</v>
      </c>
      <c r="L28" s="53">
        <f t="shared" si="47"/>
        <v>142451</v>
      </c>
      <c r="M28" s="20">
        <f t="shared" si="48"/>
        <v>-142451</v>
      </c>
      <c r="N28" s="44"/>
      <c r="O28" s="39">
        <f t="shared" si="49"/>
        <v>0</v>
      </c>
      <c r="P28" s="53">
        <f t="shared" si="50"/>
        <v>129349</v>
      </c>
      <c r="Q28" s="20">
        <f t="shared" si="51"/>
        <v>-129349</v>
      </c>
      <c r="R28" s="44"/>
      <c r="S28" s="39">
        <f t="shared" si="52"/>
        <v>0</v>
      </c>
      <c r="T28" s="53">
        <f t="shared" si="53"/>
        <v>69204</v>
      </c>
      <c r="U28" s="20">
        <f t="shared" si="54"/>
        <v>-69204</v>
      </c>
      <c r="V28" s="44"/>
      <c r="W28" s="39">
        <f t="shared" si="55"/>
        <v>0</v>
      </c>
      <c r="X28" s="53">
        <f t="shared" si="56"/>
        <v>126171</v>
      </c>
      <c r="Y28" s="20">
        <f t="shared" si="57"/>
        <v>-126171</v>
      </c>
      <c r="Z28" s="44"/>
      <c r="AA28" s="39">
        <f t="shared" si="58"/>
        <v>0</v>
      </c>
      <c r="AB28" s="53">
        <f t="shared" si="59"/>
        <v>73346</v>
      </c>
      <c r="AC28" s="20">
        <f t="shared" si="60"/>
        <v>-73346</v>
      </c>
      <c r="AD28" s="44"/>
      <c r="AE28" s="39">
        <f t="shared" si="61"/>
        <v>0</v>
      </c>
      <c r="AF28" s="53">
        <f t="shared" si="62"/>
        <v>234825</v>
      </c>
      <c r="AG28" s="20">
        <f t="shared" si="63"/>
        <v>-234825</v>
      </c>
      <c r="AH28" s="44"/>
      <c r="AI28" s="39">
        <f t="shared" si="64"/>
        <v>0</v>
      </c>
      <c r="AJ28" s="53">
        <f t="shared" si="65"/>
        <v>91328</v>
      </c>
      <c r="AK28" s="20">
        <f t="shared" si="66"/>
        <v>-91328</v>
      </c>
      <c r="AL28" s="44"/>
      <c r="AM28" s="39">
        <f t="shared" si="67"/>
        <v>0</v>
      </c>
      <c r="AN28" s="53">
        <f t="shared" si="68"/>
        <v>104729</v>
      </c>
      <c r="AO28" s="20">
        <f t="shared" si="69"/>
        <v>-104729</v>
      </c>
      <c r="AP28" s="44"/>
      <c r="AQ28" s="39">
        <f t="shared" si="70"/>
        <v>0</v>
      </c>
      <c r="AR28" s="53">
        <f t="shared" si="71"/>
        <v>68535</v>
      </c>
      <c r="AS28" s="20">
        <f t="shared" si="72"/>
        <v>-68535</v>
      </c>
      <c r="AT28" s="44"/>
      <c r="AU28" s="39">
        <f t="shared" si="73"/>
        <v>0</v>
      </c>
      <c r="AV28" s="53">
        <f t="shared" si="74"/>
        <v>211342</v>
      </c>
      <c r="AW28" s="20">
        <f t="shared" si="75"/>
        <v>-211342</v>
      </c>
      <c r="AX28" s="44"/>
      <c r="AY28" s="39">
        <f t="shared" si="76"/>
        <v>0</v>
      </c>
      <c r="AZ28" s="53">
        <f t="shared" si="77"/>
        <v>198233</v>
      </c>
      <c r="BA28" s="20">
        <f t="shared" si="78"/>
        <v>-198233</v>
      </c>
    </row>
    <row r="29" ht="15.75" customHeight="1">
      <c r="A29" s="106" t="s">
        <v>114</v>
      </c>
      <c r="B29" s="57"/>
      <c r="C29" s="60">
        <f t="shared" si="40"/>
        <v>0</v>
      </c>
      <c r="D29" s="58">
        <f t="shared" si="41"/>
        <v>125005</v>
      </c>
      <c r="E29" s="59">
        <f t="shared" si="42"/>
        <v>-125005</v>
      </c>
      <c r="F29" s="57"/>
      <c r="G29" s="60">
        <f t="shared" si="43"/>
        <v>0</v>
      </c>
      <c r="H29" s="58">
        <f t="shared" si="44"/>
        <v>68840</v>
      </c>
      <c r="I29" s="59">
        <f t="shared" si="45"/>
        <v>-68840</v>
      </c>
      <c r="J29" s="57"/>
      <c r="K29" s="60">
        <f t="shared" si="46"/>
        <v>0</v>
      </c>
      <c r="L29" s="58">
        <f t="shared" si="47"/>
        <v>145435</v>
      </c>
      <c r="M29" s="59">
        <f t="shared" si="48"/>
        <v>-145435</v>
      </c>
      <c r="N29" s="57"/>
      <c r="O29" s="60">
        <f t="shared" si="49"/>
        <v>0</v>
      </c>
      <c r="P29" s="58">
        <f t="shared" si="50"/>
        <v>132333</v>
      </c>
      <c r="Q29" s="59">
        <f t="shared" si="51"/>
        <v>-132333</v>
      </c>
      <c r="R29" s="57"/>
      <c r="S29" s="60">
        <f t="shared" si="52"/>
        <v>0</v>
      </c>
      <c r="T29" s="58">
        <f t="shared" si="53"/>
        <v>72188</v>
      </c>
      <c r="U29" s="59">
        <f t="shared" si="54"/>
        <v>-72188</v>
      </c>
      <c r="V29" s="57"/>
      <c r="W29" s="60">
        <f t="shared" si="55"/>
        <v>0</v>
      </c>
      <c r="X29" s="58">
        <f t="shared" si="56"/>
        <v>129155</v>
      </c>
      <c r="Y29" s="59">
        <f t="shared" si="57"/>
        <v>-129155</v>
      </c>
      <c r="Z29" s="57"/>
      <c r="AA29" s="60">
        <f t="shared" si="58"/>
        <v>0</v>
      </c>
      <c r="AB29" s="58">
        <f t="shared" si="59"/>
        <v>76330</v>
      </c>
      <c r="AC29" s="59">
        <f t="shared" si="60"/>
        <v>-76330</v>
      </c>
      <c r="AD29" s="57"/>
      <c r="AE29" s="60">
        <f t="shared" si="61"/>
        <v>0</v>
      </c>
      <c r="AF29" s="58">
        <f t="shared" si="62"/>
        <v>237809</v>
      </c>
      <c r="AG29" s="59">
        <f t="shared" si="63"/>
        <v>-237809</v>
      </c>
      <c r="AH29" s="57"/>
      <c r="AI29" s="60">
        <f t="shared" si="64"/>
        <v>0</v>
      </c>
      <c r="AJ29" s="58">
        <f t="shared" si="65"/>
        <v>94312</v>
      </c>
      <c r="AK29" s="59">
        <f t="shared" si="66"/>
        <v>-94312</v>
      </c>
      <c r="AL29" s="57"/>
      <c r="AM29" s="60">
        <f t="shared" si="67"/>
        <v>0</v>
      </c>
      <c r="AN29" s="58">
        <f t="shared" si="68"/>
        <v>107713</v>
      </c>
      <c r="AO29" s="59">
        <f t="shared" si="69"/>
        <v>-107713</v>
      </c>
      <c r="AP29" s="57"/>
      <c r="AQ29" s="60">
        <f t="shared" si="70"/>
        <v>0</v>
      </c>
      <c r="AR29" s="58">
        <f t="shared" si="71"/>
        <v>71519</v>
      </c>
      <c r="AS29" s="59">
        <f t="shared" si="72"/>
        <v>-71519</v>
      </c>
      <c r="AT29" s="57"/>
      <c r="AU29" s="60">
        <f t="shared" si="73"/>
        <v>0</v>
      </c>
      <c r="AV29" s="58">
        <f t="shared" si="74"/>
        <v>214326</v>
      </c>
      <c r="AW29" s="59">
        <f t="shared" si="75"/>
        <v>-214326</v>
      </c>
      <c r="AX29" s="57"/>
      <c r="AY29" s="60">
        <f t="shared" si="76"/>
        <v>0</v>
      </c>
      <c r="AZ29" s="58">
        <f t="shared" si="77"/>
        <v>201217</v>
      </c>
      <c r="BA29" s="59">
        <f t="shared" si="78"/>
        <v>-201217</v>
      </c>
    </row>
    <row r="30" ht="15.75" customHeight="1">
      <c r="A30" s="52" t="s">
        <v>115</v>
      </c>
      <c r="B30" s="44"/>
      <c r="C30" s="39">
        <f t="shared" si="40"/>
        <v>0</v>
      </c>
      <c r="D30" s="53">
        <f t="shared" si="41"/>
        <v>139687</v>
      </c>
      <c r="E30" s="20">
        <f t="shared" si="42"/>
        <v>-139687</v>
      </c>
      <c r="F30" s="44"/>
      <c r="G30" s="39">
        <f t="shared" si="43"/>
        <v>0</v>
      </c>
      <c r="H30" s="53">
        <f t="shared" si="44"/>
        <v>83522</v>
      </c>
      <c r="I30" s="20">
        <f t="shared" si="45"/>
        <v>-83522</v>
      </c>
      <c r="J30" s="44"/>
      <c r="K30" s="39">
        <f t="shared" si="46"/>
        <v>0</v>
      </c>
      <c r="L30" s="53">
        <f t="shared" si="47"/>
        <v>160117</v>
      </c>
      <c r="M30" s="20">
        <f t="shared" si="48"/>
        <v>-160117</v>
      </c>
      <c r="N30" s="44"/>
      <c r="O30" s="39">
        <f t="shared" si="49"/>
        <v>0</v>
      </c>
      <c r="P30" s="53">
        <f t="shared" si="50"/>
        <v>147015</v>
      </c>
      <c r="Q30" s="20">
        <f t="shared" si="51"/>
        <v>-147015</v>
      </c>
      <c r="R30" s="44"/>
      <c r="S30" s="39">
        <f t="shared" si="52"/>
        <v>0</v>
      </c>
      <c r="T30" s="53">
        <f t="shared" si="53"/>
        <v>86870</v>
      </c>
      <c r="U30" s="20">
        <f t="shared" si="54"/>
        <v>-86870</v>
      </c>
      <c r="V30" s="44"/>
      <c r="W30" s="39">
        <f t="shared" si="55"/>
        <v>0</v>
      </c>
      <c r="X30" s="53">
        <f t="shared" si="56"/>
        <v>143837</v>
      </c>
      <c r="Y30" s="20">
        <f t="shared" si="57"/>
        <v>-143837</v>
      </c>
      <c r="Z30" s="44"/>
      <c r="AA30" s="39">
        <f t="shared" si="58"/>
        <v>0</v>
      </c>
      <c r="AB30" s="53">
        <f t="shared" si="59"/>
        <v>91012</v>
      </c>
      <c r="AC30" s="20">
        <f t="shared" si="60"/>
        <v>-91012</v>
      </c>
      <c r="AD30" s="44"/>
      <c r="AE30" s="39">
        <f t="shared" si="61"/>
        <v>0</v>
      </c>
      <c r="AF30" s="53">
        <f t="shared" si="62"/>
        <v>252491</v>
      </c>
      <c r="AG30" s="20">
        <f t="shared" si="63"/>
        <v>-252491</v>
      </c>
      <c r="AH30" s="44"/>
      <c r="AI30" s="39">
        <f t="shared" si="64"/>
        <v>0</v>
      </c>
      <c r="AJ30" s="53">
        <f t="shared" si="65"/>
        <v>108994</v>
      </c>
      <c r="AK30" s="20">
        <f t="shared" si="66"/>
        <v>-108994</v>
      </c>
      <c r="AL30" s="44"/>
      <c r="AM30" s="39">
        <f t="shared" si="67"/>
        <v>0</v>
      </c>
      <c r="AN30" s="53">
        <f t="shared" si="68"/>
        <v>122395</v>
      </c>
      <c r="AO30" s="20">
        <f t="shared" si="69"/>
        <v>-122395</v>
      </c>
      <c r="AP30" s="44"/>
      <c r="AQ30" s="39">
        <f t="shared" si="70"/>
        <v>0</v>
      </c>
      <c r="AR30" s="53">
        <f t="shared" si="71"/>
        <v>86201</v>
      </c>
      <c r="AS30" s="20">
        <f t="shared" si="72"/>
        <v>-86201</v>
      </c>
      <c r="AT30" s="44"/>
      <c r="AU30" s="39">
        <f t="shared" si="73"/>
        <v>0</v>
      </c>
      <c r="AV30" s="53">
        <f t="shared" si="74"/>
        <v>229008</v>
      </c>
      <c r="AW30" s="20">
        <f t="shared" si="75"/>
        <v>-229008</v>
      </c>
      <c r="AX30" s="44"/>
      <c r="AY30" s="39">
        <f t="shared" si="76"/>
        <v>0</v>
      </c>
      <c r="AZ30" s="53">
        <f t="shared" si="77"/>
        <v>215899</v>
      </c>
      <c r="BA30" s="20">
        <f t="shared" si="78"/>
        <v>-215899</v>
      </c>
    </row>
    <row r="31" ht="15.75" customHeight="1">
      <c r="A31" s="52" t="s">
        <v>116</v>
      </c>
      <c r="B31" s="44"/>
      <c r="C31" s="39">
        <f t="shared" si="40"/>
        <v>0</v>
      </c>
      <c r="D31" s="53">
        <f t="shared" si="41"/>
        <v>139687</v>
      </c>
      <c r="E31" s="20">
        <f t="shared" si="42"/>
        <v>-139687</v>
      </c>
      <c r="F31" s="44"/>
      <c r="G31" s="39">
        <f t="shared" si="43"/>
        <v>0</v>
      </c>
      <c r="H31" s="53">
        <f t="shared" si="44"/>
        <v>83522</v>
      </c>
      <c r="I31" s="20">
        <f t="shared" si="45"/>
        <v>-83522</v>
      </c>
      <c r="J31" s="44"/>
      <c r="K31" s="39">
        <f t="shared" si="46"/>
        <v>0</v>
      </c>
      <c r="L31" s="53">
        <f t="shared" si="47"/>
        <v>160117</v>
      </c>
      <c r="M31" s="20">
        <f t="shared" si="48"/>
        <v>-160117</v>
      </c>
      <c r="N31" s="44"/>
      <c r="O31" s="39">
        <f t="shared" si="49"/>
        <v>0</v>
      </c>
      <c r="P31" s="53">
        <f t="shared" si="50"/>
        <v>147015</v>
      </c>
      <c r="Q31" s="20">
        <f t="shared" si="51"/>
        <v>-147015</v>
      </c>
      <c r="R31" s="44"/>
      <c r="S31" s="39">
        <f t="shared" si="52"/>
        <v>0</v>
      </c>
      <c r="T31" s="53">
        <f t="shared" si="53"/>
        <v>86870</v>
      </c>
      <c r="U31" s="20">
        <f t="shared" si="54"/>
        <v>-86870</v>
      </c>
      <c r="V31" s="44"/>
      <c r="W31" s="39">
        <f t="shared" si="55"/>
        <v>0</v>
      </c>
      <c r="X31" s="53">
        <f t="shared" si="56"/>
        <v>143837</v>
      </c>
      <c r="Y31" s="20">
        <f t="shared" si="57"/>
        <v>-143837</v>
      </c>
      <c r="Z31" s="44"/>
      <c r="AA31" s="39">
        <f t="shared" si="58"/>
        <v>0</v>
      </c>
      <c r="AB31" s="53">
        <f t="shared" si="59"/>
        <v>91012</v>
      </c>
      <c r="AC31" s="20">
        <f t="shared" si="60"/>
        <v>-91012</v>
      </c>
      <c r="AD31" s="44"/>
      <c r="AE31" s="39">
        <f t="shared" si="61"/>
        <v>0</v>
      </c>
      <c r="AF31" s="53">
        <f t="shared" si="62"/>
        <v>252491</v>
      </c>
      <c r="AG31" s="20">
        <f t="shared" si="63"/>
        <v>-252491</v>
      </c>
      <c r="AH31" s="44"/>
      <c r="AI31" s="39">
        <f t="shared" si="64"/>
        <v>0</v>
      </c>
      <c r="AJ31" s="53">
        <f t="shared" si="65"/>
        <v>108994</v>
      </c>
      <c r="AK31" s="20">
        <f t="shared" si="66"/>
        <v>-108994</v>
      </c>
      <c r="AL31" s="44"/>
      <c r="AM31" s="39">
        <f t="shared" si="67"/>
        <v>0</v>
      </c>
      <c r="AN31" s="53">
        <f t="shared" si="68"/>
        <v>122395</v>
      </c>
      <c r="AO31" s="20">
        <f t="shared" si="69"/>
        <v>-122395</v>
      </c>
      <c r="AP31" s="44"/>
      <c r="AQ31" s="39">
        <f t="shared" si="70"/>
        <v>0</v>
      </c>
      <c r="AR31" s="53">
        <f t="shared" si="71"/>
        <v>86201</v>
      </c>
      <c r="AS31" s="20">
        <f t="shared" si="72"/>
        <v>-86201</v>
      </c>
      <c r="AT31" s="44"/>
      <c r="AU31" s="39">
        <f t="shared" si="73"/>
        <v>0</v>
      </c>
      <c r="AV31" s="53">
        <f t="shared" si="74"/>
        <v>229008</v>
      </c>
      <c r="AW31" s="20">
        <f t="shared" si="75"/>
        <v>-229008</v>
      </c>
      <c r="AX31" s="44"/>
      <c r="AY31" s="39">
        <f t="shared" si="76"/>
        <v>0</v>
      </c>
      <c r="AZ31" s="53">
        <f t="shared" si="77"/>
        <v>215899</v>
      </c>
      <c r="BA31" s="20">
        <f t="shared" si="78"/>
        <v>-215899</v>
      </c>
    </row>
    <row r="32" ht="15.75" customHeight="1">
      <c r="A32" s="52" t="s">
        <v>117</v>
      </c>
      <c r="B32" s="44"/>
      <c r="C32" s="39">
        <f t="shared" si="40"/>
        <v>0</v>
      </c>
      <c r="D32" s="53">
        <f t="shared" si="41"/>
        <v>139685</v>
      </c>
      <c r="E32" s="20">
        <f t="shared" si="42"/>
        <v>-139685</v>
      </c>
      <c r="F32" s="44"/>
      <c r="G32" s="39">
        <f t="shared" si="43"/>
        <v>0</v>
      </c>
      <c r="H32" s="53">
        <f t="shared" si="44"/>
        <v>83520</v>
      </c>
      <c r="I32" s="20">
        <f t="shared" si="45"/>
        <v>-83520</v>
      </c>
      <c r="J32" s="44"/>
      <c r="K32" s="39">
        <f t="shared" si="46"/>
        <v>0</v>
      </c>
      <c r="L32" s="53">
        <f t="shared" si="47"/>
        <v>160115</v>
      </c>
      <c r="M32" s="20">
        <f t="shared" si="48"/>
        <v>-160115</v>
      </c>
      <c r="N32" s="44"/>
      <c r="O32" s="39">
        <f t="shared" si="49"/>
        <v>0</v>
      </c>
      <c r="P32" s="53">
        <f t="shared" si="50"/>
        <v>147013</v>
      </c>
      <c r="Q32" s="20">
        <f t="shared" si="51"/>
        <v>-147013</v>
      </c>
      <c r="R32" s="44"/>
      <c r="S32" s="39">
        <f t="shared" si="52"/>
        <v>0</v>
      </c>
      <c r="T32" s="53">
        <f t="shared" si="53"/>
        <v>86868</v>
      </c>
      <c r="U32" s="20">
        <f t="shared" si="54"/>
        <v>-86868</v>
      </c>
      <c r="V32" s="44"/>
      <c r="W32" s="39">
        <f t="shared" si="55"/>
        <v>0</v>
      </c>
      <c r="X32" s="53">
        <f t="shared" si="56"/>
        <v>143835</v>
      </c>
      <c r="Y32" s="20">
        <f t="shared" si="57"/>
        <v>-143835</v>
      </c>
      <c r="Z32" s="44"/>
      <c r="AA32" s="39">
        <f t="shared" si="58"/>
        <v>0</v>
      </c>
      <c r="AB32" s="53">
        <f t="shared" si="59"/>
        <v>91010</v>
      </c>
      <c r="AC32" s="20">
        <f t="shared" si="60"/>
        <v>-91010</v>
      </c>
      <c r="AD32" s="44"/>
      <c r="AE32" s="39">
        <f t="shared" si="61"/>
        <v>0</v>
      </c>
      <c r="AF32" s="53">
        <f t="shared" si="62"/>
        <v>252489</v>
      </c>
      <c r="AG32" s="20">
        <f t="shared" si="63"/>
        <v>-252489</v>
      </c>
      <c r="AH32" s="44"/>
      <c r="AI32" s="39">
        <f t="shared" si="64"/>
        <v>0</v>
      </c>
      <c r="AJ32" s="53">
        <f t="shared" si="65"/>
        <v>108992</v>
      </c>
      <c r="AK32" s="20">
        <f t="shared" si="66"/>
        <v>-108992</v>
      </c>
      <c r="AL32" s="44"/>
      <c r="AM32" s="39">
        <f t="shared" si="67"/>
        <v>0</v>
      </c>
      <c r="AN32" s="53">
        <f t="shared" si="68"/>
        <v>122393</v>
      </c>
      <c r="AO32" s="20">
        <f t="shared" si="69"/>
        <v>-122393</v>
      </c>
      <c r="AP32" s="44"/>
      <c r="AQ32" s="39">
        <f t="shared" si="70"/>
        <v>0</v>
      </c>
      <c r="AR32" s="53">
        <f t="shared" si="71"/>
        <v>86199</v>
      </c>
      <c r="AS32" s="20">
        <f t="shared" si="72"/>
        <v>-86199</v>
      </c>
      <c r="AT32" s="44"/>
      <c r="AU32" s="39">
        <f t="shared" si="73"/>
        <v>0</v>
      </c>
      <c r="AV32" s="53">
        <f t="shared" si="74"/>
        <v>229006</v>
      </c>
      <c r="AW32" s="20">
        <f t="shared" si="75"/>
        <v>-229006</v>
      </c>
      <c r="AX32" s="44"/>
      <c r="AY32" s="39">
        <f t="shared" si="76"/>
        <v>0</v>
      </c>
      <c r="AZ32" s="53">
        <f t="shared" si="77"/>
        <v>215897</v>
      </c>
      <c r="BA32" s="20">
        <f t="shared" si="78"/>
        <v>-215897</v>
      </c>
    </row>
    <row r="33" ht="15.75" customHeight="1">
      <c r="A33" s="106" t="s">
        <v>118</v>
      </c>
      <c r="B33" s="57"/>
      <c r="C33" s="60">
        <f t="shared" si="40"/>
        <v>0</v>
      </c>
      <c r="D33" s="58">
        <f t="shared" si="41"/>
        <v>142669</v>
      </c>
      <c r="E33" s="59">
        <f t="shared" si="42"/>
        <v>-142669</v>
      </c>
      <c r="F33" s="57"/>
      <c r="G33" s="60">
        <f t="shared" si="43"/>
        <v>0</v>
      </c>
      <c r="H33" s="58">
        <f t="shared" si="44"/>
        <v>86504</v>
      </c>
      <c r="I33" s="59">
        <f t="shared" si="45"/>
        <v>-86504</v>
      </c>
      <c r="J33" s="57"/>
      <c r="K33" s="60">
        <f t="shared" si="46"/>
        <v>0</v>
      </c>
      <c r="L33" s="58">
        <f t="shared" si="47"/>
        <v>163099</v>
      </c>
      <c r="M33" s="59">
        <f t="shared" si="48"/>
        <v>-163099</v>
      </c>
      <c r="N33" s="57"/>
      <c r="O33" s="60">
        <f t="shared" si="49"/>
        <v>0</v>
      </c>
      <c r="P33" s="58">
        <f t="shared" si="50"/>
        <v>149997</v>
      </c>
      <c r="Q33" s="59">
        <f t="shared" si="51"/>
        <v>-149997</v>
      </c>
      <c r="R33" s="57"/>
      <c r="S33" s="60">
        <f t="shared" si="52"/>
        <v>0</v>
      </c>
      <c r="T33" s="58">
        <f t="shared" si="53"/>
        <v>89852</v>
      </c>
      <c r="U33" s="59">
        <f t="shared" si="54"/>
        <v>-89852</v>
      </c>
      <c r="V33" s="57"/>
      <c r="W33" s="60">
        <f t="shared" si="55"/>
        <v>0</v>
      </c>
      <c r="X33" s="58">
        <f t="shared" si="56"/>
        <v>146819</v>
      </c>
      <c r="Y33" s="59">
        <f t="shared" si="57"/>
        <v>-146819</v>
      </c>
      <c r="Z33" s="57"/>
      <c r="AA33" s="60">
        <f t="shared" si="58"/>
        <v>0</v>
      </c>
      <c r="AB33" s="58">
        <f t="shared" si="59"/>
        <v>93994</v>
      </c>
      <c r="AC33" s="59">
        <f t="shared" si="60"/>
        <v>-93994</v>
      </c>
      <c r="AD33" s="57"/>
      <c r="AE33" s="60">
        <f t="shared" si="61"/>
        <v>0</v>
      </c>
      <c r="AF33" s="58">
        <f t="shared" si="62"/>
        <v>255473</v>
      </c>
      <c r="AG33" s="59">
        <f t="shared" si="63"/>
        <v>-255473</v>
      </c>
      <c r="AH33" s="57"/>
      <c r="AI33" s="60">
        <f t="shared" si="64"/>
        <v>0</v>
      </c>
      <c r="AJ33" s="58">
        <f t="shared" si="65"/>
        <v>111976</v>
      </c>
      <c r="AK33" s="59">
        <f t="shared" si="66"/>
        <v>-111976</v>
      </c>
      <c r="AL33" s="57"/>
      <c r="AM33" s="60">
        <f t="shared" si="67"/>
        <v>0</v>
      </c>
      <c r="AN33" s="58">
        <f t="shared" si="68"/>
        <v>125377</v>
      </c>
      <c r="AO33" s="59">
        <f t="shared" si="69"/>
        <v>-125377</v>
      </c>
      <c r="AP33" s="57"/>
      <c r="AQ33" s="60">
        <f t="shared" si="70"/>
        <v>0</v>
      </c>
      <c r="AR33" s="58">
        <f t="shared" si="71"/>
        <v>89183</v>
      </c>
      <c r="AS33" s="59">
        <f t="shared" si="72"/>
        <v>-89183</v>
      </c>
      <c r="AT33" s="57"/>
      <c r="AU33" s="60">
        <f t="shared" si="73"/>
        <v>0</v>
      </c>
      <c r="AV33" s="58">
        <f t="shared" si="74"/>
        <v>231990</v>
      </c>
      <c r="AW33" s="59">
        <f t="shared" si="75"/>
        <v>-231990</v>
      </c>
      <c r="AX33" s="57"/>
      <c r="AY33" s="60">
        <f t="shared" si="76"/>
        <v>0</v>
      </c>
      <c r="AZ33" s="58">
        <f t="shared" si="77"/>
        <v>218881</v>
      </c>
      <c r="BA33" s="59">
        <f t="shared" si="78"/>
        <v>-218881</v>
      </c>
    </row>
    <row r="34" ht="15.75" customHeight="1">
      <c r="A34" s="52" t="s">
        <v>119</v>
      </c>
      <c r="B34" s="44"/>
      <c r="C34" s="39">
        <f t="shared" si="40"/>
        <v>0</v>
      </c>
      <c r="D34" s="53">
        <f t="shared" si="41"/>
        <v>198439</v>
      </c>
      <c r="E34" s="20">
        <f t="shared" si="42"/>
        <v>-198439</v>
      </c>
      <c r="F34" s="44"/>
      <c r="G34" s="39">
        <f t="shared" si="43"/>
        <v>0</v>
      </c>
      <c r="H34" s="53">
        <f t="shared" si="44"/>
        <v>142274</v>
      </c>
      <c r="I34" s="20">
        <f t="shared" si="45"/>
        <v>-142274</v>
      </c>
      <c r="J34" s="44"/>
      <c r="K34" s="39">
        <f t="shared" si="46"/>
        <v>0</v>
      </c>
      <c r="L34" s="53">
        <f t="shared" si="47"/>
        <v>218869</v>
      </c>
      <c r="M34" s="20">
        <f t="shared" si="48"/>
        <v>-218869</v>
      </c>
      <c r="N34" s="44"/>
      <c r="O34" s="39">
        <f t="shared" si="49"/>
        <v>0</v>
      </c>
      <c r="P34" s="53">
        <f t="shared" si="50"/>
        <v>205767</v>
      </c>
      <c r="Q34" s="20">
        <f t="shared" si="51"/>
        <v>-205767</v>
      </c>
      <c r="R34" s="44"/>
      <c r="S34" s="39">
        <f t="shared" si="52"/>
        <v>0</v>
      </c>
      <c r="T34" s="53">
        <f t="shared" si="53"/>
        <v>145622</v>
      </c>
      <c r="U34" s="20">
        <f t="shared" si="54"/>
        <v>-145622</v>
      </c>
      <c r="V34" s="44"/>
      <c r="W34" s="39">
        <f t="shared" si="55"/>
        <v>0</v>
      </c>
      <c r="X34" s="53">
        <f t="shared" si="56"/>
        <v>202589</v>
      </c>
      <c r="Y34" s="20">
        <f t="shared" si="57"/>
        <v>-202589</v>
      </c>
      <c r="Z34" s="44"/>
      <c r="AA34" s="39">
        <f t="shared" si="58"/>
        <v>0</v>
      </c>
      <c r="AB34" s="53">
        <f t="shared" si="59"/>
        <v>149764</v>
      </c>
      <c r="AC34" s="20">
        <f t="shared" si="60"/>
        <v>-149764</v>
      </c>
      <c r="AD34" s="44"/>
      <c r="AE34" s="39">
        <f t="shared" si="61"/>
        <v>0</v>
      </c>
      <c r="AF34" s="53">
        <f t="shared" si="62"/>
        <v>311243</v>
      </c>
      <c r="AG34" s="20">
        <f t="shared" si="63"/>
        <v>-311243</v>
      </c>
      <c r="AH34" s="44"/>
      <c r="AI34" s="39">
        <f t="shared" si="64"/>
        <v>0</v>
      </c>
      <c r="AJ34" s="53">
        <f t="shared" si="65"/>
        <v>167746</v>
      </c>
      <c r="AK34" s="20">
        <f t="shared" si="66"/>
        <v>-167746</v>
      </c>
      <c r="AL34" s="44"/>
      <c r="AM34" s="39">
        <f t="shared" si="67"/>
        <v>0</v>
      </c>
      <c r="AN34" s="53">
        <f t="shared" si="68"/>
        <v>181147</v>
      </c>
      <c r="AO34" s="20">
        <f t="shared" si="69"/>
        <v>-181147</v>
      </c>
      <c r="AP34" s="44"/>
      <c r="AQ34" s="39">
        <f t="shared" si="70"/>
        <v>0</v>
      </c>
      <c r="AR34" s="53">
        <f t="shared" si="71"/>
        <v>144953</v>
      </c>
      <c r="AS34" s="20">
        <f t="shared" si="72"/>
        <v>-144953</v>
      </c>
      <c r="AT34" s="44"/>
      <c r="AU34" s="39">
        <f t="shared" si="73"/>
        <v>0</v>
      </c>
      <c r="AV34" s="53">
        <f t="shared" si="74"/>
        <v>287760</v>
      </c>
      <c r="AW34" s="20">
        <f t="shared" si="75"/>
        <v>-287760</v>
      </c>
      <c r="AX34" s="44"/>
      <c r="AY34" s="39">
        <f t="shared" si="76"/>
        <v>0</v>
      </c>
      <c r="AZ34" s="53">
        <f t="shared" si="77"/>
        <v>274651</v>
      </c>
      <c r="BA34" s="20">
        <f t="shared" si="78"/>
        <v>-274651</v>
      </c>
    </row>
    <row r="35" ht="15.75" customHeight="1">
      <c r="A35" s="52" t="s">
        <v>120</v>
      </c>
      <c r="B35" s="44"/>
      <c r="C35" s="39">
        <f t="shared" si="40"/>
        <v>0</v>
      </c>
      <c r="D35" s="53">
        <f t="shared" si="41"/>
        <v>198439</v>
      </c>
      <c r="E35" s="20">
        <f t="shared" si="42"/>
        <v>-198439</v>
      </c>
      <c r="F35" s="44"/>
      <c r="G35" s="39">
        <f t="shared" si="43"/>
        <v>0</v>
      </c>
      <c r="H35" s="53">
        <f t="shared" si="44"/>
        <v>142274</v>
      </c>
      <c r="I35" s="20">
        <f t="shared" si="45"/>
        <v>-142274</v>
      </c>
      <c r="J35" s="44"/>
      <c r="K35" s="39">
        <f t="shared" si="46"/>
        <v>0</v>
      </c>
      <c r="L35" s="53">
        <f t="shared" si="47"/>
        <v>218869</v>
      </c>
      <c r="M35" s="20">
        <f t="shared" si="48"/>
        <v>-218869</v>
      </c>
      <c r="N35" s="44"/>
      <c r="O35" s="39">
        <f t="shared" si="49"/>
        <v>0</v>
      </c>
      <c r="P35" s="53">
        <f t="shared" si="50"/>
        <v>205767</v>
      </c>
      <c r="Q35" s="20">
        <f t="shared" si="51"/>
        <v>-205767</v>
      </c>
      <c r="R35" s="44"/>
      <c r="S35" s="39">
        <f t="shared" si="52"/>
        <v>0</v>
      </c>
      <c r="T35" s="53">
        <f t="shared" si="53"/>
        <v>145622</v>
      </c>
      <c r="U35" s="20">
        <f t="shared" si="54"/>
        <v>-145622</v>
      </c>
      <c r="V35" s="44"/>
      <c r="W35" s="39">
        <f t="shared" si="55"/>
        <v>0</v>
      </c>
      <c r="X35" s="53">
        <f t="shared" si="56"/>
        <v>202589</v>
      </c>
      <c r="Y35" s="20">
        <f t="shared" si="57"/>
        <v>-202589</v>
      </c>
      <c r="Z35" s="44"/>
      <c r="AA35" s="39">
        <f t="shared" si="58"/>
        <v>0</v>
      </c>
      <c r="AB35" s="53">
        <f t="shared" si="59"/>
        <v>149764</v>
      </c>
      <c r="AC35" s="20">
        <f t="shared" si="60"/>
        <v>-149764</v>
      </c>
      <c r="AD35" s="44"/>
      <c r="AE35" s="39">
        <f t="shared" si="61"/>
        <v>0</v>
      </c>
      <c r="AF35" s="53">
        <f t="shared" si="62"/>
        <v>311243</v>
      </c>
      <c r="AG35" s="20">
        <f t="shared" si="63"/>
        <v>-311243</v>
      </c>
      <c r="AH35" s="44"/>
      <c r="AI35" s="39">
        <f t="shared" si="64"/>
        <v>0</v>
      </c>
      <c r="AJ35" s="53">
        <f t="shared" si="65"/>
        <v>167746</v>
      </c>
      <c r="AK35" s="20">
        <f t="shared" si="66"/>
        <v>-167746</v>
      </c>
      <c r="AL35" s="44"/>
      <c r="AM35" s="39">
        <f t="shared" si="67"/>
        <v>0</v>
      </c>
      <c r="AN35" s="53">
        <f t="shared" si="68"/>
        <v>181147</v>
      </c>
      <c r="AO35" s="20">
        <f t="shared" si="69"/>
        <v>-181147</v>
      </c>
      <c r="AP35" s="44"/>
      <c r="AQ35" s="39">
        <f t="shared" si="70"/>
        <v>0</v>
      </c>
      <c r="AR35" s="53">
        <f t="shared" si="71"/>
        <v>144953</v>
      </c>
      <c r="AS35" s="20">
        <f t="shared" si="72"/>
        <v>-144953</v>
      </c>
      <c r="AT35" s="44"/>
      <c r="AU35" s="39">
        <f t="shared" si="73"/>
        <v>0</v>
      </c>
      <c r="AV35" s="53">
        <f t="shared" si="74"/>
        <v>287760</v>
      </c>
      <c r="AW35" s="20">
        <f t="shared" si="75"/>
        <v>-287760</v>
      </c>
      <c r="AX35" s="44"/>
      <c r="AY35" s="39">
        <f t="shared" si="76"/>
        <v>0</v>
      </c>
      <c r="AZ35" s="53">
        <f t="shared" si="77"/>
        <v>274651</v>
      </c>
      <c r="BA35" s="20">
        <f t="shared" si="78"/>
        <v>-274651</v>
      </c>
    </row>
    <row r="36" ht="15.75" customHeight="1">
      <c r="A36" s="52" t="s">
        <v>121</v>
      </c>
      <c r="B36" s="44"/>
      <c r="C36" s="39">
        <f t="shared" si="40"/>
        <v>0</v>
      </c>
      <c r="D36" s="53">
        <f t="shared" si="41"/>
        <v>198437</v>
      </c>
      <c r="E36" s="20">
        <f t="shared" si="42"/>
        <v>-198437</v>
      </c>
      <c r="F36" s="44"/>
      <c r="G36" s="39">
        <f t="shared" si="43"/>
        <v>0</v>
      </c>
      <c r="H36" s="53">
        <f t="shared" si="44"/>
        <v>142272</v>
      </c>
      <c r="I36" s="20">
        <f t="shared" si="45"/>
        <v>-142272</v>
      </c>
      <c r="J36" s="44"/>
      <c r="K36" s="39">
        <f t="shared" si="46"/>
        <v>0</v>
      </c>
      <c r="L36" s="53">
        <f t="shared" si="47"/>
        <v>218867</v>
      </c>
      <c r="M36" s="20">
        <f t="shared" si="48"/>
        <v>-218867</v>
      </c>
      <c r="N36" s="44"/>
      <c r="O36" s="39">
        <f t="shared" si="49"/>
        <v>0</v>
      </c>
      <c r="P36" s="53">
        <f t="shared" si="50"/>
        <v>205765</v>
      </c>
      <c r="Q36" s="20">
        <f t="shared" si="51"/>
        <v>-205765</v>
      </c>
      <c r="R36" s="44"/>
      <c r="S36" s="39">
        <f t="shared" si="52"/>
        <v>0</v>
      </c>
      <c r="T36" s="53">
        <f t="shared" si="53"/>
        <v>145620</v>
      </c>
      <c r="U36" s="20">
        <f t="shared" si="54"/>
        <v>-145620</v>
      </c>
      <c r="V36" s="44"/>
      <c r="W36" s="39">
        <f t="shared" si="55"/>
        <v>0</v>
      </c>
      <c r="X36" s="53">
        <f t="shared" si="56"/>
        <v>202587</v>
      </c>
      <c r="Y36" s="20">
        <f t="shared" si="57"/>
        <v>-202587</v>
      </c>
      <c r="Z36" s="44"/>
      <c r="AA36" s="39">
        <f t="shared" si="58"/>
        <v>0</v>
      </c>
      <c r="AB36" s="53">
        <f t="shared" si="59"/>
        <v>149762</v>
      </c>
      <c r="AC36" s="20">
        <f t="shared" si="60"/>
        <v>-149762</v>
      </c>
      <c r="AD36" s="44"/>
      <c r="AE36" s="39">
        <f t="shared" si="61"/>
        <v>0</v>
      </c>
      <c r="AF36" s="53">
        <f t="shared" si="62"/>
        <v>311241</v>
      </c>
      <c r="AG36" s="20">
        <f t="shared" si="63"/>
        <v>-311241</v>
      </c>
      <c r="AH36" s="44"/>
      <c r="AI36" s="39">
        <f t="shared" si="64"/>
        <v>0</v>
      </c>
      <c r="AJ36" s="53">
        <f t="shared" si="65"/>
        <v>167744</v>
      </c>
      <c r="AK36" s="20">
        <f t="shared" si="66"/>
        <v>-167744</v>
      </c>
      <c r="AL36" s="44"/>
      <c r="AM36" s="39">
        <f t="shared" si="67"/>
        <v>0</v>
      </c>
      <c r="AN36" s="53">
        <f t="shared" si="68"/>
        <v>181145</v>
      </c>
      <c r="AO36" s="20">
        <f t="shared" si="69"/>
        <v>-181145</v>
      </c>
      <c r="AP36" s="44"/>
      <c r="AQ36" s="39">
        <f t="shared" si="70"/>
        <v>0</v>
      </c>
      <c r="AR36" s="53">
        <f t="shared" si="71"/>
        <v>144951</v>
      </c>
      <c r="AS36" s="20">
        <f t="shared" si="72"/>
        <v>-144951</v>
      </c>
      <c r="AT36" s="44"/>
      <c r="AU36" s="39">
        <f t="shared" si="73"/>
        <v>0</v>
      </c>
      <c r="AV36" s="53">
        <f t="shared" si="74"/>
        <v>287758</v>
      </c>
      <c r="AW36" s="20">
        <f t="shared" si="75"/>
        <v>-287758</v>
      </c>
      <c r="AX36" s="44"/>
      <c r="AY36" s="39">
        <f t="shared" si="76"/>
        <v>0</v>
      </c>
      <c r="AZ36" s="53">
        <f t="shared" si="77"/>
        <v>274649</v>
      </c>
      <c r="BA36" s="20">
        <f t="shared" si="78"/>
        <v>-274649</v>
      </c>
    </row>
    <row r="37" ht="15.75" customHeight="1">
      <c r="A37" s="52" t="s">
        <v>122</v>
      </c>
      <c r="B37" s="57"/>
      <c r="C37" s="39">
        <f t="shared" si="40"/>
        <v>0</v>
      </c>
      <c r="D37" s="58">
        <f t="shared" si="41"/>
        <v>201421</v>
      </c>
      <c r="E37" s="59">
        <f t="shared" si="42"/>
        <v>-201421</v>
      </c>
      <c r="F37" s="57"/>
      <c r="G37" s="39">
        <f t="shared" si="43"/>
        <v>0</v>
      </c>
      <c r="H37" s="58">
        <f t="shared" si="44"/>
        <v>145256</v>
      </c>
      <c r="I37" s="59">
        <f t="shared" si="45"/>
        <v>-145256</v>
      </c>
      <c r="J37" s="57"/>
      <c r="K37" s="39">
        <f t="shared" si="46"/>
        <v>0</v>
      </c>
      <c r="L37" s="58">
        <f t="shared" si="47"/>
        <v>221851</v>
      </c>
      <c r="M37" s="59">
        <f t="shared" si="48"/>
        <v>-221851</v>
      </c>
      <c r="N37" s="57"/>
      <c r="O37" s="39">
        <f t="shared" si="49"/>
        <v>0</v>
      </c>
      <c r="P37" s="58">
        <f t="shared" si="50"/>
        <v>208749</v>
      </c>
      <c r="Q37" s="59">
        <f t="shared" si="51"/>
        <v>-208749</v>
      </c>
      <c r="R37" s="57"/>
      <c r="S37" s="39">
        <f t="shared" si="52"/>
        <v>0</v>
      </c>
      <c r="T37" s="58">
        <f t="shared" si="53"/>
        <v>148604</v>
      </c>
      <c r="U37" s="59">
        <f t="shared" si="54"/>
        <v>-148604</v>
      </c>
      <c r="V37" s="57"/>
      <c r="W37" s="39">
        <f t="shared" si="55"/>
        <v>0</v>
      </c>
      <c r="X37" s="58">
        <f t="shared" si="56"/>
        <v>205571</v>
      </c>
      <c r="Y37" s="59">
        <f t="shared" si="57"/>
        <v>-205571</v>
      </c>
      <c r="Z37" s="57"/>
      <c r="AA37" s="39">
        <f t="shared" si="58"/>
        <v>0</v>
      </c>
      <c r="AB37" s="58">
        <f t="shared" si="59"/>
        <v>152746</v>
      </c>
      <c r="AC37" s="59">
        <f t="shared" si="60"/>
        <v>-152746</v>
      </c>
      <c r="AD37" s="57"/>
      <c r="AE37" s="39">
        <f t="shared" si="61"/>
        <v>0</v>
      </c>
      <c r="AF37" s="53">
        <f t="shared" si="62"/>
        <v>314225</v>
      </c>
      <c r="AG37" s="59">
        <f t="shared" si="63"/>
        <v>-314225</v>
      </c>
      <c r="AH37" s="57"/>
      <c r="AI37" s="39">
        <f t="shared" si="64"/>
        <v>0</v>
      </c>
      <c r="AJ37" s="53">
        <f t="shared" si="65"/>
        <v>170728</v>
      </c>
      <c r="AK37" s="59">
        <f t="shared" si="66"/>
        <v>-170728</v>
      </c>
      <c r="AL37" s="57"/>
      <c r="AM37" s="39">
        <f t="shared" si="67"/>
        <v>0</v>
      </c>
      <c r="AN37" s="53">
        <f t="shared" si="68"/>
        <v>184129</v>
      </c>
      <c r="AO37" s="59">
        <f t="shared" si="69"/>
        <v>-184129</v>
      </c>
      <c r="AP37" s="57"/>
      <c r="AQ37" s="39">
        <f t="shared" si="70"/>
        <v>0</v>
      </c>
      <c r="AR37" s="53">
        <f t="shared" si="71"/>
        <v>147935</v>
      </c>
      <c r="AS37" s="59">
        <f t="shared" si="72"/>
        <v>-147935</v>
      </c>
      <c r="AT37" s="57"/>
      <c r="AU37" s="60">
        <f t="shared" si="73"/>
        <v>0</v>
      </c>
      <c r="AV37" s="53">
        <f t="shared" si="74"/>
        <v>290742</v>
      </c>
      <c r="AW37" s="59">
        <f t="shared" si="75"/>
        <v>-290742</v>
      </c>
      <c r="AX37" s="57"/>
      <c r="AY37" s="60">
        <f t="shared" si="76"/>
        <v>0</v>
      </c>
      <c r="AZ37" s="53">
        <f t="shared" si="77"/>
        <v>277633</v>
      </c>
      <c r="BA37" s="59">
        <f t="shared" si="78"/>
        <v>-277633</v>
      </c>
    </row>
    <row r="38" ht="15.75" customHeight="1">
      <c r="AG38" s="1">
        <v>11.0</v>
      </c>
      <c r="AI38" s="1">
        <v>8.0</v>
      </c>
    </row>
    <row r="39" ht="15.75" customHeight="1">
      <c r="D39" s="1" t="s">
        <v>59</v>
      </c>
      <c r="K39" s="1">
        <v>4.0</v>
      </c>
      <c r="N39" s="61"/>
      <c r="AE39" s="1">
        <v>11.0</v>
      </c>
      <c r="AG39" s="1">
        <v>2.0</v>
      </c>
      <c r="AI39" s="1">
        <v>8.0</v>
      </c>
    </row>
    <row r="40" ht="15.75" customHeight="1">
      <c r="A40" s="39" t="s">
        <v>124</v>
      </c>
      <c r="B40" s="63">
        <v>57848.0</v>
      </c>
      <c r="C40" s="73" t="s">
        <v>107</v>
      </c>
      <c r="D40" s="107">
        <v>7998.0</v>
      </c>
      <c r="G40" s="47">
        <f t="shared" ref="G40:G55" si="79">MIN(D40,F40)</f>
        <v>7998</v>
      </c>
      <c r="K40" s="1">
        <v>4.0</v>
      </c>
      <c r="AE40" s="1">
        <v>1.0</v>
      </c>
      <c r="AG40" s="1">
        <v>3.0</v>
      </c>
      <c r="AI40" s="1">
        <v>1.0</v>
      </c>
    </row>
    <row r="41" ht="15.75" customHeight="1">
      <c r="A41" s="39" t="s">
        <v>125</v>
      </c>
      <c r="B41" s="67">
        <v>54500.0</v>
      </c>
      <c r="C41" s="73" t="s">
        <v>108</v>
      </c>
      <c r="D41" s="107">
        <v>7998.0</v>
      </c>
      <c r="G41" s="47">
        <f t="shared" si="79"/>
        <v>7998</v>
      </c>
      <c r="K41" s="1">
        <v>2.0</v>
      </c>
      <c r="AE41" s="1">
        <v>4.0</v>
      </c>
      <c r="AI41" s="1">
        <v>9.0</v>
      </c>
    </row>
    <row r="42" ht="15.75" customHeight="1">
      <c r="A42" s="39" t="s">
        <v>126</v>
      </c>
      <c r="B42" s="67">
        <v>48816.0</v>
      </c>
      <c r="C42" s="73" t="s">
        <v>109</v>
      </c>
      <c r="D42" s="107">
        <v>7996.0</v>
      </c>
      <c r="G42" s="47">
        <f t="shared" si="79"/>
        <v>7996</v>
      </c>
      <c r="K42" s="1">
        <v>2.0</v>
      </c>
    </row>
    <row r="43" ht="15.75" customHeight="1">
      <c r="A43" s="39" t="s">
        <v>127</v>
      </c>
      <c r="B43" s="67">
        <v>55686.0</v>
      </c>
      <c r="C43" s="73" t="s">
        <v>110</v>
      </c>
      <c r="D43" s="107">
        <v>10980.0</v>
      </c>
      <c r="G43" s="47">
        <f t="shared" si="79"/>
        <v>10980</v>
      </c>
    </row>
    <row r="44" ht="15.75" customHeight="1">
      <c r="A44" s="39" t="s">
        <v>128</v>
      </c>
      <c r="B44" s="67">
        <v>52993.0</v>
      </c>
      <c r="C44" s="73" t="s">
        <v>111</v>
      </c>
      <c r="D44" s="107"/>
      <c r="E44" s="47">
        <f t="shared" ref="E44:E47" si="80">$B$48*48</f>
        <v>3360</v>
      </c>
      <c r="F44" s="47">
        <f t="shared" ref="F44:F47" si="81">D40+E44</f>
        <v>11358</v>
      </c>
      <c r="G44" s="47">
        <f t="shared" si="79"/>
        <v>11358</v>
      </c>
    </row>
    <row r="45" ht="15.75" customHeight="1">
      <c r="A45" s="39" t="s">
        <v>129</v>
      </c>
      <c r="B45" s="67">
        <v>58995.0</v>
      </c>
      <c r="C45" s="73" t="s">
        <v>112</v>
      </c>
      <c r="D45" s="107">
        <v>14378.0</v>
      </c>
      <c r="E45" s="47">
        <f t="shared" si="80"/>
        <v>3360</v>
      </c>
      <c r="F45" s="47">
        <f t="shared" si="81"/>
        <v>11358</v>
      </c>
      <c r="G45" s="47">
        <f t="shared" si="79"/>
        <v>11358</v>
      </c>
      <c r="J45" s="1">
        <v>3.14</v>
      </c>
    </row>
    <row r="46" ht="15.75" customHeight="1">
      <c r="A46" s="73" t="s">
        <v>130</v>
      </c>
      <c r="B46" s="67">
        <v>87992.0</v>
      </c>
      <c r="C46" s="73" t="s">
        <v>113</v>
      </c>
      <c r="D46" s="107">
        <v>14380.0</v>
      </c>
      <c r="E46" s="47">
        <f t="shared" si="80"/>
        <v>3360</v>
      </c>
      <c r="F46" s="47">
        <f t="shared" si="81"/>
        <v>11356</v>
      </c>
      <c r="G46" s="47">
        <f t="shared" si="79"/>
        <v>11356</v>
      </c>
    </row>
    <row r="47" ht="15.75" customHeight="1">
      <c r="A47" s="69" t="s">
        <v>131</v>
      </c>
      <c r="B47" s="108">
        <v>7993.0</v>
      </c>
      <c r="C47" s="73" t="s">
        <v>114</v>
      </c>
      <c r="D47" s="107">
        <v>15990.0</v>
      </c>
      <c r="E47" s="47">
        <f t="shared" si="80"/>
        <v>3360</v>
      </c>
      <c r="F47" s="47">
        <f t="shared" si="81"/>
        <v>14340</v>
      </c>
      <c r="G47" s="47">
        <f t="shared" si="79"/>
        <v>14340</v>
      </c>
    </row>
    <row r="48" ht="15.75" customHeight="1">
      <c r="A48" s="73" t="s">
        <v>132</v>
      </c>
      <c r="B48" s="107">
        <v>70.0</v>
      </c>
      <c r="C48" s="73" t="s">
        <v>115</v>
      </c>
      <c r="D48" s="107">
        <v>35888.0</v>
      </c>
      <c r="E48" s="47">
        <f t="shared" ref="E48:E51" si="82">$B$49*48</f>
        <v>17664</v>
      </c>
      <c r="F48" s="47">
        <f t="shared" ref="F48:F55" si="83">MIN(D44,F44)+E48</f>
        <v>29022</v>
      </c>
      <c r="G48" s="47">
        <f t="shared" si="79"/>
        <v>29022</v>
      </c>
    </row>
    <row r="49" ht="15.75" customHeight="1">
      <c r="A49" s="73" t="s">
        <v>133</v>
      </c>
      <c r="B49" s="107">
        <v>368.0</v>
      </c>
      <c r="C49" s="73" t="s">
        <v>116</v>
      </c>
      <c r="D49" s="107">
        <v>35858.0</v>
      </c>
      <c r="E49" s="47">
        <f t="shared" si="82"/>
        <v>17664</v>
      </c>
      <c r="F49" s="47">
        <f t="shared" si="83"/>
        <v>29022</v>
      </c>
      <c r="G49" s="47">
        <f t="shared" si="79"/>
        <v>29022</v>
      </c>
    </row>
    <row r="50" ht="15.75" customHeight="1">
      <c r="A50" s="73" t="s">
        <v>134</v>
      </c>
      <c r="B50" s="107">
        <v>1224.0</v>
      </c>
      <c r="C50" s="73" t="s">
        <v>120</v>
      </c>
      <c r="D50" s="107">
        <v>37861.0</v>
      </c>
      <c r="E50" s="47">
        <f t="shared" si="82"/>
        <v>17664</v>
      </c>
      <c r="F50" s="47">
        <f t="shared" si="83"/>
        <v>29020</v>
      </c>
      <c r="G50" s="47">
        <f t="shared" si="79"/>
        <v>29020</v>
      </c>
    </row>
    <row r="51" ht="15.75" customHeight="1">
      <c r="C51" s="73" t="s">
        <v>135</v>
      </c>
      <c r="D51" s="107">
        <v>44121.0</v>
      </c>
      <c r="E51" s="47">
        <f t="shared" si="82"/>
        <v>17664</v>
      </c>
      <c r="F51" s="47">
        <f t="shared" si="83"/>
        <v>32004</v>
      </c>
      <c r="G51" s="47">
        <f t="shared" si="79"/>
        <v>32004</v>
      </c>
    </row>
    <row r="52" ht="15.75" customHeight="1">
      <c r="A52" s="73" t="s">
        <v>136</v>
      </c>
      <c r="B52" s="107">
        <v>54979.0</v>
      </c>
      <c r="C52" s="73" t="s">
        <v>113</v>
      </c>
      <c r="D52" s="107">
        <v>120931.0</v>
      </c>
      <c r="E52" s="47">
        <f t="shared" ref="E52:E55" si="84">$B$50*48</f>
        <v>58752</v>
      </c>
      <c r="F52" s="47">
        <f t="shared" si="83"/>
        <v>87774</v>
      </c>
      <c r="G52" s="47">
        <f t="shared" si="79"/>
        <v>87774</v>
      </c>
    </row>
    <row r="53" ht="15.75" customHeight="1">
      <c r="A53" s="73" t="s">
        <v>137</v>
      </c>
      <c r="B53" s="107"/>
      <c r="C53" s="73" t="s">
        <v>117</v>
      </c>
      <c r="D53" s="107">
        <v>120933.0</v>
      </c>
      <c r="E53" s="47">
        <f t="shared" si="84"/>
        <v>58752</v>
      </c>
      <c r="F53" s="47">
        <f t="shared" si="83"/>
        <v>87774</v>
      </c>
      <c r="G53" s="47">
        <f t="shared" si="79"/>
        <v>87774</v>
      </c>
    </row>
    <row r="54" ht="15.75" customHeight="1">
      <c r="A54" s="73" t="s">
        <v>138</v>
      </c>
      <c r="B54" s="107">
        <v>72100.0</v>
      </c>
      <c r="C54" s="73" t="s">
        <v>121</v>
      </c>
      <c r="D54" s="107">
        <v>159995.0</v>
      </c>
      <c r="E54" s="47">
        <f t="shared" si="84"/>
        <v>58752</v>
      </c>
      <c r="F54" s="47">
        <f t="shared" si="83"/>
        <v>87772</v>
      </c>
      <c r="G54" s="47">
        <f t="shared" si="79"/>
        <v>87772</v>
      </c>
    </row>
    <row r="55" ht="15.75" customHeight="1">
      <c r="A55" s="73" t="s">
        <v>139</v>
      </c>
      <c r="B55" s="107">
        <v>65000.0</v>
      </c>
      <c r="C55" s="73" t="s">
        <v>140</v>
      </c>
      <c r="D55" s="107">
        <v>168000.0</v>
      </c>
      <c r="E55" s="47">
        <f t="shared" si="84"/>
        <v>58752</v>
      </c>
      <c r="F55" s="47">
        <f t="shared" si="83"/>
        <v>90756</v>
      </c>
      <c r="G55" s="47">
        <f t="shared" si="79"/>
        <v>90756</v>
      </c>
    </row>
    <row r="56" ht="15.75" customHeight="1">
      <c r="A56" s="73" t="s">
        <v>141</v>
      </c>
      <c r="B56" s="107"/>
    </row>
    <row r="57" ht="15.75" customHeight="1">
      <c r="A57" s="73" t="s">
        <v>142</v>
      </c>
      <c r="B57" s="107">
        <v>65999.0</v>
      </c>
    </row>
    <row r="58" ht="15.75" customHeight="1">
      <c r="A58" s="73" t="s">
        <v>143</v>
      </c>
      <c r="B58" s="107">
        <v>2995.0</v>
      </c>
    </row>
    <row r="59" ht="15.75" customHeight="1">
      <c r="A59" s="73" t="s">
        <v>144</v>
      </c>
      <c r="B59" s="107">
        <v>168969.0</v>
      </c>
    </row>
    <row r="60" ht="15.75" customHeight="1">
      <c r="A60" s="73" t="s">
        <v>145</v>
      </c>
      <c r="B60" s="107">
        <v>26979.0</v>
      </c>
    </row>
    <row r="61" ht="15.75" customHeight="1">
      <c r="A61" s="73" t="s">
        <v>146</v>
      </c>
      <c r="B61" s="107">
        <v>35525.0</v>
      </c>
    </row>
    <row r="62" ht="15.75" customHeight="1">
      <c r="A62" s="73" t="s">
        <v>147</v>
      </c>
      <c r="B62" s="107">
        <v>1493.0</v>
      </c>
    </row>
    <row r="63" ht="15.75" customHeight="1">
      <c r="A63" s="73" t="s">
        <v>148</v>
      </c>
      <c r="B63" s="107">
        <v>111994.0</v>
      </c>
    </row>
    <row r="64" ht="15.75" customHeight="1">
      <c r="A64" s="73" t="s">
        <v>149</v>
      </c>
      <c r="B64" s="107">
        <v>66982.0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D1:AG1"/>
    <mergeCell ref="AH1:AK1"/>
    <mergeCell ref="AL1:AO1"/>
    <mergeCell ref="AP1:AS1"/>
    <mergeCell ref="AT1:AW1"/>
    <mergeCell ref="AX1:BA1"/>
    <mergeCell ref="B1:E1"/>
    <mergeCell ref="F1:I1"/>
    <mergeCell ref="J1:M1"/>
    <mergeCell ref="N1:Q1"/>
    <mergeCell ref="R1:U1"/>
    <mergeCell ref="V1:Y1"/>
    <mergeCell ref="Z1:AC1"/>
  </mergeCells>
  <conditionalFormatting sqref="E5:E20 I5:I20 M5:M20 Q5:Q20 U5:U20 Y5:Y20 AC5:AC20 AG5:AG20 AK5:AK20 AO5:AO20 AS5:AS20 AW5:AW20 BA5:BA20 E22:E37 I22:I37 M22:M37 Q22:Q37 U22:U37 Y22:Y37 AC22:AC37 AG22:AG37 AK22:AK37 AO22:AO37 AS22:AS37 AW22:AW37 BA22:BA37">
    <cfRule type="cellIs" dxfId="2" priority="1" operator="lessThan">
      <formula>0</formula>
    </cfRule>
  </conditionalFormatting>
  <conditionalFormatting sqref="E5:E20 I5:I20 M5:M20 Q5:Q20 U5:U20 Y5:Y20 AC5:AC20 AG5:AG20 AK5:AK20 AO5:AO20 AS5:AS20 AW5:AW20 BA5:BA20 E22:E37 I22:I37 M22:M37 Q22:Q37 U22:U37 Y22:Y37 AC22:AC37 AG22:AG37 AK22:AK37 AO22:AO37 AS22:AS37 AW22:AW37 BA22:BA37">
    <cfRule type="cellIs" dxfId="3" priority="2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0.71"/>
    <col customWidth="1" min="2" max="2" width="19.14"/>
    <col customWidth="1" min="3" max="3" width="12.0"/>
    <col customWidth="1" min="4" max="4" width="12.29"/>
    <col customWidth="1" min="5" max="5" width="11.0"/>
    <col customWidth="1" min="6" max="6" width="20.14"/>
    <col customWidth="1" min="7" max="7" width="12.0"/>
    <col customWidth="1" min="8" max="8" width="12.29"/>
    <col customWidth="1" min="9" max="9" width="11.0"/>
    <col customWidth="1" min="10" max="10" width="20.14"/>
    <col customWidth="1" min="11" max="11" width="12.0"/>
    <col customWidth="1" min="12" max="12" width="12.29"/>
    <col customWidth="1" min="13" max="13" width="9.43"/>
    <col customWidth="1" min="14" max="14" width="20.29"/>
    <col customWidth="1" min="15" max="15" width="12.0"/>
    <col customWidth="1" min="16" max="16" width="12.29"/>
    <col customWidth="1" min="17" max="17" width="9.43"/>
    <col customWidth="1" min="18" max="18" width="20.57"/>
    <col customWidth="1" min="19" max="19" width="12.0"/>
    <col customWidth="1" min="20" max="20" width="12.29"/>
    <col customWidth="1" min="21" max="21" width="9.43"/>
    <col customWidth="1" min="22" max="22" width="17.29"/>
    <col customWidth="1" min="23" max="23" width="12.0"/>
    <col customWidth="1" min="24" max="24" width="12.29"/>
    <col customWidth="1" min="25" max="25" width="9.43"/>
    <col customWidth="1" min="26" max="26" width="15.43"/>
    <col customWidth="1" min="27" max="27" width="12.0"/>
    <col customWidth="1" min="28" max="28" width="12.29"/>
    <col customWidth="1" min="29" max="29" width="9.43"/>
    <col customWidth="1" min="30" max="30" width="13.43"/>
    <col customWidth="1" min="31" max="31" width="12.0"/>
    <col customWidth="1" min="32" max="32" width="12.29"/>
    <col customWidth="1" min="33" max="33" width="11.0"/>
    <col customWidth="1" min="34" max="34" width="17.14"/>
    <col customWidth="1" min="35" max="35" width="12.0"/>
    <col customWidth="1" min="36" max="36" width="12.29"/>
    <col customWidth="1" min="37" max="37" width="9.43"/>
    <col customWidth="1" min="38" max="38" width="14.71"/>
    <col customWidth="1" min="39" max="39" width="12.0"/>
    <col customWidth="1" min="40" max="40" width="12.29"/>
    <col customWidth="1" min="41" max="41" width="9.43"/>
    <col customWidth="1" min="42" max="42" width="14.71"/>
    <col customWidth="1" min="43" max="43" width="12.0"/>
    <col customWidth="1" min="44" max="44" width="12.29"/>
    <col customWidth="1" min="45" max="45" width="9.43"/>
    <col customWidth="1" min="46" max="50" width="10.57"/>
    <col customWidth="1" min="51" max="51" width="12.0"/>
    <col customWidth="1" min="52" max="52" width="12.29"/>
    <col customWidth="1" min="53" max="53" width="9.43"/>
  </cols>
  <sheetData>
    <row r="1">
      <c r="A1" s="39" t="s">
        <v>55</v>
      </c>
      <c r="B1" s="40" t="s">
        <v>90</v>
      </c>
      <c r="C1" s="41"/>
      <c r="D1" s="41"/>
      <c r="E1" s="42"/>
      <c r="F1" s="43" t="s">
        <v>91</v>
      </c>
      <c r="G1" s="41"/>
      <c r="H1" s="41"/>
      <c r="I1" s="42"/>
      <c r="J1" s="40" t="s">
        <v>92</v>
      </c>
      <c r="K1" s="41"/>
      <c r="L1" s="41"/>
      <c r="M1" s="42"/>
      <c r="N1" s="40" t="s">
        <v>93</v>
      </c>
      <c r="O1" s="41"/>
      <c r="P1" s="41"/>
      <c r="Q1" s="42"/>
      <c r="R1" s="40" t="s">
        <v>94</v>
      </c>
      <c r="S1" s="41"/>
      <c r="T1" s="41"/>
      <c r="U1" s="42"/>
      <c r="V1" s="43" t="s">
        <v>95</v>
      </c>
      <c r="W1" s="41"/>
      <c r="X1" s="41"/>
      <c r="Y1" s="42"/>
      <c r="Z1" s="40" t="s">
        <v>96</v>
      </c>
      <c r="AA1" s="41"/>
      <c r="AB1" s="41"/>
      <c r="AC1" s="42"/>
      <c r="AD1" s="40" t="s">
        <v>97</v>
      </c>
      <c r="AE1" s="41"/>
      <c r="AF1" s="41"/>
      <c r="AG1" s="42"/>
      <c r="AH1" s="40" t="s">
        <v>98</v>
      </c>
      <c r="AI1" s="41"/>
      <c r="AJ1" s="41"/>
      <c r="AK1" s="42"/>
      <c r="AL1" s="40" t="s">
        <v>99</v>
      </c>
      <c r="AM1" s="41"/>
      <c r="AN1" s="41"/>
      <c r="AO1" s="42"/>
      <c r="AP1" s="40" t="s">
        <v>100</v>
      </c>
      <c r="AQ1" s="41"/>
      <c r="AR1" s="41"/>
      <c r="AS1" s="42"/>
      <c r="AT1" s="43" t="s">
        <v>101</v>
      </c>
      <c r="AU1" s="41"/>
      <c r="AV1" s="41"/>
      <c r="AW1" s="42"/>
      <c r="AX1" s="43" t="s">
        <v>102</v>
      </c>
      <c r="AY1" s="41"/>
      <c r="AZ1" s="41"/>
      <c r="BA1" s="42"/>
    </row>
    <row r="2">
      <c r="A2" s="39" t="s">
        <v>56</v>
      </c>
      <c r="B2" s="44">
        <f>B52</f>
        <v>149998</v>
      </c>
      <c r="E2" s="20"/>
      <c r="F2" s="44">
        <f>B53</f>
        <v>99999</v>
      </c>
      <c r="I2" s="20"/>
      <c r="J2" s="44">
        <f>B54</f>
        <v>82199</v>
      </c>
      <c r="M2" s="20"/>
      <c r="N2" s="44">
        <f>B55</f>
        <v>199996</v>
      </c>
      <c r="Q2" s="45"/>
      <c r="R2" s="44">
        <f>B56</f>
        <v>79998</v>
      </c>
      <c r="U2" s="20"/>
      <c r="V2" s="44">
        <f>B57</f>
        <v>59995</v>
      </c>
      <c r="Y2" s="45"/>
      <c r="Z2" s="44">
        <f>B58</f>
        <v>2697</v>
      </c>
      <c r="AC2" s="20"/>
      <c r="AD2" s="44">
        <f>B59</f>
        <v>116876</v>
      </c>
      <c r="AG2" s="20"/>
      <c r="AH2" s="44">
        <f>B60</f>
        <v>7991</v>
      </c>
      <c r="AK2" s="20"/>
      <c r="AL2" s="44">
        <f>B61</f>
        <v>6998</v>
      </c>
      <c r="AO2" s="20"/>
      <c r="AP2" s="44">
        <f>B62</f>
        <v>1320</v>
      </c>
      <c r="AS2" s="45"/>
      <c r="AT2" s="44" t="str">
        <f>B63</f>
        <v/>
      </c>
      <c r="AW2" s="20"/>
      <c r="AX2" s="44">
        <f>B64</f>
        <v>60979</v>
      </c>
      <c r="BA2" s="20"/>
    </row>
    <row r="3">
      <c r="A3" s="39" t="s">
        <v>57</v>
      </c>
      <c r="B3" s="44">
        <f>B43*3</f>
        <v>167058</v>
      </c>
      <c r="E3" s="20"/>
      <c r="F3" s="44">
        <f>B41*3</f>
        <v>163500</v>
      </c>
      <c r="I3" s="20"/>
      <c r="J3" s="44">
        <f>B45*3</f>
        <v>176985</v>
      </c>
      <c r="M3" s="20"/>
      <c r="N3" s="44">
        <f>B44*3</f>
        <v>158979</v>
      </c>
      <c r="Q3" s="20"/>
      <c r="R3" s="44">
        <f>B40*3</f>
        <v>173544</v>
      </c>
      <c r="U3" s="20"/>
      <c r="V3" s="44">
        <f>B42*3</f>
        <v>146448</v>
      </c>
      <c r="Y3" s="20"/>
      <c r="Z3" s="46">
        <f>B45*3</f>
        <v>176985</v>
      </c>
      <c r="AC3" s="20"/>
      <c r="AD3" s="44">
        <f>B41*3</f>
        <v>163500</v>
      </c>
      <c r="AG3" s="20"/>
      <c r="AH3" s="44">
        <f>B44*3</f>
        <v>158979</v>
      </c>
      <c r="AK3" s="20"/>
      <c r="AL3" s="44">
        <f>B40*3</f>
        <v>173544</v>
      </c>
      <c r="AO3" s="20"/>
      <c r="AP3" s="44">
        <f>B43*3</f>
        <v>167058</v>
      </c>
      <c r="AS3" s="20"/>
      <c r="AT3" s="44">
        <f>B46*3</f>
        <v>263976</v>
      </c>
      <c r="AW3" s="20"/>
      <c r="AX3" s="44">
        <f>B47*45</f>
        <v>359685</v>
      </c>
      <c r="BA3" s="20"/>
    </row>
    <row r="4">
      <c r="A4" s="47"/>
      <c r="B4" s="48" t="s">
        <v>103</v>
      </c>
      <c r="C4" s="49" t="s">
        <v>104</v>
      </c>
      <c r="D4" s="50" t="s">
        <v>105</v>
      </c>
      <c r="E4" s="51" t="s">
        <v>106</v>
      </c>
      <c r="F4" s="48" t="s">
        <v>103</v>
      </c>
      <c r="G4" s="49" t="s">
        <v>104</v>
      </c>
      <c r="H4" s="50" t="s">
        <v>105</v>
      </c>
      <c r="I4" s="51" t="s">
        <v>106</v>
      </c>
      <c r="J4" s="48" t="s">
        <v>103</v>
      </c>
      <c r="K4" s="49" t="s">
        <v>104</v>
      </c>
      <c r="L4" s="50" t="s">
        <v>105</v>
      </c>
      <c r="M4" s="51" t="s">
        <v>106</v>
      </c>
      <c r="N4" s="48" t="s">
        <v>103</v>
      </c>
      <c r="O4" s="49" t="s">
        <v>104</v>
      </c>
      <c r="P4" s="50" t="s">
        <v>105</v>
      </c>
      <c r="Q4" s="51" t="s">
        <v>106</v>
      </c>
      <c r="R4" s="48" t="s">
        <v>103</v>
      </c>
      <c r="S4" s="49" t="s">
        <v>104</v>
      </c>
      <c r="T4" s="50" t="s">
        <v>105</v>
      </c>
      <c r="U4" s="51" t="s">
        <v>106</v>
      </c>
      <c r="V4" s="48" t="s">
        <v>103</v>
      </c>
      <c r="W4" s="49" t="s">
        <v>104</v>
      </c>
      <c r="X4" s="50" t="s">
        <v>105</v>
      </c>
      <c r="Y4" s="51" t="s">
        <v>106</v>
      </c>
      <c r="Z4" s="48" t="s">
        <v>103</v>
      </c>
      <c r="AA4" s="49" t="s">
        <v>104</v>
      </c>
      <c r="AB4" s="50" t="s">
        <v>105</v>
      </c>
      <c r="AC4" s="51" t="s">
        <v>106</v>
      </c>
      <c r="AD4" s="48" t="s">
        <v>103</v>
      </c>
      <c r="AE4" s="49" t="s">
        <v>104</v>
      </c>
      <c r="AF4" s="50" t="s">
        <v>105</v>
      </c>
      <c r="AG4" s="51" t="s">
        <v>106</v>
      </c>
      <c r="AH4" s="48" t="s">
        <v>103</v>
      </c>
      <c r="AI4" s="49" t="s">
        <v>104</v>
      </c>
      <c r="AJ4" s="50" t="s">
        <v>105</v>
      </c>
      <c r="AK4" s="51" t="s">
        <v>106</v>
      </c>
      <c r="AL4" s="48" t="s">
        <v>103</v>
      </c>
      <c r="AM4" s="49" t="s">
        <v>104</v>
      </c>
      <c r="AN4" s="50" t="s">
        <v>105</v>
      </c>
      <c r="AO4" s="51" t="s">
        <v>106</v>
      </c>
      <c r="AP4" s="48" t="s">
        <v>103</v>
      </c>
      <c r="AQ4" s="49" t="s">
        <v>104</v>
      </c>
      <c r="AR4" s="50" t="s">
        <v>105</v>
      </c>
      <c r="AS4" s="51" t="s">
        <v>106</v>
      </c>
      <c r="AT4" s="48" t="s">
        <v>103</v>
      </c>
      <c r="AU4" s="49" t="s">
        <v>104</v>
      </c>
      <c r="AV4" s="50" t="s">
        <v>105</v>
      </c>
      <c r="AW4" s="51" t="s">
        <v>106</v>
      </c>
      <c r="AX4" s="48" t="s">
        <v>103</v>
      </c>
      <c r="AY4" s="49" t="s">
        <v>104</v>
      </c>
      <c r="AZ4" s="50" t="s">
        <v>105</v>
      </c>
      <c r="BA4" s="51" t="s">
        <v>106</v>
      </c>
    </row>
    <row r="5">
      <c r="A5" s="52" t="s">
        <v>107</v>
      </c>
      <c r="B5" s="44"/>
      <c r="C5" s="39">
        <f t="shared" ref="C5:C20" si="1">B5*0.895</f>
        <v>0</v>
      </c>
      <c r="D5" s="53">
        <f t="shared" ref="D5:D20" si="2">$B$2+$B$3+G40</f>
        <v>335841</v>
      </c>
      <c r="E5" s="20">
        <f t="shared" ref="E5:E20" si="3">C5-D5</f>
        <v>-335841</v>
      </c>
      <c r="F5" s="44"/>
      <c r="G5" s="39">
        <f t="shared" ref="G5:G20" si="4">F5*0.895</f>
        <v>0</v>
      </c>
      <c r="H5" s="53">
        <f t="shared" ref="H5:H20" si="5">$F$2+$F$3+G40</f>
        <v>282284</v>
      </c>
      <c r="I5" s="20">
        <f t="shared" ref="I5:I20" si="6">G5-H5</f>
        <v>-282284</v>
      </c>
      <c r="J5" s="46"/>
      <c r="K5" s="39">
        <f t="shared" ref="K5:K20" si="7">J5*0.895</f>
        <v>0</v>
      </c>
      <c r="L5" s="53">
        <f t="shared" ref="L5:L20" si="8">$J$2+$J$3+G40</f>
        <v>277969</v>
      </c>
      <c r="M5" s="20">
        <f t="shared" ref="M5:M20" si="9">K5-L5</f>
        <v>-277969</v>
      </c>
      <c r="N5" s="44"/>
      <c r="O5" s="39">
        <f t="shared" ref="O5:O20" si="10">N5*0.895</f>
        <v>0</v>
      </c>
      <c r="P5" s="53">
        <f t="shared" ref="P5:P20" si="11">$N$2+$N$3+G40</f>
        <v>377760</v>
      </c>
      <c r="Q5" s="20">
        <f t="shared" ref="Q5:Q20" si="12">O5-P5</f>
        <v>-377760</v>
      </c>
      <c r="R5" s="44"/>
      <c r="S5" s="39">
        <f t="shared" ref="S5:S20" si="13">R5*0.895</f>
        <v>0</v>
      </c>
      <c r="T5" s="53">
        <f t="shared" ref="T5:T20" si="14">$R$2+$R$3+G40</f>
        <v>272327</v>
      </c>
      <c r="U5" s="20">
        <f t="shared" ref="U5:U20" si="15">S5-T5</f>
        <v>-272327</v>
      </c>
      <c r="V5" s="44"/>
      <c r="W5" s="39">
        <f t="shared" ref="W5:W20" si="16">V5*0.895</f>
        <v>0</v>
      </c>
      <c r="X5" s="53">
        <f t="shared" ref="X5:X20" si="17">$V$2+$V$3+G40</f>
        <v>225228</v>
      </c>
      <c r="Y5" s="20">
        <f t="shared" ref="Y5:Y20" si="18">W5-X5</f>
        <v>-225228</v>
      </c>
      <c r="Z5" s="44"/>
      <c r="AA5" s="39">
        <f t="shared" ref="AA5:AA20" si="19">Z5*0.895</f>
        <v>0</v>
      </c>
      <c r="AB5" s="53">
        <f t="shared" ref="AB5:AB20" si="20">$Z$2+$Z$3+G40</f>
        <v>198467</v>
      </c>
      <c r="AC5" s="20">
        <f t="shared" ref="AC5:AC20" si="21">AA5-AB5</f>
        <v>-198467</v>
      </c>
      <c r="AD5" s="44"/>
      <c r="AE5" s="39">
        <f t="shared" ref="AE5:AE20" si="22">AD5*0.895</f>
        <v>0</v>
      </c>
      <c r="AF5" s="53">
        <f t="shared" ref="AF5:AF20" si="23">$AD$2+$AD$3+G40</f>
        <v>299161</v>
      </c>
      <c r="AG5" s="20">
        <f t="shared" ref="AG5:AG20" si="24">AE5-AF5</f>
        <v>-299161</v>
      </c>
      <c r="AH5" s="44"/>
      <c r="AI5" s="39">
        <f t="shared" ref="AI5:AI20" si="25">AH5*0.895</f>
        <v>0</v>
      </c>
      <c r="AJ5" s="53">
        <f t="shared" ref="AJ5:AJ20" si="26">$AH$2+$AH$3+G40</f>
        <v>185755</v>
      </c>
      <c r="AK5" s="20">
        <f t="shared" ref="AK5:AK20" si="27">AI5-AJ5</f>
        <v>-185755</v>
      </c>
      <c r="AL5" s="44"/>
      <c r="AM5" s="39">
        <f t="shared" ref="AM5:AM20" si="28">AL5*0.895</f>
        <v>0</v>
      </c>
      <c r="AN5" s="53">
        <f t="shared" ref="AN5:AN20" si="29">$AL$2+$AL$3+G40</f>
        <v>199327</v>
      </c>
      <c r="AO5" s="20">
        <f t="shared" ref="AO5:AO20" si="30">AM5-AN5</f>
        <v>-199327</v>
      </c>
      <c r="AP5" s="44"/>
      <c r="AQ5" s="39">
        <f t="shared" ref="AQ5:AQ20" si="31">AP5*0.895</f>
        <v>0</v>
      </c>
      <c r="AR5" s="53">
        <f t="shared" ref="AR5:AR20" si="32">$AP$2+$AP$3+G40</f>
        <v>187163</v>
      </c>
      <c r="AS5" s="20">
        <f t="shared" ref="AS5:AS20" si="33">AQ5-AR5</f>
        <v>-187163</v>
      </c>
      <c r="AT5" s="44"/>
      <c r="AU5" s="39">
        <f t="shared" ref="AU5:AU20" si="34">AT5*0.895</f>
        <v>0</v>
      </c>
      <c r="AV5" s="53">
        <f t="shared" ref="AV5:AV20" si="35">$AT$2+$AT$3+G40</f>
        <v>282761</v>
      </c>
      <c r="AW5" s="20">
        <f t="shared" ref="AW5:AW20" si="36">AU5-AV5</f>
        <v>-282761</v>
      </c>
      <c r="AX5" s="44"/>
      <c r="AY5" s="39">
        <f t="shared" ref="AY5:AY20" si="37">AX5*0.895</f>
        <v>0</v>
      </c>
      <c r="AZ5" s="53">
        <f t="shared" ref="AZ5:AZ20" si="38">$AX$2+$AX$3+G40</f>
        <v>439449</v>
      </c>
      <c r="BA5" s="20">
        <f t="shared" ref="BA5:BA20" si="39">AY5-AZ5</f>
        <v>-439449</v>
      </c>
    </row>
    <row r="6">
      <c r="A6" s="52" t="s">
        <v>108</v>
      </c>
      <c r="B6" s="44"/>
      <c r="C6" s="39">
        <f t="shared" si="1"/>
        <v>0</v>
      </c>
      <c r="D6" s="53">
        <f t="shared" si="2"/>
        <v>335834</v>
      </c>
      <c r="E6" s="20">
        <f t="shared" si="3"/>
        <v>-335834</v>
      </c>
      <c r="F6" s="44"/>
      <c r="G6" s="39">
        <f t="shared" si="4"/>
        <v>0</v>
      </c>
      <c r="H6" s="53">
        <f t="shared" si="5"/>
        <v>282277</v>
      </c>
      <c r="I6" s="20">
        <f t="shared" si="6"/>
        <v>-282277</v>
      </c>
      <c r="J6" s="46"/>
      <c r="K6" s="39">
        <f t="shared" si="7"/>
        <v>0</v>
      </c>
      <c r="L6" s="53">
        <f t="shared" si="8"/>
        <v>277962</v>
      </c>
      <c r="M6" s="20">
        <f t="shared" si="9"/>
        <v>-277962</v>
      </c>
      <c r="N6" s="44"/>
      <c r="O6" s="39">
        <f t="shared" si="10"/>
        <v>0</v>
      </c>
      <c r="P6" s="53">
        <f t="shared" si="11"/>
        <v>377753</v>
      </c>
      <c r="Q6" s="20">
        <f t="shared" si="12"/>
        <v>-377753</v>
      </c>
      <c r="R6" s="44"/>
      <c r="S6" s="39">
        <f t="shared" si="13"/>
        <v>0</v>
      </c>
      <c r="T6" s="53">
        <f t="shared" si="14"/>
        <v>272320</v>
      </c>
      <c r="U6" s="20">
        <f t="shared" si="15"/>
        <v>-272320</v>
      </c>
      <c r="V6" s="44"/>
      <c r="W6" s="39">
        <f t="shared" si="16"/>
        <v>0</v>
      </c>
      <c r="X6" s="53">
        <f t="shared" si="17"/>
        <v>225221</v>
      </c>
      <c r="Y6" s="20">
        <f t="shared" si="18"/>
        <v>-225221</v>
      </c>
      <c r="Z6" s="44"/>
      <c r="AA6" s="39">
        <f t="shared" si="19"/>
        <v>0</v>
      </c>
      <c r="AB6" s="53">
        <f t="shared" si="20"/>
        <v>198460</v>
      </c>
      <c r="AC6" s="20">
        <f t="shared" si="21"/>
        <v>-198460</v>
      </c>
      <c r="AD6" s="44"/>
      <c r="AE6" s="39">
        <f t="shared" si="22"/>
        <v>0</v>
      </c>
      <c r="AF6" s="53">
        <f t="shared" si="23"/>
        <v>299154</v>
      </c>
      <c r="AG6" s="20">
        <f t="shared" si="24"/>
        <v>-299154</v>
      </c>
      <c r="AH6" s="44"/>
      <c r="AI6" s="39">
        <f t="shared" si="25"/>
        <v>0</v>
      </c>
      <c r="AJ6" s="53">
        <f t="shared" si="26"/>
        <v>185748</v>
      </c>
      <c r="AK6" s="20">
        <f t="shared" si="27"/>
        <v>-185748</v>
      </c>
      <c r="AL6" s="44"/>
      <c r="AM6" s="39">
        <f t="shared" si="28"/>
        <v>0</v>
      </c>
      <c r="AN6" s="53">
        <f t="shared" si="29"/>
        <v>199320</v>
      </c>
      <c r="AO6" s="20">
        <f t="shared" si="30"/>
        <v>-199320</v>
      </c>
      <c r="AP6" s="44"/>
      <c r="AQ6" s="39">
        <f t="shared" si="31"/>
        <v>0</v>
      </c>
      <c r="AR6" s="53">
        <f t="shared" si="32"/>
        <v>187156</v>
      </c>
      <c r="AS6" s="20">
        <f t="shared" si="33"/>
        <v>-187156</v>
      </c>
      <c r="AT6" s="44"/>
      <c r="AU6" s="39">
        <f t="shared" si="34"/>
        <v>0</v>
      </c>
      <c r="AV6" s="53">
        <f t="shared" si="35"/>
        <v>282754</v>
      </c>
      <c r="AW6" s="20">
        <f t="shared" si="36"/>
        <v>-282754</v>
      </c>
      <c r="AX6" s="44"/>
      <c r="AY6" s="39">
        <f t="shared" si="37"/>
        <v>0</v>
      </c>
      <c r="AZ6" s="53">
        <f t="shared" si="38"/>
        <v>439442</v>
      </c>
      <c r="BA6" s="20">
        <f t="shared" si="39"/>
        <v>-439442</v>
      </c>
    </row>
    <row r="7">
      <c r="A7" s="52" t="s">
        <v>109</v>
      </c>
      <c r="B7" s="44"/>
      <c r="C7" s="39">
        <f t="shared" si="1"/>
        <v>0</v>
      </c>
      <c r="D7" s="53">
        <f t="shared" si="2"/>
        <v>335936</v>
      </c>
      <c r="E7" s="20">
        <f t="shared" si="3"/>
        <v>-335936</v>
      </c>
      <c r="F7" s="44"/>
      <c r="G7" s="39">
        <f t="shared" si="4"/>
        <v>0</v>
      </c>
      <c r="H7" s="53">
        <f t="shared" si="5"/>
        <v>282379</v>
      </c>
      <c r="I7" s="20">
        <f t="shared" si="6"/>
        <v>-282379</v>
      </c>
      <c r="J7" s="46"/>
      <c r="K7" s="39">
        <f t="shared" si="7"/>
        <v>0</v>
      </c>
      <c r="L7" s="53">
        <f t="shared" si="8"/>
        <v>278064</v>
      </c>
      <c r="M7" s="20">
        <f t="shared" si="9"/>
        <v>-278064</v>
      </c>
      <c r="N7" s="44"/>
      <c r="O7" s="39">
        <f t="shared" si="10"/>
        <v>0</v>
      </c>
      <c r="P7" s="53">
        <f t="shared" si="11"/>
        <v>377855</v>
      </c>
      <c r="Q7" s="20">
        <f t="shared" si="12"/>
        <v>-377855</v>
      </c>
      <c r="R7" s="44"/>
      <c r="S7" s="39">
        <f t="shared" si="13"/>
        <v>0</v>
      </c>
      <c r="T7" s="53">
        <f t="shared" si="14"/>
        <v>272422</v>
      </c>
      <c r="U7" s="20">
        <f t="shared" si="15"/>
        <v>-272422</v>
      </c>
      <c r="V7" s="44"/>
      <c r="W7" s="39">
        <f t="shared" si="16"/>
        <v>0</v>
      </c>
      <c r="X7" s="53">
        <f t="shared" si="17"/>
        <v>225323</v>
      </c>
      <c r="Y7" s="20">
        <f t="shared" si="18"/>
        <v>-225323</v>
      </c>
      <c r="Z7" s="44"/>
      <c r="AA7" s="39">
        <f t="shared" si="19"/>
        <v>0</v>
      </c>
      <c r="AB7" s="53">
        <f t="shared" si="20"/>
        <v>198562</v>
      </c>
      <c r="AC7" s="20">
        <f t="shared" si="21"/>
        <v>-198562</v>
      </c>
      <c r="AD7" s="44"/>
      <c r="AE7" s="39">
        <f t="shared" si="22"/>
        <v>0</v>
      </c>
      <c r="AF7" s="53">
        <f t="shared" si="23"/>
        <v>299256</v>
      </c>
      <c r="AG7" s="20">
        <f t="shared" si="24"/>
        <v>-299256</v>
      </c>
      <c r="AH7" s="44"/>
      <c r="AI7" s="39">
        <f t="shared" si="25"/>
        <v>0</v>
      </c>
      <c r="AJ7" s="53">
        <f t="shared" si="26"/>
        <v>185850</v>
      </c>
      <c r="AK7" s="20">
        <f t="shared" si="27"/>
        <v>-185850</v>
      </c>
      <c r="AL7" s="44"/>
      <c r="AM7" s="39">
        <f t="shared" si="28"/>
        <v>0</v>
      </c>
      <c r="AN7" s="53">
        <f t="shared" si="29"/>
        <v>199422</v>
      </c>
      <c r="AO7" s="20">
        <f t="shared" si="30"/>
        <v>-199422</v>
      </c>
      <c r="AP7" s="44"/>
      <c r="AQ7" s="39">
        <f t="shared" si="31"/>
        <v>0</v>
      </c>
      <c r="AR7" s="53">
        <f t="shared" si="32"/>
        <v>187258</v>
      </c>
      <c r="AS7" s="20">
        <f t="shared" si="33"/>
        <v>-187258</v>
      </c>
      <c r="AT7" s="44"/>
      <c r="AU7" s="39">
        <f t="shared" si="34"/>
        <v>0</v>
      </c>
      <c r="AV7" s="53">
        <f t="shared" si="35"/>
        <v>282856</v>
      </c>
      <c r="AW7" s="20">
        <f t="shared" si="36"/>
        <v>-282856</v>
      </c>
      <c r="AX7" s="44"/>
      <c r="AY7" s="39">
        <f t="shared" si="37"/>
        <v>0</v>
      </c>
      <c r="AZ7" s="53">
        <f t="shared" si="38"/>
        <v>439544</v>
      </c>
      <c r="BA7" s="20">
        <f t="shared" si="39"/>
        <v>-439544</v>
      </c>
    </row>
    <row r="8">
      <c r="A8" s="52" t="s">
        <v>110</v>
      </c>
      <c r="B8" s="44"/>
      <c r="C8" s="39">
        <f t="shared" si="1"/>
        <v>0</v>
      </c>
      <c r="D8" s="53">
        <f t="shared" si="2"/>
        <v>336759</v>
      </c>
      <c r="E8" s="20">
        <f t="shared" si="3"/>
        <v>-336759</v>
      </c>
      <c r="F8" s="44"/>
      <c r="G8" s="39">
        <f t="shared" si="4"/>
        <v>0</v>
      </c>
      <c r="H8" s="53">
        <f t="shared" si="5"/>
        <v>283202</v>
      </c>
      <c r="I8" s="20">
        <f t="shared" si="6"/>
        <v>-283202</v>
      </c>
      <c r="J8" s="46"/>
      <c r="K8" s="39">
        <f t="shared" si="7"/>
        <v>0</v>
      </c>
      <c r="L8" s="53">
        <f t="shared" si="8"/>
        <v>278887</v>
      </c>
      <c r="M8" s="20">
        <f t="shared" si="9"/>
        <v>-278887</v>
      </c>
      <c r="N8" s="44"/>
      <c r="O8" s="39">
        <f t="shared" si="10"/>
        <v>0</v>
      </c>
      <c r="P8" s="53">
        <f t="shared" si="11"/>
        <v>378678</v>
      </c>
      <c r="Q8" s="20">
        <f t="shared" si="12"/>
        <v>-378678</v>
      </c>
      <c r="R8" s="44"/>
      <c r="S8" s="39">
        <f t="shared" si="13"/>
        <v>0</v>
      </c>
      <c r="T8" s="53">
        <f t="shared" si="14"/>
        <v>273245</v>
      </c>
      <c r="U8" s="20">
        <f t="shared" si="15"/>
        <v>-273245</v>
      </c>
      <c r="V8" s="44"/>
      <c r="W8" s="39">
        <f t="shared" si="16"/>
        <v>0</v>
      </c>
      <c r="X8" s="53">
        <f t="shared" si="17"/>
        <v>226146</v>
      </c>
      <c r="Y8" s="20">
        <f t="shared" si="18"/>
        <v>-226146</v>
      </c>
      <c r="Z8" s="44"/>
      <c r="AA8" s="39">
        <f t="shared" si="19"/>
        <v>0</v>
      </c>
      <c r="AB8" s="53">
        <f t="shared" si="20"/>
        <v>199385</v>
      </c>
      <c r="AC8" s="20">
        <f t="shared" si="21"/>
        <v>-199385</v>
      </c>
      <c r="AD8" s="44"/>
      <c r="AE8" s="39">
        <f t="shared" si="22"/>
        <v>0</v>
      </c>
      <c r="AF8" s="53">
        <f t="shared" si="23"/>
        <v>300079</v>
      </c>
      <c r="AG8" s="20">
        <f t="shared" si="24"/>
        <v>-300079</v>
      </c>
      <c r="AH8" s="44"/>
      <c r="AI8" s="39">
        <f t="shared" si="25"/>
        <v>0</v>
      </c>
      <c r="AJ8" s="53">
        <f t="shared" si="26"/>
        <v>186673</v>
      </c>
      <c r="AK8" s="20">
        <f t="shared" si="27"/>
        <v>-186673</v>
      </c>
      <c r="AL8" s="44"/>
      <c r="AM8" s="39">
        <f t="shared" si="28"/>
        <v>0</v>
      </c>
      <c r="AN8" s="53">
        <f t="shared" si="29"/>
        <v>200245</v>
      </c>
      <c r="AO8" s="20">
        <f t="shared" si="30"/>
        <v>-200245</v>
      </c>
      <c r="AP8" s="44"/>
      <c r="AQ8" s="39">
        <f t="shared" si="31"/>
        <v>0</v>
      </c>
      <c r="AR8" s="53">
        <f t="shared" si="32"/>
        <v>188081</v>
      </c>
      <c r="AS8" s="20">
        <f t="shared" si="33"/>
        <v>-188081</v>
      </c>
      <c r="AT8" s="44"/>
      <c r="AU8" s="39">
        <f t="shared" si="34"/>
        <v>0</v>
      </c>
      <c r="AV8" s="53">
        <f t="shared" si="35"/>
        <v>283679</v>
      </c>
      <c r="AW8" s="20">
        <f t="shared" si="36"/>
        <v>-283679</v>
      </c>
      <c r="AX8" s="44"/>
      <c r="AY8" s="39">
        <f t="shared" si="37"/>
        <v>0</v>
      </c>
      <c r="AZ8" s="53">
        <f t="shared" si="38"/>
        <v>440367</v>
      </c>
      <c r="BA8" s="20">
        <f t="shared" si="39"/>
        <v>-440367</v>
      </c>
    </row>
    <row r="9">
      <c r="A9" s="52" t="s">
        <v>111</v>
      </c>
      <c r="B9" s="44"/>
      <c r="C9" s="39">
        <f t="shared" si="1"/>
        <v>0</v>
      </c>
      <c r="D9" s="53">
        <f t="shared" si="2"/>
        <v>348897</v>
      </c>
      <c r="E9" s="20">
        <f t="shared" si="3"/>
        <v>-348897</v>
      </c>
      <c r="F9" s="44"/>
      <c r="G9" s="39">
        <f t="shared" si="4"/>
        <v>0</v>
      </c>
      <c r="H9" s="53">
        <f t="shared" si="5"/>
        <v>295340</v>
      </c>
      <c r="I9" s="20">
        <f t="shared" si="6"/>
        <v>-295340</v>
      </c>
      <c r="J9" s="46"/>
      <c r="K9" s="39">
        <f t="shared" si="7"/>
        <v>0</v>
      </c>
      <c r="L9" s="53">
        <f t="shared" si="8"/>
        <v>291025</v>
      </c>
      <c r="M9" s="20">
        <f t="shared" si="9"/>
        <v>-291025</v>
      </c>
      <c r="N9" s="44"/>
      <c r="O9" s="39">
        <f t="shared" si="10"/>
        <v>0</v>
      </c>
      <c r="P9" s="53">
        <f t="shared" si="11"/>
        <v>390816</v>
      </c>
      <c r="Q9" s="20">
        <f t="shared" si="12"/>
        <v>-390816</v>
      </c>
      <c r="R9" s="44"/>
      <c r="S9" s="39">
        <f t="shared" si="13"/>
        <v>0</v>
      </c>
      <c r="T9" s="53">
        <f t="shared" si="14"/>
        <v>285383</v>
      </c>
      <c r="U9" s="20">
        <f t="shared" si="15"/>
        <v>-285383</v>
      </c>
      <c r="V9" s="44"/>
      <c r="W9" s="39">
        <f t="shared" si="16"/>
        <v>0</v>
      </c>
      <c r="X9" s="53">
        <f t="shared" si="17"/>
        <v>238284</v>
      </c>
      <c r="Y9" s="20">
        <f t="shared" si="18"/>
        <v>-238284</v>
      </c>
      <c r="Z9" s="44"/>
      <c r="AA9" s="39">
        <f t="shared" si="19"/>
        <v>0</v>
      </c>
      <c r="AB9" s="53">
        <f t="shared" si="20"/>
        <v>211523</v>
      </c>
      <c r="AC9" s="20">
        <f t="shared" si="21"/>
        <v>-211523</v>
      </c>
      <c r="AD9" s="44"/>
      <c r="AE9" s="39">
        <f t="shared" si="22"/>
        <v>0</v>
      </c>
      <c r="AF9" s="53">
        <f t="shared" si="23"/>
        <v>312217</v>
      </c>
      <c r="AG9" s="20">
        <f t="shared" si="24"/>
        <v>-312217</v>
      </c>
      <c r="AH9" s="44"/>
      <c r="AI9" s="39">
        <f t="shared" si="25"/>
        <v>0</v>
      </c>
      <c r="AJ9" s="53">
        <f t="shared" si="26"/>
        <v>198811</v>
      </c>
      <c r="AK9" s="20">
        <f t="shared" si="27"/>
        <v>-198811</v>
      </c>
      <c r="AL9" s="44"/>
      <c r="AM9" s="39">
        <f t="shared" si="28"/>
        <v>0</v>
      </c>
      <c r="AN9" s="53">
        <f t="shared" si="29"/>
        <v>212383</v>
      </c>
      <c r="AO9" s="20">
        <f t="shared" si="30"/>
        <v>-212383</v>
      </c>
      <c r="AP9" s="44"/>
      <c r="AQ9" s="39">
        <f t="shared" si="31"/>
        <v>0</v>
      </c>
      <c r="AR9" s="53">
        <f t="shared" si="32"/>
        <v>200219</v>
      </c>
      <c r="AS9" s="20">
        <f t="shared" si="33"/>
        <v>-200219</v>
      </c>
      <c r="AT9" s="44"/>
      <c r="AU9" s="39">
        <f t="shared" si="34"/>
        <v>0</v>
      </c>
      <c r="AV9" s="53">
        <f t="shared" si="35"/>
        <v>295817</v>
      </c>
      <c r="AW9" s="20">
        <f t="shared" si="36"/>
        <v>-295817</v>
      </c>
      <c r="AX9" s="44"/>
      <c r="AY9" s="39">
        <f t="shared" si="37"/>
        <v>0</v>
      </c>
      <c r="AZ9" s="53">
        <f t="shared" si="38"/>
        <v>452505</v>
      </c>
      <c r="BA9" s="20">
        <f t="shared" si="39"/>
        <v>-452505</v>
      </c>
    </row>
    <row r="10">
      <c r="A10" s="52" t="s">
        <v>112</v>
      </c>
      <c r="B10" s="44"/>
      <c r="C10" s="39">
        <f t="shared" si="1"/>
        <v>0</v>
      </c>
      <c r="D10" s="53">
        <f t="shared" si="2"/>
        <v>348890</v>
      </c>
      <c r="E10" s="20">
        <f t="shared" si="3"/>
        <v>-348890</v>
      </c>
      <c r="F10" s="44"/>
      <c r="G10" s="39">
        <f t="shared" si="4"/>
        <v>0</v>
      </c>
      <c r="H10" s="53">
        <f t="shared" si="5"/>
        <v>295333</v>
      </c>
      <c r="I10" s="20">
        <f t="shared" si="6"/>
        <v>-295333</v>
      </c>
      <c r="J10" s="46"/>
      <c r="K10" s="39">
        <f t="shared" si="7"/>
        <v>0</v>
      </c>
      <c r="L10" s="53">
        <f t="shared" si="8"/>
        <v>291018</v>
      </c>
      <c r="M10" s="20">
        <f t="shared" si="9"/>
        <v>-291018</v>
      </c>
      <c r="N10" s="44"/>
      <c r="O10" s="39">
        <f t="shared" si="10"/>
        <v>0</v>
      </c>
      <c r="P10" s="53">
        <f t="shared" si="11"/>
        <v>390809</v>
      </c>
      <c r="Q10" s="20">
        <f t="shared" si="12"/>
        <v>-390809</v>
      </c>
      <c r="R10" s="44"/>
      <c r="S10" s="39">
        <f t="shared" si="13"/>
        <v>0</v>
      </c>
      <c r="T10" s="53">
        <f t="shared" si="14"/>
        <v>285376</v>
      </c>
      <c r="U10" s="20">
        <f t="shared" si="15"/>
        <v>-285376</v>
      </c>
      <c r="V10" s="44"/>
      <c r="W10" s="39">
        <f t="shared" si="16"/>
        <v>0</v>
      </c>
      <c r="X10" s="53">
        <f t="shared" si="17"/>
        <v>238277</v>
      </c>
      <c r="Y10" s="20">
        <f t="shared" si="18"/>
        <v>-238277</v>
      </c>
      <c r="Z10" s="44"/>
      <c r="AA10" s="39">
        <f t="shared" si="19"/>
        <v>0</v>
      </c>
      <c r="AB10" s="53">
        <f t="shared" si="20"/>
        <v>211516</v>
      </c>
      <c r="AC10" s="20">
        <f t="shared" si="21"/>
        <v>-211516</v>
      </c>
      <c r="AD10" s="44"/>
      <c r="AE10" s="39">
        <f t="shared" si="22"/>
        <v>0</v>
      </c>
      <c r="AF10" s="53">
        <f t="shared" si="23"/>
        <v>312210</v>
      </c>
      <c r="AG10" s="20">
        <f t="shared" si="24"/>
        <v>-312210</v>
      </c>
      <c r="AH10" s="44"/>
      <c r="AI10" s="39">
        <f t="shared" si="25"/>
        <v>0</v>
      </c>
      <c r="AJ10" s="53">
        <f t="shared" si="26"/>
        <v>198804</v>
      </c>
      <c r="AK10" s="20">
        <f t="shared" si="27"/>
        <v>-198804</v>
      </c>
      <c r="AL10" s="44"/>
      <c r="AM10" s="39">
        <f t="shared" si="28"/>
        <v>0</v>
      </c>
      <c r="AN10" s="53">
        <f t="shared" si="29"/>
        <v>212376</v>
      </c>
      <c r="AO10" s="20">
        <f t="shared" si="30"/>
        <v>-212376</v>
      </c>
      <c r="AP10" s="44"/>
      <c r="AQ10" s="39">
        <f t="shared" si="31"/>
        <v>0</v>
      </c>
      <c r="AR10" s="53">
        <f t="shared" si="32"/>
        <v>200212</v>
      </c>
      <c r="AS10" s="20">
        <f t="shared" si="33"/>
        <v>-200212</v>
      </c>
      <c r="AT10" s="44"/>
      <c r="AU10" s="39">
        <f t="shared" si="34"/>
        <v>0</v>
      </c>
      <c r="AV10" s="53">
        <f t="shared" si="35"/>
        <v>295810</v>
      </c>
      <c r="AW10" s="20">
        <f t="shared" si="36"/>
        <v>-295810</v>
      </c>
      <c r="AX10" s="44"/>
      <c r="AY10" s="39">
        <f t="shared" si="37"/>
        <v>0</v>
      </c>
      <c r="AZ10" s="53">
        <f t="shared" si="38"/>
        <v>452498</v>
      </c>
      <c r="BA10" s="20">
        <f t="shared" si="39"/>
        <v>-452498</v>
      </c>
    </row>
    <row r="11">
      <c r="A11" s="52" t="s">
        <v>113</v>
      </c>
      <c r="B11" s="44"/>
      <c r="C11" s="39">
        <f t="shared" si="1"/>
        <v>0</v>
      </c>
      <c r="D11" s="53">
        <f t="shared" si="2"/>
        <v>348992</v>
      </c>
      <c r="E11" s="20">
        <f t="shared" si="3"/>
        <v>-348992</v>
      </c>
      <c r="F11" s="44"/>
      <c r="G11" s="39">
        <f t="shared" si="4"/>
        <v>0</v>
      </c>
      <c r="H11" s="53">
        <f t="shared" si="5"/>
        <v>295435</v>
      </c>
      <c r="I11" s="20">
        <f t="shared" si="6"/>
        <v>-295435</v>
      </c>
      <c r="J11" s="46"/>
      <c r="K11" s="39">
        <f t="shared" si="7"/>
        <v>0</v>
      </c>
      <c r="L11" s="53">
        <f t="shared" si="8"/>
        <v>291120</v>
      </c>
      <c r="M11" s="20">
        <f t="shared" si="9"/>
        <v>-291120</v>
      </c>
      <c r="N11" s="44"/>
      <c r="O11" s="39">
        <f t="shared" si="10"/>
        <v>0</v>
      </c>
      <c r="P11" s="53">
        <f t="shared" si="11"/>
        <v>390911</v>
      </c>
      <c r="Q11" s="20">
        <f t="shared" si="12"/>
        <v>-390911</v>
      </c>
      <c r="R11" s="44"/>
      <c r="S11" s="39">
        <f t="shared" si="13"/>
        <v>0</v>
      </c>
      <c r="T11" s="53">
        <f t="shared" si="14"/>
        <v>285478</v>
      </c>
      <c r="U11" s="20">
        <f t="shared" si="15"/>
        <v>-285478</v>
      </c>
      <c r="V11" s="44"/>
      <c r="W11" s="39">
        <f t="shared" si="16"/>
        <v>0</v>
      </c>
      <c r="X11" s="53">
        <f t="shared" si="17"/>
        <v>238379</v>
      </c>
      <c r="Y11" s="20">
        <f t="shared" si="18"/>
        <v>-238379</v>
      </c>
      <c r="Z11" s="44"/>
      <c r="AA11" s="39">
        <f t="shared" si="19"/>
        <v>0</v>
      </c>
      <c r="AB11" s="53">
        <f t="shared" si="20"/>
        <v>211618</v>
      </c>
      <c r="AC11" s="20">
        <f t="shared" si="21"/>
        <v>-211618</v>
      </c>
      <c r="AD11" s="44"/>
      <c r="AE11" s="39">
        <f t="shared" si="22"/>
        <v>0</v>
      </c>
      <c r="AF11" s="53">
        <f t="shared" si="23"/>
        <v>312312</v>
      </c>
      <c r="AG11" s="20">
        <f t="shared" si="24"/>
        <v>-312312</v>
      </c>
      <c r="AH11" s="44"/>
      <c r="AI11" s="39">
        <f t="shared" si="25"/>
        <v>0</v>
      </c>
      <c r="AJ11" s="53">
        <f t="shared" si="26"/>
        <v>198906</v>
      </c>
      <c r="AK11" s="20">
        <f t="shared" si="27"/>
        <v>-198906</v>
      </c>
      <c r="AL11" s="44"/>
      <c r="AM11" s="39">
        <f t="shared" si="28"/>
        <v>0</v>
      </c>
      <c r="AN11" s="53">
        <f t="shared" si="29"/>
        <v>212478</v>
      </c>
      <c r="AO11" s="20">
        <f t="shared" si="30"/>
        <v>-212478</v>
      </c>
      <c r="AP11" s="44"/>
      <c r="AQ11" s="39">
        <f t="shared" si="31"/>
        <v>0</v>
      </c>
      <c r="AR11" s="53">
        <f t="shared" si="32"/>
        <v>200314</v>
      </c>
      <c r="AS11" s="20">
        <f t="shared" si="33"/>
        <v>-200314</v>
      </c>
      <c r="AT11" s="44"/>
      <c r="AU11" s="39">
        <f t="shared" si="34"/>
        <v>0</v>
      </c>
      <c r="AV11" s="53">
        <f t="shared" si="35"/>
        <v>295912</v>
      </c>
      <c r="AW11" s="20">
        <f t="shared" si="36"/>
        <v>-295912</v>
      </c>
      <c r="AX11" s="44"/>
      <c r="AY11" s="39">
        <f t="shared" si="37"/>
        <v>0</v>
      </c>
      <c r="AZ11" s="53">
        <f t="shared" si="38"/>
        <v>452600</v>
      </c>
      <c r="BA11" s="20">
        <f t="shared" si="39"/>
        <v>-452600</v>
      </c>
    </row>
    <row r="12">
      <c r="A12" s="52" t="s">
        <v>114</v>
      </c>
      <c r="B12" s="44"/>
      <c r="C12" s="39">
        <f t="shared" si="1"/>
        <v>0</v>
      </c>
      <c r="D12" s="53">
        <f t="shared" si="2"/>
        <v>349815</v>
      </c>
      <c r="E12" s="20">
        <f t="shared" si="3"/>
        <v>-349815</v>
      </c>
      <c r="F12" s="44"/>
      <c r="G12" s="39">
        <f t="shared" si="4"/>
        <v>0</v>
      </c>
      <c r="H12" s="53">
        <f t="shared" si="5"/>
        <v>296258</v>
      </c>
      <c r="I12" s="20">
        <f t="shared" si="6"/>
        <v>-296258</v>
      </c>
      <c r="J12" s="46"/>
      <c r="K12" s="39">
        <f t="shared" si="7"/>
        <v>0</v>
      </c>
      <c r="L12" s="53">
        <f t="shared" si="8"/>
        <v>291943</v>
      </c>
      <c r="M12" s="20">
        <f t="shared" si="9"/>
        <v>-291943</v>
      </c>
      <c r="N12" s="44"/>
      <c r="O12" s="39">
        <f t="shared" si="10"/>
        <v>0</v>
      </c>
      <c r="P12" s="53">
        <f t="shared" si="11"/>
        <v>391734</v>
      </c>
      <c r="Q12" s="20">
        <f t="shared" si="12"/>
        <v>-391734</v>
      </c>
      <c r="R12" s="44"/>
      <c r="S12" s="39">
        <f t="shared" si="13"/>
        <v>0</v>
      </c>
      <c r="T12" s="53">
        <f t="shared" si="14"/>
        <v>286301</v>
      </c>
      <c r="U12" s="20">
        <f t="shared" si="15"/>
        <v>-286301</v>
      </c>
      <c r="V12" s="44"/>
      <c r="W12" s="39">
        <f t="shared" si="16"/>
        <v>0</v>
      </c>
      <c r="X12" s="53">
        <f t="shared" si="17"/>
        <v>239202</v>
      </c>
      <c r="Y12" s="20">
        <f t="shared" si="18"/>
        <v>-239202</v>
      </c>
      <c r="Z12" s="44"/>
      <c r="AA12" s="39">
        <f t="shared" si="19"/>
        <v>0</v>
      </c>
      <c r="AB12" s="53">
        <f t="shared" si="20"/>
        <v>212441</v>
      </c>
      <c r="AC12" s="20">
        <f t="shared" si="21"/>
        <v>-212441</v>
      </c>
      <c r="AD12" s="44"/>
      <c r="AE12" s="39">
        <f t="shared" si="22"/>
        <v>0</v>
      </c>
      <c r="AF12" s="53">
        <f t="shared" si="23"/>
        <v>313135</v>
      </c>
      <c r="AG12" s="20">
        <f t="shared" si="24"/>
        <v>-313135</v>
      </c>
      <c r="AH12" s="44"/>
      <c r="AI12" s="39">
        <f t="shared" si="25"/>
        <v>0</v>
      </c>
      <c r="AJ12" s="53">
        <f t="shared" si="26"/>
        <v>199729</v>
      </c>
      <c r="AK12" s="20">
        <f t="shared" si="27"/>
        <v>-199729</v>
      </c>
      <c r="AL12" s="44"/>
      <c r="AM12" s="39">
        <f t="shared" si="28"/>
        <v>0</v>
      </c>
      <c r="AN12" s="53">
        <f t="shared" si="29"/>
        <v>213301</v>
      </c>
      <c r="AO12" s="20">
        <f t="shared" si="30"/>
        <v>-213301</v>
      </c>
      <c r="AP12" s="44"/>
      <c r="AQ12" s="39">
        <f t="shared" si="31"/>
        <v>0</v>
      </c>
      <c r="AR12" s="53">
        <f t="shared" si="32"/>
        <v>201137</v>
      </c>
      <c r="AS12" s="20">
        <f t="shared" si="33"/>
        <v>-201137</v>
      </c>
      <c r="AT12" s="44"/>
      <c r="AU12" s="39">
        <f t="shared" si="34"/>
        <v>0</v>
      </c>
      <c r="AV12" s="53">
        <f t="shared" si="35"/>
        <v>296735</v>
      </c>
      <c r="AW12" s="20">
        <f t="shared" si="36"/>
        <v>-296735</v>
      </c>
      <c r="AX12" s="44"/>
      <c r="AY12" s="39">
        <f t="shared" si="37"/>
        <v>0</v>
      </c>
      <c r="AZ12" s="53">
        <f t="shared" si="38"/>
        <v>453423</v>
      </c>
      <c r="BA12" s="20">
        <f t="shared" si="39"/>
        <v>-453423</v>
      </c>
    </row>
    <row r="13">
      <c r="A13" s="52" t="s">
        <v>115</v>
      </c>
      <c r="B13" s="44"/>
      <c r="C13" s="39">
        <f t="shared" si="1"/>
        <v>0</v>
      </c>
      <c r="D13" s="53">
        <f t="shared" si="2"/>
        <v>410961</v>
      </c>
      <c r="E13" s="20">
        <f t="shared" si="3"/>
        <v>-410961</v>
      </c>
      <c r="F13" s="44"/>
      <c r="G13" s="39">
        <f t="shared" si="4"/>
        <v>0</v>
      </c>
      <c r="H13" s="53">
        <f t="shared" si="5"/>
        <v>357404</v>
      </c>
      <c r="I13" s="20">
        <f t="shared" si="6"/>
        <v>-357404</v>
      </c>
      <c r="J13" s="46"/>
      <c r="K13" s="39">
        <f t="shared" si="7"/>
        <v>0</v>
      </c>
      <c r="L13" s="53">
        <f t="shared" si="8"/>
        <v>353089</v>
      </c>
      <c r="M13" s="20">
        <f t="shared" si="9"/>
        <v>-353089</v>
      </c>
      <c r="N13" s="44"/>
      <c r="O13" s="39">
        <f t="shared" si="10"/>
        <v>0</v>
      </c>
      <c r="P13" s="53">
        <f t="shared" si="11"/>
        <v>452880</v>
      </c>
      <c r="Q13" s="20">
        <f t="shared" si="12"/>
        <v>-452880</v>
      </c>
      <c r="R13" s="44"/>
      <c r="S13" s="39">
        <f t="shared" si="13"/>
        <v>0</v>
      </c>
      <c r="T13" s="53">
        <f t="shared" si="14"/>
        <v>347447</v>
      </c>
      <c r="U13" s="20">
        <f t="shared" si="15"/>
        <v>-347447</v>
      </c>
      <c r="V13" s="44"/>
      <c r="W13" s="39">
        <f t="shared" si="16"/>
        <v>0</v>
      </c>
      <c r="X13" s="53">
        <f t="shared" si="17"/>
        <v>300348</v>
      </c>
      <c r="Y13" s="20">
        <f t="shared" si="18"/>
        <v>-300348</v>
      </c>
      <c r="Z13" s="44"/>
      <c r="AA13" s="39">
        <f t="shared" si="19"/>
        <v>0</v>
      </c>
      <c r="AB13" s="53">
        <f t="shared" si="20"/>
        <v>273587</v>
      </c>
      <c r="AC13" s="20">
        <f t="shared" si="21"/>
        <v>-273587</v>
      </c>
      <c r="AD13" s="44"/>
      <c r="AE13" s="39">
        <f t="shared" si="22"/>
        <v>0</v>
      </c>
      <c r="AF13" s="53">
        <f t="shared" si="23"/>
        <v>374281</v>
      </c>
      <c r="AG13" s="20">
        <f t="shared" si="24"/>
        <v>-374281</v>
      </c>
      <c r="AH13" s="44"/>
      <c r="AI13" s="39">
        <f t="shared" si="25"/>
        <v>0</v>
      </c>
      <c r="AJ13" s="53">
        <f t="shared" si="26"/>
        <v>260875</v>
      </c>
      <c r="AK13" s="20">
        <f t="shared" si="27"/>
        <v>-260875</v>
      </c>
      <c r="AL13" s="44"/>
      <c r="AM13" s="39">
        <f t="shared" si="28"/>
        <v>0</v>
      </c>
      <c r="AN13" s="53">
        <f t="shared" si="29"/>
        <v>274447</v>
      </c>
      <c r="AO13" s="20">
        <f t="shared" si="30"/>
        <v>-274447</v>
      </c>
      <c r="AP13" s="44"/>
      <c r="AQ13" s="39">
        <f t="shared" si="31"/>
        <v>0</v>
      </c>
      <c r="AR13" s="53">
        <f t="shared" si="32"/>
        <v>262283</v>
      </c>
      <c r="AS13" s="20">
        <f t="shared" si="33"/>
        <v>-262283</v>
      </c>
      <c r="AT13" s="44"/>
      <c r="AU13" s="39">
        <f t="shared" si="34"/>
        <v>0</v>
      </c>
      <c r="AV13" s="53">
        <f t="shared" si="35"/>
        <v>357881</v>
      </c>
      <c r="AW13" s="20">
        <f t="shared" si="36"/>
        <v>-357881</v>
      </c>
      <c r="AX13" s="44"/>
      <c r="AY13" s="39">
        <f t="shared" si="37"/>
        <v>0</v>
      </c>
      <c r="AZ13" s="53">
        <f t="shared" si="38"/>
        <v>514569</v>
      </c>
      <c r="BA13" s="20">
        <f t="shared" si="39"/>
        <v>-514569</v>
      </c>
    </row>
    <row r="14">
      <c r="A14" s="52" t="s">
        <v>116</v>
      </c>
      <c r="B14" s="44"/>
      <c r="C14" s="39">
        <f t="shared" si="1"/>
        <v>0</v>
      </c>
      <c r="D14" s="53">
        <f t="shared" si="2"/>
        <v>410954</v>
      </c>
      <c r="E14" s="20">
        <f t="shared" si="3"/>
        <v>-410954</v>
      </c>
      <c r="F14" s="44"/>
      <c r="G14" s="39">
        <f t="shared" si="4"/>
        <v>0</v>
      </c>
      <c r="H14" s="53">
        <f t="shared" si="5"/>
        <v>357397</v>
      </c>
      <c r="I14" s="20">
        <f t="shared" si="6"/>
        <v>-357397</v>
      </c>
      <c r="J14" s="46"/>
      <c r="K14" s="39">
        <f t="shared" si="7"/>
        <v>0</v>
      </c>
      <c r="L14" s="53">
        <f t="shared" si="8"/>
        <v>353082</v>
      </c>
      <c r="M14" s="20">
        <f t="shared" si="9"/>
        <v>-353082</v>
      </c>
      <c r="N14" s="44"/>
      <c r="O14" s="39">
        <f t="shared" si="10"/>
        <v>0</v>
      </c>
      <c r="P14" s="53">
        <f t="shared" si="11"/>
        <v>452873</v>
      </c>
      <c r="Q14" s="20">
        <f t="shared" si="12"/>
        <v>-452873</v>
      </c>
      <c r="R14" s="44"/>
      <c r="S14" s="39">
        <f t="shared" si="13"/>
        <v>0</v>
      </c>
      <c r="T14" s="53">
        <f t="shared" si="14"/>
        <v>347440</v>
      </c>
      <c r="U14" s="20">
        <f t="shared" si="15"/>
        <v>-347440</v>
      </c>
      <c r="V14" s="44"/>
      <c r="W14" s="39">
        <f t="shared" si="16"/>
        <v>0</v>
      </c>
      <c r="X14" s="53">
        <f t="shared" si="17"/>
        <v>300341</v>
      </c>
      <c r="Y14" s="20">
        <f t="shared" si="18"/>
        <v>-300341</v>
      </c>
      <c r="Z14" s="44"/>
      <c r="AA14" s="39">
        <f t="shared" si="19"/>
        <v>0</v>
      </c>
      <c r="AB14" s="53">
        <f t="shared" si="20"/>
        <v>273580</v>
      </c>
      <c r="AC14" s="20">
        <f t="shared" si="21"/>
        <v>-273580</v>
      </c>
      <c r="AD14" s="44"/>
      <c r="AE14" s="39">
        <f t="shared" si="22"/>
        <v>0</v>
      </c>
      <c r="AF14" s="53">
        <f t="shared" si="23"/>
        <v>374274</v>
      </c>
      <c r="AG14" s="20">
        <f t="shared" si="24"/>
        <v>-374274</v>
      </c>
      <c r="AH14" s="44"/>
      <c r="AI14" s="39">
        <f t="shared" si="25"/>
        <v>0</v>
      </c>
      <c r="AJ14" s="53">
        <f t="shared" si="26"/>
        <v>260868</v>
      </c>
      <c r="AK14" s="20">
        <f t="shared" si="27"/>
        <v>-260868</v>
      </c>
      <c r="AL14" s="44"/>
      <c r="AM14" s="39">
        <f t="shared" si="28"/>
        <v>0</v>
      </c>
      <c r="AN14" s="53">
        <f t="shared" si="29"/>
        <v>274440</v>
      </c>
      <c r="AO14" s="20">
        <f t="shared" si="30"/>
        <v>-274440</v>
      </c>
      <c r="AP14" s="44"/>
      <c r="AQ14" s="39">
        <f t="shared" si="31"/>
        <v>0</v>
      </c>
      <c r="AR14" s="53">
        <f t="shared" si="32"/>
        <v>262276</v>
      </c>
      <c r="AS14" s="20">
        <f t="shared" si="33"/>
        <v>-262276</v>
      </c>
      <c r="AT14" s="44"/>
      <c r="AU14" s="39">
        <f t="shared" si="34"/>
        <v>0</v>
      </c>
      <c r="AV14" s="53">
        <f t="shared" si="35"/>
        <v>357874</v>
      </c>
      <c r="AW14" s="20">
        <f t="shared" si="36"/>
        <v>-357874</v>
      </c>
      <c r="AX14" s="44"/>
      <c r="AY14" s="39">
        <f t="shared" si="37"/>
        <v>0</v>
      </c>
      <c r="AZ14" s="53">
        <f t="shared" si="38"/>
        <v>514562</v>
      </c>
      <c r="BA14" s="20">
        <f t="shared" si="39"/>
        <v>-514562</v>
      </c>
    </row>
    <row r="15">
      <c r="A15" s="52" t="s">
        <v>117</v>
      </c>
      <c r="B15" s="44"/>
      <c r="C15" s="39">
        <f t="shared" si="1"/>
        <v>0</v>
      </c>
      <c r="D15" s="53">
        <f t="shared" si="2"/>
        <v>411056</v>
      </c>
      <c r="E15" s="20">
        <f t="shared" si="3"/>
        <v>-411056</v>
      </c>
      <c r="F15" s="44"/>
      <c r="G15" s="39">
        <f t="shared" si="4"/>
        <v>0</v>
      </c>
      <c r="H15" s="53">
        <f t="shared" si="5"/>
        <v>357499</v>
      </c>
      <c r="I15" s="20">
        <f t="shared" si="6"/>
        <v>-357499</v>
      </c>
      <c r="J15" s="46"/>
      <c r="K15" s="39">
        <f t="shared" si="7"/>
        <v>0</v>
      </c>
      <c r="L15" s="53">
        <f t="shared" si="8"/>
        <v>353184</v>
      </c>
      <c r="M15" s="20">
        <f t="shared" si="9"/>
        <v>-353184</v>
      </c>
      <c r="N15" s="44"/>
      <c r="O15" s="39">
        <f t="shared" si="10"/>
        <v>0</v>
      </c>
      <c r="P15" s="53">
        <f t="shared" si="11"/>
        <v>452975</v>
      </c>
      <c r="Q15" s="20">
        <f t="shared" si="12"/>
        <v>-452975</v>
      </c>
      <c r="R15" s="44"/>
      <c r="S15" s="39">
        <f t="shared" si="13"/>
        <v>0</v>
      </c>
      <c r="T15" s="53">
        <f t="shared" si="14"/>
        <v>347542</v>
      </c>
      <c r="U15" s="20">
        <f t="shared" si="15"/>
        <v>-347542</v>
      </c>
      <c r="V15" s="44"/>
      <c r="W15" s="39">
        <f t="shared" si="16"/>
        <v>0</v>
      </c>
      <c r="X15" s="53">
        <f t="shared" si="17"/>
        <v>300443</v>
      </c>
      <c r="Y15" s="20">
        <f t="shared" si="18"/>
        <v>-300443</v>
      </c>
      <c r="Z15" s="44"/>
      <c r="AA15" s="39">
        <f t="shared" si="19"/>
        <v>0</v>
      </c>
      <c r="AB15" s="53">
        <f t="shared" si="20"/>
        <v>273682</v>
      </c>
      <c r="AC15" s="20">
        <f t="shared" si="21"/>
        <v>-273682</v>
      </c>
      <c r="AD15" s="44"/>
      <c r="AE15" s="39">
        <f t="shared" si="22"/>
        <v>0</v>
      </c>
      <c r="AF15" s="53">
        <f t="shared" si="23"/>
        <v>374376</v>
      </c>
      <c r="AG15" s="20">
        <f t="shared" si="24"/>
        <v>-374376</v>
      </c>
      <c r="AH15" s="44"/>
      <c r="AI15" s="39">
        <f t="shared" si="25"/>
        <v>0</v>
      </c>
      <c r="AJ15" s="53">
        <f t="shared" si="26"/>
        <v>260970</v>
      </c>
      <c r="AK15" s="20">
        <f t="shared" si="27"/>
        <v>-260970</v>
      </c>
      <c r="AL15" s="44"/>
      <c r="AM15" s="39">
        <f t="shared" si="28"/>
        <v>0</v>
      </c>
      <c r="AN15" s="53">
        <f t="shared" si="29"/>
        <v>274542</v>
      </c>
      <c r="AO15" s="20">
        <f t="shared" si="30"/>
        <v>-274542</v>
      </c>
      <c r="AP15" s="44"/>
      <c r="AQ15" s="39">
        <f t="shared" si="31"/>
        <v>0</v>
      </c>
      <c r="AR15" s="53">
        <f t="shared" si="32"/>
        <v>262378</v>
      </c>
      <c r="AS15" s="20">
        <f t="shared" si="33"/>
        <v>-262378</v>
      </c>
      <c r="AT15" s="44"/>
      <c r="AU15" s="39">
        <f t="shared" si="34"/>
        <v>0</v>
      </c>
      <c r="AV15" s="53">
        <f t="shared" si="35"/>
        <v>357976</v>
      </c>
      <c r="AW15" s="20">
        <f t="shared" si="36"/>
        <v>-357976</v>
      </c>
      <c r="AX15" s="44"/>
      <c r="AY15" s="39">
        <f t="shared" si="37"/>
        <v>0</v>
      </c>
      <c r="AZ15" s="53">
        <f t="shared" si="38"/>
        <v>514664</v>
      </c>
      <c r="BA15" s="20">
        <f t="shared" si="39"/>
        <v>-514664</v>
      </c>
    </row>
    <row r="16">
      <c r="A16" s="52" t="s">
        <v>118</v>
      </c>
      <c r="B16" s="44"/>
      <c r="C16" s="39">
        <f t="shared" si="1"/>
        <v>0</v>
      </c>
      <c r="D16" s="53">
        <f t="shared" si="2"/>
        <v>411879</v>
      </c>
      <c r="E16" s="20">
        <f t="shared" si="3"/>
        <v>-411879</v>
      </c>
      <c r="F16" s="44"/>
      <c r="G16" s="39">
        <f t="shared" si="4"/>
        <v>0</v>
      </c>
      <c r="H16" s="53">
        <f t="shared" si="5"/>
        <v>358322</v>
      </c>
      <c r="I16" s="20">
        <f t="shared" si="6"/>
        <v>-358322</v>
      </c>
      <c r="J16" s="46"/>
      <c r="K16" s="39">
        <f t="shared" si="7"/>
        <v>0</v>
      </c>
      <c r="L16" s="53">
        <f t="shared" si="8"/>
        <v>354007</v>
      </c>
      <c r="M16" s="20">
        <f t="shared" si="9"/>
        <v>-354007</v>
      </c>
      <c r="N16" s="44"/>
      <c r="O16" s="39">
        <f t="shared" si="10"/>
        <v>0</v>
      </c>
      <c r="P16" s="53">
        <f t="shared" si="11"/>
        <v>453798</v>
      </c>
      <c r="Q16" s="20">
        <f t="shared" si="12"/>
        <v>-453798</v>
      </c>
      <c r="R16" s="44"/>
      <c r="S16" s="39">
        <f t="shared" si="13"/>
        <v>0</v>
      </c>
      <c r="T16" s="53">
        <f t="shared" si="14"/>
        <v>348365</v>
      </c>
      <c r="U16" s="20">
        <f t="shared" si="15"/>
        <v>-348365</v>
      </c>
      <c r="V16" s="44"/>
      <c r="W16" s="39">
        <f t="shared" si="16"/>
        <v>0</v>
      </c>
      <c r="X16" s="53">
        <f t="shared" si="17"/>
        <v>301266</v>
      </c>
      <c r="Y16" s="20">
        <f t="shared" si="18"/>
        <v>-301266</v>
      </c>
      <c r="Z16" s="44"/>
      <c r="AA16" s="39">
        <f t="shared" si="19"/>
        <v>0</v>
      </c>
      <c r="AB16" s="53">
        <f t="shared" si="20"/>
        <v>274505</v>
      </c>
      <c r="AC16" s="20">
        <f t="shared" si="21"/>
        <v>-274505</v>
      </c>
      <c r="AD16" s="44"/>
      <c r="AE16" s="39">
        <f t="shared" si="22"/>
        <v>0</v>
      </c>
      <c r="AF16" s="53">
        <f t="shared" si="23"/>
        <v>375199</v>
      </c>
      <c r="AG16" s="20">
        <f t="shared" si="24"/>
        <v>-375199</v>
      </c>
      <c r="AH16" s="44"/>
      <c r="AI16" s="39">
        <f t="shared" si="25"/>
        <v>0</v>
      </c>
      <c r="AJ16" s="53">
        <f t="shared" si="26"/>
        <v>261793</v>
      </c>
      <c r="AK16" s="20">
        <f t="shared" si="27"/>
        <v>-261793</v>
      </c>
      <c r="AL16" s="44"/>
      <c r="AM16" s="39">
        <f t="shared" si="28"/>
        <v>0</v>
      </c>
      <c r="AN16" s="53">
        <f t="shared" si="29"/>
        <v>275365</v>
      </c>
      <c r="AO16" s="20">
        <f t="shared" si="30"/>
        <v>-275365</v>
      </c>
      <c r="AP16" s="44"/>
      <c r="AQ16" s="39">
        <f t="shared" si="31"/>
        <v>0</v>
      </c>
      <c r="AR16" s="53">
        <f t="shared" si="32"/>
        <v>263201</v>
      </c>
      <c r="AS16" s="20">
        <f t="shared" si="33"/>
        <v>-263201</v>
      </c>
      <c r="AT16" s="44"/>
      <c r="AU16" s="39">
        <f t="shared" si="34"/>
        <v>0</v>
      </c>
      <c r="AV16" s="53">
        <f t="shared" si="35"/>
        <v>358799</v>
      </c>
      <c r="AW16" s="20">
        <f t="shared" si="36"/>
        <v>-358799</v>
      </c>
      <c r="AX16" s="44"/>
      <c r="AY16" s="39">
        <f t="shared" si="37"/>
        <v>0</v>
      </c>
      <c r="AZ16" s="53">
        <f t="shared" si="38"/>
        <v>515487</v>
      </c>
      <c r="BA16" s="20">
        <f t="shared" si="39"/>
        <v>-515487</v>
      </c>
    </row>
    <row r="17">
      <c r="A17" s="52" t="s">
        <v>119</v>
      </c>
      <c r="B17" s="44"/>
      <c r="C17" s="39">
        <f t="shared" si="1"/>
        <v>0</v>
      </c>
      <c r="D17" s="53">
        <f t="shared" si="2"/>
        <v>578193</v>
      </c>
      <c r="E17" s="20">
        <f t="shared" si="3"/>
        <v>-578193</v>
      </c>
      <c r="F17" s="44"/>
      <c r="G17" s="39">
        <f t="shared" si="4"/>
        <v>0</v>
      </c>
      <c r="H17" s="53">
        <f t="shared" si="5"/>
        <v>524636</v>
      </c>
      <c r="I17" s="20">
        <f t="shared" si="6"/>
        <v>-524636</v>
      </c>
      <c r="J17" s="46"/>
      <c r="K17" s="39">
        <f t="shared" si="7"/>
        <v>0</v>
      </c>
      <c r="L17" s="53">
        <f t="shared" si="8"/>
        <v>520321</v>
      </c>
      <c r="M17" s="20">
        <f t="shared" si="9"/>
        <v>-520321</v>
      </c>
      <c r="N17" s="44"/>
      <c r="O17" s="39">
        <f t="shared" si="10"/>
        <v>0</v>
      </c>
      <c r="P17" s="53">
        <f t="shared" si="11"/>
        <v>620112</v>
      </c>
      <c r="Q17" s="20">
        <f t="shared" si="12"/>
        <v>-620112</v>
      </c>
      <c r="R17" s="46"/>
      <c r="S17" s="39">
        <f t="shared" si="13"/>
        <v>0</v>
      </c>
      <c r="T17" s="53">
        <f t="shared" si="14"/>
        <v>514679</v>
      </c>
      <c r="U17" s="20">
        <f t="shared" si="15"/>
        <v>-514679</v>
      </c>
      <c r="V17" s="44"/>
      <c r="W17" s="39">
        <f t="shared" si="16"/>
        <v>0</v>
      </c>
      <c r="X17" s="53">
        <f t="shared" si="17"/>
        <v>467580</v>
      </c>
      <c r="Y17" s="20">
        <f t="shared" si="18"/>
        <v>-467580</v>
      </c>
      <c r="Z17" s="44"/>
      <c r="AA17" s="39">
        <f t="shared" si="19"/>
        <v>0</v>
      </c>
      <c r="AB17" s="53">
        <f t="shared" si="20"/>
        <v>440819</v>
      </c>
      <c r="AC17" s="20">
        <f t="shared" si="21"/>
        <v>-440819</v>
      </c>
      <c r="AD17" s="44"/>
      <c r="AE17" s="39">
        <f t="shared" si="22"/>
        <v>0</v>
      </c>
      <c r="AF17" s="53">
        <f t="shared" si="23"/>
        <v>541513</v>
      </c>
      <c r="AG17" s="20">
        <f t="shared" si="24"/>
        <v>-541513</v>
      </c>
      <c r="AH17" s="44"/>
      <c r="AI17" s="39">
        <f t="shared" si="25"/>
        <v>0</v>
      </c>
      <c r="AJ17" s="53">
        <f t="shared" si="26"/>
        <v>428107</v>
      </c>
      <c r="AK17" s="20">
        <f t="shared" si="27"/>
        <v>-428107</v>
      </c>
      <c r="AL17" s="44"/>
      <c r="AM17" s="39">
        <f t="shared" si="28"/>
        <v>0</v>
      </c>
      <c r="AN17" s="53">
        <f t="shared" si="29"/>
        <v>441679</v>
      </c>
      <c r="AO17" s="20">
        <f t="shared" si="30"/>
        <v>-441679</v>
      </c>
      <c r="AP17" s="46"/>
      <c r="AQ17" s="39">
        <f t="shared" si="31"/>
        <v>0</v>
      </c>
      <c r="AR17" s="53">
        <f t="shared" si="32"/>
        <v>429515</v>
      </c>
      <c r="AS17" s="20">
        <f t="shared" si="33"/>
        <v>-429515</v>
      </c>
      <c r="AT17" s="44"/>
      <c r="AU17" s="39">
        <f t="shared" si="34"/>
        <v>0</v>
      </c>
      <c r="AV17" s="53">
        <f t="shared" si="35"/>
        <v>525113</v>
      </c>
      <c r="AW17" s="20">
        <f t="shared" si="36"/>
        <v>-525113</v>
      </c>
      <c r="AX17" s="44"/>
      <c r="AY17" s="39">
        <f t="shared" si="37"/>
        <v>0</v>
      </c>
      <c r="AZ17" s="53">
        <f t="shared" si="38"/>
        <v>681801</v>
      </c>
      <c r="BA17" s="20">
        <f t="shared" si="39"/>
        <v>-681801</v>
      </c>
    </row>
    <row r="18">
      <c r="A18" s="52" t="s">
        <v>120</v>
      </c>
      <c r="B18" s="44"/>
      <c r="C18" s="39">
        <f t="shared" si="1"/>
        <v>0</v>
      </c>
      <c r="D18" s="53">
        <f t="shared" si="2"/>
        <v>578186</v>
      </c>
      <c r="E18" s="20">
        <f t="shared" si="3"/>
        <v>-578186</v>
      </c>
      <c r="F18" s="44"/>
      <c r="G18" s="39">
        <f t="shared" si="4"/>
        <v>0</v>
      </c>
      <c r="H18" s="53">
        <f t="shared" si="5"/>
        <v>524629</v>
      </c>
      <c r="I18" s="20">
        <f t="shared" si="6"/>
        <v>-524629</v>
      </c>
      <c r="J18" s="46"/>
      <c r="K18" s="39">
        <f t="shared" si="7"/>
        <v>0</v>
      </c>
      <c r="L18" s="53">
        <f t="shared" si="8"/>
        <v>520314</v>
      </c>
      <c r="M18" s="20">
        <f t="shared" si="9"/>
        <v>-520314</v>
      </c>
      <c r="N18" s="44"/>
      <c r="O18" s="39">
        <f t="shared" si="10"/>
        <v>0</v>
      </c>
      <c r="P18" s="53">
        <f t="shared" si="11"/>
        <v>620105</v>
      </c>
      <c r="Q18" s="20">
        <f t="shared" si="12"/>
        <v>-620105</v>
      </c>
      <c r="R18" s="44"/>
      <c r="S18" s="39">
        <f t="shared" si="13"/>
        <v>0</v>
      </c>
      <c r="T18" s="53">
        <f t="shared" si="14"/>
        <v>514672</v>
      </c>
      <c r="U18" s="20">
        <f t="shared" si="15"/>
        <v>-514672</v>
      </c>
      <c r="V18" s="44"/>
      <c r="W18" s="39">
        <f t="shared" si="16"/>
        <v>0</v>
      </c>
      <c r="X18" s="53">
        <f t="shared" si="17"/>
        <v>467573</v>
      </c>
      <c r="Y18" s="20">
        <f t="shared" si="18"/>
        <v>-467573</v>
      </c>
      <c r="Z18" s="44"/>
      <c r="AA18" s="39">
        <f t="shared" si="19"/>
        <v>0</v>
      </c>
      <c r="AB18" s="53">
        <f t="shared" si="20"/>
        <v>440812</v>
      </c>
      <c r="AC18" s="20">
        <f t="shared" si="21"/>
        <v>-440812</v>
      </c>
      <c r="AD18" s="44"/>
      <c r="AE18" s="39">
        <f t="shared" si="22"/>
        <v>0</v>
      </c>
      <c r="AF18" s="53">
        <f t="shared" si="23"/>
        <v>541506</v>
      </c>
      <c r="AG18" s="20">
        <f t="shared" si="24"/>
        <v>-541506</v>
      </c>
      <c r="AH18" s="44"/>
      <c r="AI18" s="39">
        <f t="shared" si="25"/>
        <v>0</v>
      </c>
      <c r="AJ18" s="53">
        <f t="shared" si="26"/>
        <v>428100</v>
      </c>
      <c r="AK18" s="20">
        <f t="shared" si="27"/>
        <v>-428100</v>
      </c>
      <c r="AL18" s="44"/>
      <c r="AM18" s="39">
        <f t="shared" si="28"/>
        <v>0</v>
      </c>
      <c r="AN18" s="53">
        <f t="shared" si="29"/>
        <v>441672</v>
      </c>
      <c r="AO18" s="20">
        <f t="shared" si="30"/>
        <v>-441672</v>
      </c>
      <c r="AP18" s="44"/>
      <c r="AQ18" s="39">
        <f t="shared" si="31"/>
        <v>0</v>
      </c>
      <c r="AR18" s="53">
        <f t="shared" si="32"/>
        <v>429508</v>
      </c>
      <c r="AS18" s="20">
        <f t="shared" si="33"/>
        <v>-429508</v>
      </c>
      <c r="AT18" s="44"/>
      <c r="AU18" s="39">
        <f t="shared" si="34"/>
        <v>0</v>
      </c>
      <c r="AV18" s="53">
        <f t="shared" si="35"/>
        <v>525106</v>
      </c>
      <c r="AW18" s="20">
        <f t="shared" si="36"/>
        <v>-525106</v>
      </c>
      <c r="AX18" s="44"/>
      <c r="AY18" s="39">
        <f t="shared" si="37"/>
        <v>0</v>
      </c>
      <c r="AZ18" s="53">
        <f t="shared" si="38"/>
        <v>681794</v>
      </c>
      <c r="BA18" s="20">
        <f t="shared" si="39"/>
        <v>-681794</v>
      </c>
    </row>
    <row r="19">
      <c r="A19" s="52" t="s">
        <v>121</v>
      </c>
      <c r="B19" s="44"/>
      <c r="C19" s="39">
        <f t="shared" si="1"/>
        <v>0</v>
      </c>
      <c r="D19" s="53">
        <f t="shared" si="2"/>
        <v>578288</v>
      </c>
      <c r="E19" s="20">
        <f t="shared" si="3"/>
        <v>-578288</v>
      </c>
      <c r="F19" s="44"/>
      <c r="G19" s="39">
        <f t="shared" si="4"/>
        <v>0</v>
      </c>
      <c r="H19" s="53">
        <f t="shared" si="5"/>
        <v>524731</v>
      </c>
      <c r="I19" s="20">
        <f t="shared" si="6"/>
        <v>-524731</v>
      </c>
      <c r="J19" s="46"/>
      <c r="K19" s="39">
        <f t="shared" si="7"/>
        <v>0</v>
      </c>
      <c r="L19" s="53">
        <f t="shared" si="8"/>
        <v>520416</v>
      </c>
      <c r="M19" s="20">
        <f t="shared" si="9"/>
        <v>-520416</v>
      </c>
      <c r="N19" s="44"/>
      <c r="O19" s="39">
        <f t="shared" si="10"/>
        <v>0</v>
      </c>
      <c r="P19" s="53">
        <f t="shared" si="11"/>
        <v>620207</v>
      </c>
      <c r="Q19" s="20">
        <f t="shared" si="12"/>
        <v>-620207</v>
      </c>
      <c r="R19" s="44"/>
      <c r="S19" s="39">
        <f t="shared" si="13"/>
        <v>0</v>
      </c>
      <c r="T19" s="53">
        <f t="shared" si="14"/>
        <v>514774</v>
      </c>
      <c r="U19" s="20">
        <f t="shared" si="15"/>
        <v>-514774</v>
      </c>
      <c r="V19" s="44"/>
      <c r="W19" s="39">
        <f t="shared" si="16"/>
        <v>0</v>
      </c>
      <c r="X19" s="53">
        <f t="shared" si="17"/>
        <v>467675</v>
      </c>
      <c r="Y19" s="20">
        <f t="shared" si="18"/>
        <v>-467675</v>
      </c>
      <c r="Z19" s="44"/>
      <c r="AA19" s="39">
        <f t="shared" si="19"/>
        <v>0</v>
      </c>
      <c r="AB19" s="53">
        <f t="shared" si="20"/>
        <v>440914</v>
      </c>
      <c r="AC19" s="20">
        <f t="shared" si="21"/>
        <v>-440914</v>
      </c>
      <c r="AD19" s="44"/>
      <c r="AE19" s="39">
        <f t="shared" si="22"/>
        <v>0</v>
      </c>
      <c r="AF19" s="53">
        <f t="shared" si="23"/>
        <v>541608</v>
      </c>
      <c r="AG19" s="20">
        <f t="shared" si="24"/>
        <v>-541608</v>
      </c>
      <c r="AH19" s="44"/>
      <c r="AI19" s="39">
        <f t="shared" si="25"/>
        <v>0</v>
      </c>
      <c r="AJ19" s="53">
        <f t="shared" si="26"/>
        <v>428202</v>
      </c>
      <c r="AK19" s="20">
        <f t="shared" si="27"/>
        <v>-428202</v>
      </c>
      <c r="AL19" s="44"/>
      <c r="AM19" s="39">
        <f t="shared" si="28"/>
        <v>0</v>
      </c>
      <c r="AN19" s="53">
        <f t="shared" si="29"/>
        <v>441774</v>
      </c>
      <c r="AO19" s="20">
        <f t="shared" si="30"/>
        <v>-441774</v>
      </c>
      <c r="AP19" s="44"/>
      <c r="AQ19" s="39">
        <f t="shared" si="31"/>
        <v>0</v>
      </c>
      <c r="AR19" s="53">
        <f t="shared" si="32"/>
        <v>429610</v>
      </c>
      <c r="AS19" s="20">
        <f t="shared" si="33"/>
        <v>-429610</v>
      </c>
      <c r="AT19" s="44"/>
      <c r="AU19" s="39">
        <f t="shared" si="34"/>
        <v>0</v>
      </c>
      <c r="AV19" s="53">
        <f t="shared" si="35"/>
        <v>525208</v>
      </c>
      <c r="AW19" s="20">
        <f t="shared" si="36"/>
        <v>-525208</v>
      </c>
      <c r="AX19" s="44"/>
      <c r="AY19" s="39">
        <f t="shared" si="37"/>
        <v>0</v>
      </c>
      <c r="AZ19" s="53">
        <f t="shared" si="38"/>
        <v>681896</v>
      </c>
      <c r="BA19" s="20">
        <f t="shared" si="39"/>
        <v>-681896</v>
      </c>
    </row>
    <row r="20">
      <c r="A20" s="52" t="s">
        <v>122</v>
      </c>
      <c r="B20" s="44"/>
      <c r="C20" s="39">
        <f t="shared" si="1"/>
        <v>0</v>
      </c>
      <c r="D20" s="53">
        <f t="shared" si="2"/>
        <v>579111</v>
      </c>
      <c r="E20" s="20">
        <f t="shared" si="3"/>
        <v>-579111</v>
      </c>
      <c r="F20" s="44"/>
      <c r="G20" s="39">
        <f t="shared" si="4"/>
        <v>0</v>
      </c>
      <c r="H20" s="53">
        <f t="shared" si="5"/>
        <v>525554</v>
      </c>
      <c r="I20" s="20">
        <f t="shared" si="6"/>
        <v>-525554</v>
      </c>
      <c r="J20" s="46"/>
      <c r="K20" s="39">
        <f t="shared" si="7"/>
        <v>0</v>
      </c>
      <c r="L20" s="53">
        <f t="shared" si="8"/>
        <v>521239</v>
      </c>
      <c r="M20" s="20">
        <f t="shared" si="9"/>
        <v>-521239</v>
      </c>
      <c r="N20" s="44"/>
      <c r="O20" s="39">
        <f t="shared" si="10"/>
        <v>0</v>
      </c>
      <c r="P20" s="53">
        <f t="shared" si="11"/>
        <v>621030</v>
      </c>
      <c r="Q20" s="20">
        <f t="shared" si="12"/>
        <v>-621030</v>
      </c>
      <c r="R20" s="44"/>
      <c r="S20" s="39">
        <f t="shared" si="13"/>
        <v>0</v>
      </c>
      <c r="T20" s="53">
        <f t="shared" si="14"/>
        <v>515597</v>
      </c>
      <c r="U20" s="20">
        <f t="shared" si="15"/>
        <v>-515597</v>
      </c>
      <c r="V20" s="44"/>
      <c r="W20" s="39">
        <f t="shared" si="16"/>
        <v>0</v>
      </c>
      <c r="X20" s="53">
        <f t="shared" si="17"/>
        <v>468498</v>
      </c>
      <c r="Y20" s="20">
        <f t="shared" si="18"/>
        <v>-468498</v>
      </c>
      <c r="Z20" s="44"/>
      <c r="AA20" s="39">
        <f t="shared" si="19"/>
        <v>0</v>
      </c>
      <c r="AB20" s="53">
        <f t="shared" si="20"/>
        <v>441737</v>
      </c>
      <c r="AC20" s="20">
        <f t="shared" si="21"/>
        <v>-441737</v>
      </c>
      <c r="AD20" s="44"/>
      <c r="AE20" s="39">
        <f t="shared" si="22"/>
        <v>0</v>
      </c>
      <c r="AF20" s="53">
        <f t="shared" si="23"/>
        <v>542431</v>
      </c>
      <c r="AG20" s="20">
        <f t="shared" si="24"/>
        <v>-542431</v>
      </c>
      <c r="AH20" s="44"/>
      <c r="AI20" s="39">
        <f t="shared" si="25"/>
        <v>0</v>
      </c>
      <c r="AJ20" s="53">
        <f t="shared" si="26"/>
        <v>429025</v>
      </c>
      <c r="AK20" s="20">
        <f t="shared" si="27"/>
        <v>-429025</v>
      </c>
      <c r="AL20" s="44"/>
      <c r="AM20" s="39">
        <f t="shared" si="28"/>
        <v>0</v>
      </c>
      <c r="AN20" s="53">
        <f t="shared" si="29"/>
        <v>442597</v>
      </c>
      <c r="AO20" s="20">
        <f t="shared" si="30"/>
        <v>-442597</v>
      </c>
      <c r="AP20" s="44"/>
      <c r="AQ20" s="39">
        <f t="shared" si="31"/>
        <v>0</v>
      </c>
      <c r="AR20" s="53">
        <f t="shared" si="32"/>
        <v>430433</v>
      </c>
      <c r="AS20" s="20">
        <f t="shared" si="33"/>
        <v>-430433</v>
      </c>
      <c r="AT20" s="44"/>
      <c r="AU20" s="39">
        <f t="shared" si="34"/>
        <v>0</v>
      </c>
      <c r="AV20" s="53">
        <f t="shared" si="35"/>
        <v>526031</v>
      </c>
      <c r="AW20" s="20">
        <f t="shared" si="36"/>
        <v>-526031</v>
      </c>
      <c r="AX20" s="44"/>
      <c r="AY20" s="39">
        <f t="shared" si="37"/>
        <v>0</v>
      </c>
      <c r="AZ20" s="53">
        <f t="shared" si="38"/>
        <v>682719</v>
      </c>
      <c r="BA20" s="20">
        <f t="shared" si="39"/>
        <v>-682719</v>
      </c>
    </row>
    <row r="21" ht="15.75" customHeight="1">
      <c r="A21" s="47"/>
      <c r="B21" s="54" t="s">
        <v>84</v>
      </c>
      <c r="C21" s="50" t="s">
        <v>123</v>
      </c>
      <c r="D21" s="55"/>
      <c r="E21" s="56"/>
      <c r="F21" s="54" t="s">
        <v>84</v>
      </c>
      <c r="G21" s="50" t="s">
        <v>123</v>
      </c>
      <c r="H21" s="55"/>
      <c r="I21" s="56"/>
      <c r="J21" s="54" t="s">
        <v>84</v>
      </c>
      <c r="K21" s="50" t="s">
        <v>123</v>
      </c>
      <c r="L21" s="55"/>
      <c r="M21" s="56"/>
      <c r="N21" s="54" t="s">
        <v>84</v>
      </c>
      <c r="O21" s="50" t="s">
        <v>123</v>
      </c>
      <c r="P21" s="55"/>
      <c r="Q21" s="56"/>
      <c r="R21" s="54" t="s">
        <v>84</v>
      </c>
      <c r="S21" s="50" t="s">
        <v>123</v>
      </c>
      <c r="T21" s="55"/>
      <c r="U21" s="56"/>
      <c r="V21" s="54" t="s">
        <v>84</v>
      </c>
      <c r="W21" s="50" t="s">
        <v>123</v>
      </c>
      <c r="X21" s="55"/>
      <c r="Y21" s="56"/>
      <c r="Z21" s="54" t="s">
        <v>84</v>
      </c>
      <c r="AA21" s="50" t="s">
        <v>123</v>
      </c>
      <c r="AB21" s="55"/>
      <c r="AC21" s="56"/>
      <c r="AD21" s="54" t="s">
        <v>84</v>
      </c>
      <c r="AE21" s="50" t="s">
        <v>123</v>
      </c>
      <c r="AF21" s="55"/>
      <c r="AG21" s="56"/>
      <c r="AH21" s="54" t="s">
        <v>84</v>
      </c>
      <c r="AI21" s="50" t="s">
        <v>123</v>
      </c>
      <c r="AJ21" s="55"/>
      <c r="AK21" s="56"/>
      <c r="AL21" s="54" t="s">
        <v>84</v>
      </c>
      <c r="AM21" s="50" t="s">
        <v>123</v>
      </c>
      <c r="AN21" s="55"/>
      <c r="AO21" s="56"/>
      <c r="AP21" s="54" t="s">
        <v>84</v>
      </c>
      <c r="AQ21" s="50" t="s">
        <v>123</v>
      </c>
      <c r="AR21" s="55"/>
      <c r="AS21" s="56"/>
      <c r="AT21" s="54" t="s">
        <v>84</v>
      </c>
      <c r="AU21" s="50" t="s">
        <v>123</v>
      </c>
      <c r="AV21" s="55"/>
      <c r="AW21" s="56"/>
      <c r="AX21" s="54" t="s">
        <v>84</v>
      </c>
      <c r="AY21" s="50" t="s">
        <v>123</v>
      </c>
      <c r="AZ21" s="55"/>
      <c r="BA21" s="56"/>
    </row>
    <row r="22" ht="15.75" customHeight="1">
      <c r="A22" s="52" t="s">
        <v>107</v>
      </c>
      <c r="B22" s="44"/>
      <c r="C22" s="39">
        <f t="shared" ref="C22:C37" si="40">B22*0.92</f>
        <v>0</v>
      </c>
      <c r="D22" s="53">
        <f t="shared" ref="D22:D37" si="41">$B$2+$B$3+G40</f>
        <v>335841</v>
      </c>
      <c r="E22" s="20">
        <f t="shared" ref="E22:E37" si="42">C22-D22</f>
        <v>-335841</v>
      </c>
      <c r="F22" s="44"/>
      <c r="G22" s="39">
        <f t="shared" ref="G22:G37" si="43">F22*0.92</f>
        <v>0</v>
      </c>
      <c r="H22" s="53">
        <f t="shared" ref="H22:H37" si="44">$F$2+$F$3+G40</f>
        <v>282284</v>
      </c>
      <c r="I22" s="20">
        <f t="shared" ref="I22:I37" si="45">G22-H22</f>
        <v>-282284</v>
      </c>
      <c r="J22" s="44"/>
      <c r="K22" s="39">
        <f t="shared" ref="K22:K37" si="46">J22*0.92</f>
        <v>0</v>
      </c>
      <c r="L22" s="53">
        <f t="shared" ref="L22:L37" si="47">$J$2+$J$3+G40</f>
        <v>277969</v>
      </c>
      <c r="M22" s="20">
        <f t="shared" ref="M22:M37" si="48">K22-L22</f>
        <v>-277969</v>
      </c>
      <c r="N22" s="44"/>
      <c r="O22" s="39">
        <f t="shared" ref="O22:O37" si="49">N22*0.92</f>
        <v>0</v>
      </c>
      <c r="P22" s="53">
        <f t="shared" ref="P22:P37" si="50">$N$2+$N$3+G40</f>
        <v>377760</v>
      </c>
      <c r="Q22" s="20">
        <f t="shared" ref="Q22:Q37" si="51">O22-P22</f>
        <v>-377760</v>
      </c>
      <c r="R22" s="44"/>
      <c r="S22" s="39">
        <f t="shared" ref="S22:S37" si="52">R22*0.92</f>
        <v>0</v>
      </c>
      <c r="T22" s="53">
        <f t="shared" ref="T22:T37" si="53">$R$2+$R$3+G40</f>
        <v>272327</v>
      </c>
      <c r="U22" s="20">
        <f t="shared" ref="U22:U37" si="54">S22-T22</f>
        <v>-272327</v>
      </c>
      <c r="V22" s="44"/>
      <c r="W22" s="39">
        <f t="shared" ref="W22:W37" si="55">V22*0.92</f>
        <v>0</v>
      </c>
      <c r="X22" s="53">
        <f t="shared" ref="X22:X37" si="56">$V$2+$V$3+G40</f>
        <v>225228</v>
      </c>
      <c r="Y22" s="20">
        <f t="shared" ref="Y22:Y37" si="57">W22-X22</f>
        <v>-225228</v>
      </c>
      <c r="Z22" s="44"/>
      <c r="AA22" s="39">
        <f t="shared" ref="AA22:AA37" si="58">Z22*0.92</f>
        <v>0</v>
      </c>
      <c r="AB22" s="53">
        <f t="shared" ref="AB22:AB37" si="59">$Z$2+$Z$3+G40</f>
        <v>198467</v>
      </c>
      <c r="AC22" s="20">
        <f t="shared" ref="AC22:AC37" si="60">AA22-AB22</f>
        <v>-198467</v>
      </c>
      <c r="AD22" s="44"/>
      <c r="AE22" s="39">
        <f t="shared" ref="AE22:AE37" si="61">AD22*0.92</f>
        <v>0</v>
      </c>
      <c r="AF22" s="53">
        <f t="shared" ref="AF22:AF37" si="62">$AD$2+$AD$3+G40</f>
        <v>299161</v>
      </c>
      <c r="AG22" s="20">
        <f t="shared" ref="AG22:AG37" si="63">AE22-AF22</f>
        <v>-299161</v>
      </c>
      <c r="AH22" s="44"/>
      <c r="AI22" s="39">
        <f t="shared" ref="AI22:AI37" si="64">AH22*0.92</f>
        <v>0</v>
      </c>
      <c r="AJ22" s="53">
        <f t="shared" ref="AJ22:AJ37" si="65">$AH$2+$AH$3+G40</f>
        <v>185755</v>
      </c>
      <c r="AK22" s="20">
        <f t="shared" ref="AK22:AK37" si="66">AI22-AJ22</f>
        <v>-185755</v>
      </c>
      <c r="AL22" s="44"/>
      <c r="AM22" s="39">
        <f t="shared" ref="AM22:AM37" si="67">AL22*0.92</f>
        <v>0</v>
      </c>
      <c r="AN22" s="53">
        <f t="shared" ref="AN22:AN37" si="68">$AL$2+$AL$3+G40</f>
        <v>199327</v>
      </c>
      <c r="AO22" s="20">
        <f t="shared" ref="AO22:AO37" si="69">AM22-AN22</f>
        <v>-199327</v>
      </c>
      <c r="AP22" s="44"/>
      <c r="AQ22" s="39">
        <f t="shared" ref="AQ22:AQ37" si="70">AP22*0.92</f>
        <v>0</v>
      </c>
      <c r="AR22" s="53">
        <f t="shared" ref="AR22:AR37" si="71">$AP$2+$AP$3+G40</f>
        <v>187163</v>
      </c>
      <c r="AS22" s="20">
        <f t="shared" ref="AS22:AS37" si="72">AQ22-AR22</f>
        <v>-187163</v>
      </c>
      <c r="AT22" s="44"/>
      <c r="AU22" s="39">
        <f t="shared" ref="AU22:AU37" si="73">AT22*0.895</f>
        <v>0</v>
      </c>
      <c r="AV22" s="53">
        <f t="shared" ref="AV22:AV37" si="74">$AT$2+$AT$3+G40</f>
        <v>282761</v>
      </c>
      <c r="AW22" s="20">
        <f t="shared" ref="AW22:AW37" si="75">AU22-AV22</f>
        <v>-282761</v>
      </c>
      <c r="AX22" s="44"/>
      <c r="AY22" s="39">
        <f t="shared" ref="AY22:AY37" si="76">AX22*0.895</f>
        <v>0</v>
      </c>
      <c r="AZ22" s="53">
        <f t="shared" ref="AZ22:AZ37" si="77">$AX$2+$AX$3+G40</f>
        <v>439449</v>
      </c>
      <c r="BA22" s="20">
        <f t="shared" ref="BA22:BA37" si="78">AY22-AZ22</f>
        <v>-439449</v>
      </c>
    </row>
    <row r="23" ht="15.75" customHeight="1">
      <c r="A23" s="52" t="s">
        <v>108</v>
      </c>
      <c r="B23" s="44"/>
      <c r="C23" s="39">
        <f t="shared" si="40"/>
        <v>0</v>
      </c>
      <c r="D23" s="53">
        <f t="shared" si="41"/>
        <v>335834</v>
      </c>
      <c r="E23" s="20">
        <f t="shared" si="42"/>
        <v>-335834</v>
      </c>
      <c r="F23" s="44"/>
      <c r="G23" s="39">
        <f t="shared" si="43"/>
        <v>0</v>
      </c>
      <c r="H23" s="53">
        <f t="shared" si="44"/>
        <v>282277</v>
      </c>
      <c r="I23" s="20">
        <f t="shared" si="45"/>
        <v>-282277</v>
      </c>
      <c r="J23" s="44"/>
      <c r="K23" s="39">
        <f t="shared" si="46"/>
        <v>0</v>
      </c>
      <c r="L23" s="53">
        <f t="shared" si="47"/>
        <v>277962</v>
      </c>
      <c r="M23" s="20">
        <f t="shared" si="48"/>
        <v>-277962</v>
      </c>
      <c r="N23" s="44"/>
      <c r="O23" s="39">
        <f t="shared" si="49"/>
        <v>0</v>
      </c>
      <c r="P23" s="53">
        <f t="shared" si="50"/>
        <v>377753</v>
      </c>
      <c r="Q23" s="20">
        <f t="shared" si="51"/>
        <v>-377753</v>
      </c>
      <c r="R23" s="44"/>
      <c r="S23" s="39">
        <f t="shared" si="52"/>
        <v>0</v>
      </c>
      <c r="T23" s="53">
        <f t="shared" si="53"/>
        <v>272320</v>
      </c>
      <c r="U23" s="20">
        <f t="shared" si="54"/>
        <v>-272320</v>
      </c>
      <c r="V23" s="44"/>
      <c r="W23" s="39">
        <f t="shared" si="55"/>
        <v>0</v>
      </c>
      <c r="X23" s="53">
        <f t="shared" si="56"/>
        <v>225221</v>
      </c>
      <c r="Y23" s="20">
        <f t="shared" si="57"/>
        <v>-225221</v>
      </c>
      <c r="Z23" s="44"/>
      <c r="AA23" s="39">
        <f t="shared" si="58"/>
        <v>0</v>
      </c>
      <c r="AB23" s="53">
        <f t="shared" si="59"/>
        <v>198460</v>
      </c>
      <c r="AC23" s="20">
        <f t="shared" si="60"/>
        <v>-198460</v>
      </c>
      <c r="AD23" s="44"/>
      <c r="AE23" s="39">
        <f t="shared" si="61"/>
        <v>0</v>
      </c>
      <c r="AF23" s="53">
        <f t="shared" si="62"/>
        <v>299154</v>
      </c>
      <c r="AG23" s="20">
        <f t="shared" si="63"/>
        <v>-299154</v>
      </c>
      <c r="AH23" s="44"/>
      <c r="AI23" s="39">
        <f t="shared" si="64"/>
        <v>0</v>
      </c>
      <c r="AJ23" s="53">
        <f t="shared" si="65"/>
        <v>185748</v>
      </c>
      <c r="AK23" s="20">
        <f t="shared" si="66"/>
        <v>-185748</v>
      </c>
      <c r="AL23" s="44"/>
      <c r="AM23" s="39">
        <f t="shared" si="67"/>
        <v>0</v>
      </c>
      <c r="AN23" s="53">
        <f t="shared" si="68"/>
        <v>199320</v>
      </c>
      <c r="AO23" s="20">
        <f t="shared" si="69"/>
        <v>-199320</v>
      </c>
      <c r="AP23" s="44"/>
      <c r="AQ23" s="39">
        <f t="shared" si="70"/>
        <v>0</v>
      </c>
      <c r="AR23" s="53">
        <f t="shared" si="71"/>
        <v>187156</v>
      </c>
      <c r="AS23" s="20">
        <f t="shared" si="72"/>
        <v>-187156</v>
      </c>
      <c r="AT23" s="44"/>
      <c r="AU23" s="39">
        <f t="shared" si="73"/>
        <v>0</v>
      </c>
      <c r="AV23" s="53">
        <f t="shared" si="74"/>
        <v>282754</v>
      </c>
      <c r="AW23" s="20">
        <f t="shared" si="75"/>
        <v>-282754</v>
      </c>
      <c r="AX23" s="44"/>
      <c r="AY23" s="39">
        <f t="shared" si="76"/>
        <v>0</v>
      </c>
      <c r="AZ23" s="53">
        <f t="shared" si="77"/>
        <v>439442</v>
      </c>
      <c r="BA23" s="20">
        <f t="shared" si="78"/>
        <v>-439442</v>
      </c>
    </row>
    <row r="24" ht="15.75" customHeight="1">
      <c r="A24" s="52" t="s">
        <v>109</v>
      </c>
      <c r="B24" s="44"/>
      <c r="C24" s="39">
        <f t="shared" si="40"/>
        <v>0</v>
      </c>
      <c r="D24" s="53">
        <f t="shared" si="41"/>
        <v>335936</v>
      </c>
      <c r="E24" s="20">
        <f t="shared" si="42"/>
        <v>-335936</v>
      </c>
      <c r="F24" s="44"/>
      <c r="G24" s="39">
        <f t="shared" si="43"/>
        <v>0</v>
      </c>
      <c r="H24" s="53">
        <f t="shared" si="44"/>
        <v>282379</v>
      </c>
      <c r="I24" s="20">
        <f t="shared" si="45"/>
        <v>-282379</v>
      </c>
      <c r="J24" s="44"/>
      <c r="K24" s="39">
        <f t="shared" si="46"/>
        <v>0</v>
      </c>
      <c r="L24" s="53">
        <f t="shared" si="47"/>
        <v>278064</v>
      </c>
      <c r="M24" s="20">
        <f t="shared" si="48"/>
        <v>-278064</v>
      </c>
      <c r="N24" s="44"/>
      <c r="O24" s="39">
        <f t="shared" si="49"/>
        <v>0</v>
      </c>
      <c r="P24" s="53">
        <f t="shared" si="50"/>
        <v>377855</v>
      </c>
      <c r="Q24" s="20">
        <f t="shared" si="51"/>
        <v>-377855</v>
      </c>
      <c r="R24" s="44"/>
      <c r="S24" s="39">
        <f t="shared" si="52"/>
        <v>0</v>
      </c>
      <c r="T24" s="53">
        <f t="shared" si="53"/>
        <v>272422</v>
      </c>
      <c r="U24" s="20">
        <f t="shared" si="54"/>
        <v>-272422</v>
      </c>
      <c r="V24" s="44"/>
      <c r="W24" s="39">
        <f t="shared" si="55"/>
        <v>0</v>
      </c>
      <c r="X24" s="53">
        <f t="shared" si="56"/>
        <v>225323</v>
      </c>
      <c r="Y24" s="20">
        <f t="shared" si="57"/>
        <v>-225323</v>
      </c>
      <c r="Z24" s="44"/>
      <c r="AA24" s="39">
        <f t="shared" si="58"/>
        <v>0</v>
      </c>
      <c r="AB24" s="53">
        <f t="shared" si="59"/>
        <v>198562</v>
      </c>
      <c r="AC24" s="20">
        <f t="shared" si="60"/>
        <v>-198562</v>
      </c>
      <c r="AD24" s="44"/>
      <c r="AE24" s="39">
        <f t="shared" si="61"/>
        <v>0</v>
      </c>
      <c r="AF24" s="53">
        <f t="shared" si="62"/>
        <v>299256</v>
      </c>
      <c r="AG24" s="20">
        <f t="shared" si="63"/>
        <v>-299256</v>
      </c>
      <c r="AH24" s="44"/>
      <c r="AI24" s="39">
        <f t="shared" si="64"/>
        <v>0</v>
      </c>
      <c r="AJ24" s="53">
        <f t="shared" si="65"/>
        <v>185850</v>
      </c>
      <c r="AK24" s="20">
        <f t="shared" si="66"/>
        <v>-185850</v>
      </c>
      <c r="AL24" s="44"/>
      <c r="AM24" s="39">
        <f t="shared" si="67"/>
        <v>0</v>
      </c>
      <c r="AN24" s="53">
        <f t="shared" si="68"/>
        <v>199422</v>
      </c>
      <c r="AO24" s="20">
        <f t="shared" si="69"/>
        <v>-199422</v>
      </c>
      <c r="AP24" s="44"/>
      <c r="AQ24" s="39">
        <f t="shared" si="70"/>
        <v>0</v>
      </c>
      <c r="AR24" s="53">
        <f t="shared" si="71"/>
        <v>187258</v>
      </c>
      <c r="AS24" s="20">
        <f t="shared" si="72"/>
        <v>-187258</v>
      </c>
      <c r="AT24" s="44"/>
      <c r="AU24" s="39">
        <f t="shared" si="73"/>
        <v>0</v>
      </c>
      <c r="AV24" s="53">
        <f t="shared" si="74"/>
        <v>282856</v>
      </c>
      <c r="AW24" s="20">
        <f t="shared" si="75"/>
        <v>-282856</v>
      </c>
      <c r="AX24" s="44"/>
      <c r="AY24" s="39">
        <f t="shared" si="76"/>
        <v>0</v>
      </c>
      <c r="AZ24" s="53">
        <f t="shared" si="77"/>
        <v>439544</v>
      </c>
      <c r="BA24" s="20">
        <f t="shared" si="78"/>
        <v>-439544</v>
      </c>
    </row>
    <row r="25" ht="15.75" customHeight="1">
      <c r="A25" s="52" t="s">
        <v>110</v>
      </c>
      <c r="B25" s="44"/>
      <c r="C25" s="39">
        <f t="shared" si="40"/>
        <v>0</v>
      </c>
      <c r="D25" s="53">
        <f t="shared" si="41"/>
        <v>336759</v>
      </c>
      <c r="E25" s="20">
        <f t="shared" si="42"/>
        <v>-336759</v>
      </c>
      <c r="F25" s="44"/>
      <c r="G25" s="39">
        <f t="shared" si="43"/>
        <v>0</v>
      </c>
      <c r="H25" s="53">
        <f t="shared" si="44"/>
        <v>283202</v>
      </c>
      <c r="I25" s="20">
        <f t="shared" si="45"/>
        <v>-283202</v>
      </c>
      <c r="J25" s="44"/>
      <c r="K25" s="39">
        <f t="shared" si="46"/>
        <v>0</v>
      </c>
      <c r="L25" s="53">
        <f t="shared" si="47"/>
        <v>278887</v>
      </c>
      <c r="M25" s="20">
        <f t="shared" si="48"/>
        <v>-278887</v>
      </c>
      <c r="N25" s="44"/>
      <c r="O25" s="39">
        <f t="shared" si="49"/>
        <v>0</v>
      </c>
      <c r="P25" s="53">
        <f t="shared" si="50"/>
        <v>378678</v>
      </c>
      <c r="Q25" s="20">
        <f t="shared" si="51"/>
        <v>-378678</v>
      </c>
      <c r="R25" s="44"/>
      <c r="S25" s="39">
        <f t="shared" si="52"/>
        <v>0</v>
      </c>
      <c r="T25" s="53">
        <f t="shared" si="53"/>
        <v>273245</v>
      </c>
      <c r="U25" s="20">
        <f t="shared" si="54"/>
        <v>-273245</v>
      </c>
      <c r="V25" s="44"/>
      <c r="W25" s="39">
        <f t="shared" si="55"/>
        <v>0</v>
      </c>
      <c r="X25" s="53">
        <f t="shared" si="56"/>
        <v>226146</v>
      </c>
      <c r="Y25" s="20">
        <f t="shared" si="57"/>
        <v>-226146</v>
      </c>
      <c r="Z25" s="44"/>
      <c r="AA25" s="39">
        <f t="shared" si="58"/>
        <v>0</v>
      </c>
      <c r="AB25" s="53">
        <f t="shared" si="59"/>
        <v>199385</v>
      </c>
      <c r="AC25" s="20">
        <f t="shared" si="60"/>
        <v>-199385</v>
      </c>
      <c r="AD25" s="44"/>
      <c r="AE25" s="39">
        <f t="shared" si="61"/>
        <v>0</v>
      </c>
      <c r="AF25" s="53">
        <f t="shared" si="62"/>
        <v>300079</v>
      </c>
      <c r="AG25" s="20">
        <f t="shared" si="63"/>
        <v>-300079</v>
      </c>
      <c r="AH25" s="44"/>
      <c r="AI25" s="39">
        <f t="shared" si="64"/>
        <v>0</v>
      </c>
      <c r="AJ25" s="53">
        <f t="shared" si="65"/>
        <v>186673</v>
      </c>
      <c r="AK25" s="20">
        <f t="shared" si="66"/>
        <v>-186673</v>
      </c>
      <c r="AL25" s="44"/>
      <c r="AM25" s="39">
        <f t="shared" si="67"/>
        <v>0</v>
      </c>
      <c r="AN25" s="53">
        <f t="shared" si="68"/>
        <v>200245</v>
      </c>
      <c r="AO25" s="20">
        <f t="shared" si="69"/>
        <v>-200245</v>
      </c>
      <c r="AP25" s="44"/>
      <c r="AQ25" s="39">
        <f t="shared" si="70"/>
        <v>0</v>
      </c>
      <c r="AR25" s="53">
        <f t="shared" si="71"/>
        <v>188081</v>
      </c>
      <c r="AS25" s="20">
        <f t="shared" si="72"/>
        <v>-188081</v>
      </c>
      <c r="AT25" s="44"/>
      <c r="AU25" s="39">
        <f t="shared" si="73"/>
        <v>0</v>
      </c>
      <c r="AV25" s="53">
        <f t="shared" si="74"/>
        <v>283679</v>
      </c>
      <c r="AW25" s="20">
        <f t="shared" si="75"/>
        <v>-283679</v>
      </c>
      <c r="AX25" s="44"/>
      <c r="AY25" s="39">
        <f t="shared" si="76"/>
        <v>0</v>
      </c>
      <c r="AZ25" s="53">
        <f t="shared" si="77"/>
        <v>440367</v>
      </c>
      <c r="BA25" s="20">
        <f t="shared" si="78"/>
        <v>-440367</v>
      </c>
    </row>
    <row r="26" ht="15.75" customHeight="1">
      <c r="A26" s="52" t="s">
        <v>111</v>
      </c>
      <c r="B26" s="44"/>
      <c r="C26" s="39">
        <f t="shared" si="40"/>
        <v>0</v>
      </c>
      <c r="D26" s="53">
        <f t="shared" si="41"/>
        <v>348897</v>
      </c>
      <c r="E26" s="20">
        <f t="shared" si="42"/>
        <v>-348897</v>
      </c>
      <c r="F26" s="44"/>
      <c r="G26" s="39">
        <f t="shared" si="43"/>
        <v>0</v>
      </c>
      <c r="H26" s="53">
        <f t="shared" si="44"/>
        <v>295340</v>
      </c>
      <c r="I26" s="20">
        <f t="shared" si="45"/>
        <v>-295340</v>
      </c>
      <c r="J26" s="44"/>
      <c r="K26" s="39">
        <f t="shared" si="46"/>
        <v>0</v>
      </c>
      <c r="L26" s="53">
        <f t="shared" si="47"/>
        <v>291025</v>
      </c>
      <c r="M26" s="20">
        <f t="shared" si="48"/>
        <v>-291025</v>
      </c>
      <c r="N26" s="44"/>
      <c r="O26" s="39">
        <f t="shared" si="49"/>
        <v>0</v>
      </c>
      <c r="P26" s="53">
        <f t="shared" si="50"/>
        <v>390816</v>
      </c>
      <c r="Q26" s="20">
        <f t="shared" si="51"/>
        <v>-390816</v>
      </c>
      <c r="R26" s="44"/>
      <c r="S26" s="39">
        <f t="shared" si="52"/>
        <v>0</v>
      </c>
      <c r="T26" s="53">
        <f t="shared" si="53"/>
        <v>285383</v>
      </c>
      <c r="U26" s="20">
        <f t="shared" si="54"/>
        <v>-285383</v>
      </c>
      <c r="V26" s="44"/>
      <c r="W26" s="39">
        <f t="shared" si="55"/>
        <v>0</v>
      </c>
      <c r="X26" s="53">
        <f t="shared" si="56"/>
        <v>238284</v>
      </c>
      <c r="Y26" s="20">
        <f t="shared" si="57"/>
        <v>-238284</v>
      </c>
      <c r="Z26" s="44"/>
      <c r="AA26" s="39">
        <f t="shared" si="58"/>
        <v>0</v>
      </c>
      <c r="AB26" s="53">
        <f t="shared" si="59"/>
        <v>211523</v>
      </c>
      <c r="AC26" s="20">
        <f t="shared" si="60"/>
        <v>-211523</v>
      </c>
      <c r="AD26" s="44"/>
      <c r="AE26" s="39">
        <f t="shared" si="61"/>
        <v>0</v>
      </c>
      <c r="AF26" s="53">
        <f t="shared" si="62"/>
        <v>312217</v>
      </c>
      <c r="AG26" s="20">
        <f t="shared" si="63"/>
        <v>-312217</v>
      </c>
      <c r="AH26" s="44"/>
      <c r="AI26" s="39">
        <f t="shared" si="64"/>
        <v>0</v>
      </c>
      <c r="AJ26" s="53">
        <f t="shared" si="65"/>
        <v>198811</v>
      </c>
      <c r="AK26" s="20">
        <f t="shared" si="66"/>
        <v>-198811</v>
      </c>
      <c r="AL26" s="44"/>
      <c r="AM26" s="39">
        <f t="shared" si="67"/>
        <v>0</v>
      </c>
      <c r="AN26" s="53">
        <f t="shared" si="68"/>
        <v>212383</v>
      </c>
      <c r="AO26" s="20">
        <f t="shared" si="69"/>
        <v>-212383</v>
      </c>
      <c r="AP26" s="44"/>
      <c r="AQ26" s="39">
        <f t="shared" si="70"/>
        <v>0</v>
      </c>
      <c r="AR26" s="53">
        <f t="shared" si="71"/>
        <v>200219</v>
      </c>
      <c r="AS26" s="20">
        <f t="shared" si="72"/>
        <v>-200219</v>
      </c>
      <c r="AT26" s="44"/>
      <c r="AU26" s="39">
        <f t="shared" si="73"/>
        <v>0</v>
      </c>
      <c r="AV26" s="53">
        <f t="shared" si="74"/>
        <v>295817</v>
      </c>
      <c r="AW26" s="20">
        <f t="shared" si="75"/>
        <v>-295817</v>
      </c>
      <c r="AX26" s="44"/>
      <c r="AY26" s="39">
        <f t="shared" si="76"/>
        <v>0</v>
      </c>
      <c r="AZ26" s="53">
        <f t="shared" si="77"/>
        <v>452505</v>
      </c>
      <c r="BA26" s="20">
        <f t="shared" si="78"/>
        <v>-452505</v>
      </c>
    </row>
    <row r="27" ht="15.75" customHeight="1">
      <c r="A27" s="52" t="s">
        <v>112</v>
      </c>
      <c r="B27" s="44"/>
      <c r="C27" s="39">
        <f t="shared" si="40"/>
        <v>0</v>
      </c>
      <c r="D27" s="53">
        <f t="shared" si="41"/>
        <v>348890</v>
      </c>
      <c r="E27" s="20">
        <f t="shared" si="42"/>
        <v>-348890</v>
      </c>
      <c r="F27" s="44"/>
      <c r="G27" s="39">
        <f t="shared" si="43"/>
        <v>0</v>
      </c>
      <c r="H27" s="53">
        <f t="shared" si="44"/>
        <v>295333</v>
      </c>
      <c r="I27" s="20">
        <f t="shared" si="45"/>
        <v>-295333</v>
      </c>
      <c r="J27" s="44"/>
      <c r="K27" s="39">
        <f t="shared" si="46"/>
        <v>0</v>
      </c>
      <c r="L27" s="53">
        <f t="shared" si="47"/>
        <v>291018</v>
      </c>
      <c r="M27" s="20">
        <f t="shared" si="48"/>
        <v>-291018</v>
      </c>
      <c r="N27" s="44"/>
      <c r="O27" s="39">
        <f t="shared" si="49"/>
        <v>0</v>
      </c>
      <c r="P27" s="53">
        <f t="shared" si="50"/>
        <v>390809</v>
      </c>
      <c r="Q27" s="20">
        <f t="shared" si="51"/>
        <v>-390809</v>
      </c>
      <c r="R27" s="44"/>
      <c r="S27" s="39">
        <f t="shared" si="52"/>
        <v>0</v>
      </c>
      <c r="T27" s="53">
        <f t="shared" si="53"/>
        <v>285376</v>
      </c>
      <c r="U27" s="20">
        <f t="shared" si="54"/>
        <v>-285376</v>
      </c>
      <c r="V27" s="44"/>
      <c r="W27" s="39">
        <f t="shared" si="55"/>
        <v>0</v>
      </c>
      <c r="X27" s="53">
        <f t="shared" si="56"/>
        <v>238277</v>
      </c>
      <c r="Y27" s="20">
        <f t="shared" si="57"/>
        <v>-238277</v>
      </c>
      <c r="Z27" s="44"/>
      <c r="AA27" s="39">
        <f t="shared" si="58"/>
        <v>0</v>
      </c>
      <c r="AB27" s="53">
        <f t="shared" si="59"/>
        <v>211516</v>
      </c>
      <c r="AC27" s="20">
        <f t="shared" si="60"/>
        <v>-211516</v>
      </c>
      <c r="AD27" s="44"/>
      <c r="AE27" s="39">
        <f t="shared" si="61"/>
        <v>0</v>
      </c>
      <c r="AF27" s="53">
        <f t="shared" si="62"/>
        <v>312210</v>
      </c>
      <c r="AG27" s="20">
        <f t="shared" si="63"/>
        <v>-312210</v>
      </c>
      <c r="AH27" s="44"/>
      <c r="AI27" s="39">
        <f t="shared" si="64"/>
        <v>0</v>
      </c>
      <c r="AJ27" s="53">
        <f t="shared" si="65"/>
        <v>198804</v>
      </c>
      <c r="AK27" s="20">
        <f t="shared" si="66"/>
        <v>-198804</v>
      </c>
      <c r="AL27" s="44"/>
      <c r="AM27" s="39">
        <f t="shared" si="67"/>
        <v>0</v>
      </c>
      <c r="AN27" s="53">
        <f t="shared" si="68"/>
        <v>212376</v>
      </c>
      <c r="AO27" s="20">
        <f t="shared" si="69"/>
        <v>-212376</v>
      </c>
      <c r="AP27" s="44"/>
      <c r="AQ27" s="39">
        <f t="shared" si="70"/>
        <v>0</v>
      </c>
      <c r="AR27" s="53">
        <f t="shared" si="71"/>
        <v>200212</v>
      </c>
      <c r="AS27" s="20">
        <f t="shared" si="72"/>
        <v>-200212</v>
      </c>
      <c r="AT27" s="44"/>
      <c r="AU27" s="39">
        <f t="shared" si="73"/>
        <v>0</v>
      </c>
      <c r="AV27" s="53">
        <f t="shared" si="74"/>
        <v>295810</v>
      </c>
      <c r="AW27" s="20">
        <f t="shared" si="75"/>
        <v>-295810</v>
      </c>
      <c r="AX27" s="44"/>
      <c r="AY27" s="39">
        <f t="shared" si="76"/>
        <v>0</v>
      </c>
      <c r="AZ27" s="53">
        <f t="shared" si="77"/>
        <v>452498</v>
      </c>
      <c r="BA27" s="20">
        <f t="shared" si="78"/>
        <v>-452498</v>
      </c>
    </row>
    <row r="28" ht="15.75" customHeight="1">
      <c r="A28" s="52" t="s">
        <v>113</v>
      </c>
      <c r="B28" s="44"/>
      <c r="C28" s="39">
        <f t="shared" si="40"/>
        <v>0</v>
      </c>
      <c r="D28" s="53">
        <f t="shared" si="41"/>
        <v>348992</v>
      </c>
      <c r="E28" s="20">
        <f t="shared" si="42"/>
        <v>-348992</v>
      </c>
      <c r="F28" s="44"/>
      <c r="G28" s="39">
        <f t="shared" si="43"/>
        <v>0</v>
      </c>
      <c r="H28" s="53">
        <f t="shared" si="44"/>
        <v>295435</v>
      </c>
      <c r="I28" s="20">
        <f t="shared" si="45"/>
        <v>-295435</v>
      </c>
      <c r="J28" s="44"/>
      <c r="K28" s="39">
        <f t="shared" si="46"/>
        <v>0</v>
      </c>
      <c r="L28" s="53">
        <f t="shared" si="47"/>
        <v>291120</v>
      </c>
      <c r="M28" s="20">
        <f t="shared" si="48"/>
        <v>-291120</v>
      </c>
      <c r="N28" s="44"/>
      <c r="O28" s="39">
        <f t="shared" si="49"/>
        <v>0</v>
      </c>
      <c r="P28" s="53">
        <f t="shared" si="50"/>
        <v>390911</v>
      </c>
      <c r="Q28" s="20">
        <f t="shared" si="51"/>
        <v>-390911</v>
      </c>
      <c r="R28" s="44"/>
      <c r="S28" s="39">
        <f t="shared" si="52"/>
        <v>0</v>
      </c>
      <c r="T28" s="53">
        <f t="shared" si="53"/>
        <v>285478</v>
      </c>
      <c r="U28" s="20">
        <f t="shared" si="54"/>
        <v>-285478</v>
      </c>
      <c r="V28" s="44"/>
      <c r="W28" s="39">
        <f t="shared" si="55"/>
        <v>0</v>
      </c>
      <c r="X28" s="53">
        <f t="shared" si="56"/>
        <v>238379</v>
      </c>
      <c r="Y28" s="20">
        <f t="shared" si="57"/>
        <v>-238379</v>
      </c>
      <c r="Z28" s="44"/>
      <c r="AA28" s="39">
        <f t="shared" si="58"/>
        <v>0</v>
      </c>
      <c r="AB28" s="53">
        <f t="shared" si="59"/>
        <v>211618</v>
      </c>
      <c r="AC28" s="20">
        <f t="shared" si="60"/>
        <v>-211618</v>
      </c>
      <c r="AD28" s="44"/>
      <c r="AE28" s="39">
        <f t="shared" si="61"/>
        <v>0</v>
      </c>
      <c r="AF28" s="53">
        <f t="shared" si="62"/>
        <v>312312</v>
      </c>
      <c r="AG28" s="20">
        <f t="shared" si="63"/>
        <v>-312312</v>
      </c>
      <c r="AH28" s="44"/>
      <c r="AI28" s="39">
        <f t="shared" si="64"/>
        <v>0</v>
      </c>
      <c r="AJ28" s="53">
        <f t="shared" si="65"/>
        <v>198906</v>
      </c>
      <c r="AK28" s="20">
        <f t="shared" si="66"/>
        <v>-198906</v>
      </c>
      <c r="AL28" s="44"/>
      <c r="AM28" s="39">
        <f t="shared" si="67"/>
        <v>0</v>
      </c>
      <c r="AN28" s="53">
        <f t="shared" si="68"/>
        <v>212478</v>
      </c>
      <c r="AO28" s="20">
        <f t="shared" si="69"/>
        <v>-212478</v>
      </c>
      <c r="AP28" s="44"/>
      <c r="AQ28" s="39">
        <f t="shared" si="70"/>
        <v>0</v>
      </c>
      <c r="AR28" s="53">
        <f t="shared" si="71"/>
        <v>200314</v>
      </c>
      <c r="AS28" s="20">
        <f t="shared" si="72"/>
        <v>-200314</v>
      </c>
      <c r="AT28" s="44"/>
      <c r="AU28" s="39">
        <f t="shared" si="73"/>
        <v>0</v>
      </c>
      <c r="AV28" s="53">
        <f t="shared" si="74"/>
        <v>295912</v>
      </c>
      <c r="AW28" s="20">
        <f t="shared" si="75"/>
        <v>-295912</v>
      </c>
      <c r="AX28" s="44"/>
      <c r="AY28" s="39">
        <f t="shared" si="76"/>
        <v>0</v>
      </c>
      <c r="AZ28" s="53">
        <f t="shared" si="77"/>
        <v>452600</v>
      </c>
      <c r="BA28" s="20">
        <f t="shared" si="78"/>
        <v>-452600</v>
      </c>
    </row>
    <row r="29" ht="15.75" customHeight="1">
      <c r="A29" s="52" t="s">
        <v>114</v>
      </c>
      <c r="B29" s="44"/>
      <c r="C29" s="39">
        <f t="shared" si="40"/>
        <v>0</v>
      </c>
      <c r="D29" s="53">
        <f t="shared" si="41"/>
        <v>349815</v>
      </c>
      <c r="E29" s="20">
        <f t="shared" si="42"/>
        <v>-349815</v>
      </c>
      <c r="F29" s="44"/>
      <c r="G29" s="39">
        <f t="shared" si="43"/>
        <v>0</v>
      </c>
      <c r="H29" s="53">
        <f t="shared" si="44"/>
        <v>296258</v>
      </c>
      <c r="I29" s="20">
        <f t="shared" si="45"/>
        <v>-296258</v>
      </c>
      <c r="J29" s="44"/>
      <c r="K29" s="39">
        <f t="shared" si="46"/>
        <v>0</v>
      </c>
      <c r="L29" s="53">
        <f t="shared" si="47"/>
        <v>291943</v>
      </c>
      <c r="M29" s="20">
        <f t="shared" si="48"/>
        <v>-291943</v>
      </c>
      <c r="N29" s="44"/>
      <c r="O29" s="39">
        <f t="shared" si="49"/>
        <v>0</v>
      </c>
      <c r="P29" s="53">
        <f t="shared" si="50"/>
        <v>391734</v>
      </c>
      <c r="Q29" s="20">
        <f t="shared" si="51"/>
        <v>-391734</v>
      </c>
      <c r="R29" s="44"/>
      <c r="S29" s="39">
        <f t="shared" si="52"/>
        <v>0</v>
      </c>
      <c r="T29" s="53">
        <f t="shared" si="53"/>
        <v>286301</v>
      </c>
      <c r="U29" s="20">
        <f t="shared" si="54"/>
        <v>-286301</v>
      </c>
      <c r="V29" s="44"/>
      <c r="W29" s="39">
        <f t="shared" si="55"/>
        <v>0</v>
      </c>
      <c r="X29" s="53">
        <f t="shared" si="56"/>
        <v>239202</v>
      </c>
      <c r="Y29" s="20">
        <f t="shared" si="57"/>
        <v>-239202</v>
      </c>
      <c r="Z29" s="44"/>
      <c r="AA29" s="39">
        <f t="shared" si="58"/>
        <v>0</v>
      </c>
      <c r="AB29" s="53">
        <f t="shared" si="59"/>
        <v>212441</v>
      </c>
      <c r="AC29" s="20">
        <f t="shared" si="60"/>
        <v>-212441</v>
      </c>
      <c r="AD29" s="44"/>
      <c r="AE29" s="39">
        <f t="shared" si="61"/>
        <v>0</v>
      </c>
      <c r="AF29" s="53">
        <f t="shared" si="62"/>
        <v>313135</v>
      </c>
      <c r="AG29" s="20">
        <f t="shared" si="63"/>
        <v>-313135</v>
      </c>
      <c r="AH29" s="44"/>
      <c r="AI29" s="39">
        <f t="shared" si="64"/>
        <v>0</v>
      </c>
      <c r="AJ29" s="53">
        <f t="shared" si="65"/>
        <v>199729</v>
      </c>
      <c r="AK29" s="20">
        <f t="shared" si="66"/>
        <v>-199729</v>
      </c>
      <c r="AL29" s="44"/>
      <c r="AM29" s="39">
        <f t="shared" si="67"/>
        <v>0</v>
      </c>
      <c r="AN29" s="53">
        <f t="shared" si="68"/>
        <v>213301</v>
      </c>
      <c r="AO29" s="20">
        <f t="shared" si="69"/>
        <v>-213301</v>
      </c>
      <c r="AP29" s="44"/>
      <c r="AQ29" s="39">
        <f t="shared" si="70"/>
        <v>0</v>
      </c>
      <c r="AR29" s="53">
        <f t="shared" si="71"/>
        <v>201137</v>
      </c>
      <c r="AS29" s="20">
        <f t="shared" si="72"/>
        <v>-201137</v>
      </c>
      <c r="AT29" s="44"/>
      <c r="AU29" s="39">
        <f t="shared" si="73"/>
        <v>0</v>
      </c>
      <c r="AV29" s="53">
        <f t="shared" si="74"/>
        <v>296735</v>
      </c>
      <c r="AW29" s="20">
        <f t="shared" si="75"/>
        <v>-296735</v>
      </c>
      <c r="AX29" s="44"/>
      <c r="AY29" s="39">
        <f t="shared" si="76"/>
        <v>0</v>
      </c>
      <c r="AZ29" s="53">
        <f t="shared" si="77"/>
        <v>453423</v>
      </c>
      <c r="BA29" s="20">
        <f t="shared" si="78"/>
        <v>-453423</v>
      </c>
    </row>
    <row r="30" ht="15.75" customHeight="1">
      <c r="A30" s="52" t="s">
        <v>115</v>
      </c>
      <c r="B30" s="44"/>
      <c r="C30" s="39">
        <f t="shared" si="40"/>
        <v>0</v>
      </c>
      <c r="D30" s="53">
        <f t="shared" si="41"/>
        <v>410961</v>
      </c>
      <c r="E30" s="20">
        <f t="shared" si="42"/>
        <v>-410961</v>
      </c>
      <c r="F30" s="44"/>
      <c r="G30" s="39">
        <f t="shared" si="43"/>
        <v>0</v>
      </c>
      <c r="H30" s="53">
        <f t="shared" si="44"/>
        <v>357404</v>
      </c>
      <c r="I30" s="20">
        <f t="shared" si="45"/>
        <v>-357404</v>
      </c>
      <c r="J30" s="44"/>
      <c r="K30" s="39">
        <f t="shared" si="46"/>
        <v>0</v>
      </c>
      <c r="L30" s="53">
        <f t="shared" si="47"/>
        <v>353089</v>
      </c>
      <c r="M30" s="20">
        <f t="shared" si="48"/>
        <v>-353089</v>
      </c>
      <c r="N30" s="44"/>
      <c r="O30" s="39">
        <f t="shared" si="49"/>
        <v>0</v>
      </c>
      <c r="P30" s="53">
        <f t="shared" si="50"/>
        <v>452880</v>
      </c>
      <c r="Q30" s="20">
        <f t="shared" si="51"/>
        <v>-452880</v>
      </c>
      <c r="R30" s="44"/>
      <c r="S30" s="39">
        <f t="shared" si="52"/>
        <v>0</v>
      </c>
      <c r="T30" s="53">
        <f t="shared" si="53"/>
        <v>347447</v>
      </c>
      <c r="U30" s="20">
        <f t="shared" si="54"/>
        <v>-347447</v>
      </c>
      <c r="V30" s="44"/>
      <c r="W30" s="39">
        <f t="shared" si="55"/>
        <v>0</v>
      </c>
      <c r="X30" s="53">
        <f t="shared" si="56"/>
        <v>300348</v>
      </c>
      <c r="Y30" s="20">
        <f t="shared" si="57"/>
        <v>-300348</v>
      </c>
      <c r="Z30" s="44"/>
      <c r="AA30" s="39">
        <f t="shared" si="58"/>
        <v>0</v>
      </c>
      <c r="AB30" s="53">
        <f t="shared" si="59"/>
        <v>273587</v>
      </c>
      <c r="AC30" s="20">
        <f t="shared" si="60"/>
        <v>-273587</v>
      </c>
      <c r="AD30" s="44"/>
      <c r="AE30" s="39">
        <f t="shared" si="61"/>
        <v>0</v>
      </c>
      <c r="AF30" s="53">
        <f t="shared" si="62"/>
        <v>374281</v>
      </c>
      <c r="AG30" s="20">
        <f t="shared" si="63"/>
        <v>-374281</v>
      </c>
      <c r="AH30" s="44"/>
      <c r="AI30" s="39">
        <f t="shared" si="64"/>
        <v>0</v>
      </c>
      <c r="AJ30" s="53">
        <f t="shared" si="65"/>
        <v>260875</v>
      </c>
      <c r="AK30" s="20">
        <f t="shared" si="66"/>
        <v>-260875</v>
      </c>
      <c r="AL30" s="44"/>
      <c r="AM30" s="39">
        <f t="shared" si="67"/>
        <v>0</v>
      </c>
      <c r="AN30" s="53">
        <f t="shared" si="68"/>
        <v>274447</v>
      </c>
      <c r="AO30" s="20">
        <f t="shared" si="69"/>
        <v>-274447</v>
      </c>
      <c r="AP30" s="44"/>
      <c r="AQ30" s="39">
        <f t="shared" si="70"/>
        <v>0</v>
      </c>
      <c r="AR30" s="53">
        <f t="shared" si="71"/>
        <v>262283</v>
      </c>
      <c r="AS30" s="20">
        <f t="shared" si="72"/>
        <v>-262283</v>
      </c>
      <c r="AT30" s="44"/>
      <c r="AU30" s="39">
        <f t="shared" si="73"/>
        <v>0</v>
      </c>
      <c r="AV30" s="53">
        <f t="shared" si="74"/>
        <v>357881</v>
      </c>
      <c r="AW30" s="20">
        <f t="shared" si="75"/>
        <v>-357881</v>
      </c>
      <c r="AX30" s="44"/>
      <c r="AY30" s="39">
        <f t="shared" si="76"/>
        <v>0</v>
      </c>
      <c r="AZ30" s="53">
        <f t="shared" si="77"/>
        <v>514569</v>
      </c>
      <c r="BA30" s="20">
        <f t="shared" si="78"/>
        <v>-514569</v>
      </c>
    </row>
    <row r="31" ht="15.75" customHeight="1">
      <c r="A31" s="52" t="s">
        <v>116</v>
      </c>
      <c r="B31" s="44"/>
      <c r="C31" s="39">
        <f t="shared" si="40"/>
        <v>0</v>
      </c>
      <c r="D31" s="53">
        <f t="shared" si="41"/>
        <v>410954</v>
      </c>
      <c r="E31" s="20">
        <f t="shared" si="42"/>
        <v>-410954</v>
      </c>
      <c r="F31" s="44"/>
      <c r="G31" s="39">
        <f t="shared" si="43"/>
        <v>0</v>
      </c>
      <c r="H31" s="53">
        <f t="shared" si="44"/>
        <v>357397</v>
      </c>
      <c r="I31" s="20">
        <f t="shared" si="45"/>
        <v>-357397</v>
      </c>
      <c r="J31" s="44"/>
      <c r="K31" s="39">
        <f t="shared" si="46"/>
        <v>0</v>
      </c>
      <c r="L31" s="53">
        <f t="shared" si="47"/>
        <v>353082</v>
      </c>
      <c r="M31" s="20">
        <f t="shared" si="48"/>
        <v>-353082</v>
      </c>
      <c r="N31" s="44"/>
      <c r="O31" s="39">
        <f t="shared" si="49"/>
        <v>0</v>
      </c>
      <c r="P31" s="53">
        <f t="shared" si="50"/>
        <v>452873</v>
      </c>
      <c r="Q31" s="20">
        <f t="shared" si="51"/>
        <v>-452873</v>
      </c>
      <c r="R31" s="44"/>
      <c r="S31" s="39">
        <f t="shared" si="52"/>
        <v>0</v>
      </c>
      <c r="T31" s="53">
        <f t="shared" si="53"/>
        <v>347440</v>
      </c>
      <c r="U31" s="20">
        <f t="shared" si="54"/>
        <v>-347440</v>
      </c>
      <c r="V31" s="44"/>
      <c r="W31" s="39">
        <f t="shared" si="55"/>
        <v>0</v>
      </c>
      <c r="X31" s="53">
        <f t="shared" si="56"/>
        <v>300341</v>
      </c>
      <c r="Y31" s="20">
        <f t="shared" si="57"/>
        <v>-300341</v>
      </c>
      <c r="Z31" s="44"/>
      <c r="AA31" s="39">
        <f t="shared" si="58"/>
        <v>0</v>
      </c>
      <c r="AB31" s="53">
        <f t="shared" si="59"/>
        <v>273580</v>
      </c>
      <c r="AC31" s="20">
        <f t="shared" si="60"/>
        <v>-273580</v>
      </c>
      <c r="AD31" s="44"/>
      <c r="AE31" s="39">
        <f t="shared" si="61"/>
        <v>0</v>
      </c>
      <c r="AF31" s="53">
        <f t="shared" si="62"/>
        <v>374274</v>
      </c>
      <c r="AG31" s="20">
        <f t="shared" si="63"/>
        <v>-374274</v>
      </c>
      <c r="AH31" s="44"/>
      <c r="AI31" s="39">
        <f t="shared" si="64"/>
        <v>0</v>
      </c>
      <c r="AJ31" s="53">
        <f t="shared" si="65"/>
        <v>260868</v>
      </c>
      <c r="AK31" s="20">
        <f t="shared" si="66"/>
        <v>-260868</v>
      </c>
      <c r="AL31" s="44"/>
      <c r="AM31" s="39">
        <f t="shared" si="67"/>
        <v>0</v>
      </c>
      <c r="AN31" s="53">
        <f t="shared" si="68"/>
        <v>274440</v>
      </c>
      <c r="AO31" s="20">
        <f t="shared" si="69"/>
        <v>-274440</v>
      </c>
      <c r="AP31" s="44"/>
      <c r="AQ31" s="39">
        <f t="shared" si="70"/>
        <v>0</v>
      </c>
      <c r="AR31" s="53">
        <f t="shared" si="71"/>
        <v>262276</v>
      </c>
      <c r="AS31" s="20">
        <f t="shared" si="72"/>
        <v>-262276</v>
      </c>
      <c r="AT31" s="44"/>
      <c r="AU31" s="39">
        <f t="shared" si="73"/>
        <v>0</v>
      </c>
      <c r="AV31" s="53">
        <f t="shared" si="74"/>
        <v>357874</v>
      </c>
      <c r="AW31" s="20">
        <f t="shared" si="75"/>
        <v>-357874</v>
      </c>
      <c r="AX31" s="44"/>
      <c r="AY31" s="39">
        <f t="shared" si="76"/>
        <v>0</v>
      </c>
      <c r="AZ31" s="53">
        <f t="shared" si="77"/>
        <v>514562</v>
      </c>
      <c r="BA31" s="20">
        <f t="shared" si="78"/>
        <v>-514562</v>
      </c>
    </row>
    <row r="32" ht="15.75" customHeight="1">
      <c r="A32" s="52" t="s">
        <v>117</v>
      </c>
      <c r="B32" s="44"/>
      <c r="C32" s="39">
        <f t="shared" si="40"/>
        <v>0</v>
      </c>
      <c r="D32" s="53">
        <f t="shared" si="41"/>
        <v>411056</v>
      </c>
      <c r="E32" s="20">
        <f t="shared" si="42"/>
        <v>-411056</v>
      </c>
      <c r="F32" s="44"/>
      <c r="G32" s="39">
        <f t="shared" si="43"/>
        <v>0</v>
      </c>
      <c r="H32" s="53">
        <f t="shared" si="44"/>
        <v>357499</v>
      </c>
      <c r="I32" s="20">
        <f t="shared" si="45"/>
        <v>-357499</v>
      </c>
      <c r="J32" s="44"/>
      <c r="K32" s="39">
        <f t="shared" si="46"/>
        <v>0</v>
      </c>
      <c r="L32" s="53">
        <f t="shared" si="47"/>
        <v>353184</v>
      </c>
      <c r="M32" s="20">
        <f t="shared" si="48"/>
        <v>-353184</v>
      </c>
      <c r="N32" s="44"/>
      <c r="O32" s="39">
        <f t="shared" si="49"/>
        <v>0</v>
      </c>
      <c r="P32" s="53">
        <f t="shared" si="50"/>
        <v>452975</v>
      </c>
      <c r="Q32" s="20">
        <f t="shared" si="51"/>
        <v>-452975</v>
      </c>
      <c r="R32" s="44"/>
      <c r="S32" s="39">
        <f t="shared" si="52"/>
        <v>0</v>
      </c>
      <c r="T32" s="53">
        <f t="shared" si="53"/>
        <v>347542</v>
      </c>
      <c r="U32" s="20">
        <f t="shared" si="54"/>
        <v>-347542</v>
      </c>
      <c r="V32" s="44"/>
      <c r="W32" s="39">
        <f t="shared" si="55"/>
        <v>0</v>
      </c>
      <c r="X32" s="53">
        <f t="shared" si="56"/>
        <v>300443</v>
      </c>
      <c r="Y32" s="20">
        <f t="shared" si="57"/>
        <v>-300443</v>
      </c>
      <c r="Z32" s="44"/>
      <c r="AA32" s="39">
        <f t="shared" si="58"/>
        <v>0</v>
      </c>
      <c r="AB32" s="53">
        <f t="shared" si="59"/>
        <v>273682</v>
      </c>
      <c r="AC32" s="20">
        <f t="shared" si="60"/>
        <v>-273682</v>
      </c>
      <c r="AD32" s="44"/>
      <c r="AE32" s="39">
        <f t="shared" si="61"/>
        <v>0</v>
      </c>
      <c r="AF32" s="53">
        <f t="shared" si="62"/>
        <v>374376</v>
      </c>
      <c r="AG32" s="20">
        <f t="shared" si="63"/>
        <v>-374376</v>
      </c>
      <c r="AH32" s="44"/>
      <c r="AI32" s="39">
        <f t="shared" si="64"/>
        <v>0</v>
      </c>
      <c r="AJ32" s="53">
        <f t="shared" si="65"/>
        <v>260970</v>
      </c>
      <c r="AK32" s="20">
        <f t="shared" si="66"/>
        <v>-260970</v>
      </c>
      <c r="AL32" s="44"/>
      <c r="AM32" s="39">
        <f t="shared" si="67"/>
        <v>0</v>
      </c>
      <c r="AN32" s="53">
        <f t="shared" si="68"/>
        <v>274542</v>
      </c>
      <c r="AO32" s="20">
        <f t="shared" si="69"/>
        <v>-274542</v>
      </c>
      <c r="AP32" s="44"/>
      <c r="AQ32" s="39">
        <f t="shared" si="70"/>
        <v>0</v>
      </c>
      <c r="AR32" s="53">
        <f t="shared" si="71"/>
        <v>262378</v>
      </c>
      <c r="AS32" s="20">
        <f t="shared" si="72"/>
        <v>-262378</v>
      </c>
      <c r="AT32" s="44"/>
      <c r="AU32" s="39">
        <f t="shared" si="73"/>
        <v>0</v>
      </c>
      <c r="AV32" s="53">
        <f t="shared" si="74"/>
        <v>357976</v>
      </c>
      <c r="AW32" s="20">
        <f t="shared" si="75"/>
        <v>-357976</v>
      </c>
      <c r="AX32" s="44"/>
      <c r="AY32" s="39">
        <f t="shared" si="76"/>
        <v>0</v>
      </c>
      <c r="AZ32" s="53">
        <f t="shared" si="77"/>
        <v>514664</v>
      </c>
      <c r="BA32" s="20">
        <f t="shared" si="78"/>
        <v>-514664</v>
      </c>
    </row>
    <row r="33" ht="15.75" customHeight="1">
      <c r="A33" s="52" t="s">
        <v>118</v>
      </c>
      <c r="B33" s="44"/>
      <c r="C33" s="39">
        <f t="shared" si="40"/>
        <v>0</v>
      </c>
      <c r="D33" s="53">
        <f t="shared" si="41"/>
        <v>411879</v>
      </c>
      <c r="E33" s="20">
        <f t="shared" si="42"/>
        <v>-411879</v>
      </c>
      <c r="F33" s="44"/>
      <c r="G33" s="39">
        <f t="shared" si="43"/>
        <v>0</v>
      </c>
      <c r="H33" s="53">
        <f t="shared" si="44"/>
        <v>358322</v>
      </c>
      <c r="I33" s="20">
        <f t="shared" si="45"/>
        <v>-358322</v>
      </c>
      <c r="J33" s="44"/>
      <c r="K33" s="39">
        <f t="shared" si="46"/>
        <v>0</v>
      </c>
      <c r="L33" s="53">
        <f t="shared" si="47"/>
        <v>354007</v>
      </c>
      <c r="M33" s="20">
        <f t="shared" si="48"/>
        <v>-354007</v>
      </c>
      <c r="N33" s="44"/>
      <c r="O33" s="39">
        <f t="shared" si="49"/>
        <v>0</v>
      </c>
      <c r="P33" s="53">
        <f t="shared" si="50"/>
        <v>453798</v>
      </c>
      <c r="Q33" s="20">
        <f t="shared" si="51"/>
        <v>-453798</v>
      </c>
      <c r="R33" s="44"/>
      <c r="S33" s="39">
        <f t="shared" si="52"/>
        <v>0</v>
      </c>
      <c r="T33" s="53">
        <f t="shared" si="53"/>
        <v>348365</v>
      </c>
      <c r="U33" s="20">
        <f t="shared" si="54"/>
        <v>-348365</v>
      </c>
      <c r="V33" s="44"/>
      <c r="W33" s="39">
        <f t="shared" si="55"/>
        <v>0</v>
      </c>
      <c r="X33" s="53">
        <f t="shared" si="56"/>
        <v>301266</v>
      </c>
      <c r="Y33" s="20">
        <f t="shared" si="57"/>
        <v>-301266</v>
      </c>
      <c r="Z33" s="44"/>
      <c r="AA33" s="39">
        <f t="shared" si="58"/>
        <v>0</v>
      </c>
      <c r="AB33" s="53">
        <f t="shared" si="59"/>
        <v>274505</v>
      </c>
      <c r="AC33" s="20">
        <f t="shared" si="60"/>
        <v>-274505</v>
      </c>
      <c r="AD33" s="44"/>
      <c r="AE33" s="39">
        <f t="shared" si="61"/>
        <v>0</v>
      </c>
      <c r="AF33" s="53">
        <f t="shared" si="62"/>
        <v>375199</v>
      </c>
      <c r="AG33" s="20">
        <f t="shared" si="63"/>
        <v>-375199</v>
      </c>
      <c r="AH33" s="44"/>
      <c r="AI33" s="39">
        <f t="shared" si="64"/>
        <v>0</v>
      </c>
      <c r="AJ33" s="53">
        <f t="shared" si="65"/>
        <v>261793</v>
      </c>
      <c r="AK33" s="20">
        <f t="shared" si="66"/>
        <v>-261793</v>
      </c>
      <c r="AL33" s="44"/>
      <c r="AM33" s="39">
        <f t="shared" si="67"/>
        <v>0</v>
      </c>
      <c r="AN33" s="53">
        <f t="shared" si="68"/>
        <v>275365</v>
      </c>
      <c r="AO33" s="20">
        <f t="shared" si="69"/>
        <v>-275365</v>
      </c>
      <c r="AP33" s="44"/>
      <c r="AQ33" s="39">
        <f t="shared" si="70"/>
        <v>0</v>
      </c>
      <c r="AR33" s="53">
        <f t="shared" si="71"/>
        <v>263201</v>
      </c>
      <c r="AS33" s="20">
        <f t="shared" si="72"/>
        <v>-263201</v>
      </c>
      <c r="AT33" s="44"/>
      <c r="AU33" s="39">
        <f t="shared" si="73"/>
        <v>0</v>
      </c>
      <c r="AV33" s="53">
        <f t="shared" si="74"/>
        <v>358799</v>
      </c>
      <c r="AW33" s="20">
        <f t="shared" si="75"/>
        <v>-358799</v>
      </c>
      <c r="AX33" s="44"/>
      <c r="AY33" s="39">
        <f t="shared" si="76"/>
        <v>0</v>
      </c>
      <c r="AZ33" s="53">
        <f t="shared" si="77"/>
        <v>515487</v>
      </c>
      <c r="BA33" s="20">
        <f t="shared" si="78"/>
        <v>-515487</v>
      </c>
    </row>
    <row r="34" ht="15.75" customHeight="1">
      <c r="A34" s="52" t="s">
        <v>119</v>
      </c>
      <c r="B34" s="44"/>
      <c r="C34" s="39">
        <f t="shared" si="40"/>
        <v>0</v>
      </c>
      <c r="D34" s="53">
        <f t="shared" si="41"/>
        <v>578193</v>
      </c>
      <c r="E34" s="20">
        <f t="shared" si="42"/>
        <v>-578193</v>
      </c>
      <c r="F34" s="44"/>
      <c r="G34" s="39">
        <f t="shared" si="43"/>
        <v>0</v>
      </c>
      <c r="H34" s="53">
        <f t="shared" si="44"/>
        <v>524636</v>
      </c>
      <c r="I34" s="20">
        <f t="shared" si="45"/>
        <v>-524636</v>
      </c>
      <c r="J34" s="44"/>
      <c r="K34" s="39">
        <f t="shared" si="46"/>
        <v>0</v>
      </c>
      <c r="L34" s="53">
        <f t="shared" si="47"/>
        <v>520321</v>
      </c>
      <c r="M34" s="20">
        <f t="shared" si="48"/>
        <v>-520321</v>
      </c>
      <c r="N34" s="44"/>
      <c r="O34" s="39">
        <f t="shared" si="49"/>
        <v>0</v>
      </c>
      <c r="P34" s="53">
        <f t="shared" si="50"/>
        <v>620112</v>
      </c>
      <c r="Q34" s="20">
        <f t="shared" si="51"/>
        <v>-620112</v>
      </c>
      <c r="R34" s="44"/>
      <c r="S34" s="39">
        <f t="shared" si="52"/>
        <v>0</v>
      </c>
      <c r="T34" s="53">
        <f t="shared" si="53"/>
        <v>514679</v>
      </c>
      <c r="U34" s="20">
        <f t="shared" si="54"/>
        <v>-514679</v>
      </c>
      <c r="V34" s="44"/>
      <c r="W34" s="39">
        <f t="shared" si="55"/>
        <v>0</v>
      </c>
      <c r="X34" s="53">
        <f t="shared" si="56"/>
        <v>467580</v>
      </c>
      <c r="Y34" s="20">
        <f t="shared" si="57"/>
        <v>-467580</v>
      </c>
      <c r="Z34" s="44"/>
      <c r="AA34" s="39">
        <f t="shared" si="58"/>
        <v>0</v>
      </c>
      <c r="AB34" s="53">
        <f t="shared" si="59"/>
        <v>440819</v>
      </c>
      <c r="AC34" s="20">
        <f t="shared" si="60"/>
        <v>-440819</v>
      </c>
      <c r="AD34" s="44"/>
      <c r="AE34" s="39">
        <f t="shared" si="61"/>
        <v>0</v>
      </c>
      <c r="AF34" s="53">
        <f t="shared" si="62"/>
        <v>541513</v>
      </c>
      <c r="AG34" s="20">
        <f t="shared" si="63"/>
        <v>-541513</v>
      </c>
      <c r="AH34" s="44"/>
      <c r="AI34" s="39">
        <f t="shared" si="64"/>
        <v>0</v>
      </c>
      <c r="AJ34" s="53">
        <f t="shared" si="65"/>
        <v>428107</v>
      </c>
      <c r="AK34" s="20">
        <f t="shared" si="66"/>
        <v>-428107</v>
      </c>
      <c r="AL34" s="44"/>
      <c r="AM34" s="39">
        <f t="shared" si="67"/>
        <v>0</v>
      </c>
      <c r="AN34" s="53">
        <f t="shared" si="68"/>
        <v>441679</v>
      </c>
      <c r="AO34" s="20">
        <f t="shared" si="69"/>
        <v>-441679</v>
      </c>
      <c r="AP34" s="44"/>
      <c r="AQ34" s="39">
        <f t="shared" si="70"/>
        <v>0</v>
      </c>
      <c r="AR34" s="53">
        <f t="shared" si="71"/>
        <v>429515</v>
      </c>
      <c r="AS34" s="20">
        <f t="shared" si="72"/>
        <v>-429515</v>
      </c>
      <c r="AT34" s="44"/>
      <c r="AU34" s="39">
        <f t="shared" si="73"/>
        <v>0</v>
      </c>
      <c r="AV34" s="53">
        <f t="shared" si="74"/>
        <v>525113</v>
      </c>
      <c r="AW34" s="20">
        <f t="shared" si="75"/>
        <v>-525113</v>
      </c>
      <c r="AX34" s="44"/>
      <c r="AY34" s="39">
        <f t="shared" si="76"/>
        <v>0</v>
      </c>
      <c r="AZ34" s="53">
        <f t="shared" si="77"/>
        <v>681801</v>
      </c>
      <c r="BA34" s="20">
        <f t="shared" si="78"/>
        <v>-681801</v>
      </c>
    </row>
    <row r="35" ht="15.75" customHeight="1">
      <c r="A35" s="52" t="s">
        <v>120</v>
      </c>
      <c r="B35" s="44"/>
      <c r="C35" s="39">
        <f t="shared" si="40"/>
        <v>0</v>
      </c>
      <c r="D35" s="53">
        <f t="shared" si="41"/>
        <v>578186</v>
      </c>
      <c r="E35" s="20">
        <f t="shared" si="42"/>
        <v>-578186</v>
      </c>
      <c r="F35" s="44"/>
      <c r="G35" s="39">
        <f t="shared" si="43"/>
        <v>0</v>
      </c>
      <c r="H35" s="53">
        <f t="shared" si="44"/>
        <v>524629</v>
      </c>
      <c r="I35" s="20">
        <f t="shared" si="45"/>
        <v>-524629</v>
      </c>
      <c r="J35" s="44"/>
      <c r="K35" s="39">
        <f t="shared" si="46"/>
        <v>0</v>
      </c>
      <c r="L35" s="53">
        <f t="shared" si="47"/>
        <v>520314</v>
      </c>
      <c r="M35" s="20">
        <f t="shared" si="48"/>
        <v>-520314</v>
      </c>
      <c r="N35" s="44"/>
      <c r="O35" s="39">
        <f t="shared" si="49"/>
        <v>0</v>
      </c>
      <c r="P35" s="53">
        <f t="shared" si="50"/>
        <v>620105</v>
      </c>
      <c r="Q35" s="20">
        <f t="shared" si="51"/>
        <v>-620105</v>
      </c>
      <c r="R35" s="44"/>
      <c r="S35" s="39">
        <f t="shared" si="52"/>
        <v>0</v>
      </c>
      <c r="T35" s="53">
        <f t="shared" si="53"/>
        <v>514672</v>
      </c>
      <c r="U35" s="20">
        <f t="shared" si="54"/>
        <v>-514672</v>
      </c>
      <c r="V35" s="44"/>
      <c r="W35" s="39">
        <f t="shared" si="55"/>
        <v>0</v>
      </c>
      <c r="X35" s="53">
        <f t="shared" si="56"/>
        <v>467573</v>
      </c>
      <c r="Y35" s="20">
        <f t="shared" si="57"/>
        <v>-467573</v>
      </c>
      <c r="Z35" s="44"/>
      <c r="AA35" s="39">
        <f t="shared" si="58"/>
        <v>0</v>
      </c>
      <c r="AB35" s="53">
        <f t="shared" si="59"/>
        <v>440812</v>
      </c>
      <c r="AC35" s="20">
        <f t="shared" si="60"/>
        <v>-440812</v>
      </c>
      <c r="AD35" s="44"/>
      <c r="AE35" s="39">
        <f t="shared" si="61"/>
        <v>0</v>
      </c>
      <c r="AF35" s="53">
        <f t="shared" si="62"/>
        <v>541506</v>
      </c>
      <c r="AG35" s="20">
        <f t="shared" si="63"/>
        <v>-541506</v>
      </c>
      <c r="AH35" s="44"/>
      <c r="AI35" s="39">
        <f t="shared" si="64"/>
        <v>0</v>
      </c>
      <c r="AJ35" s="53">
        <f t="shared" si="65"/>
        <v>428100</v>
      </c>
      <c r="AK35" s="20">
        <f t="shared" si="66"/>
        <v>-428100</v>
      </c>
      <c r="AL35" s="44"/>
      <c r="AM35" s="39">
        <f t="shared" si="67"/>
        <v>0</v>
      </c>
      <c r="AN35" s="109">
        <f t="shared" si="68"/>
        <v>441672</v>
      </c>
      <c r="AO35" s="20">
        <f t="shared" si="69"/>
        <v>-441672</v>
      </c>
      <c r="AP35" s="44"/>
      <c r="AQ35" s="39">
        <f t="shared" si="70"/>
        <v>0</v>
      </c>
      <c r="AR35" s="53">
        <f t="shared" si="71"/>
        <v>429508</v>
      </c>
      <c r="AS35" s="20">
        <f t="shared" si="72"/>
        <v>-429508</v>
      </c>
      <c r="AT35" s="44"/>
      <c r="AU35" s="39">
        <f t="shared" si="73"/>
        <v>0</v>
      </c>
      <c r="AV35" s="53">
        <f t="shared" si="74"/>
        <v>525106</v>
      </c>
      <c r="AW35" s="20">
        <f t="shared" si="75"/>
        <v>-525106</v>
      </c>
      <c r="AX35" s="44"/>
      <c r="AY35" s="39">
        <f t="shared" si="76"/>
        <v>0</v>
      </c>
      <c r="AZ35" s="53">
        <f t="shared" si="77"/>
        <v>681794</v>
      </c>
      <c r="BA35" s="20">
        <f t="shared" si="78"/>
        <v>-681794</v>
      </c>
    </row>
    <row r="36" ht="15.75" customHeight="1">
      <c r="A36" s="52" t="s">
        <v>121</v>
      </c>
      <c r="B36" s="44"/>
      <c r="C36" s="39">
        <f t="shared" si="40"/>
        <v>0</v>
      </c>
      <c r="D36" s="53">
        <f t="shared" si="41"/>
        <v>578288</v>
      </c>
      <c r="E36" s="20">
        <f t="shared" si="42"/>
        <v>-578288</v>
      </c>
      <c r="F36" s="44"/>
      <c r="G36" s="39">
        <f t="shared" si="43"/>
        <v>0</v>
      </c>
      <c r="H36" s="53">
        <f t="shared" si="44"/>
        <v>524731</v>
      </c>
      <c r="I36" s="20">
        <f t="shared" si="45"/>
        <v>-524731</v>
      </c>
      <c r="J36" s="44"/>
      <c r="K36" s="39">
        <f t="shared" si="46"/>
        <v>0</v>
      </c>
      <c r="L36" s="53">
        <f t="shared" si="47"/>
        <v>520416</v>
      </c>
      <c r="M36" s="20">
        <f t="shared" si="48"/>
        <v>-520416</v>
      </c>
      <c r="N36" s="44"/>
      <c r="O36" s="39">
        <f t="shared" si="49"/>
        <v>0</v>
      </c>
      <c r="P36" s="53">
        <f t="shared" si="50"/>
        <v>620207</v>
      </c>
      <c r="Q36" s="20">
        <f t="shared" si="51"/>
        <v>-620207</v>
      </c>
      <c r="R36" s="44"/>
      <c r="S36" s="39">
        <f t="shared" si="52"/>
        <v>0</v>
      </c>
      <c r="T36" s="53">
        <f t="shared" si="53"/>
        <v>514774</v>
      </c>
      <c r="U36" s="20">
        <f t="shared" si="54"/>
        <v>-514774</v>
      </c>
      <c r="V36" s="44"/>
      <c r="W36" s="39">
        <f t="shared" si="55"/>
        <v>0</v>
      </c>
      <c r="X36" s="53">
        <f t="shared" si="56"/>
        <v>467675</v>
      </c>
      <c r="Y36" s="20">
        <f t="shared" si="57"/>
        <v>-467675</v>
      </c>
      <c r="Z36" s="44"/>
      <c r="AA36" s="39">
        <f t="shared" si="58"/>
        <v>0</v>
      </c>
      <c r="AB36" s="53">
        <f t="shared" si="59"/>
        <v>440914</v>
      </c>
      <c r="AC36" s="20">
        <f t="shared" si="60"/>
        <v>-440914</v>
      </c>
      <c r="AD36" s="44"/>
      <c r="AE36" s="39">
        <f t="shared" si="61"/>
        <v>0</v>
      </c>
      <c r="AF36" s="53">
        <f t="shared" si="62"/>
        <v>541608</v>
      </c>
      <c r="AG36" s="20">
        <f t="shared" si="63"/>
        <v>-541608</v>
      </c>
      <c r="AH36" s="44"/>
      <c r="AI36" s="39">
        <f t="shared" si="64"/>
        <v>0</v>
      </c>
      <c r="AJ36" s="53">
        <f t="shared" si="65"/>
        <v>428202</v>
      </c>
      <c r="AK36" s="20">
        <f t="shared" si="66"/>
        <v>-428202</v>
      </c>
      <c r="AL36" s="44"/>
      <c r="AM36" s="39">
        <f t="shared" si="67"/>
        <v>0</v>
      </c>
      <c r="AN36" s="53">
        <f t="shared" si="68"/>
        <v>441774</v>
      </c>
      <c r="AO36" s="20">
        <f t="shared" si="69"/>
        <v>-441774</v>
      </c>
      <c r="AP36" s="44"/>
      <c r="AQ36" s="39">
        <f t="shared" si="70"/>
        <v>0</v>
      </c>
      <c r="AR36" s="53">
        <f t="shared" si="71"/>
        <v>429610</v>
      </c>
      <c r="AS36" s="20">
        <f t="shared" si="72"/>
        <v>-429610</v>
      </c>
      <c r="AT36" s="44"/>
      <c r="AU36" s="39">
        <f t="shared" si="73"/>
        <v>0</v>
      </c>
      <c r="AV36" s="53">
        <f t="shared" si="74"/>
        <v>525208</v>
      </c>
      <c r="AW36" s="20">
        <f t="shared" si="75"/>
        <v>-525208</v>
      </c>
      <c r="AX36" s="44"/>
      <c r="AY36" s="39">
        <f t="shared" si="76"/>
        <v>0</v>
      </c>
      <c r="AZ36" s="53">
        <f t="shared" si="77"/>
        <v>681896</v>
      </c>
      <c r="BA36" s="20">
        <f t="shared" si="78"/>
        <v>-681896</v>
      </c>
    </row>
    <row r="37" ht="15.75" customHeight="1">
      <c r="A37" s="52" t="s">
        <v>122</v>
      </c>
      <c r="B37" s="57"/>
      <c r="C37" s="39">
        <f t="shared" si="40"/>
        <v>0</v>
      </c>
      <c r="D37" s="58">
        <f t="shared" si="41"/>
        <v>579111</v>
      </c>
      <c r="E37" s="59">
        <f t="shared" si="42"/>
        <v>-579111</v>
      </c>
      <c r="F37" s="57"/>
      <c r="G37" s="39">
        <f t="shared" si="43"/>
        <v>0</v>
      </c>
      <c r="H37" s="58">
        <f t="shared" si="44"/>
        <v>525554</v>
      </c>
      <c r="I37" s="59">
        <f t="shared" si="45"/>
        <v>-525554</v>
      </c>
      <c r="J37" s="57"/>
      <c r="K37" s="39">
        <f t="shared" si="46"/>
        <v>0</v>
      </c>
      <c r="L37" s="58">
        <f t="shared" si="47"/>
        <v>521239</v>
      </c>
      <c r="M37" s="59">
        <f t="shared" si="48"/>
        <v>-521239</v>
      </c>
      <c r="N37" s="57"/>
      <c r="O37" s="39">
        <f t="shared" si="49"/>
        <v>0</v>
      </c>
      <c r="P37" s="58">
        <f t="shared" si="50"/>
        <v>621030</v>
      </c>
      <c r="Q37" s="59">
        <f t="shared" si="51"/>
        <v>-621030</v>
      </c>
      <c r="R37" s="57"/>
      <c r="S37" s="39">
        <f t="shared" si="52"/>
        <v>0</v>
      </c>
      <c r="T37" s="58">
        <f t="shared" si="53"/>
        <v>515597</v>
      </c>
      <c r="U37" s="59">
        <f t="shared" si="54"/>
        <v>-515597</v>
      </c>
      <c r="V37" s="57"/>
      <c r="W37" s="39">
        <f t="shared" si="55"/>
        <v>0</v>
      </c>
      <c r="X37" s="58">
        <f t="shared" si="56"/>
        <v>468498</v>
      </c>
      <c r="Y37" s="59">
        <f t="shared" si="57"/>
        <v>-468498</v>
      </c>
      <c r="Z37" s="57"/>
      <c r="AA37" s="39">
        <f t="shared" si="58"/>
        <v>0</v>
      </c>
      <c r="AB37" s="58">
        <f t="shared" si="59"/>
        <v>441737</v>
      </c>
      <c r="AC37" s="59">
        <f t="shared" si="60"/>
        <v>-441737</v>
      </c>
      <c r="AD37" s="57"/>
      <c r="AE37" s="39">
        <f t="shared" si="61"/>
        <v>0</v>
      </c>
      <c r="AF37" s="53">
        <f t="shared" si="62"/>
        <v>542431</v>
      </c>
      <c r="AG37" s="59">
        <f t="shared" si="63"/>
        <v>-542431</v>
      </c>
      <c r="AH37" s="57"/>
      <c r="AI37" s="39">
        <f t="shared" si="64"/>
        <v>0</v>
      </c>
      <c r="AJ37" s="53">
        <f t="shared" si="65"/>
        <v>429025</v>
      </c>
      <c r="AK37" s="59">
        <f t="shared" si="66"/>
        <v>-429025</v>
      </c>
      <c r="AL37" s="57"/>
      <c r="AM37" s="39">
        <f t="shared" si="67"/>
        <v>0</v>
      </c>
      <c r="AN37" s="53">
        <f t="shared" si="68"/>
        <v>442597</v>
      </c>
      <c r="AO37" s="59">
        <f t="shared" si="69"/>
        <v>-442597</v>
      </c>
      <c r="AP37" s="57"/>
      <c r="AQ37" s="39">
        <f t="shared" si="70"/>
        <v>0</v>
      </c>
      <c r="AR37" s="53">
        <f t="shared" si="71"/>
        <v>430433</v>
      </c>
      <c r="AS37" s="59">
        <f t="shared" si="72"/>
        <v>-430433</v>
      </c>
      <c r="AT37" s="57"/>
      <c r="AU37" s="60">
        <f t="shared" si="73"/>
        <v>0</v>
      </c>
      <c r="AV37" s="53">
        <f t="shared" si="74"/>
        <v>526031</v>
      </c>
      <c r="AW37" s="59">
        <f t="shared" si="75"/>
        <v>-526031</v>
      </c>
      <c r="AX37" s="57"/>
      <c r="AY37" s="60">
        <f t="shared" si="76"/>
        <v>0</v>
      </c>
      <c r="AZ37" s="53">
        <f t="shared" si="77"/>
        <v>682719</v>
      </c>
      <c r="BA37" s="59">
        <f t="shared" si="78"/>
        <v>-682719</v>
      </c>
    </row>
    <row r="38" ht="15.75" customHeight="1">
      <c r="AI38" s="1">
        <v>8.0</v>
      </c>
    </row>
    <row r="39" ht="15.75" customHeight="1">
      <c r="D39" s="1" t="s">
        <v>59</v>
      </c>
      <c r="N39" s="61"/>
      <c r="AI39" s="1">
        <v>8.0</v>
      </c>
    </row>
    <row r="40" ht="15.75" customHeight="1">
      <c r="A40" s="39" t="s">
        <v>124</v>
      </c>
      <c r="B40" s="63">
        <v>57848.0</v>
      </c>
      <c r="C40" s="73" t="s">
        <v>107</v>
      </c>
      <c r="D40" s="107">
        <v>18785.0</v>
      </c>
      <c r="G40" s="47">
        <f t="shared" ref="G40:G55" si="79">MIN(D40,F40)</f>
        <v>18785</v>
      </c>
      <c r="H40" s="110"/>
      <c r="AI40" s="1">
        <v>1.0</v>
      </c>
    </row>
    <row r="41" ht="15.75" customHeight="1">
      <c r="A41" s="39" t="s">
        <v>125</v>
      </c>
      <c r="B41" s="67">
        <v>54500.0</v>
      </c>
      <c r="C41" s="73" t="s">
        <v>108</v>
      </c>
      <c r="D41" s="107">
        <v>18778.0</v>
      </c>
      <c r="G41" s="47">
        <f t="shared" si="79"/>
        <v>18778</v>
      </c>
      <c r="H41" s="110"/>
      <c r="AI41" s="1">
        <v>9.0</v>
      </c>
    </row>
    <row r="42" ht="15.75" customHeight="1">
      <c r="A42" s="39" t="s">
        <v>126</v>
      </c>
      <c r="B42" s="67">
        <v>48816.0</v>
      </c>
      <c r="C42" s="73" t="s">
        <v>109</v>
      </c>
      <c r="D42" s="107">
        <v>18880.0</v>
      </c>
      <c r="G42" s="47">
        <f t="shared" si="79"/>
        <v>18880</v>
      </c>
      <c r="H42" s="110"/>
    </row>
    <row r="43" ht="15.75" customHeight="1">
      <c r="A43" s="39" t="s">
        <v>127</v>
      </c>
      <c r="B43" s="67">
        <v>55686.0</v>
      </c>
      <c r="C43" s="73" t="s">
        <v>110</v>
      </c>
      <c r="D43" s="107">
        <v>19703.0</v>
      </c>
      <c r="G43" s="47">
        <f t="shared" si="79"/>
        <v>19703</v>
      </c>
      <c r="H43" s="110"/>
    </row>
    <row r="44" ht="15.75" customHeight="1">
      <c r="A44" s="39" t="s">
        <v>128</v>
      </c>
      <c r="B44" s="67">
        <v>52993.0</v>
      </c>
      <c r="C44" s="73" t="s">
        <v>111</v>
      </c>
      <c r="D44" s="107">
        <v>35489.0</v>
      </c>
      <c r="E44" s="47">
        <f t="shared" ref="E44:E47" si="80">$B$48*48</f>
        <v>13056</v>
      </c>
      <c r="F44" s="47">
        <f t="shared" ref="F44:F47" si="81">D40+E44</f>
        <v>31841</v>
      </c>
      <c r="G44" s="47">
        <f t="shared" si="79"/>
        <v>31841</v>
      </c>
      <c r="H44" s="110"/>
    </row>
    <row r="45" ht="15.75" customHeight="1">
      <c r="A45" s="39" t="s">
        <v>129</v>
      </c>
      <c r="B45" s="67">
        <v>58995.0</v>
      </c>
      <c r="C45" s="73" t="s">
        <v>112</v>
      </c>
      <c r="D45" s="107">
        <v>35497.0</v>
      </c>
      <c r="E45" s="47">
        <f t="shared" si="80"/>
        <v>13056</v>
      </c>
      <c r="F45" s="47">
        <f t="shared" si="81"/>
        <v>31834</v>
      </c>
      <c r="G45" s="47">
        <f t="shared" si="79"/>
        <v>31834</v>
      </c>
      <c r="H45" s="110"/>
    </row>
    <row r="46" ht="15.75" customHeight="1">
      <c r="A46" s="73" t="s">
        <v>130</v>
      </c>
      <c r="B46" s="67">
        <v>87992.0</v>
      </c>
      <c r="C46" s="73" t="s">
        <v>113</v>
      </c>
      <c r="D46" s="107">
        <v>36787.0</v>
      </c>
      <c r="E46" s="47">
        <f t="shared" si="80"/>
        <v>13056</v>
      </c>
      <c r="F46" s="47">
        <f t="shared" si="81"/>
        <v>31936</v>
      </c>
      <c r="G46" s="47">
        <f t="shared" si="79"/>
        <v>31936</v>
      </c>
      <c r="H46" s="110"/>
    </row>
    <row r="47" ht="15.75" customHeight="1">
      <c r="B47" s="108">
        <v>7993.0</v>
      </c>
      <c r="C47" s="73" t="s">
        <v>114</v>
      </c>
      <c r="D47" s="107">
        <v>39055.0</v>
      </c>
      <c r="E47" s="47">
        <f t="shared" si="80"/>
        <v>13056</v>
      </c>
      <c r="F47" s="47">
        <f t="shared" si="81"/>
        <v>32759</v>
      </c>
      <c r="G47" s="47">
        <f t="shared" si="79"/>
        <v>32759</v>
      </c>
    </row>
    <row r="48" ht="15.75" customHeight="1">
      <c r="A48" s="73" t="s">
        <v>132</v>
      </c>
      <c r="B48" s="107">
        <v>272.0</v>
      </c>
      <c r="C48" s="73" t="s">
        <v>115</v>
      </c>
      <c r="D48" s="107">
        <v>104995.0</v>
      </c>
      <c r="E48" s="47">
        <f t="shared" ref="E48:E51" si="82">$B$49*48</f>
        <v>62064</v>
      </c>
      <c r="F48" s="47">
        <f t="shared" ref="F48:F55" si="83">MIN(D44,F44)+E48</f>
        <v>93905</v>
      </c>
      <c r="G48" s="47">
        <f t="shared" si="79"/>
        <v>93905</v>
      </c>
    </row>
    <row r="49" ht="15.75" customHeight="1">
      <c r="A49" s="73" t="s">
        <v>133</v>
      </c>
      <c r="B49" s="107">
        <v>1293.0</v>
      </c>
      <c r="C49" s="73" t="s">
        <v>116</v>
      </c>
      <c r="D49" s="107">
        <v>104998.0</v>
      </c>
      <c r="E49" s="47">
        <f t="shared" si="82"/>
        <v>62064</v>
      </c>
      <c r="F49" s="47">
        <f t="shared" si="83"/>
        <v>93898</v>
      </c>
      <c r="G49" s="47">
        <f t="shared" si="79"/>
        <v>93898</v>
      </c>
    </row>
    <row r="50" ht="15.75" customHeight="1">
      <c r="A50" s="73" t="s">
        <v>134</v>
      </c>
      <c r="B50" s="107">
        <v>3484.0</v>
      </c>
      <c r="C50" s="73" t="s">
        <v>120</v>
      </c>
      <c r="D50" s="107">
        <v>110799.0</v>
      </c>
      <c r="E50" s="47">
        <f t="shared" si="82"/>
        <v>62064</v>
      </c>
      <c r="F50" s="47">
        <f t="shared" si="83"/>
        <v>94000</v>
      </c>
      <c r="G50" s="47">
        <f t="shared" si="79"/>
        <v>94000</v>
      </c>
    </row>
    <row r="51" ht="15.75" customHeight="1">
      <c r="C51" s="73" t="s">
        <v>135</v>
      </c>
      <c r="D51" s="107">
        <v>110972.0</v>
      </c>
      <c r="E51" s="47">
        <f t="shared" si="82"/>
        <v>62064</v>
      </c>
      <c r="F51" s="47">
        <f t="shared" si="83"/>
        <v>94823</v>
      </c>
      <c r="G51" s="47">
        <f t="shared" si="79"/>
        <v>94823</v>
      </c>
    </row>
    <row r="52" ht="15.75" customHeight="1">
      <c r="A52" s="73" t="s">
        <v>136</v>
      </c>
      <c r="B52" s="107">
        <v>149998.0</v>
      </c>
      <c r="C52" s="73" t="s">
        <v>113</v>
      </c>
      <c r="D52" s="107">
        <v>300898.0</v>
      </c>
      <c r="E52" s="47">
        <f t="shared" ref="E52:E55" si="84">$B$50*48</f>
        <v>167232</v>
      </c>
      <c r="F52" s="47">
        <f t="shared" si="83"/>
        <v>261137</v>
      </c>
      <c r="G52" s="47">
        <f t="shared" si="79"/>
        <v>261137</v>
      </c>
    </row>
    <row r="53" ht="15.75" customHeight="1">
      <c r="A53" s="73" t="s">
        <v>137</v>
      </c>
      <c r="B53" s="107">
        <v>99999.0</v>
      </c>
      <c r="C53" s="73" t="s">
        <v>117</v>
      </c>
      <c r="D53" s="107">
        <v>289998.0</v>
      </c>
      <c r="E53" s="47">
        <f t="shared" si="84"/>
        <v>167232</v>
      </c>
      <c r="F53" s="47">
        <f t="shared" si="83"/>
        <v>261130</v>
      </c>
      <c r="G53" s="47">
        <f t="shared" si="79"/>
        <v>261130</v>
      </c>
    </row>
    <row r="54" ht="15.75" customHeight="1">
      <c r="A54" s="73" t="s">
        <v>138</v>
      </c>
      <c r="B54" s="107">
        <v>82199.0</v>
      </c>
      <c r="C54" s="73" t="s">
        <v>121</v>
      </c>
      <c r="D54" s="107">
        <v>300900.0</v>
      </c>
      <c r="E54" s="47">
        <f t="shared" si="84"/>
        <v>167232</v>
      </c>
      <c r="F54" s="47">
        <f t="shared" si="83"/>
        <v>261232</v>
      </c>
      <c r="G54" s="47">
        <f t="shared" si="79"/>
        <v>261232</v>
      </c>
    </row>
    <row r="55" ht="15.75" customHeight="1">
      <c r="A55" s="73" t="s">
        <v>139</v>
      </c>
      <c r="B55" s="107">
        <v>199996.0</v>
      </c>
      <c r="C55" s="73" t="s">
        <v>140</v>
      </c>
      <c r="D55" s="107"/>
      <c r="E55" s="47">
        <f t="shared" si="84"/>
        <v>167232</v>
      </c>
      <c r="F55" s="47">
        <f t="shared" si="83"/>
        <v>262055</v>
      </c>
      <c r="G55" s="47">
        <f t="shared" si="79"/>
        <v>262055</v>
      </c>
    </row>
    <row r="56" ht="15.75" customHeight="1">
      <c r="A56" s="73" t="s">
        <v>141</v>
      </c>
      <c r="B56" s="107">
        <v>79998.0</v>
      </c>
    </row>
    <row r="57" ht="15.75" customHeight="1">
      <c r="A57" s="73" t="s">
        <v>142</v>
      </c>
      <c r="B57" s="107">
        <v>59995.0</v>
      </c>
    </row>
    <row r="58" ht="15.75" customHeight="1">
      <c r="A58" s="73" t="s">
        <v>143</v>
      </c>
      <c r="B58" s="107">
        <v>2697.0</v>
      </c>
    </row>
    <row r="59" ht="15.75" customHeight="1">
      <c r="A59" s="73" t="s">
        <v>144</v>
      </c>
      <c r="B59" s="107">
        <v>116876.0</v>
      </c>
    </row>
    <row r="60" ht="15.75" customHeight="1">
      <c r="A60" s="73" t="s">
        <v>145</v>
      </c>
      <c r="B60" s="107">
        <v>7991.0</v>
      </c>
    </row>
    <row r="61" ht="15.75" customHeight="1">
      <c r="A61" s="73" t="s">
        <v>146</v>
      </c>
      <c r="B61" s="107">
        <v>6998.0</v>
      </c>
    </row>
    <row r="62" ht="15.75" customHeight="1">
      <c r="A62" s="73" t="s">
        <v>147</v>
      </c>
      <c r="B62" s="107">
        <v>1320.0</v>
      </c>
    </row>
    <row r="63" ht="15.75" customHeight="1">
      <c r="A63" s="73" t="s">
        <v>148</v>
      </c>
      <c r="B63" s="107"/>
    </row>
    <row r="64" ht="15.75" customHeight="1">
      <c r="B64" s="1">
        <v>60979.0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D1:AG1"/>
    <mergeCell ref="AH1:AK1"/>
    <mergeCell ref="AL1:AO1"/>
    <mergeCell ref="AP1:AS1"/>
    <mergeCell ref="AT1:AW1"/>
    <mergeCell ref="AX1:BA1"/>
    <mergeCell ref="B1:E1"/>
    <mergeCell ref="F1:I1"/>
    <mergeCell ref="J1:M1"/>
    <mergeCell ref="N1:Q1"/>
    <mergeCell ref="R1:U1"/>
    <mergeCell ref="V1:Y1"/>
    <mergeCell ref="Z1:AC1"/>
  </mergeCells>
  <conditionalFormatting sqref="E5:E20 I5:I20 M5:M20 Q5:Q20 U5:U20 Y5:Y20 AC5:AC20 AG5:AG20 AK5:AK20 AO5:AO20 AS5:AS20 AW5:AW20 BA5:BA20 E22:E37 I22:I37 M22:M37 Q22:Q37 U22:U37 Y22:Y37 AC22:AC37 AG22:AG37 AK22:AK37 AO22:AO37 AS22:AS37 AW22:AW37 BA22:BA37">
    <cfRule type="cellIs" dxfId="2" priority="1" operator="lessThan">
      <formula>0</formula>
    </cfRule>
  </conditionalFormatting>
  <conditionalFormatting sqref="E5:E20 I5:I20 M5:M20 Q5:Q20 U5:U20 Y5:Y20 AC5:AC20 AG5:AG20 AK5:AK20 AO5:AO20 AS5:AS20 AW5:AW20 BA5:BA20 E22:E37 I22:I37 M22:M37 Q22:Q37 U22:U37 Y22:Y37 AC22:AC37 AG22:AG37 AK22:AK37 AO22:AO37 AS22:AS37 AW22:AW37 BA22:BA37">
    <cfRule type="cellIs" dxfId="3" priority="2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20.71"/>
    <col customWidth="1" min="2" max="2" width="19.14"/>
    <col customWidth="1" min="3" max="3" width="12.0"/>
    <col customWidth="1" min="4" max="4" width="12.29"/>
    <col customWidth="1" min="5" max="5" width="11.0"/>
    <col customWidth="1" min="6" max="6" width="20.14"/>
    <col customWidth="1" min="7" max="7" width="12.0"/>
    <col customWidth="1" min="8" max="8" width="12.29"/>
    <col customWidth="1" min="9" max="9" width="11.0"/>
    <col customWidth="1" min="10" max="10" width="20.14"/>
    <col customWidth="1" min="11" max="11" width="12.0"/>
    <col customWidth="1" min="12" max="12" width="12.29"/>
    <col customWidth="1" min="13" max="13" width="9.43"/>
    <col customWidth="1" min="14" max="14" width="20.29"/>
    <col customWidth="1" min="15" max="15" width="12.0"/>
    <col customWidth="1" min="16" max="16" width="12.29"/>
    <col customWidth="1" min="17" max="17" width="9.43"/>
    <col customWidth="1" min="18" max="18" width="20.57"/>
    <col customWidth="1" min="19" max="19" width="12.0"/>
    <col customWidth="1" min="20" max="20" width="12.29"/>
    <col customWidth="1" min="21" max="21" width="9.43"/>
    <col customWidth="1" min="22" max="22" width="17.29"/>
    <col customWidth="1" min="23" max="23" width="12.0"/>
    <col customWidth="1" min="24" max="24" width="12.29"/>
    <col customWidth="1" min="25" max="25" width="9.43"/>
    <col customWidth="1" min="26" max="26" width="15.43"/>
    <col customWidth="1" min="27" max="27" width="12.0"/>
    <col customWidth="1" min="28" max="28" width="12.29"/>
    <col customWidth="1" min="29" max="29" width="9.43"/>
    <col customWidth="1" min="30" max="30" width="13.43"/>
    <col customWidth="1" min="31" max="31" width="12.0"/>
    <col customWidth="1" min="32" max="32" width="12.29"/>
    <col customWidth="1" min="33" max="33" width="11.0"/>
    <col customWidth="1" min="34" max="34" width="17.14"/>
    <col customWidth="1" min="35" max="35" width="12.0"/>
    <col customWidth="1" min="36" max="36" width="12.29"/>
    <col customWidth="1" min="37" max="37" width="9.43"/>
    <col customWidth="1" min="38" max="38" width="14.71"/>
    <col customWidth="1" min="39" max="39" width="12.0"/>
    <col customWidth="1" min="40" max="40" width="12.29"/>
    <col customWidth="1" min="41" max="41" width="9.43"/>
    <col customWidth="1" min="42" max="42" width="14.71"/>
    <col customWidth="1" min="43" max="43" width="12.0"/>
    <col customWidth="1" min="44" max="44" width="12.29"/>
    <col customWidth="1" min="45" max="45" width="9.43"/>
    <col customWidth="1" min="46" max="46" width="10.57"/>
    <col customWidth="1" min="47" max="47" width="12.0"/>
    <col customWidth="1" min="48" max="48" width="12.29"/>
    <col customWidth="1" min="49" max="50" width="9.43"/>
  </cols>
  <sheetData>
    <row r="1">
      <c r="A1" s="39" t="s">
        <v>55</v>
      </c>
      <c r="B1" s="40" t="s">
        <v>90</v>
      </c>
      <c r="C1" s="41"/>
      <c r="D1" s="41"/>
      <c r="E1" s="42"/>
      <c r="F1" s="43" t="s">
        <v>91</v>
      </c>
      <c r="G1" s="41"/>
      <c r="H1" s="41"/>
      <c r="I1" s="42"/>
      <c r="J1" s="40" t="s">
        <v>92</v>
      </c>
      <c r="K1" s="41"/>
      <c r="L1" s="41"/>
      <c r="M1" s="42"/>
      <c r="N1" s="40" t="s">
        <v>93</v>
      </c>
      <c r="O1" s="41"/>
      <c r="P1" s="41"/>
      <c r="Q1" s="42"/>
      <c r="R1" s="40" t="s">
        <v>94</v>
      </c>
      <c r="S1" s="41"/>
      <c r="T1" s="41"/>
      <c r="U1" s="42"/>
      <c r="V1" s="43" t="s">
        <v>95</v>
      </c>
      <c r="W1" s="41"/>
      <c r="X1" s="41"/>
      <c r="Y1" s="42"/>
      <c r="Z1" s="40" t="s">
        <v>96</v>
      </c>
      <c r="AA1" s="41"/>
      <c r="AB1" s="41"/>
      <c r="AC1" s="42"/>
      <c r="AD1" s="40" t="s">
        <v>97</v>
      </c>
      <c r="AE1" s="41"/>
      <c r="AF1" s="41"/>
      <c r="AG1" s="42"/>
      <c r="AH1" s="40" t="s">
        <v>98</v>
      </c>
      <c r="AI1" s="41"/>
      <c r="AJ1" s="41"/>
      <c r="AK1" s="42"/>
      <c r="AL1" s="40" t="s">
        <v>99</v>
      </c>
      <c r="AM1" s="41"/>
      <c r="AN1" s="41"/>
      <c r="AO1" s="42"/>
      <c r="AP1" s="40" t="s">
        <v>100</v>
      </c>
      <c r="AQ1" s="41"/>
      <c r="AR1" s="41"/>
      <c r="AS1" s="42"/>
      <c r="AT1" s="43" t="s">
        <v>101</v>
      </c>
      <c r="AU1" s="41"/>
      <c r="AV1" s="41"/>
      <c r="AW1" s="42"/>
      <c r="AX1" s="111"/>
    </row>
    <row r="2">
      <c r="A2" s="39" t="s">
        <v>56</v>
      </c>
      <c r="B2" s="44" t="str">
        <f>B52</f>
        <v/>
      </c>
      <c r="E2" s="20"/>
      <c r="F2" s="44" t="str">
        <f>B53</f>
        <v/>
      </c>
      <c r="I2" s="20"/>
      <c r="J2" s="44">
        <f>B54</f>
        <v>250000</v>
      </c>
      <c r="M2" s="20"/>
      <c r="N2" s="44">
        <f>B55</f>
        <v>328999</v>
      </c>
      <c r="Q2" s="45"/>
      <c r="R2" s="44">
        <f>B56</f>
        <v>318900</v>
      </c>
      <c r="U2" s="20"/>
      <c r="V2" s="44">
        <f>B57</f>
        <v>228999</v>
      </c>
      <c r="Y2" s="45"/>
      <c r="Z2" s="44">
        <f>B58</f>
        <v>8976</v>
      </c>
      <c r="AC2" s="20"/>
      <c r="AD2" s="44">
        <f>B59</f>
        <v>14490</v>
      </c>
      <c r="AG2" s="20"/>
      <c r="AH2" s="44">
        <f>B60</f>
        <v>10958</v>
      </c>
      <c r="AK2" s="20"/>
      <c r="AL2" s="44">
        <f>B61</f>
        <v>9685</v>
      </c>
      <c r="AO2" s="20"/>
      <c r="AP2" s="44">
        <f>B62</f>
        <v>20999</v>
      </c>
      <c r="AS2" s="45"/>
      <c r="AT2" s="44">
        <f>B63</f>
        <v>439999</v>
      </c>
      <c r="AW2" s="20"/>
    </row>
    <row r="3">
      <c r="A3" s="39" t="s">
        <v>57</v>
      </c>
      <c r="B3" s="44">
        <f>B43*5</f>
        <v>278430</v>
      </c>
      <c r="E3" s="20"/>
      <c r="F3" s="44">
        <f>B41*7</f>
        <v>381500</v>
      </c>
      <c r="I3" s="20"/>
      <c r="J3" s="44">
        <f>B45*5</f>
        <v>294975</v>
      </c>
      <c r="M3" s="20"/>
      <c r="N3" s="44">
        <f>B44*5</f>
        <v>264965</v>
      </c>
      <c r="Q3" s="20"/>
      <c r="R3" s="44">
        <f>B40*5</f>
        <v>289240</v>
      </c>
      <c r="U3" s="20"/>
      <c r="V3" s="44">
        <f>B42*5</f>
        <v>244080</v>
      </c>
      <c r="Y3" s="20"/>
      <c r="Z3" s="46">
        <f>B45*5</f>
        <v>294975</v>
      </c>
      <c r="AC3" s="20"/>
      <c r="AD3" s="44">
        <f>B41*5</f>
        <v>272500</v>
      </c>
      <c r="AG3" s="20"/>
      <c r="AH3" s="44">
        <f>B44*5</f>
        <v>264965</v>
      </c>
      <c r="AK3" s="20"/>
      <c r="AL3" s="44">
        <f>B40*5</f>
        <v>289240</v>
      </c>
      <c r="AO3" s="20"/>
      <c r="AP3" s="44">
        <f>B43*5</f>
        <v>278430</v>
      </c>
      <c r="AS3" s="20"/>
      <c r="AT3" s="44">
        <f>B46*5</f>
        <v>439960</v>
      </c>
      <c r="AW3" s="20"/>
    </row>
    <row r="4">
      <c r="A4" s="47"/>
      <c r="B4" s="48" t="s">
        <v>103</v>
      </c>
      <c r="C4" s="49" t="s">
        <v>104</v>
      </c>
      <c r="D4" s="50" t="s">
        <v>105</v>
      </c>
      <c r="E4" s="51" t="s">
        <v>106</v>
      </c>
      <c r="F4" s="48" t="s">
        <v>103</v>
      </c>
      <c r="G4" s="49" t="s">
        <v>104</v>
      </c>
      <c r="H4" s="50" t="s">
        <v>105</v>
      </c>
      <c r="I4" s="51" t="s">
        <v>106</v>
      </c>
      <c r="J4" s="48" t="s">
        <v>103</v>
      </c>
      <c r="K4" s="49" t="s">
        <v>104</v>
      </c>
      <c r="L4" s="50" t="s">
        <v>105</v>
      </c>
      <c r="M4" s="51" t="s">
        <v>106</v>
      </c>
      <c r="N4" s="48" t="s">
        <v>103</v>
      </c>
      <c r="O4" s="49" t="s">
        <v>104</v>
      </c>
      <c r="P4" s="50" t="s">
        <v>105</v>
      </c>
      <c r="Q4" s="51" t="s">
        <v>106</v>
      </c>
      <c r="R4" s="48" t="s">
        <v>103</v>
      </c>
      <c r="S4" s="49" t="s">
        <v>104</v>
      </c>
      <c r="T4" s="50" t="s">
        <v>105</v>
      </c>
      <c r="U4" s="51" t="s">
        <v>106</v>
      </c>
      <c r="V4" s="48" t="s">
        <v>103</v>
      </c>
      <c r="W4" s="49" t="s">
        <v>104</v>
      </c>
      <c r="X4" s="50" t="s">
        <v>105</v>
      </c>
      <c r="Y4" s="51" t="s">
        <v>106</v>
      </c>
      <c r="Z4" s="48" t="s">
        <v>103</v>
      </c>
      <c r="AA4" s="49" t="s">
        <v>104</v>
      </c>
      <c r="AB4" s="50" t="s">
        <v>105</v>
      </c>
      <c r="AC4" s="51" t="s">
        <v>106</v>
      </c>
      <c r="AD4" s="48" t="s">
        <v>103</v>
      </c>
      <c r="AE4" s="49" t="s">
        <v>104</v>
      </c>
      <c r="AF4" s="50" t="s">
        <v>105</v>
      </c>
      <c r="AG4" s="51" t="s">
        <v>106</v>
      </c>
      <c r="AH4" s="48" t="s">
        <v>103</v>
      </c>
      <c r="AI4" s="49" t="s">
        <v>104</v>
      </c>
      <c r="AJ4" s="50" t="s">
        <v>105</v>
      </c>
      <c r="AK4" s="51" t="s">
        <v>106</v>
      </c>
      <c r="AL4" s="48" t="s">
        <v>103</v>
      </c>
      <c r="AM4" s="49" t="s">
        <v>104</v>
      </c>
      <c r="AN4" s="50" t="s">
        <v>105</v>
      </c>
      <c r="AO4" s="51" t="s">
        <v>106</v>
      </c>
      <c r="AP4" s="48" t="s">
        <v>103</v>
      </c>
      <c r="AQ4" s="49" t="s">
        <v>104</v>
      </c>
      <c r="AR4" s="50" t="s">
        <v>105</v>
      </c>
      <c r="AS4" s="51" t="s">
        <v>106</v>
      </c>
      <c r="AT4" s="48" t="s">
        <v>103</v>
      </c>
      <c r="AU4" s="49" t="s">
        <v>104</v>
      </c>
      <c r="AV4" s="50" t="s">
        <v>105</v>
      </c>
      <c r="AW4" s="51" t="s">
        <v>106</v>
      </c>
      <c r="AX4" s="112"/>
    </row>
    <row r="5">
      <c r="A5" s="52" t="s">
        <v>107</v>
      </c>
      <c r="B5" s="44"/>
      <c r="C5" s="39">
        <f t="shared" ref="C5:C20" si="1">B5*0.895</f>
        <v>0</v>
      </c>
      <c r="D5" s="53">
        <f t="shared" ref="D5:D20" si="2">$B$2+$B$3+G40</f>
        <v>335092</v>
      </c>
      <c r="E5" s="20">
        <f t="shared" ref="E5:E20" si="3">C5-D5</f>
        <v>-335092</v>
      </c>
      <c r="F5" s="44"/>
      <c r="G5" s="39">
        <f t="shared" ref="G5:G20" si="4">F5*0.895</f>
        <v>0</v>
      </c>
      <c r="H5" s="53">
        <f t="shared" ref="H5:H20" si="5">$F$2+$F$3+G40</f>
        <v>438162</v>
      </c>
      <c r="I5" s="20">
        <f t="shared" ref="I5:I20" si="6">G5-H5</f>
        <v>-438162</v>
      </c>
      <c r="J5" s="46"/>
      <c r="K5" s="39">
        <f t="shared" ref="K5:K20" si="7">J5*0.895</f>
        <v>0</v>
      </c>
      <c r="L5" s="53">
        <f t="shared" ref="L5:L20" si="8">$J$2+$J$3+G40</f>
        <v>601637</v>
      </c>
      <c r="M5" s="20">
        <f t="shared" ref="M5:M20" si="9">K5-L5</f>
        <v>-601637</v>
      </c>
      <c r="N5" s="44"/>
      <c r="O5" s="39">
        <f t="shared" ref="O5:O20" si="10">N5*0.895</f>
        <v>0</v>
      </c>
      <c r="P5" s="53">
        <f t="shared" ref="P5:P20" si="11">$N$2+$N$3+G40</f>
        <v>650626</v>
      </c>
      <c r="Q5" s="20">
        <f t="shared" ref="Q5:Q20" si="12">O5-P5</f>
        <v>-650626</v>
      </c>
      <c r="R5" s="44"/>
      <c r="S5" s="39">
        <f t="shared" ref="S5:S20" si="13">R5*0.895</f>
        <v>0</v>
      </c>
      <c r="T5" s="53">
        <f t="shared" ref="T5:T20" si="14">$R$2+$R$3+G40</f>
        <v>664802</v>
      </c>
      <c r="U5" s="20">
        <f t="shared" ref="U5:U20" si="15">S5-T5</f>
        <v>-664802</v>
      </c>
      <c r="V5" s="44"/>
      <c r="W5" s="39">
        <f t="shared" ref="W5:W20" si="16">V5*0.895</f>
        <v>0</v>
      </c>
      <c r="X5" s="53">
        <f t="shared" ref="X5:X20" si="17">$V$2+$V$3+G40</f>
        <v>529741</v>
      </c>
      <c r="Y5" s="20">
        <f t="shared" ref="Y5:Y20" si="18">W5-X5</f>
        <v>-529741</v>
      </c>
      <c r="Z5" s="44"/>
      <c r="AA5" s="39">
        <f t="shared" ref="AA5:AA20" si="19">Z5*0.895</f>
        <v>0</v>
      </c>
      <c r="AB5" s="53">
        <f t="shared" ref="AB5:AB20" si="20">$Z$2+$Z$3+G40</f>
        <v>360613</v>
      </c>
      <c r="AC5" s="20">
        <f t="shared" ref="AC5:AC20" si="21">AA5-AB5</f>
        <v>-360613</v>
      </c>
      <c r="AD5" s="44"/>
      <c r="AE5" s="39">
        <f t="shared" ref="AE5:AE20" si="22">AD5*0.895</f>
        <v>0</v>
      </c>
      <c r="AF5" s="53">
        <f t="shared" ref="AF5:AF20" si="23">$AD$2+$AD$3+G40</f>
        <v>343652</v>
      </c>
      <c r="AG5" s="20">
        <f t="shared" ref="AG5:AG20" si="24">AE5-AF5</f>
        <v>-343652</v>
      </c>
      <c r="AH5" s="44"/>
      <c r="AI5" s="39">
        <f t="shared" ref="AI5:AI20" si="25">AH5*0.895</f>
        <v>0</v>
      </c>
      <c r="AJ5" s="53">
        <f t="shared" ref="AJ5:AJ20" si="26">$AH$2+$AH$3+G40</f>
        <v>332585</v>
      </c>
      <c r="AK5" s="20">
        <f t="shared" ref="AK5:AK20" si="27">AI5-AJ5</f>
        <v>-332585</v>
      </c>
      <c r="AL5" s="44"/>
      <c r="AM5" s="39">
        <f t="shared" ref="AM5:AM20" si="28">AL5*0.895</f>
        <v>0</v>
      </c>
      <c r="AN5" s="53">
        <f t="shared" ref="AN5:AN20" si="29">$AL$2+$AL$3+G40</f>
        <v>355587</v>
      </c>
      <c r="AO5" s="20">
        <f t="shared" ref="AO5:AO20" si="30">AM5-AN5</f>
        <v>-355587</v>
      </c>
      <c r="AP5" s="44"/>
      <c r="AQ5" s="39">
        <f t="shared" ref="AQ5:AQ20" si="31">AP5*0.895</f>
        <v>0</v>
      </c>
      <c r="AR5" s="53">
        <f t="shared" ref="AR5:AR20" si="32">$AP$2+$AP$3+G40</f>
        <v>356091</v>
      </c>
      <c r="AS5" s="20">
        <f t="shared" ref="AS5:AS20" si="33">AQ5-AR5</f>
        <v>-356091</v>
      </c>
      <c r="AT5" s="44"/>
      <c r="AU5" s="39">
        <f t="shared" ref="AU5:AU20" si="34">AT5*0.895</f>
        <v>0</v>
      </c>
      <c r="AV5" s="53">
        <f t="shared" ref="AV5:AV20" si="35">$AT$2+$AT$3+G40</f>
        <v>936621</v>
      </c>
      <c r="AW5" s="20">
        <f t="shared" ref="AW5:AW20" si="36">AU5-AV5</f>
        <v>-936621</v>
      </c>
    </row>
    <row r="6">
      <c r="A6" s="52" t="s">
        <v>108</v>
      </c>
      <c r="B6" s="44"/>
      <c r="C6" s="39">
        <f t="shared" si="1"/>
        <v>0</v>
      </c>
      <c r="D6" s="53">
        <f t="shared" si="2"/>
        <v>333428</v>
      </c>
      <c r="E6" s="20">
        <f t="shared" si="3"/>
        <v>-333428</v>
      </c>
      <c r="F6" s="44"/>
      <c r="G6" s="39">
        <f t="shared" si="4"/>
        <v>0</v>
      </c>
      <c r="H6" s="53">
        <f t="shared" si="5"/>
        <v>436498</v>
      </c>
      <c r="I6" s="20">
        <f t="shared" si="6"/>
        <v>-436498</v>
      </c>
      <c r="J6" s="46"/>
      <c r="K6" s="39">
        <f t="shared" si="7"/>
        <v>0</v>
      </c>
      <c r="L6" s="53">
        <f t="shared" si="8"/>
        <v>599973</v>
      </c>
      <c r="M6" s="20">
        <f t="shared" si="9"/>
        <v>-599973</v>
      </c>
      <c r="N6" s="44"/>
      <c r="O6" s="39">
        <f t="shared" si="10"/>
        <v>0</v>
      </c>
      <c r="P6" s="53">
        <f t="shared" si="11"/>
        <v>648962</v>
      </c>
      <c r="Q6" s="20">
        <f t="shared" si="12"/>
        <v>-648962</v>
      </c>
      <c r="R6" s="44"/>
      <c r="S6" s="39">
        <f t="shared" si="13"/>
        <v>0</v>
      </c>
      <c r="T6" s="53">
        <f t="shared" si="14"/>
        <v>663138</v>
      </c>
      <c r="U6" s="20">
        <f t="shared" si="15"/>
        <v>-663138</v>
      </c>
      <c r="V6" s="44"/>
      <c r="W6" s="39">
        <f t="shared" si="16"/>
        <v>0</v>
      </c>
      <c r="X6" s="53">
        <f t="shared" si="17"/>
        <v>528077</v>
      </c>
      <c r="Y6" s="20">
        <f t="shared" si="18"/>
        <v>-528077</v>
      </c>
      <c r="Z6" s="44"/>
      <c r="AA6" s="39">
        <f t="shared" si="19"/>
        <v>0</v>
      </c>
      <c r="AB6" s="53">
        <f t="shared" si="20"/>
        <v>358949</v>
      </c>
      <c r="AC6" s="20">
        <f t="shared" si="21"/>
        <v>-358949</v>
      </c>
      <c r="AD6" s="44"/>
      <c r="AE6" s="39">
        <f t="shared" si="22"/>
        <v>0</v>
      </c>
      <c r="AF6" s="53">
        <f t="shared" si="23"/>
        <v>341988</v>
      </c>
      <c r="AG6" s="20">
        <f t="shared" si="24"/>
        <v>-341988</v>
      </c>
      <c r="AH6" s="44"/>
      <c r="AI6" s="39">
        <f t="shared" si="25"/>
        <v>0</v>
      </c>
      <c r="AJ6" s="53">
        <f t="shared" si="26"/>
        <v>330921</v>
      </c>
      <c r="AK6" s="20">
        <f t="shared" si="27"/>
        <v>-330921</v>
      </c>
      <c r="AL6" s="44"/>
      <c r="AM6" s="39">
        <f t="shared" si="28"/>
        <v>0</v>
      </c>
      <c r="AN6" s="53">
        <f t="shared" si="29"/>
        <v>353923</v>
      </c>
      <c r="AO6" s="20">
        <f t="shared" si="30"/>
        <v>-353923</v>
      </c>
      <c r="AP6" s="44"/>
      <c r="AQ6" s="39">
        <f t="shared" si="31"/>
        <v>0</v>
      </c>
      <c r="AR6" s="53">
        <f t="shared" si="32"/>
        <v>354427</v>
      </c>
      <c r="AS6" s="20">
        <f t="shared" si="33"/>
        <v>-354427</v>
      </c>
      <c r="AT6" s="44"/>
      <c r="AU6" s="39">
        <f t="shared" si="34"/>
        <v>0</v>
      </c>
      <c r="AV6" s="53">
        <f t="shared" si="35"/>
        <v>934957</v>
      </c>
      <c r="AW6" s="20">
        <f t="shared" si="36"/>
        <v>-934957</v>
      </c>
    </row>
    <row r="7">
      <c r="A7" s="52" t="s">
        <v>109</v>
      </c>
      <c r="B7" s="44"/>
      <c r="C7" s="39">
        <f t="shared" si="1"/>
        <v>0</v>
      </c>
      <c r="D7" s="53">
        <f t="shared" si="2"/>
        <v>337409</v>
      </c>
      <c r="E7" s="20">
        <f t="shared" si="3"/>
        <v>-337409</v>
      </c>
      <c r="F7" s="44"/>
      <c r="G7" s="39">
        <f t="shared" si="4"/>
        <v>0</v>
      </c>
      <c r="H7" s="53">
        <f t="shared" si="5"/>
        <v>440479</v>
      </c>
      <c r="I7" s="20">
        <f t="shared" si="6"/>
        <v>-440479</v>
      </c>
      <c r="J7" s="46"/>
      <c r="K7" s="39">
        <f t="shared" si="7"/>
        <v>0</v>
      </c>
      <c r="L7" s="53">
        <f t="shared" si="8"/>
        <v>603954</v>
      </c>
      <c r="M7" s="20">
        <f t="shared" si="9"/>
        <v>-603954</v>
      </c>
      <c r="N7" s="44"/>
      <c r="O7" s="39">
        <f t="shared" si="10"/>
        <v>0</v>
      </c>
      <c r="P7" s="53">
        <f t="shared" si="11"/>
        <v>652943</v>
      </c>
      <c r="Q7" s="20">
        <f t="shared" si="12"/>
        <v>-652943</v>
      </c>
      <c r="R7" s="44"/>
      <c r="S7" s="39">
        <f t="shared" si="13"/>
        <v>0</v>
      </c>
      <c r="T7" s="53">
        <f t="shared" si="14"/>
        <v>667119</v>
      </c>
      <c r="U7" s="20">
        <f t="shared" si="15"/>
        <v>-667119</v>
      </c>
      <c r="V7" s="44"/>
      <c r="W7" s="39">
        <f t="shared" si="16"/>
        <v>0</v>
      </c>
      <c r="X7" s="53">
        <f t="shared" si="17"/>
        <v>532058</v>
      </c>
      <c r="Y7" s="20">
        <f t="shared" si="18"/>
        <v>-532058</v>
      </c>
      <c r="Z7" s="44"/>
      <c r="AA7" s="39">
        <f t="shared" si="19"/>
        <v>0</v>
      </c>
      <c r="AB7" s="53">
        <f t="shared" si="20"/>
        <v>362930</v>
      </c>
      <c r="AC7" s="20">
        <f t="shared" si="21"/>
        <v>-362930</v>
      </c>
      <c r="AD7" s="44"/>
      <c r="AE7" s="39">
        <f t="shared" si="22"/>
        <v>0</v>
      </c>
      <c r="AF7" s="53">
        <f t="shared" si="23"/>
        <v>345969</v>
      </c>
      <c r="AG7" s="20">
        <f t="shared" si="24"/>
        <v>-345969</v>
      </c>
      <c r="AH7" s="44"/>
      <c r="AI7" s="39">
        <f t="shared" si="25"/>
        <v>0</v>
      </c>
      <c r="AJ7" s="53">
        <f t="shared" si="26"/>
        <v>334902</v>
      </c>
      <c r="AK7" s="20">
        <f t="shared" si="27"/>
        <v>-334902</v>
      </c>
      <c r="AL7" s="44"/>
      <c r="AM7" s="39">
        <f t="shared" si="28"/>
        <v>0</v>
      </c>
      <c r="AN7" s="53">
        <f t="shared" si="29"/>
        <v>357904</v>
      </c>
      <c r="AO7" s="20">
        <f t="shared" si="30"/>
        <v>-357904</v>
      </c>
      <c r="AP7" s="44"/>
      <c r="AQ7" s="39">
        <f t="shared" si="31"/>
        <v>0</v>
      </c>
      <c r="AR7" s="53">
        <f t="shared" si="32"/>
        <v>358408</v>
      </c>
      <c r="AS7" s="20">
        <f t="shared" si="33"/>
        <v>-358408</v>
      </c>
      <c r="AT7" s="44"/>
      <c r="AU7" s="39">
        <f t="shared" si="34"/>
        <v>0</v>
      </c>
      <c r="AV7" s="53">
        <f t="shared" si="35"/>
        <v>938938</v>
      </c>
      <c r="AW7" s="20">
        <f t="shared" si="36"/>
        <v>-938938</v>
      </c>
    </row>
    <row r="8">
      <c r="A8" s="52" t="s">
        <v>110</v>
      </c>
      <c r="B8" s="44"/>
      <c r="C8" s="39">
        <f t="shared" si="1"/>
        <v>0</v>
      </c>
      <c r="D8" s="53">
        <f t="shared" si="2"/>
        <v>339425</v>
      </c>
      <c r="E8" s="20">
        <f t="shared" si="3"/>
        <v>-339425</v>
      </c>
      <c r="F8" s="44"/>
      <c r="G8" s="39">
        <f t="shared" si="4"/>
        <v>0</v>
      </c>
      <c r="H8" s="53">
        <f t="shared" si="5"/>
        <v>442495</v>
      </c>
      <c r="I8" s="20">
        <f t="shared" si="6"/>
        <v>-442495</v>
      </c>
      <c r="J8" s="46"/>
      <c r="K8" s="39">
        <f t="shared" si="7"/>
        <v>0</v>
      </c>
      <c r="L8" s="53">
        <f t="shared" si="8"/>
        <v>605970</v>
      </c>
      <c r="M8" s="20">
        <f t="shared" si="9"/>
        <v>-605970</v>
      </c>
      <c r="N8" s="44"/>
      <c r="O8" s="39">
        <f t="shared" si="10"/>
        <v>0</v>
      </c>
      <c r="P8" s="53">
        <f t="shared" si="11"/>
        <v>654959</v>
      </c>
      <c r="Q8" s="20">
        <f t="shared" si="12"/>
        <v>-654959</v>
      </c>
      <c r="R8" s="44"/>
      <c r="S8" s="39">
        <f t="shared" si="13"/>
        <v>0</v>
      </c>
      <c r="T8" s="53">
        <f t="shared" si="14"/>
        <v>669135</v>
      </c>
      <c r="U8" s="20">
        <f t="shared" si="15"/>
        <v>-669135</v>
      </c>
      <c r="V8" s="44"/>
      <c r="W8" s="39">
        <f t="shared" si="16"/>
        <v>0</v>
      </c>
      <c r="X8" s="53">
        <f t="shared" si="17"/>
        <v>534074</v>
      </c>
      <c r="Y8" s="20">
        <f t="shared" si="18"/>
        <v>-534074</v>
      </c>
      <c r="Z8" s="44"/>
      <c r="AA8" s="39">
        <f t="shared" si="19"/>
        <v>0</v>
      </c>
      <c r="AB8" s="53">
        <f t="shared" si="20"/>
        <v>364946</v>
      </c>
      <c r="AC8" s="20">
        <f t="shared" si="21"/>
        <v>-364946</v>
      </c>
      <c r="AD8" s="44"/>
      <c r="AE8" s="39">
        <f t="shared" si="22"/>
        <v>0</v>
      </c>
      <c r="AF8" s="53">
        <f t="shared" si="23"/>
        <v>347985</v>
      </c>
      <c r="AG8" s="20">
        <f t="shared" si="24"/>
        <v>-347985</v>
      </c>
      <c r="AH8" s="44"/>
      <c r="AI8" s="39">
        <f t="shared" si="25"/>
        <v>0</v>
      </c>
      <c r="AJ8" s="53">
        <f t="shared" si="26"/>
        <v>336918</v>
      </c>
      <c r="AK8" s="20">
        <f t="shared" si="27"/>
        <v>-336918</v>
      </c>
      <c r="AL8" s="44"/>
      <c r="AM8" s="39">
        <f t="shared" si="28"/>
        <v>0</v>
      </c>
      <c r="AN8" s="53">
        <f t="shared" si="29"/>
        <v>359920</v>
      </c>
      <c r="AO8" s="20">
        <f t="shared" si="30"/>
        <v>-359920</v>
      </c>
      <c r="AP8" s="44"/>
      <c r="AQ8" s="39">
        <f t="shared" si="31"/>
        <v>0</v>
      </c>
      <c r="AR8" s="53">
        <f t="shared" si="32"/>
        <v>360424</v>
      </c>
      <c r="AS8" s="20">
        <f t="shared" si="33"/>
        <v>-360424</v>
      </c>
      <c r="AT8" s="44"/>
      <c r="AU8" s="39">
        <f t="shared" si="34"/>
        <v>0</v>
      </c>
      <c r="AV8" s="53">
        <f t="shared" si="35"/>
        <v>940954</v>
      </c>
      <c r="AW8" s="20">
        <f t="shared" si="36"/>
        <v>-940954</v>
      </c>
    </row>
    <row r="9">
      <c r="A9" s="52" t="s">
        <v>111</v>
      </c>
      <c r="B9" s="44"/>
      <c r="C9" s="39">
        <f t="shared" si="1"/>
        <v>0</v>
      </c>
      <c r="D9" s="53">
        <f t="shared" si="2"/>
        <v>383044</v>
      </c>
      <c r="E9" s="20">
        <f t="shared" si="3"/>
        <v>-383044</v>
      </c>
      <c r="F9" s="44"/>
      <c r="G9" s="39">
        <f t="shared" si="4"/>
        <v>0</v>
      </c>
      <c r="H9" s="53">
        <f t="shared" si="5"/>
        <v>486114</v>
      </c>
      <c r="I9" s="20">
        <f t="shared" si="6"/>
        <v>-486114</v>
      </c>
      <c r="J9" s="46"/>
      <c r="K9" s="39">
        <f t="shared" si="7"/>
        <v>0</v>
      </c>
      <c r="L9" s="53">
        <f t="shared" si="8"/>
        <v>649589</v>
      </c>
      <c r="M9" s="20">
        <f t="shared" si="9"/>
        <v>-649589</v>
      </c>
      <c r="N9" s="44"/>
      <c r="O9" s="39">
        <f t="shared" si="10"/>
        <v>0</v>
      </c>
      <c r="P9" s="53">
        <f t="shared" si="11"/>
        <v>698578</v>
      </c>
      <c r="Q9" s="20">
        <f t="shared" si="12"/>
        <v>-698578</v>
      </c>
      <c r="R9" s="44"/>
      <c r="S9" s="39">
        <f t="shared" si="13"/>
        <v>0</v>
      </c>
      <c r="T9" s="53">
        <f t="shared" si="14"/>
        <v>712754</v>
      </c>
      <c r="U9" s="20">
        <f t="shared" si="15"/>
        <v>-712754</v>
      </c>
      <c r="V9" s="44"/>
      <c r="W9" s="39">
        <f t="shared" si="16"/>
        <v>0</v>
      </c>
      <c r="X9" s="53">
        <f t="shared" si="17"/>
        <v>577693</v>
      </c>
      <c r="Y9" s="20">
        <f t="shared" si="18"/>
        <v>-577693</v>
      </c>
      <c r="Z9" s="44"/>
      <c r="AA9" s="39">
        <f t="shared" si="19"/>
        <v>0</v>
      </c>
      <c r="AB9" s="53">
        <f t="shared" si="20"/>
        <v>408565</v>
      </c>
      <c r="AC9" s="20">
        <f t="shared" si="21"/>
        <v>-408565</v>
      </c>
      <c r="AD9" s="44"/>
      <c r="AE9" s="39">
        <f t="shared" si="22"/>
        <v>0</v>
      </c>
      <c r="AF9" s="53">
        <f t="shared" si="23"/>
        <v>391604</v>
      </c>
      <c r="AG9" s="20">
        <f t="shared" si="24"/>
        <v>-391604</v>
      </c>
      <c r="AH9" s="44"/>
      <c r="AI9" s="39">
        <f t="shared" si="25"/>
        <v>0</v>
      </c>
      <c r="AJ9" s="53">
        <f t="shared" si="26"/>
        <v>380537</v>
      </c>
      <c r="AK9" s="20">
        <f t="shared" si="27"/>
        <v>-380537</v>
      </c>
      <c r="AL9" s="44"/>
      <c r="AM9" s="39">
        <f t="shared" si="28"/>
        <v>0</v>
      </c>
      <c r="AN9" s="53">
        <f t="shared" si="29"/>
        <v>403539</v>
      </c>
      <c r="AO9" s="20">
        <f t="shared" si="30"/>
        <v>-403539</v>
      </c>
      <c r="AP9" s="44"/>
      <c r="AQ9" s="39">
        <f t="shared" si="31"/>
        <v>0</v>
      </c>
      <c r="AR9" s="53">
        <f t="shared" si="32"/>
        <v>404043</v>
      </c>
      <c r="AS9" s="20">
        <f t="shared" si="33"/>
        <v>-404043</v>
      </c>
      <c r="AT9" s="44"/>
      <c r="AU9" s="39">
        <f t="shared" si="34"/>
        <v>0</v>
      </c>
      <c r="AV9" s="53">
        <f t="shared" si="35"/>
        <v>984573</v>
      </c>
      <c r="AW9" s="20">
        <f t="shared" si="36"/>
        <v>-984573</v>
      </c>
    </row>
    <row r="10">
      <c r="A10" s="52" t="s">
        <v>112</v>
      </c>
      <c r="B10" s="44"/>
      <c r="C10" s="39">
        <f t="shared" si="1"/>
        <v>0</v>
      </c>
      <c r="D10" s="53">
        <f t="shared" si="2"/>
        <v>381380</v>
      </c>
      <c r="E10" s="20">
        <f t="shared" si="3"/>
        <v>-381380</v>
      </c>
      <c r="F10" s="44"/>
      <c r="G10" s="39">
        <f t="shared" si="4"/>
        <v>0</v>
      </c>
      <c r="H10" s="53">
        <f t="shared" si="5"/>
        <v>484450</v>
      </c>
      <c r="I10" s="20">
        <f t="shared" si="6"/>
        <v>-484450</v>
      </c>
      <c r="J10" s="46"/>
      <c r="K10" s="39">
        <f t="shared" si="7"/>
        <v>0</v>
      </c>
      <c r="L10" s="53">
        <f t="shared" si="8"/>
        <v>647925</v>
      </c>
      <c r="M10" s="20">
        <f t="shared" si="9"/>
        <v>-647925</v>
      </c>
      <c r="N10" s="44"/>
      <c r="O10" s="39">
        <f t="shared" si="10"/>
        <v>0</v>
      </c>
      <c r="P10" s="53">
        <f t="shared" si="11"/>
        <v>696914</v>
      </c>
      <c r="Q10" s="20">
        <f t="shared" si="12"/>
        <v>-696914</v>
      </c>
      <c r="R10" s="44"/>
      <c r="S10" s="39">
        <f t="shared" si="13"/>
        <v>0</v>
      </c>
      <c r="T10" s="53">
        <f t="shared" si="14"/>
        <v>711090</v>
      </c>
      <c r="U10" s="20">
        <f t="shared" si="15"/>
        <v>-711090</v>
      </c>
      <c r="V10" s="44"/>
      <c r="W10" s="39">
        <f t="shared" si="16"/>
        <v>0</v>
      </c>
      <c r="X10" s="53">
        <f t="shared" si="17"/>
        <v>576029</v>
      </c>
      <c r="Y10" s="20">
        <f t="shared" si="18"/>
        <v>-576029</v>
      </c>
      <c r="Z10" s="44"/>
      <c r="AA10" s="39">
        <f t="shared" si="19"/>
        <v>0</v>
      </c>
      <c r="AB10" s="53">
        <f t="shared" si="20"/>
        <v>406901</v>
      </c>
      <c r="AC10" s="20">
        <f t="shared" si="21"/>
        <v>-406901</v>
      </c>
      <c r="AD10" s="44"/>
      <c r="AE10" s="39">
        <f t="shared" si="22"/>
        <v>0</v>
      </c>
      <c r="AF10" s="53">
        <f t="shared" si="23"/>
        <v>389940</v>
      </c>
      <c r="AG10" s="20">
        <f t="shared" si="24"/>
        <v>-389940</v>
      </c>
      <c r="AH10" s="44"/>
      <c r="AI10" s="39">
        <f t="shared" si="25"/>
        <v>0</v>
      </c>
      <c r="AJ10" s="53">
        <f t="shared" si="26"/>
        <v>378873</v>
      </c>
      <c r="AK10" s="20">
        <f t="shared" si="27"/>
        <v>-378873</v>
      </c>
      <c r="AL10" s="44"/>
      <c r="AM10" s="39">
        <f t="shared" si="28"/>
        <v>0</v>
      </c>
      <c r="AN10" s="53">
        <f t="shared" si="29"/>
        <v>401875</v>
      </c>
      <c r="AO10" s="20">
        <f t="shared" si="30"/>
        <v>-401875</v>
      </c>
      <c r="AP10" s="44"/>
      <c r="AQ10" s="39">
        <f t="shared" si="31"/>
        <v>0</v>
      </c>
      <c r="AR10" s="53">
        <f t="shared" si="32"/>
        <v>402379</v>
      </c>
      <c r="AS10" s="20">
        <f t="shared" si="33"/>
        <v>-402379</v>
      </c>
      <c r="AT10" s="44"/>
      <c r="AU10" s="39">
        <f t="shared" si="34"/>
        <v>0</v>
      </c>
      <c r="AV10" s="53">
        <f t="shared" si="35"/>
        <v>982909</v>
      </c>
      <c r="AW10" s="20">
        <f t="shared" si="36"/>
        <v>-982909</v>
      </c>
    </row>
    <row r="11">
      <c r="A11" s="52" t="s">
        <v>113</v>
      </c>
      <c r="B11" s="44"/>
      <c r="C11" s="39">
        <f t="shared" si="1"/>
        <v>0</v>
      </c>
      <c r="D11" s="53">
        <f t="shared" si="2"/>
        <v>385361</v>
      </c>
      <c r="E11" s="20">
        <f t="shared" si="3"/>
        <v>-385361</v>
      </c>
      <c r="F11" s="44"/>
      <c r="G11" s="39">
        <f t="shared" si="4"/>
        <v>0</v>
      </c>
      <c r="H11" s="53">
        <f t="shared" si="5"/>
        <v>488431</v>
      </c>
      <c r="I11" s="20">
        <f t="shared" si="6"/>
        <v>-488431</v>
      </c>
      <c r="J11" s="46"/>
      <c r="K11" s="39">
        <f t="shared" si="7"/>
        <v>0</v>
      </c>
      <c r="L11" s="53">
        <f t="shared" si="8"/>
        <v>651906</v>
      </c>
      <c r="M11" s="20">
        <f t="shared" si="9"/>
        <v>-651906</v>
      </c>
      <c r="N11" s="44"/>
      <c r="O11" s="39">
        <f t="shared" si="10"/>
        <v>0</v>
      </c>
      <c r="P11" s="53">
        <f t="shared" si="11"/>
        <v>700895</v>
      </c>
      <c r="Q11" s="20">
        <f t="shared" si="12"/>
        <v>-700895</v>
      </c>
      <c r="R11" s="44"/>
      <c r="S11" s="39">
        <f t="shared" si="13"/>
        <v>0</v>
      </c>
      <c r="T11" s="53">
        <f t="shared" si="14"/>
        <v>715071</v>
      </c>
      <c r="U11" s="20">
        <f t="shared" si="15"/>
        <v>-715071</v>
      </c>
      <c r="V11" s="44"/>
      <c r="W11" s="39">
        <f t="shared" si="16"/>
        <v>0</v>
      </c>
      <c r="X11" s="53">
        <f t="shared" si="17"/>
        <v>580010</v>
      </c>
      <c r="Y11" s="20">
        <f t="shared" si="18"/>
        <v>-580010</v>
      </c>
      <c r="Z11" s="44"/>
      <c r="AA11" s="39">
        <f t="shared" si="19"/>
        <v>0</v>
      </c>
      <c r="AB11" s="53">
        <f t="shared" si="20"/>
        <v>410882</v>
      </c>
      <c r="AC11" s="20">
        <f t="shared" si="21"/>
        <v>-410882</v>
      </c>
      <c r="AD11" s="44"/>
      <c r="AE11" s="39">
        <f t="shared" si="22"/>
        <v>0</v>
      </c>
      <c r="AF11" s="53">
        <f t="shared" si="23"/>
        <v>393921</v>
      </c>
      <c r="AG11" s="20">
        <f t="shared" si="24"/>
        <v>-393921</v>
      </c>
      <c r="AH11" s="44"/>
      <c r="AI11" s="39">
        <f t="shared" si="25"/>
        <v>0</v>
      </c>
      <c r="AJ11" s="53">
        <f t="shared" si="26"/>
        <v>382854</v>
      </c>
      <c r="AK11" s="20">
        <f t="shared" si="27"/>
        <v>-382854</v>
      </c>
      <c r="AL11" s="44"/>
      <c r="AM11" s="39">
        <f t="shared" si="28"/>
        <v>0</v>
      </c>
      <c r="AN11" s="53">
        <f t="shared" si="29"/>
        <v>405856</v>
      </c>
      <c r="AO11" s="20">
        <f t="shared" si="30"/>
        <v>-405856</v>
      </c>
      <c r="AP11" s="44"/>
      <c r="AQ11" s="39">
        <f t="shared" si="31"/>
        <v>0</v>
      </c>
      <c r="AR11" s="53">
        <f t="shared" si="32"/>
        <v>406360</v>
      </c>
      <c r="AS11" s="20">
        <f t="shared" si="33"/>
        <v>-406360</v>
      </c>
      <c r="AT11" s="44"/>
      <c r="AU11" s="39">
        <f t="shared" si="34"/>
        <v>0</v>
      </c>
      <c r="AV11" s="53">
        <f t="shared" si="35"/>
        <v>986890</v>
      </c>
      <c r="AW11" s="20">
        <f t="shared" si="36"/>
        <v>-986890</v>
      </c>
    </row>
    <row r="12">
      <c r="A12" s="52" t="s">
        <v>114</v>
      </c>
      <c r="B12" s="44"/>
      <c r="C12" s="39">
        <f t="shared" si="1"/>
        <v>0</v>
      </c>
      <c r="D12" s="53">
        <f t="shared" si="2"/>
        <v>387377</v>
      </c>
      <c r="E12" s="20">
        <f t="shared" si="3"/>
        <v>-387377</v>
      </c>
      <c r="F12" s="44"/>
      <c r="G12" s="39">
        <f t="shared" si="4"/>
        <v>0</v>
      </c>
      <c r="H12" s="53">
        <f t="shared" si="5"/>
        <v>490447</v>
      </c>
      <c r="I12" s="20">
        <f t="shared" si="6"/>
        <v>-490447</v>
      </c>
      <c r="J12" s="46"/>
      <c r="K12" s="39">
        <f t="shared" si="7"/>
        <v>0</v>
      </c>
      <c r="L12" s="53">
        <f t="shared" si="8"/>
        <v>653922</v>
      </c>
      <c r="M12" s="20">
        <f t="shared" si="9"/>
        <v>-653922</v>
      </c>
      <c r="N12" s="44"/>
      <c r="O12" s="39">
        <f t="shared" si="10"/>
        <v>0</v>
      </c>
      <c r="P12" s="53">
        <f t="shared" si="11"/>
        <v>702911</v>
      </c>
      <c r="Q12" s="20">
        <f t="shared" si="12"/>
        <v>-702911</v>
      </c>
      <c r="R12" s="44"/>
      <c r="S12" s="39">
        <f t="shared" si="13"/>
        <v>0</v>
      </c>
      <c r="T12" s="53">
        <f t="shared" si="14"/>
        <v>717087</v>
      </c>
      <c r="U12" s="20">
        <f t="shared" si="15"/>
        <v>-717087</v>
      </c>
      <c r="V12" s="44"/>
      <c r="W12" s="39">
        <f t="shared" si="16"/>
        <v>0</v>
      </c>
      <c r="X12" s="53">
        <f t="shared" si="17"/>
        <v>582026</v>
      </c>
      <c r="Y12" s="20">
        <f t="shared" si="18"/>
        <v>-582026</v>
      </c>
      <c r="Z12" s="44"/>
      <c r="AA12" s="39">
        <f t="shared" si="19"/>
        <v>0</v>
      </c>
      <c r="AB12" s="53">
        <f t="shared" si="20"/>
        <v>412898</v>
      </c>
      <c r="AC12" s="20">
        <f t="shared" si="21"/>
        <v>-412898</v>
      </c>
      <c r="AD12" s="44"/>
      <c r="AE12" s="39">
        <f t="shared" si="22"/>
        <v>0</v>
      </c>
      <c r="AF12" s="53">
        <f t="shared" si="23"/>
        <v>395937</v>
      </c>
      <c r="AG12" s="20">
        <f t="shared" si="24"/>
        <v>-395937</v>
      </c>
      <c r="AH12" s="44"/>
      <c r="AI12" s="39">
        <f t="shared" si="25"/>
        <v>0</v>
      </c>
      <c r="AJ12" s="53">
        <f t="shared" si="26"/>
        <v>384870</v>
      </c>
      <c r="AK12" s="20">
        <f t="shared" si="27"/>
        <v>-384870</v>
      </c>
      <c r="AL12" s="44"/>
      <c r="AM12" s="39">
        <f t="shared" si="28"/>
        <v>0</v>
      </c>
      <c r="AN12" s="53">
        <f t="shared" si="29"/>
        <v>407872</v>
      </c>
      <c r="AO12" s="20">
        <f t="shared" si="30"/>
        <v>-407872</v>
      </c>
      <c r="AP12" s="44"/>
      <c r="AQ12" s="39">
        <f t="shared" si="31"/>
        <v>0</v>
      </c>
      <c r="AR12" s="53">
        <f t="shared" si="32"/>
        <v>408376</v>
      </c>
      <c r="AS12" s="20">
        <f t="shared" si="33"/>
        <v>-408376</v>
      </c>
      <c r="AT12" s="44"/>
      <c r="AU12" s="39">
        <f t="shared" si="34"/>
        <v>0</v>
      </c>
      <c r="AV12" s="53">
        <f t="shared" si="35"/>
        <v>988906</v>
      </c>
      <c r="AW12" s="20">
        <f t="shared" si="36"/>
        <v>-988906</v>
      </c>
    </row>
    <row r="13">
      <c r="A13" s="52" t="s">
        <v>115</v>
      </c>
      <c r="B13" s="44"/>
      <c r="C13" s="39">
        <f t="shared" si="1"/>
        <v>0</v>
      </c>
      <c r="D13" s="53">
        <f t="shared" si="2"/>
        <v>545332</v>
      </c>
      <c r="E13" s="20">
        <f t="shared" si="3"/>
        <v>-545332</v>
      </c>
      <c r="F13" s="44"/>
      <c r="G13" s="39">
        <f t="shared" si="4"/>
        <v>0</v>
      </c>
      <c r="H13" s="53">
        <f t="shared" si="5"/>
        <v>648402</v>
      </c>
      <c r="I13" s="20">
        <f t="shared" si="6"/>
        <v>-648402</v>
      </c>
      <c r="J13" s="46"/>
      <c r="K13" s="39">
        <f t="shared" si="7"/>
        <v>0</v>
      </c>
      <c r="L13" s="53">
        <f t="shared" si="8"/>
        <v>811877</v>
      </c>
      <c r="M13" s="20">
        <f t="shared" si="9"/>
        <v>-811877</v>
      </c>
      <c r="N13" s="44"/>
      <c r="O13" s="39">
        <f t="shared" si="10"/>
        <v>0</v>
      </c>
      <c r="P13" s="53">
        <f t="shared" si="11"/>
        <v>860866</v>
      </c>
      <c r="Q13" s="20">
        <f t="shared" si="12"/>
        <v>-860866</v>
      </c>
      <c r="R13" s="44"/>
      <c r="S13" s="39">
        <f t="shared" si="13"/>
        <v>0</v>
      </c>
      <c r="T13" s="53">
        <f t="shared" si="14"/>
        <v>875042</v>
      </c>
      <c r="U13" s="20">
        <f t="shared" si="15"/>
        <v>-875042</v>
      </c>
      <c r="V13" s="44"/>
      <c r="W13" s="39">
        <f t="shared" si="16"/>
        <v>0</v>
      </c>
      <c r="X13" s="53">
        <f t="shared" si="17"/>
        <v>739981</v>
      </c>
      <c r="Y13" s="20">
        <f t="shared" si="18"/>
        <v>-739981</v>
      </c>
      <c r="Z13" s="44"/>
      <c r="AA13" s="39">
        <f t="shared" si="19"/>
        <v>0</v>
      </c>
      <c r="AB13" s="53">
        <f t="shared" si="20"/>
        <v>570853</v>
      </c>
      <c r="AC13" s="20">
        <f t="shared" si="21"/>
        <v>-570853</v>
      </c>
      <c r="AD13" s="44"/>
      <c r="AE13" s="39">
        <f t="shared" si="22"/>
        <v>0</v>
      </c>
      <c r="AF13" s="53">
        <f t="shared" si="23"/>
        <v>553892</v>
      </c>
      <c r="AG13" s="20">
        <f t="shared" si="24"/>
        <v>-553892</v>
      </c>
      <c r="AH13" s="44"/>
      <c r="AI13" s="39">
        <f t="shared" si="25"/>
        <v>0</v>
      </c>
      <c r="AJ13" s="53">
        <f t="shared" si="26"/>
        <v>542825</v>
      </c>
      <c r="AK13" s="20">
        <f t="shared" si="27"/>
        <v>-542825</v>
      </c>
      <c r="AL13" s="44"/>
      <c r="AM13" s="39">
        <f t="shared" si="28"/>
        <v>0</v>
      </c>
      <c r="AN13" s="53">
        <f t="shared" si="29"/>
        <v>565827</v>
      </c>
      <c r="AO13" s="20">
        <f t="shared" si="30"/>
        <v>-565827</v>
      </c>
      <c r="AP13" s="44"/>
      <c r="AQ13" s="39">
        <f t="shared" si="31"/>
        <v>0</v>
      </c>
      <c r="AR13" s="53">
        <f t="shared" si="32"/>
        <v>566331</v>
      </c>
      <c r="AS13" s="20">
        <f t="shared" si="33"/>
        <v>-566331</v>
      </c>
      <c r="AT13" s="44"/>
      <c r="AU13" s="39">
        <f t="shared" si="34"/>
        <v>0</v>
      </c>
      <c r="AV13" s="53">
        <f t="shared" si="35"/>
        <v>1146861</v>
      </c>
      <c r="AW13" s="20">
        <f t="shared" si="36"/>
        <v>-1146861</v>
      </c>
    </row>
    <row r="14">
      <c r="A14" s="52" t="s">
        <v>116</v>
      </c>
      <c r="B14" s="44"/>
      <c r="C14" s="39">
        <f t="shared" si="1"/>
        <v>0</v>
      </c>
      <c r="D14" s="53">
        <f t="shared" si="2"/>
        <v>543668</v>
      </c>
      <c r="E14" s="20">
        <f t="shared" si="3"/>
        <v>-543668</v>
      </c>
      <c r="F14" s="44"/>
      <c r="G14" s="39">
        <f t="shared" si="4"/>
        <v>0</v>
      </c>
      <c r="H14" s="53">
        <f t="shared" si="5"/>
        <v>646738</v>
      </c>
      <c r="I14" s="20">
        <f t="shared" si="6"/>
        <v>-646738</v>
      </c>
      <c r="J14" s="46"/>
      <c r="K14" s="39">
        <f t="shared" si="7"/>
        <v>0</v>
      </c>
      <c r="L14" s="53">
        <f t="shared" si="8"/>
        <v>810213</v>
      </c>
      <c r="M14" s="20">
        <f t="shared" si="9"/>
        <v>-810213</v>
      </c>
      <c r="N14" s="44"/>
      <c r="O14" s="39">
        <f t="shared" si="10"/>
        <v>0</v>
      </c>
      <c r="P14" s="53">
        <f t="shared" si="11"/>
        <v>859202</v>
      </c>
      <c r="Q14" s="20">
        <f t="shared" si="12"/>
        <v>-859202</v>
      </c>
      <c r="R14" s="44"/>
      <c r="S14" s="39">
        <f t="shared" si="13"/>
        <v>0</v>
      </c>
      <c r="T14" s="53">
        <f t="shared" si="14"/>
        <v>873378</v>
      </c>
      <c r="U14" s="20">
        <f t="shared" si="15"/>
        <v>-873378</v>
      </c>
      <c r="V14" s="44"/>
      <c r="W14" s="39">
        <f t="shared" si="16"/>
        <v>0</v>
      </c>
      <c r="X14" s="53">
        <f t="shared" si="17"/>
        <v>738317</v>
      </c>
      <c r="Y14" s="20">
        <f t="shared" si="18"/>
        <v>-738317</v>
      </c>
      <c r="Z14" s="44"/>
      <c r="AA14" s="39">
        <f t="shared" si="19"/>
        <v>0</v>
      </c>
      <c r="AB14" s="53">
        <f t="shared" si="20"/>
        <v>569189</v>
      </c>
      <c r="AC14" s="20">
        <f t="shared" si="21"/>
        <v>-569189</v>
      </c>
      <c r="AD14" s="44"/>
      <c r="AE14" s="39">
        <f t="shared" si="22"/>
        <v>0</v>
      </c>
      <c r="AF14" s="53">
        <f t="shared" si="23"/>
        <v>552228</v>
      </c>
      <c r="AG14" s="20">
        <f t="shared" si="24"/>
        <v>-552228</v>
      </c>
      <c r="AH14" s="44"/>
      <c r="AI14" s="39">
        <f t="shared" si="25"/>
        <v>0</v>
      </c>
      <c r="AJ14" s="53">
        <f t="shared" si="26"/>
        <v>541161</v>
      </c>
      <c r="AK14" s="20">
        <f t="shared" si="27"/>
        <v>-541161</v>
      </c>
      <c r="AL14" s="44"/>
      <c r="AM14" s="39">
        <f t="shared" si="28"/>
        <v>0</v>
      </c>
      <c r="AN14" s="53">
        <f t="shared" si="29"/>
        <v>564163</v>
      </c>
      <c r="AO14" s="20">
        <f t="shared" si="30"/>
        <v>-564163</v>
      </c>
      <c r="AP14" s="44"/>
      <c r="AQ14" s="39">
        <f t="shared" si="31"/>
        <v>0</v>
      </c>
      <c r="AR14" s="53">
        <f t="shared" si="32"/>
        <v>564667</v>
      </c>
      <c r="AS14" s="20">
        <f t="shared" si="33"/>
        <v>-564667</v>
      </c>
      <c r="AT14" s="44"/>
      <c r="AU14" s="39">
        <f t="shared" si="34"/>
        <v>0</v>
      </c>
      <c r="AV14" s="53">
        <f t="shared" si="35"/>
        <v>1145197</v>
      </c>
      <c r="AW14" s="20">
        <f t="shared" si="36"/>
        <v>-1145197</v>
      </c>
    </row>
    <row r="15">
      <c r="A15" s="52" t="s">
        <v>117</v>
      </c>
      <c r="B15" s="44"/>
      <c r="C15" s="39">
        <f t="shared" si="1"/>
        <v>0</v>
      </c>
      <c r="D15" s="53">
        <f t="shared" si="2"/>
        <v>547649</v>
      </c>
      <c r="E15" s="20">
        <f t="shared" si="3"/>
        <v>-547649</v>
      </c>
      <c r="F15" s="44"/>
      <c r="G15" s="39">
        <f t="shared" si="4"/>
        <v>0</v>
      </c>
      <c r="H15" s="53">
        <f t="shared" si="5"/>
        <v>650719</v>
      </c>
      <c r="I15" s="20">
        <f t="shared" si="6"/>
        <v>-650719</v>
      </c>
      <c r="J15" s="46"/>
      <c r="K15" s="39">
        <f t="shared" si="7"/>
        <v>0</v>
      </c>
      <c r="L15" s="53">
        <f t="shared" si="8"/>
        <v>814194</v>
      </c>
      <c r="M15" s="20">
        <f t="shared" si="9"/>
        <v>-814194</v>
      </c>
      <c r="N15" s="44"/>
      <c r="O15" s="39">
        <f t="shared" si="10"/>
        <v>0</v>
      </c>
      <c r="P15" s="53">
        <f t="shared" si="11"/>
        <v>863183</v>
      </c>
      <c r="Q15" s="20">
        <f t="shared" si="12"/>
        <v>-863183</v>
      </c>
      <c r="R15" s="44"/>
      <c r="S15" s="39">
        <f t="shared" si="13"/>
        <v>0</v>
      </c>
      <c r="T15" s="53">
        <f t="shared" si="14"/>
        <v>877359</v>
      </c>
      <c r="U15" s="20">
        <f t="shared" si="15"/>
        <v>-877359</v>
      </c>
      <c r="V15" s="44"/>
      <c r="W15" s="39">
        <f t="shared" si="16"/>
        <v>0</v>
      </c>
      <c r="X15" s="53">
        <f t="shared" si="17"/>
        <v>742298</v>
      </c>
      <c r="Y15" s="20">
        <f t="shared" si="18"/>
        <v>-742298</v>
      </c>
      <c r="Z15" s="44"/>
      <c r="AA15" s="39">
        <f t="shared" si="19"/>
        <v>0</v>
      </c>
      <c r="AB15" s="53">
        <f t="shared" si="20"/>
        <v>573170</v>
      </c>
      <c r="AC15" s="20">
        <f t="shared" si="21"/>
        <v>-573170</v>
      </c>
      <c r="AD15" s="44"/>
      <c r="AE15" s="39">
        <f t="shared" si="22"/>
        <v>0</v>
      </c>
      <c r="AF15" s="53">
        <f t="shared" si="23"/>
        <v>556209</v>
      </c>
      <c r="AG15" s="20">
        <f t="shared" si="24"/>
        <v>-556209</v>
      </c>
      <c r="AH15" s="44"/>
      <c r="AI15" s="39">
        <f t="shared" si="25"/>
        <v>0</v>
      </c>
      <c r="AJ15" s="53">
        <f t="shared" si="26"/>
        <v>545142</v>
      </c>
      <c r="AK15" s="20">
        <f t="shared" si="27"/>
        <v>-545142</v>
      </c>
      <c r="AL15" s="44"/>
      <c r="AM15" s="39">
        <f t="shared" si="28"/>
        <v>0</v>
      </c>
      <c r="AN15" s="53">
        <f t="shared" si="29"/>
        <v>568144</v>
      </c>
      <c r="AO15" s="20">
        <f t="shared" si="30"/>
        <v>-568144</v>
      </c>
      <c r="AP15" s="44"/>
      <c r="AQ15" s="39">
        <f t="shared" si="31"/>
        <v>0</v>
      </c>
      <c r="AR15" s="53">
        <f t="shared" si="32"/>
        <v>568648</v>
      </c>
      <c r="AS15" s="20">
        <f t="shared" si="33"/>
        <v>-568648</v>
      </c>
      <c r="AT15" s="44"/>
      <c r="AU15" s="39">
        <f t="shared" si="34"/>
        <v>0</v>
      </c>
      <c r="AV15" s="53">
        <f t="shared" si="35"/>
        <v>1149178</v>
      </c>
      <c r="AW15" s="20">
        <f t="shared" si="36"/>
        <v>-1149178</v>
      </c>
    </row>
    <row r="16">
      <c r="A16" s="52" t="s">
        <v>118</v>
      </c>
      <c r="B16" s="44"/>
      <c r="C16" s="39">
        <f t="shared" si="1"/>
        <v>0</v>
      </c>
      <c r="D16" s="53">
        <f t="shared" si="2"/>
        <v>549665</v>
      </c>
      <c r="E16" s="20">
        <f t="shared" si="3"/>
        <v>-549665</v>
      </c>
      <c r="F16" s="44"/>
      <c r="G16" s="39">
        <f t="shared" si="4"/>
        <v>0</v>
      </c>
      <c r="H16" s="53">
        <f t="shared" si="5"/>
        <v>652735</v>
      </c>
      <c r="I16" s="20">
        <f t="shared" si="6"/>
        <v>-652735</v>
      </c>
      <c r="J16" s="46"/>
      <c r="K16" s="39">
        <f t="shared" si="7"/>
        <v>0</v>
      </c>
      <c r="L16" s="53">
        <f t="shared" si="8"/>
        <v>816210</v>
      </c>
      <c r="M16" s="20">
        <f t="shared" si="9"/>
        <v>-816210</v>
      </c>
      <c r="N16" s="44"/>
      <c r="O16" s="39">
        <f t="shared" si="10"/>
        <v>0</v>
      </c>
      <c r="P16" s="53">
        <f t="shared" si="11"/>
        <v>865199</v>
      </c>
      <c r="Q16" s="20">
        <f t="shared" si="12"/>
        <v>-865199</v>
      </c>
      <c r="R16" s="44"/>
      <c r="S16" s="39">
        <f t="shared" si="13"/>
        <v>0</v>
      </c>
      <c r="T16" s="53">
        <f t="shared" si="14"/>
        <v>879375</v>
      </c>
      <c r="U16" s="20">
        <f t="shared" si="15"/>
        <v>-879375</v>
      </c>
      <c r="V16" s="44"/>
      <c r="W16" s="39">
        <f t="shared" si="16"/>
        <v>0</v>
      </c>
      <c r="X16" s="53">
        <f t="shared" si="17"/>
        <v>744314</v>
      </c>
      <c r="Y16" s="20">
        <f t="shared" si="18"/>
        <v>-744314</v>
      </c>
      <c r="Z16" s="44"/>
      <c r="AA16" s="39">
        <f t="shared" si="19"/>
        <v>0</v>
      </c>
      <c r="AB16" s="53">
        <f t="shared" si="20"/>
        <v>575186</v>
      </c>
      <c r="AC16" s="20">
        <f t="shared" si="21"/>
        <v>-575186</v>
      </c>
      <c r="AD16" s="44"/>
      <c r="AE16" s="39">
        <f t="shared" si="22"/>
        <v>0</v>
      </c>
      <c r="AF16" s="53">
        <f t="shared" si="23"/>
        <v>558225</v>
      </c>
      <c r="AG16" s="20">
        <f t="shared" si="24"/>
        <v>-558225</v>
      </c>
      <c r="AH16" s="44"/>
      <c r="AI16" s="39">
        <f t="shared" si="25"/>
        <v>0</v>
      </c>
      <c r="AJ16" s="53">
        <f t="shared" si="26"/>
        <v>547158</v>
      </c>
      <c r="AK16" s="20">
        <f t="shared" si="27"/>
        <v>-547158</v>
      </c>
      <c r="AL16" s="44"/>
      <c r="AM16" s="39">
        <f t="shared" si="28"/>
        <v>0</v>
      </c>
      <c r="AN16" s="53">
        <f t="shared" si="29"/>
        <v>570160</v>
      </c>
      <c r="AO16" s="20">
        <f t="shared" si="30"/>
        <v>-570160</v>
      </c>
      <c r="AP16" s="44"/>
      <c r="AQ16" s="39">
        <f t="shared" si="31"/>
        <v>0</v>
      </c>
      <c r="AR16" s="53">
        <f t="shared" si="32"/>
        <v>570664</v>
      </c>
      <c r="AS16" s="20">
        <f t="shared" si="33"/>
        <v>-570664</v>
      </c>
      <c r="AT16" s="44"/>
      <c r="AU16" s="39">
        <f t="shared" si="34"/>
        <v>0</v>
      </c>
      <c r="AV16" s="53">
        <f t="shared" si="35"/>
        <v>1151194</v>
      </c>
      <c r="AW16" s="20">
        <f t="shared" si="36"/>
        <v>-1151194</v>
      </c>
    </row>
    <row r="17">
      <c r="A17" s="52" t="s">
        <v>119</v>
      </c>
      <c r="B17" s="44"/>
      <c r="C17" s="39">
        <f t="shared" si="1"/>
        <v>0</v>
      </c>
      <c r="D17" s="53">
        <f t="shared" si="2"/>
        <v>982612</v>
      </c>
      <c r="E17" s="20">
        <f t="shared" si="3"/>
        <v>-982612</v>
      </c>
      <c r="F17" s="44"/>
      <c r="G17" s="39">
        <f t="shared" si="4"/>
        <v>0</v>
      </c>
      <c r="H17" s="53">
        <f t="shared" si="5"/>
        <v>1085682</v>
      </c>
      <c r="I17" s="20">
        <f t="shared" si="6"/>
        <v>-1085682</v>
      </c>
      <c r="J17" s="46"/>
      <c r="K17" s="39">
        <f t="shared" si="7"/>
        <v>0</v>
      </c>
      <c r="L17" s="53">
        <f t="shared" si="8"/>
        <v>1249157</v>
      </c>
      <c r="M17" s="20">
        <f t="shared" si="9"/>
        <v>-1249157</v>
      </c>
      <c r="N17" s="44"/>
      <c r="O17" s="39">
        <f t="shared" si="10"/>
        <v>0</v>
      </c>
      <c r="P17" s="53">
        <f t="shared" si="11"/>
        <v>1298146</v>
      </c>
      <c r="Q17" s="20">
        <f t="shared" si="12"/>
        <v>-1298146</v>
      </c>
      <c r="R17" s="44"/>
      <c r="S17" s="39">
        <f t="shared" si="13"/>
        <v>0</v>
      </c>
      <c r="T17" s="53">
        <f t="shared" si="14"/>
        <v>1312322</v>
      </c>
      <c r="U17" s="20">
        <f t="shared" si="15"/>
        <v>-1312322</v>
      </c>
      <c r="V17" s="44"/>
      <c r="W17" s="39">
        <f t="shared" si="16"/>
        <v>0</v>
      </c>
      <c r="X17" s="53">
        <f t="shared" si="17"/>
        <v>1177261</v>
      </c>
      <c r="Y17" s="20">
        <f t="shared" si="18"/>
        <v>-1177261</v>
      </c>
      <c r="Z17" s="44"/>
      <c r="AA17" s="39">
        <f t="shared" si="19"/>
        <v>0</v>
      </c>
      <c r="AB17" s="53">
        <f t="shared" si="20"/>
        <v>1008133</v>
      </c>
      <c r="AC17" s="20">
        <f t="shared" si="21"/>
        <v>-1008133</v>
      </c>
      <c r="AD17" s="44"/>
      <c r="AE17" s="39">
        <f t="shared" si="22"/>
        <v>0</v>
      </c>
      <c r="AF17" s="53">
        <f t="shared" si="23"/>
        <v>991172</v>
      </c>
      <c r="AG17" s="20">
        <f t="shared" si="24"/>
        <v>-991172</v>
      </c>
      <c r="AH17" s="44"/>
      <c r="AI17" s="39">
        <f t="shared" si="25"/>
        <v>0</v>
      </c>
      <c r="AJ17" s="53">
        <f t="shared" si="26"/>
        <v>980105</v>
      </c>
      <c r="AK17" s="20">
        <f t="shared" si="27"/>
        <v>-980105</v>
      </c>
      <c r="AL17" s="44"/>
      <c r="AM17" s="39">
        <f t="shared" si="28"/>
        <v>0</v>
      </c>
      <c r="AN17" s="53">
        <f t="shared" si="29"/>
        <v>1003107</v>
      </c>
      <c r="AO17" s="20">
        <f t="shared" si="30"/>
        <v>-1003107</v>
      </c>
      <c r="AP17" s="44"/>
      <c r="AQ17" s="39">
        <f t="shared" si="31"/>
        <v>0</v>
      </c>
      <c r="AR17" s="53">
        <f t="shared" si="32"/>
        <v>1003611</v>
      </c>
      <c r="AS17" s="20">
        <f t="shared" si="33"/>
        <v>-1003611</v>
      </c>
      <c r="AT17" s="44"/>
      <c r="AU17" s="39">
        <f t="shared" si="34"/>
        <v>0</v>
      </c>
      <c r="AV17" s="53">
        <f t="shared" si="35"/>
        <v>1584141</v>
      </c>
      <c r="AW17" s="20">
        <f t="shared" si="36"/>
        <v>-1584141</v>
      </c>
    </row>
    <row r="18">
      <c r="A18" s="52" t="s">
        <v>120</v>
      </c>
      <c r="B18" s="44"/>
      <c r="C18" s="39">
        <f t="shared" si="1"/>
        <v>0</v>
      </c>
      <c r="D18" s="53">
        <f t="shared" si="2"/>
        <v>980948</v>
      </c>
      <c r="E18" s="20">
        <f t="shared" si="3"/>
        <v>-980948</v>
      </c>
      <c r="F18" s="44"/>
      <c r="G18" s="39">
        <f t="shared" si="4"/>
        <v>0</v>
      </c>
      <c r="H18" s="53">
        <f t="shared" si="5"/>
        <v>1084018</v>
      </c>
      <c r="I18" s="20">
        <f t="shared" si="6"/>
        <v>-1084018</v>
      </c>
      <c r="J18" s="46"/>
      <c r="K18" s="39">
        <f t="shared" si="7"/>
        <v>0</v>
      </c>
      <c r="L18" s="53">
        <f t="shared" si="8"/>
        <v>1247493</v>
      </c>
      <c r="M18" s="20">
        <f t="shared" si="9"/>
        <v>-1247493</v>
      </c>
      <c r="N18" s="44"/>
      <c r="O18" s="39">
        <f t="shared" si="10"/>
        <v>0</v>
      </c>
      <c r="P18" s="53">
        <f t="shared" si="11"/>
        <v>1296482</v>
      </c>
      <c r="Q18" s="20">
        <f t="shared" si="12"/>
        <v>-1296482</v>
      </c>
      <c r="R18" s="44"/>
      <c r="S18" s="39">
        <f t="shared" si="13"/>
        <v>0</v>
      </c>
      <c r="T18" s="53">
        <f t="shared" si="14"/>
        <v>1310658</v>
      </c>
      <c r="U18" s="20">
        <f t="shared" si="15"/>
        <v>-1310658</v>
      </c>
      <c r="V18" s="44"/>
      <c r="W18" s="39">
        <f t="shared" si="16"/>
        <v>0</v>
      </c>
      <c r="X18" s="53">
        <f t="shared" si="17"/>
        <v>1175597</v>
      </c>
      <c r="Y18" s="20">
        <f t="shared" si="18"/>
        <v>-1175597</v>
      </c>
      <c r="Z18" s="44"/>
      <c r="AA18" s="39">
        <f t="shared" si="19"/>
        <v>0</v>
      </c>
      <c r="AB18" s="53">
        <f t="shared" si="20"/>
        <v>1006469</v>
      </c>
      <c r="AC18" s="20">
        <f t="shared" si="21"/>
        <v>-1006469</v>
      </c>
      <c r="AD18" s="44"/>
      <c r="AE18" s="39">
        <f t="shared" si="22"/>
        <v>0</v>
      </c>
      <c r="AF18" s="53">
        <f t="shared" si="23"/>
        <v>989508</v>
      </c>
      <c r="AG18" s="20">
        <f t="shared" si="24"/>
        <v>-989508</v>
      </c>
      <c r="AH18" s="44"/>
      <c r="AI18" s="39">
        <f t="shared" si="25"/>
        <v>0</v>
      </c>
      <c r="AJ18" s="53">
        <f t="shared" si="26"/>
        <v>978441</v>
      </c>
      <c r="AK18" s="20">
        <f t="shared" si="27"/>
        <v>-978441</v>
      </c>
      <c r="AL18" s="44"/>
      <c r="AM18" s="39">
        <f t="shared" si="28"/>
        <v>0</v>
      </c>
      <c r="AN18" s="53">
        <f t="shared" si="29"/>
        <v>1001443</v>
      </c>
      <c r="AO18" s="20">
        <f t="shared" si="30"/>
        <v>-1001443</v>
      </c>
      <c r="AP18" s="44"/>
      <c r="AQ18" s="39">
        <f t="shared" si="31"/>
        <v>0</v>
      </c>
      <c r="AR18" s="53">
        <f t="shared" si="32"/>
        <v>1001947</v>
      </c>
      <c r="AS18" s="20">
        <f t="shared" si="33"/>
        <v>-1001947</v>
      </c>
      <c r="AT18" s="44"/>
      <c r="AU18" s="39">
        <f t="shared" si="34"/>
        <v>0</v>
      </c>
      <c r="AV18" s="53">
        <f t="shared" si="35"/>
        <v>1582477</v>
      </c>
      <c r="AW18" s="20">
        <f t="shared" si="36"/>
        <v>-1582477</v>
      </c>
    </row>
    <row r="19">
      <c r="A19" s="52" t="s">
        <v>121</v>
      </c>
      <c r="B19" s="44"/>
      <c r="C19" s="39">
        <f t="shared" si="1"/>
        <v>0</v>
      </c>
      <c r="D19" s="53">
        <f t="shared" si="2"/>
        <v>984929</v>
      </c>
      <c r="E19" s="20">
        <f t="shared" si="3"/>
        <v>-984929</v>
      </c>
      <c r="F19" s="44"/>
      <c r="G19" s="39">
        <f t="shared" si="4"/>
        <v>0</v>
      </c>
      <c r="H19" s="53">
        <f t="shared" si="5"/>
        <v>1087999</v>
      </c>
      <c r="I19" s="20">
        <f t="shared" si="6"/>
        <v>-1087999</v>
      </c>
      <c r="J19" s="46"/>
      <c r="K19" s="39">
        <f t="shared" si="7"/>
        <v>0</v>
      </c>
      <c r="L19" s="53">
        <f t="shared" si="8"/>
        <v>1251474</v>
      </c>
      <c r="M19" s="20">
        <f t="shared" si="9"/>
        <v>-1251474</v>
      </c>
      <c r="N19" s="44"/>
      <c r="O19" s="39">
        <f t="shared" si="10"/>
        <v>0</v>
      </c>
      <c r="P19" s="53">
        <f t="shared" si="11"/>
        <v>1300463</v>
      </c>
      <c r="Q19" s="20">
        <f t="shared" si="12"/>
        <v>-1300463</v>
      </c>
      <c r="R19" s="44"/>
      <c r="S19" s="39">
        <f t="shared" si="13"/>
        <v>0</v>
      </c>
      <c r="T19" s="53">
        <f t="shared" si="14"/>
        <v>1314639</v>
      </c>
      <c r="U19" s="20">
        <f t="shared" si="15"/>
        <v>-1314639</v>
      </c>
      <c r="V19" s="44"/>
      <c r="W19" s="39">
        <f t="shared" si="16"/>
        <v>0</v>
      </c>
      <c r="X19" s="53">
        <f t="shared" si="17"/>
        <v>1179578</v>
      </c>
      <c r="Y19" s="20">
        <f t="shared" si="18"/>
        <v>-1179578</v>
      </c>
      <c r="Z19" s="44"/>
      <c r="AA19" s="39">
        <f t="shared" si="19"/>
        <v>0</v>
      </c>
      <c r="AB19" s="53">
        <f t="shared" si="20"/>
        <v>1010450</v>
      </c>
      <c r="AC19" s="20">
        <f t="shared" si="21"/>
        <v>-1010450</v>
      </c>
      <c r="AD19" s="44"/>
      <c r="AE19" s="39">
        <f t="shared" si="22"/>
        <v>0</v>
      </c>
      <c r="AF19" s="53">
        <f t="shared" si="23"/>
        <v>993489</v>
      </c>
      <c r="AG19" s="20">
        <f t="shared" si="24"/>
        <v>-993489</v>
      </c>
      <c r="AH19" s="44"/>
      <c r="AI19" s="39">
        <f t="shared" si="25"/>
        <v>0</v>
      </c>
      <c r="AJ19" s="53">
        <f t="shared" si="26"/>
        <v>982422</v>
      </c>
      <c r="AK19" s="20">
        <f t="shared" si="27"/>
        <v>-982422</v>
      </c>
      <c r="AL19" s="44"/>
      <c r="AM19" s="39">
        <f t="shared" si="28"/>
        <v>0</v>
      </c>
      <c r="AN19" s="53">
        <f t="shared" si="29"/>
        <v>1005424</v>
      </c>
      <c r="AO19" s="20">
        <f t="shared" si="30"/>
        <v>-1005424</v>
      </c>
      <c r="AP19" s="44"/>
      <c r="AQ19" s="39">
        <f t="shared" si="31"/>
        <v>0</v>
      </c>
      <c r="AR19" s="53">
        <f t="shared" si="32"/>
        <v>1005928</v>
      </c>
      <c r="AS19" s="20">
        <f t="shared" si="33"/>
        <v>-1005928</v>
      </c>
      <c r="AT19" s="44"/>
      <c r="AU19" s="39">
        <f t="shared" si="34"/>
        <v>0</v>
      </c>
      <c r="AV19" s="53">
        <f t="shared" si="35"/>
        <v>1586458</v>
      </c>
      <c r="AW19" s="20">
        <f t="shared" si="36"/>
        <v>-1586458</v>
      </c>
    </row>
    <row r="20">
      <c r="A20" s="52" t="s">
        <v>122</v>
      </c>
      <c r="B20" s="44"/>
      <c r="C20" s="39">
        <f t="shared" si="1"/>
        <v>0</v>
      </c>
      <c r="D20" s="53">
        <f t="shared" si="2"/>
        <v>986945</v>
      </c>
      <c r="E20" s="20">
        <f t="shared" si="3"/>
        <v>-986945</v>
      </c>
      <c r="F20" s="44"/>
      <c r="G20" s="39">
        <f t="shared" si="4"/>
        <v>0</v>
      </c>
      <c r="H20" s="53">
        <f t="shared" si="5"/>
        <v>1090015</v>
      </c>
      <c r="I20" s="20">
        <f t="shared" si="6"/>
        <v>-1090015</v>
      </c>
      <c r="J20" s="46"/>
      <c r="K20" s="39">
        <f t="shared" si="7"/>
        <v>0</v>
      </c>
      <c r="L20" s="53">
        <f t="shared" si="8"/>
        <v>1253490</v>
      </c>
      <c r="M20" s="20">
        <f t="shared" si="9"/>
        <v>-1253490</v>
      </c>
      <c r="N20" s="44"/>
      <c r="O20" s="39">
        <f t="shared" si="10"/>
        <v>0</v>
      </c>
      <c r="P20" s="53">
        <f t="shared" si="11"/>
        <v>1302479</v>
      </c>
      <c r="Q20" s="20">
        <f t="shared" si="12"/>
        <v>-1302479</v>
      </c>
      <c r="R20" s="44"/>
      <c r="S20" s="39">
        <f t="shared" si="13"/>
        <v>0</v>
      </c>
      <c r="T20" s="53">
        <f t="shared" si="14"/>
        <v>1316655</v>
      </c>
      <c r="U20" s="20">
        <f t="shared" si="15"/>
        <v>-1316655</v>
      </c>
      <c r="V20" s="44"/>
      <c r="W20" s="39">
        <f t="shared" si="16"/>
        <v>0</v>
      </c>
      <c r="X20" s="53">
        <f t="shared" si="17"/>
        <v>1181594</v>
      </c>
      <c r="Y20" s="20">
        <f t="shared" si="18"/>
        <v>-1181594</v>
      </c>
      <c r="Z20" s="44"/>
      <c r="AA20" s="39">
        <f t="shared" si="19"/>
        <v>0</v>
      </c>
      <c r="AB20" s="53">
        <f t="shared" si="20"/>
        <v>1012466</v>
      </c>
      <c r="AC20" s="20">
        <f t="shared" si="21"/>
        <v>-1012466</v>
      </c>
      <c r="AD20" s="44"/>
      <c r="AE20" s="39">
        <f t="shared" si="22"/>
        <v>0</v>
      </c>
      <c r="AF20" s="53">
        <f t="shared" si="23"/>
        <v>995505</v>
      </c>
      <c r="AG20" s="20">
        <f t="shared" si="24"/>
        <v>-995505</v>
      </c>
      <c r="AH20" s="44"/>
      <c r="AI20" s="39">
        <f t="shared" si="25"/>
        <v>0</v>
      </c>
      <c r="AJ20" s="53">
        <f t="shared" si="26"/>
        <v>984438</v>
      </c>
      <c r="AK20" s="20">
        <f t="shared" si="27"/>
        <v>-984438</v>
      </c>
      <c r="AL20" s="44"/>
      <c r="AM20" s="39">
        <f t="shared" si="28"/>
        <v>0</v>
      </c>
      <c r="AN20" s="53">
        <f t="shared" si="29"/>
        <v>1007440</v>
      </c>
      <c r="AO20" s="20">
        <f t="shared" si="30"/>
        <v>-1007440</v>
      </c>
      <c r="AP20" s="44"/>
      <c r="AQ20" s="39">
        <f t="shared" si="31"/>
        <v>0</v>
      </c>
      <c r="AR20" s="53">
        <f t="shared" si="32"/>
        <v>1007944</v>
      </c>
      <c r="AS20" s="20">
        <f t="shared" si="33"/>
        <v>-1007944</v>
      </c>
      <c r="AT20" s="44"/>
      <c r="AU20" s="39">
        <f t="shared" si="34"/>
        <v>0</v>
      </c>
      <c r="AV20" s="53">
        <f t="shared" si="35"/>
        <v>1588474</v>
      </c>
      <c r="AW20" s="20">
        <f t="shared" si="36"/>
        <v>-1588474</v>
      </c>
    </row>
    <row r="21" ht="15.75" customHeight="1">
      <c r="A21" s="47"/>
      <c r="B21" s="54" t="s">
        <v>84</v>
      </c>
      <c r="C21" s="50" t="s">
        <v>123</v>
      </c>
      <c r="D21" s="55"/>
      <c r="E21" s="56"/>
      <c r="F21" s="54" t="s">
        <v>84</v>
      </c>
      <c r="G21" s="50" t="s">
        <v>123</v>
      </c>
      <c r="H21" s="55"/>
      <c r="I21" s="56"/>
      <c r="J21" s="54" t="s">
        <v>84</v>
      </c>
      <c r="K21" s="50" t="s">
        <v>123</v>
      </c>
      <c r="L21" s="55"/>
      <c r="M21" s="56"/>
      <c r="N21" s="54" t="s">
        <v>84</v>
      </c>
      <c r="O21" s="50" t="s">
        <v>123</v>
      </c>
      <c r="P21" s="55"/>
      <c r="Q21" s="56"/>
      <c r="R21" s="54" t="s">
        <v>84</v>
      </c>
      <c r="S21" s="50" t="s">
        <v>123</v>
      </c>
      <c r="T21" s="55"/>
      <c r="U21" s="56"/>
      <c r="V21" s="54" t="s">
        <v>84</v>
      </c>
      <c r="W21" s="50" t="s">
        <v>123</v>
      </c>
      <c r="X21" s="55"/>
      <c r="Y21" s="56"/>
      <c r="Z21" s="54" t="s">
        <v>84</v>
      </c>
      <c r="AA21" s="50" t="s">
        <v>123</v>
      </c>
      <c r="AB21" s="55"/>
      <c r="AC21" s="56"/>
      <c r="AD21" s="54" t="s">
        <v>84</v>
      </c>
      <c r="AE21" s="50" t="s">
        <v>123</v>
      </c>
      <c r="AF21" s="55"/>
      <c r="AG21" s="56"/>
      <c r="AH21" s="54" t="s">
        <v>84</v>
      </c>
      <c r="AI21" s="50" t="s">
        <v>123</v>
      </c>
      <c r="AJ21" s="55"/>
      <c r="AK21" s="56"/>
      <c r="AL21" s="54" t="s">
        <v>84</v>
      </c>
      <c r="AM21" s="50" t="s">
        <v>123</v>
      </c>
      <c r="AN21" s="55"/>
      <c r="AO21" s="56"/>
      <c r="AP21" s="54" t="s">
        <v>84</v>
      </c>
      <c r="AQ21" s="50" t="s">
        <v>123</v>
      </c>
      <c r="AR21" s="55"/>
      <c r="AS21" s="56"/>
      <c r="AT21" s="54" t="s">
        <v>84</v>
      </c>
      <c r="AU21" s="50" t="s">
        <v>123</v>
      </c>
      <c r="AV21" s="55"/>
      <c r="AW21" s="56"/>
    </row>
    <row r="22" ht="15.75" customHeight="1">
      <c r="A22" s="52" t="s">
        <v>107</v>
      </c>
      <c r="B22" s="44"/>
      <c r="C22" s="39">
        <f t="shared" ref="C22:C37" si="37">B22*0.92</f>
        <v>0</v>
      </c>
      <c r="D22" s="53">
        <f t="shared" ref="D22:D37" si="38">$B$2+$B$3+G40</f>
        <v>335092</v>
      </c>
      <c r="E22" s="20">
        <f t="shared" ref="E22:E37" si="39">C22-D22</f>
        <v>-335092</v>
      </c>
      <c r="F22" s="44"/>
      <c r="G22" s="39">
        <f t="shared" ref="G22:G37" si="40">F22*0.92</f>
        <v>0</v>
      </c>
      <c r="H22" s="53">
        <f t="shared" ref="H22:H37" si="41">$F$2+$F$3+G40</f>
        <v>438162</v>
      </c>
      <c r="I22" s="20">
        <f t="shared" ref="I22:I37" si="42">G22-H22</f>
        <v>-438162</v>
      </c>
      <c r="J22" s="44"/>
      <c r="K22" s="39">
        <f t="shared" ref="K22:K37" si="43">J22*0.92</f>
        <v>0</v>
      </c>
      <c r="L22" s="53">
        <f t="shared" ref="L22:L37" si="44">$J$2+$J$3+G40</f>
        <v>601637</v>
      </c>
      <c r="M22" s="20">
        <f t="shared" ref="M22:M37" si="45">K22-L22</f>
        <v>-601637</v>
      </c>
      <c r="N22" s="44"/>
      <c r="O22" s="39">
        <f t="shared" ref="O22:O37" si="46">N22*0.92</f>
        <v>0</v>
      </c>
      <c r="P22" s="53">
        <f t="shared" ref="P22:P37" si="47">$N$2+$N$3+G40</f>
        <v>650626</v>
      </c>
      <c r="Q22" s="20">
        <f t="shared" ref="Q22:Q37" si="48">O22-P22</f>
        <v>-650626</v>
      </c>
      <c r="R22" s="44"/>
      <c r="S22" s="39">
        <f t="shared" ref="S22:S37" si="49">R22*0.92</f>
        <v>0</v>
      </c>
      <c r="T22" s="53">
        <f t="shared" ref="T22:T37" si="50">$R$2+$R$3+G40</f>
        <v>664802</v>
      </c>
      <c r="U22" s="20">
        <f t="shared" ref="U22:U37" si="51">S22-T22</f>
        <v>-664802</v>
      </c>
      <c r="V22" s="44"/>
      <c r="W22" s="39">
        <f t="shared" ref="W22:W37" si="52">V22*0.92</f>
        <v>0</v>
      </c>
      <c r="X22" s="53">
        <f t="shared" ref="X22:X37" si="53">$V$2+$V$3+G40</f>
        <v>529741</v>
      </c>
      <c r="Y22" s="20">
        <f t="shared" ref="Y22:Y37" si="54">W22-X22</f>
        <v>-529741</v>
      </c>
      <c r="Z22" s="44"/>
      <c r="AA22" s="39">
        <f t="shared" ref="AA22:AA37" si="55">Z22*0.92</f>
        <v>0</v>
      </c>
      <c r="AB22" s="53">
        <f t="shared" ref="AB22:AB37" si="56">$Z$2+$Z$3+G40</f>
        <v>360613</v>
      </c>
      <c r="AC22" s="20">
        <f t="shared" ref="AC22:AC37" si="57">AA22-AB22</f>
        <v>-360613</v>
      </c>
      <c r="AD22" s="44"/>
      <c r="AE22" s="39">
        <f t="shared" ref="AE22:AE37" si="58">AD22*0.92</f>
        <v>0</v>
      </c>
      <c r="AF22" s="53">
        <f t="shared" ref="AF22:AF37" si="59">$AD$2+$AD$3+G40</f>
        <v>343652</v>
      </c>
      <c r="AG22" s="20">
        <f t="shared" ref="AG22:AG37" si="60">AE22-AF22</f>
        <v>-343652</v>
      </c>
      <c r="AH22" s="44"/>
      <c r="AI22" s="39">
        <f t="shared" ref="AI22:AI37" si="61">AH22*0.92</f>
        <v>0</v>
      </c>
      <c r="AJ22" s="53">
        <f t="shared" ref="AJ22:AJ37" si="62">$AH$2+$AH$3+G40</f>
        <v>332585</v>
      </c>
      <c r="AK22" s="20">
        <f t="shared" ref="AK22:AK37" si="63">AI22-AJ22</f>
        <v>-332585</v>
      </c>
      <c r="AL22" s="44"/>
      <c r="AM22" s="39">
        <f t="shared" ref="AM22:AM37" si="64">AL22*0.92</f>
        <v>0</v>
      </c>
      <c r="AN22" s="53">
        <f t="shared" ref="AN22:AN37" si="65">$AL$2+$AL$3+G40</f>
        <v>355587</v>
      </c>
      <c r="AO22" s="20">
        <f t="shared" ref="AO22:AO37" si="66">AM22-AN22</f>
        <v>-355587</v>
      </c>
      <c r="AP22" s="44"/>
      <c r="AQ22" s="39">
        <f t="shared" ref="AQ22:AQ37" si="67">AP22*0.92</f>
        <v>0</v>
      </c>
      <c r="AR22" s="53">
        <f t="shared" ref="AR22:AR37" si="68">$AP$2+$AP$3+G40</f>
        <v>356091</v>
      </c>
      <c r="AS22" s="20">
        <f t="shared" ref="AS22:AS37" si="69">AQ22-AR22</f>
        <v>-356091</v>
      </c>
      <c r="AT22" s="44"/>
      <c r="AU22" s="39">
        <f t="shared" ref="AU22:AU37" si="70">AT22*0.895</f>
        <v>0</v>
      </c>
      <c r="AV22" s="53">
        <f t="shared" ref="AV22:AV37" si="71">$AT$2+$AT$3+G40</f>
        <v>936621</v>
      </c>
      <c r="AW22" s="20">
        <f t="shared" ref="AW22:AW37" si="72">AU22-AV22</f>
        <v>-936621</v>
      </c>
    </row>
    <row r="23" ht="15.75" customHeight="1">
      <c r="A23" s="52" t="s">
        <v>108</v>
      </c>
      <c r="B23" s="44"/>
      <c r="C23" s="39">
        <f t="shared" si="37"/>
        <v>0</v>
      </c>
      <c r="D23" s="53">
        <f t="shared" si="38"/>
        <v>333428</v>
      </c>
      <c r="E23" s="20">
        <f t="shared" si="39"/>
        <v>-333428</v>
      </c>
      <c r="F23" s="44"/>
      <c r="G23" s="39">
        <f t="shared" si="40"/>
        <v>0</v>
      </c>
      <c r="H23" s="53">
        <f t="shared" si="41"/>
        <v>436498</v>
      </c>
      <c r="I23" s="20">
        <f t="shared" si="42"/>
        <v>-436498</v>
      </c>
      <c r="J23" s="44"/>
      <c r="K23" s="39">
        <f t="shared" si="43"/>
        <v>0</v>
      </c>
      <c r="L23" s="53">
        <f t="shared" si="44"/>
        <v>599973</v>
      </c>
      <c r="M23" s="20">
        <f t="shared" si="45"/>
        <v>-599973</v>
      </c>
      <c r="N23" s="44"/>
      <c r="O23" s="39">
        <f t="shared" si="46"/>
        <v>0</v>
      </c>
      <c r="P23" s="53">
        <f t="shared" si="47"/>
        <v>648962</v>
      </c>
      <c r="Q23" s="20">
        <f t="shared" si="48"/>
        <v>-648962</v>
      </c>
      <c r="R23" s="44"/>
      <c r="S23" s="39">
        <f t="shared" si="49"/>
        <v>0</v>
      </c>
      <c r="T23" s="53">
        <f t="shared" si="50"/>
        <v>663138</v>
      </c>
      <c r="U23" s="20">
        <f t="shared" si="51"/>
        <v>-663138</v>
      </c>
      <c r="V23" s="44"/>
      <c r="W23" s="39">
        <f t="shared" si="52"/>
        <v>0</v>
      </c>
      <c r="X23" s="53">
        <f t="shared" si="53"/>
        <v>528077</v>
      </c>
      <c r="Y23" s="20">
        <f t="shared" si="54"/>
        <v>-528077</v>
      </c>
      <c r="Z23" s="44"/>
      <c r="AA23" s="39">
        <f t="shared" si="55"/>
        <v>0</v>
      </c>
      <c r="AB23" s="53">
        <f t="shared" si="56"/>
        <v>358949</v>
      </c>
      <c r="AC23" s="20">
        <f t="shared" si="57"/>
        <v>-358949</v>
      </c>
      <c r="AD23" s="44"/>
      <c r="AE23" s="39">
        <f t="shared" si="58"/>
        <v>0</v>
      </c>
      <c r="AF23" s="53">
        <f t="shared" si="59"/>
        <v>341988</v>
      </c>
      <c r="AG23" s="20">
        <f t="shared" si="60"/>
        <v>-341988</v>
      </c>
      <c r="AH23" s="44"/>
      <c r="AI23" s="39">
        <f t="shared" si="61"/>
        <v>0</v>
      </c>
      <c r="AJ23" s="53">
        <f t="shared" si="62"/>
        <v>330921</v>
      </c>
      <c r="AK23" s="20">
        <f t="shared" si="63"/>
        <v>-330921</v>
      </c>
      <c r="AL23" s="44"/>
      <c r="AM23" s="39">
        <f t="shared" si="64"/>
        <v>0</v>
      </c>
      <c r="AN23" s="53">
        <f t="shared" si="65"/>
        <v>353923</v>
      </c>
      <c r="AO23" s="20">
        <f t="shared" si="66"/>
        <v>-353923</v>
      </c>
      <c r="AP23" s="44"/>
      <c r="AQ23" s="39">
        <f t="shared" si="67"/>
        <v>0</v>
      </c>
      <c r="AR23" s="53">
        <f t="shared" si="68"/>
        <v>354427</v>
      </c>
      <c r="AS23" s="20">
        <f t="shared" si="69"/>
        <v>-354427</v>
      </c>
      <c r="AT23" s="44"/>
      <c r="AU23" s="39">
        <f t="shared" si="70"/>
        <v>0</v>
      </c>
      <c r="AV23" s="53">
        <f t="shared" si="71"/>
        <v>934957</v>
      </c>
      <c r="AW23" s="20">
        <f t="shared" si="72"/>
        <v>-934957</v>
      </c>
    </row>
    <row r="24" ht="15.75" customHeight="1">
      <c r="A24" s="52" t="s">
        <v>109</v>
      </c>
      <c r="B24" s="44"/>
      <c r="C24" s="39">
        <f t="shared" si="37"/>
        <v>0</v>
      </c>
      <c r="D24" s="53">
        <f t="shared" si="38"/>
        <v>337409</v>
      </c>
      <c r="E24" s="20">
        <f t="shared" si="39"/>
        <v>-337409</v>
      </c>
      <c r="F24" s="44"/>
      <c r="G24" s="39">
        <f t="shared" si="40"/>
        <v>0</v>
      </c>
      <c r="H24" s="53">
        <f t="shared" si="41"/>
        <v>440479</v>
      </c>
      <c r="I24" s="20">
        <f t="shared" si="42"/>
        <v>-440479</v>
      </c>
      <c r="J24" s="44"/>
      <c r="K24" s="39">
        <f t="shared" si="43"/>
        <v>0</v>
      </c>
      <c r="L24" s="53">
        <f t="shared" si="44"/>
        <v>603954</v>
      </c>
      <c r="M24" s="20">
        <f t="shared" si="45"/>
        <v>-603954</v>
      </c>
      <c r="N24" s="44"/>
      <c r="O24" s="39">
        <f t="shared" si="46"/>
        <v>0</v>
      </c>
      <c r="P24" s="53">
        <f t="shared" si="47"/>
        <v>652943</v>
      </c>
      <c r="Q24" s="20">
        <f t="shared" si="48"/>
        <v>-652943</v>
      </c>
      <c r="R24" s="44"/>
      <c r="S24" s="39">
        <f t="shared" si="49"/>
        <v>0</v>
      </c>
      <c r="T24" s="53">
        <f t="shared" si="50"/>
        <v>667119</v>
      </c>
      <c r="U24" s="20">
        <f t="shared" si="51"/>
        <v>-667119</v>
      </c>
      <c r="V24" s="44"/>
      <c r="W24" s="39">
        <f t="shared" si="52"/>
        <v>0</v>
      </c>
      <c r="X24" s="53">
        <f t="shared" si="53"/>
        <v>532058</v>
      </c>
      <c r="Y24" s="20">
        <f t="shared" si="54"/>
        <v>-532058</v>
      </c>
      <c r="Z24" s="44"/>
      <c r="AA24" s="39">
        <f t="shared" si="55"/>
        <v>0</v>
      </c>
      <c r="AB24" s="53">
        <f t="shared" si="56"/>
        <v>362930</v>
      </c>
      <c r="AC24" s="20">
        <f t="shared" si="57"/>
        <v>-362930</v>
      </c>
      <c r="AD24" s="44"/>
      <c r="AE24" s="39">
        <f t="shared" si="58"/>
        <v>0</v>
      </c>
      <c r="AF24" s="53">
        <f t="shared" si="59"/>
        <v>345969</v>
      </c>
      <c r="AG24" s="20">
        <f t="shared" si="60"/>
        <v>-345969</v>
      </c>
      <c r="AH24" s="44"/>
      <c r="AI24" s="39">
        <f t="shared" si="61"/>
        <v>0</v>
      </c>
      <c r="AJ24" s="53">
        <f t="shared" si="62"/>
        <v>334902</v>
      </c>
      <c r="AK24" s="20">
        <f t="shared" si="63"/>
        <v>-334902</v>
      </c>
      <c r="AL24" s="44"/>
      <c r="AM24" s="39">
        <f t="shared" si="64"/>
        <v>0</v>
      </c>
      <c r="AN24" s="53">
        <f t="shared" si="65"/>
        <v>357904</v>
      </c>
      <c r="AO24" s="20">
        <f t="shared" si="66"/>
        <v>-357904</v>
      </c>
      <c r="AP24" s="44"/>
      <c r="AQ24" s="39">
        <f t="shared" si="67"/>
        <v>0</v>
      </c>
      <c r="AR24" s="53">
        <f t="shared" si="68"/>
        <v>358408</v>
      </c>
      <c r="AS24" s="20">
        <f t="shared" si="69"/>
        <v>-358408</v>
      </c>
      <c r="AT24" s="44"/>
      <c r="AU24" s="39">
        <f t="shared" si="70"/>
        <v>0</v>
      </c>
      <c r="AV24" s="53">
        <f t="shared" si="71"/>
        <v>938938</v>
      </c>
      <c r="AW24" s="20">
        <f t="shared" si="72"/>
        <v>-938938</v>
      </c>
    </row>
    <row r="25" ht="15.75" customHeight="1">
      <c r="A25" s="52" t="s">
        <v>110</v>
      </c>
      <c r="B25" s="44"/>
      <c r="C25" s="39">
        <f t="shared" si="37"/>
        <v>0</v>
      </c>
      <c r="D25" s="53">
        <f t="shared" si="38"/>
        <v>339425</v>
      </c>
      <c r="E25" s="20">
        <f t="shared" si="39"/>
        <v>-339425</v>
      </c>
      <c r="F25" s="44"/>
      <c r="G25" s="39">
        <f t="shared" si="40"/>
        <v>0</v>
      </c>
      <c r="H25" s="53">
        <f t="shared" si="41"/>
        <v>442495</v>
      </c>
      <c r="I25" s="20">
        <f t="shared" si="42"/>
        <v>-442495</v>
      </c>
      <c r="J25" s="44"/>
      <c r="K25" s="39">
        <f t="shared" si="43"/>
        <v>0</v>
      </c>
      <c r="L25" s="53">
        <f t="shared" si="44"/>
        <v>605970</v>
      </c>
      <c r="M25" s="20">
        <f t="shared" si="45"/>
        <v>-605970</v>
      </c>
      <c r="N25" s="44"/>
      <c r="O25" s="39">
        <f t="shared" si="46"/>
        <v>0</v>
      </c>
      <c r="P25" s="53">
        <f t="shared" si="47"/>
        <v>654959</v>
      </c>
      <c r="Q25" s="20">
        <f t="shared" si="48"/>
        <v>-654959</v>
      </c>
      <c r="R25" s="44"/>
      <c r="S25" s="39">
        <f t="shared" si="49"/>
        <v>0</v>
      </c>
      <c r="T25" s="53">
        <f t="shared" si="50"/>
        <v>669135</v>
      </c>
      <c r="U25" s="20">
        <f t="shared" si="51"/>
        <v>-669135</v>
      </c>
      <c r="V25" s="44"/>
      <c r="W25" s="39">
        <f t="shared" si="52"/>
        <v>0</v>
      </c>
      <c r="X25" s="53">
        <f t="shared" si="53"/>
        <v>534074</v>
      </c>
      <c r="Y25" s="20">
        <f t="shared" si="54"/>
        <v>-534074</v>
      </c>
      <c r="Z25" s="44"/>
      <c r="AA25" s="39">
        <f t="shared" si="55"/>
        <v>0</v>
      </c>
      <c r="AB25" s="53">
        <f t="shared" si="56"/>
        <v>364946</v>
      </c>
      <c r="AC25" s="20">
        <f t="shared" si="57"/>
        <v>-364946</v>
      </c>
      <c r="AD25" s="44"/>
      <c r="AE25" s="39">
        <f t="shared" si="58"/>
        <v>0</v>
      </c>
      <c r="AF25" s="53">
        <f t="shared" si="59"/>
        <v>347985</v>
      </c>
      <c r="AG25" s="20">
        <f t="shared" si="60"/>
        <v>-347985</v>
      </c>
      <c r="AH25" s="44"/>
      <c r="AI25" s="39">
        <f t="shared" si="61"/>
        <v>0</v>
      </c>
      <c r="AJ25" s="53">
        <f t="shared" si="62"/>
        <v>336918</v>
      </c>
      <c r="AK25" s="20">
        <f t="shared" si="63"/>
        <v>-336918</v>
      </c>
      <c r="AL25" s="44"/>
      <c r="AM25" s="39">
        <f t="shared" si="64"/>
        <v>0</v>
      </c>
      <c r="AN25" s="53">
        <f t="shared" si="65"/>
        <v>359920</v>
      </c>
      <c r="AO25" s="20">
        <f t="shared" si="66"/>
        <v>-359920</v>
      </c>
      <c r="AP25" s="44"/>
      <c r="AQ25" s="39">
        <f t="shared" si="67"/>
        <v>0</v>
      </c>
      <c r="AR25" s="53">
        <f t="shared" si="68"/>
        <v>360424</v>
      </c>
      <c r="AS25" s="20">
        <f t="shared" si="69"/>
        <v>-360424</v>
      </c>
      <c r="AT25" s="44"/>
      <c r="AU25" s="39">
        <f t="shared" si="70"/>
        <v>0</v>
      </c>
      <c r="AV25" s="53">
        <f t="shared" si="71"/>
        <v>940954</v>
      </c>
      <c r="AW25" s="20">
        <f t="shared" si="72"/>
        <v>-940954</v>
      </c>
    </row>
    <row r="26" ht="15.75" customHeight="1">
      <c r="A26" s="52" t="s">
        <v>111</v>
      </c>
      <c r="B26" s="44"/>
      <c r="C26" s="39">
        <f t="shared" si="37"/>
        <v>0</v>
      </c>
      <c r="D26" s="53">
        <f t="shared" si="38"/>
        <v>383044</v>
      </c>
      <c r="E26" s="20">
        <f t="shared" si="39"/>
        <v>-383044</v>
      </c>
      <c r="F26" s="44"/>
      <c r="G26" s="39">
        <f t="shared" si="40"/>
        <v>0</v>
      </c>
      <c r="H26" s="53">
        <f t="shared" si="41"/>
        <v>486114</v>
      </c>
      <c r="I26" s="20">
        <f t="shared" si="42"/>
        <v>-486114</v>
      </c>
      <c r="J26" s="44"/>
      <c r="K26" s="39">
        <f t="shared" si="43"/>
        <v>0</v>
      </c>
      <c r="L26" s="53">
        <f t="shared" si="44"/>
        <v>649589</v>
      </c>
      <c r="M26" s="20">
        <f t="shared" si="45"/>
        <v>-649589</v>
      </c>
      <c r="N26" s="44"/>
      <c r="O26" s="39">
        <f t="shared" si="46"/>
        <v>0</v>
      </c>
      <c r="P26" s="53">
        <f t="shared" si="47"/>
        <v>698578</v>
      </c>
      <c r="Q26" s="20">
        <f t="shared" si="48"/>
        <v>-698578</v>
      </c>
      <c r="R26" s="44"/>
      <c r="S26" s="39">
        <f t="shared" si="49"/>
        <v>0</v>
      </c>
      <c r="T26" s="53">
        <f t="shared" si="50"/>
        <v>712754</v>
      </c>
      <c r="U26" s="20">
        <f t="shared" si="51"/>
        <v>-712754</v>
      </c>
      <c r="V26" s="44"/>
      <c r="W26" s="39">
        <f t="shared" si="52"/>
        <v>0</v>
      </c>
      <c r="X26" s="53">
        <f t="shared" si="53"/>
        <v>577693</v>
      </c>
      <c r="Y26" s="20">
        <f t="shared" si="54"/>
        <v>-577693</v>
      </c>
      <c r="Z26" s="44"/>
      <c r="AA26" s="39">
        <f t="shared" si="55"/>
        <v>0</v>
      </c>
      <c r="AB26" s="53">
        <f t="shared" si="56"/>
        <v>408565</v>
      </c>
      <c r="AC26" s="20">
        <f t="shared" si="57"/>
        <v>-408565</v>
      </c>
      <c r="AD26" s="44"/>
      <c r="AE26" s="39">
        <f t="shared" si="58"/>
        <v>0</v>
      </c>
      <c r="AF26" s="53">
        <f t="shared" si="59"/>
        <v>391604</v>
      </c>
      <c r="AG26" s="20">
        <f t="shared" si="60"/>
        <v>-391604</v>
      </c>
      <c r="AH26" s="44"/>
      <c r="AI26" s="39">
        <f t="shared" si="61"/>
        <v>0</v>
      </c>
      <c r="AJ26" s="53">
        <f t="shared" si="62"/>
        <v>380537</v>
      </c>
      <c r="AK26" s="20">
        <f t="shared" si="63"/>
        <v>-380537</v>
      </c>
      <c r="AL26" s="44"/>
      <c r="AM26" s="39">
        <f t="shared" si="64"/>
        <v>0</v>
      </c>
      <c r="AN26" s="53">
        <f t="shared" si="65"/>
        <v>403539</v>
      </c>
      <c r="AO26" s="20">
        <f t="shared" si="66"/>
        <v>-403539</v>
      </c>
      <c r="AP26" s="44"/>
      <c r="AQ26" s="39">
        <f t="shared" si="67"/>
        <v>0</v>
      </c>
      <c r="AR26" s="53">
        <f t="shared" si="68"/>
        <v>404043</v>
      </c>
      <c r="AS26" s="20">
        <f t="shared" si="69"/>
        <v>-404043</v>
      </c>
      <c r="AT26" s="44"/>
      <c r="AU26" s="39">
        <f t="shared" si="70"/>
        <v>0</v>
      </c>
      <c r="AV26" s="53">
        <f t="shared" si="71"/>
        <v>984573</v>
      </c>
      <c r="AW26" s="20">
        <f t="shared" si="72"/>
        <v>-984573</v>
      </c>
    </row>
    <row r="27" ht="15.75" customHeight="1">
      <c r="A27" s="52" t="s">
        <v>112</v>
      </c>
      <c r="B27" s="44"/>
      <c r="C27" s="39">
        <f t="shared" si="37"/>
        <v>0</v>
      </c>
      <c r="D27" s="53">
        <f t="shared" si="38"/>
        <v>381380</v>
      </c>
      <c r="E27" s="20">
        <f t="shared" si="39"/>
        <v>-381380</v>
      </c>
      <c r="F27" s="44"/>
      <c r="G27" s="39">
        <f t="shared" si="40"/>
        <v>0</v>
      </c>
      <c r="H27" s="53">
        <f t="shared" si="41"/>
        <v>484450</v>
      </c>
      <c r="I27" s="20">
        <f t="shared" si="42"/>
        <v>-484450</v>
      </c>
      <c r="J27" s="44"/>
      <c r="K27" s="39">
        <f t="shared" si="43"/>
        <v>0</v>
      </c>
      <c r="L27" s="53">
        <f t="shared" si="44"/>
        <v>647925</v>
      </c>
      <c r="M27" s="20">
        <f t="shared" si="45"/>
        <v>-647925</v>
      </c>
      <c r="N27" s="44"/>
      <c r="O27" s="39">
        <f t="shared" si="46"/>
        <v>0</v>
      </c>
      <c r="P27" s="53">
        <f t="shared" si="47"/>
        <v>696914</v>
      </c>
      <c r="Q27" s="20">
        <f t="shared" si="48"/>
        <v>-696914</v>
      </c>
      <c r="R27" s="44"/>
      <c r="S27" s="39">
        <f t="shared" si="49"/>
        <v>0</v>
      </c>
      <c r="T27" s="53">
        <f t="shared" si="50"/>
        <v>711090</v>
      </c>
      <c r="U27" s="20">
        <f t="shared" si="51"/>
        <v>-711090</v>
      </c>
      <c r="V27" s="44"/>
      <c r="W27" s="39">
        <f t="shared" si="52"/>
        <v>0</v>
      </c>
      <c r="X27" s="53">
        <f t="shared" si="53"/>
        <v>576029</v>
      </c>
      <c r="Y27" s="20">
        <f t="shared" si="54"/>
        <v>-576029</v>
      </c>
      <c r="Z27" s="44"/>
      <c r="AA27" s="39">
        <f t="shared" si="55"/>
        <v>0</v>
      </c>
      <c r="AB27" s="53">
        <f t="shared" si="56"/>
        <v>406901</v>
      </c>
      <c r="AC27" s="20">
        <f t="shared" si="57"/>
        <v>-406901</v>
      </c>
      <c r="AD27" s="44"/>
      <c r="AE27" s="39">
        <f t="shared" si="58"/>
        <v>0</v>
      </c>
      <c r="AF27" s="53">
        <f t="shared" si="59"/>
        <v>389940</v>
      </c>
      <c r="AG27" s="20">
        <f t="shared" si="60"/>
        <v>-389940</v>
      </c>
      <c r="AH27" s="44"/>
      <c r="AI27" s="39">
        <f t="shared" si="61"/>
        <v>0</v>
      </c>
      <c r="AJ27" s="53">
        <f t="shared" si="62"/>
        <v>378873</v>
      </c>
      <c r="AK27" s="20">
        <f t="shared" si="63"/>
        <v>-378873</v>
      </c>
      <c r="AL27" s="44"/>
      <c r="AM27" s="39">
        <f t="shared" si="64"/>
        <v>0</v>
      </c>
      <c r="AN27" s="53">
        <f t="shared" si="65"/>
        <v>401875</v>
      </c>
      <c r="AO27" s="20">
        <f t="shared" si="66"/>
        <v>-401875</v>
      </c>
      <c r="AP27" s="44"/>
      <c r="AQ27" s="39">
        <f t="shared" si="67"/>
        <v>0</v>
      </c>
      <c r="AR27" s="53">
        <f t="shared" si="68"/>
        <v>402379</v>
      </c>
      <c r="AS27" s="20">
        <f t="shared" si="69"/>
        <v>-402379</v>
      </c>
      <c r="AT27" s="44"/>
      <c r="AU27" s="39">
        <f t="shared" si="70"/>
        <v>0</v>
      </c>
      <c r="AV27" s="53">
        <f t="shared" si="71"/>
        <v>982909</v>
      </c>
      <c r="AW27" s="20">
        <f t="shared" si="72"/>
        <v>-982909</v>
      </c>
    </row>
    <row r="28" ht="15.75" customHeight="1">
      <c r="A28" s="52" t="s">
        <v>113</v>
      </c>
      <c r="B28" s="44"/>
      <c r="C28" s="39">
        <f t="shared" si="37"/>
        <v>0</v>
      </c>
      <c r="D28" s="53">
        <f t="shared" si="38"/>
        <v>385361</v>
      </c>
      <c r="E28" s="20">
        <f t="shared" si="39"/>
        <v>-385361</v>
      </c>
      <c r="F28" s="44"/>
      <c r="G28" s="39">
        <f t="shared" si="40"/>
        <v>0</v>
      </c>
      <c r="H28" s="53">
        <f t="shared" si="41"/>
        <v>488431</v>
      </c>
      <c r="I28" s="20">
        <f t="shared" si="42"/>
        <v>-488431</v>
      </c>
      <c r="J28" s="44"/>
      <c r="K28" s="39">
        <f t="shared" si="43"/>
        <v>0</v>
      </c>
      <c r="L28" s="53">
        <f t="shared" si="44"/>
        <v>651906</v>
      </c>
      <c r="M28" s="20">
        <f t="shared" si="45"/>
        <v>-651906</v>
      </c>
      <c r="N28" s="44"/>
      <c r="O28" s="39">
        <f t="shared" si="46"/>
        <v>0</v>
      </c>
      <c r="P28" s="53">
        <f t="shared" si="47"/>
        <v>700895</v>
      </c>
      <c r="Q28" s="20">
        <f t="shared" si="48"/>
        <v>-700895</v>
      </c>
      <c r="R28" s="44"/>
      <c r="S28" s="39">
        <f t="shared" si="49"/>
        <v>0</v>
      </c>
      <c r="T28" s="53">
        <f t="shared" si="50"/>
        <v>715071</v>
      </c>
      <c r="U28" s="20">
        <f t="shared" si="51"/>
        <v>-715071</v>
      </c>
      <c r="V28" s="44"/>
      <c r="W28" s="39">
        <f t="shared" si="52"/>
        <v>0</v>
      </c>
      <c r="X28" s="53">
        <f t="shared" si="53"/>
        <v>580010</v>
      </c>
      <c r="Y28" s="20">
        <f t="shared" si="54"/>
        <v>-580010</v>
      </c>
      <c r="Z28" s="44"/>
      <c r="AA28" s="39">
        <f t="shared" si="55"/>
        <v>0</v>
      </c>
      <c r="AB28" s="53">
        <f t="shared" si="56"/>
        <v>410882</v>
      </c>
      <c r="AC28" s="20">
        <f t="shared" si="57"/>
        <v>-410882</v>
      </c>
      <c r="AD28" s="44"/>
      <c r="AE28" s="39">
        <f t="shared" si="58"/>
        <v>0</v>
      </c>
      <c r="AF28" s="53">
        <f t="shared" si="59"/>
        <v>393921</v>
      </c>
      <c r="AG28" s="20">
        <f t="shared" si="60"/>
        <v>-393921</v>
      </c>
      <c r="AH28" s="44"/>
      <c r="AI28" s="39">
        <f t="shared" si="61"/>
        <v>0</v>
      </c>
      <c r="AJ28" s="53">
        <f t="shared" si="62"/>
        <v>382854</v>
      </c>
      <c r="AK28" s="20">
        <f t="shared" si="63"/>
        <v>-382854</v>
      </c>
      <c r="AL28" s="44"/>
      <c r="AM28" s="39">
        <f t="shared" si="64"/>
        <v>0</v>
      </c>
      <c r="AN28" s="53">
        <f t="shared" si="65"/>
        <v>405856</v>
      </c>
      <c r="AO28" s="20">
        <f t="shared" si="66"/>
        <v>-405856</v>
      </c>
      <c r="AP28" s="44"/>
      <c r="AQ28" s="39">
        <f t="shared" si="67"/>
        <v>0</v>
      </c>
      <c r="AR28" s="53">
        <f t="shared" si="68"/>
        <v>406360</v>
      </c>
      <c r="AS28" s="20">
        <f t="shared" si="69"/>
        <v>-406360</v>
      </c>
      <c r="AT28" s="44"/>
      <c r="AU28" s="39">
        <f t="shared" si="70"/>
        <v>0</v>
      </c>
      <c r="AV28" s="53">
        <f t="shared" si="71"/>
        <v>986890</v>
      </c>
      <c r="AW28" s="20">
        <f t="shared" si="72"/>
        <v>-986890</v>
      </c>
    </row>
    <row r="29" ht="15.75" customHeight="1">
      <c r="A29" s="52" t="s">
        <v>114</v>
      </c>
      <c r="B29" s="44"/>
      <c r="C29" s="39">
        <f t="shared" si="37"/>
        <v>0</v>
      </c>
      <c r="D29" s="53">
        <f t="shared" si="38"/>
        <v>387377</v>
      </c>
      <c r="E29" s="20">
        <f t="shared" si="39"/>
        <v>-387377</v>
      </c>
      <c r="F29" s="44"/>
      <c r="G29" s="39">
        <f t="shared" si="40"/>
        <v>0</v>
      </c>
      <c r="H29" s="53">
        <f t="shared" si="41"/>
        <v>490447</v>
      </c>
      <c r="I29" s="20">
        <f t="shared" si="42"/>
        <v>-490447</v>
      </c>
      <c r="J29" s="44"/>
      <c r="K29" s="39">
        <f t="shared" si="43"/>
        <v>0</v>
      </c>
      <c r="L29" s="53">
        <f t="shared" si="44"/>
        <v>653922</v>
      </c>
      <c r="M29" s="20">
        <f t="shared" si="45"/>
        <v>-653922</v>
      </c>
      <c r="N29" s="44"/>
      <c r="O29" s="39">
        <f t="shared" si="46"/>
        <v>0</v>
      </c>
      <c r="P29" s="53">
        <f t="shared" si="47"/>
        <v>702911</v>
      </c>
      <c r="Q29" s="20">
        <f t="shared" si="48"/>
        <v>-702911</v>
      </c>
      <c r="R29" s="44"/>
      <c r="S29" s="39">
        <f t="shared" si="49"/>
        <v>0</v>
      </c>
      <c r="T29" s="53">
        <f t="shared" si="50"/>
        <v>717087</v>
      </c>
      <c r="U29" s="20">
        <f t="shared" si="51"/>
        <v>-717087</v>
      </c>
      <c r="V29" s="44"/>
      <c r="W29" s="39">
        <f t="shared" si="52"/>
        <v>0</v>
      </c>
      <c r="X29" s="53">
        <f t="shared" si="53"/>
        <v>582026</v>
      </c>
      <c r="Y29" s="20">
        <f t="shared" si="54"/>
        <v>-582026</v>
      </c>
      <c r="Z29" s="44"/>
      <c r="AA29" s="39">
        <f t="shared" si="55"/>
        <v>0</v>
      </c>
      <c r="AB29" s="53">
        <f t="shared" si="56"/>
        <v>412898</v>
      </c>
      <c r="AC29" s="20">
        <f t="shared" si="57"/>
        <v>-412898</v>
      </c>
      <c r="AD29" s="44"/>
      <c r="AE29" s="39">
        <f t="shared" si="58"/>
        <v>0</v>
      </c>
      <c r="AF29" s="53">
        <f t="shared" si="59"/>
        <v>395937</v>
      </c>
      <c r="AG29" s="20">
        <f t="shared" si="60"/>
        <v>-395937</v>
      </c>
      <c r="AH29" s="44"/>
      <c r="AI29" s="39">
        <f t="shared" si="61"/>
        <v>0</v>
      </c>
      <c r="AJ29" s="53">
        <f t="shared" si="62"/>
        <v>384870</v>
      </c>
      <c r="AK29" s="20">
        <f t="shared" si="63"/>
        <v>-384870</v>
      </c>
      <c r="AL29" s="44"/>
      <c r="AM29" s="39">
        <f t="shared" si="64"/>
        <v>0</v>
      </c>
      <c r="AN29" s="53">
        <f t="shared" si="65"/>
        <v>407872</v>
      </c>
      <c r="AO29" s="20">
        <f t="shared" si="66"/>
        <v>-407872</v>
      </c>
      <c r="AP29" s="44"/>
      <c r="AQ29" s="39">
        <f t="shared" si="67"/>
        <v>0</v>
      </c>
      <c r="AR29" s="53">
        <f t="shared" si="68"/>
        <v>408376</v>
      </c>
      <c r="AS29" s="20">
        <f t="shared" si="69"/>
        <v>-408376</v>
      </c>
      <c r="AT29" s="44"/>
      <c r="AU29" s="39">
        <f t="shared" si="70"/>
        <v>0</v>
      </c>
      <c r="AV29" s="53">
        <f t="shared" si="71"/>
        <v>988906</v>
      </c>
      <c r="AW29" s="20">
        <f t="shared" si="72"/>
        <v>-988906</v>
      </c>
    </row>
    <row r="30" ht="15.75" customHeight="1">
      <c r="A30" s="52" t="s">
        <v>115</v>
      </c>
      <c r="B30" s="44"/>
      <c r="C30" s="39">
        <f t="shared" si="37"/>
        <v>0</v>
      </c>
      <c r="D30" s="53">
        <f t="shared" si="38"/>
        <v>545332</v>
      </c>
      <c r="E30" s="20">
        <f t="shared" si="39"/>
        <v>-545332</v>
      </c>
      <c r="F30" s="44"/>
      <c r="G30" s="39">
        <f t="shared" si="40"/>
        <v>0</v>
      </c>
      <c r="H30" s="53">
        <f t="shared" si="41"/>
        <v>648402</v>
      </c>
      <c r="I30" s="20">
        <f t="shared" si="42"/>
        <v>-648402</v>
      </c>
      <c r="J30" s="44"/>
      <c r="K30" s="39">
        <f t="shared" si="43"/>
        <v>0</v>
      </c>
      <c r="L30" s="53">
        <f t="shared" si="44"/>
        <v>811877</v>
      </c>
      <c r="M30" s="20">
        <f t="shared" si="45"/>
        <v>-811877</v>
      </c>
      <c r="N30" s="44"/>
      <c r="O30" s="39">
        <f t="shared" si="46"/>
        <v>0</v>
      </c>
      <c r="P30" s="53">
        <f t="shared" si="47"/>
        <v>860866</v>
      </c>
      <c r="Q30" s="20">
        <f t="shared" si="48"/>
        <v>-860866</v>
      </c>
      <c r="R30" s="44"/>
      <c r="S30" s="39">
        <f t="shared" si="49"/>
        <v>0</v>
      </c>
      <c r="T30" s="53">
        <f t="shared" si="50"/>
        <v>875042</v>
      </c>
      <c r="U30" s="20">
        <f t="shared" si="51"/>
        <v>-875042</v>
      </c>
      <c r="V30" s="44"/>
      <c r="W30" s="39">
        <f t="shared" si="52"/>
        <v>0</v>
      </c>
      <c r="X30" s="53">
        <f t="shared" si="53"/>
        <v>739981</v>
      </c>
      <c r="Y30" s="20">
        <f t="shared" si="54"/>
        <v>-739981</v>
      </c>
      <c r="Z30" s="44"/>
      <c r="AA30" s="39">
        <f t="shared" si="55"/>
        <v>0</v>
      </c>
      <c r="AB30" s="53">
        <f t="shared" si="56"/>
        <v>570853</v>
      </c>
      <c r="AC30" s="20">
        <f t="shared" si="57"/>
        <v>-570853</v>
      </c>
      <c r="AD30" s="44"/>
      <c r="AE30" s="39">
        <f t="shared" si="58"/>
        <v>0</v>
      </c>
      <c r="AF30" s="53">
        <f t="shared" si="59"/>
        <v>553892</v>
      </c>
      <c r="AG30" s="20">
        <f t="shared" si="60"/>
        <v>-553892</v>
      </c>
      <c r="AH30" s="44"/>
      <c r="AI30" s="39">
        <f t="shared" si="61"/>
        <v>0</v>
      </c>
      <c r="AJ30" s="53">
        <f t="shared" si="62"/>
        <v>542825</v>
      </c>
      <c r="AK30" s="20">
        <f t="shared" si="63"/>
        <v>-542825</v>
      </c>
      <c r="AL30" s="44"/>
      <c r="AM30" s="39">
        <f t="shared" si="64"/>
        <v>0</v>
      </c>
      <c r="AN30" s="53">
        <f t="shared" si="65"/>
        <v>565827</v>
      </c>
      <c r="AO30" s="20">
        <f t="shared" si="66"/>
        <v>-565827</v>
      </c>
      <c r="AP30" s="44"/>
      <c r="AQ30" s="39">
        <f t="shared" si="67"/>
        <v>0</v>
      </c>
      <c r="AR30" s="53">
        <f t="shared" si="68"/>
        <v>566331</v>
      </c>
      <c r="AS30" s="20">
        <f t="shared" si="69"/>
        <v>-566331</v>
      </c>
      <c r="AT30" s="44"/>
      <c r="AU30" s="39">
        <f t="shared" si="70"/>
        <v>0</v>
      </c>
      <c r="AV30" s="53">
        <f t="shared" si="71"/>
        <v>1146861</v>
      </c>
      <c r="AW30" s="20">
        <f t="shared" si="72"/>
        <v>-1146861</v>
      </c>
    </row>
    <row r="31" ht="15.75" customHeight="1">
      <c r="A31" s="52" t="s">
        <v>116</v>
      </c>
      <c r="B31" s="44"/>
      <c r="C31" s="39">
        <f t="shared" si="37"/>
        <v>0</v>
      </c>
      <c r="D31" s="53">
        <f t="shared" si="38"/>
        <v>543668</v>
      </c>
      <c r="E31" s="20">
        <f t="shared" si="39"/>
        <v>-543668</v>
      </c>
      <c r="F31" s="44"/>
      <c r="G31" s="39">
        <f t="shared" si="40"/>
        <v>0</v>
      </c>
      <c r="H31" s="53">
        <f t="shared" si="41"/>
        <v>646738</v>
      </c>
      <c r="I31" s="20">
        <f t="shared" si="42"/>
        <v>-646738</v>
      </c>
      <c r="J31" s="44"/>
      <c r="K31" s="39">
        <f t="shared" si="43"/>
        <v>0</v>
      </c>
      <c r="L31" s="53">
        <f t="shared" si="44"/>
        <v>810213</v>
      </c>
      <c r="M31" s="20">
        <f t="shared" si="45"/>
        <v>-810213</v>
      </c>
      <c r="N31" s="44"/>
      <c r="O31" s="39">
        <f t="shared" si="46"/>
        <v>0</v>
      </c>
      <c r="P31" s="53">
        <f t="shared" si="47"/>
        <v>859202</v>
      </c>
      <c r="Q31" s="20">
        <f t="shared" si="48"/>
        <v>-859202</v>
      </c>
      <c r="R31" s="44"/>
      <c r="S31" s="39">
        <f t="shared" si="49"/>
        <v>0</v>
      </c>
      <c r="T31" s="53">
        <f t="shared" si="50"/>
        <v>873378</v>
      </c>
      <c r="U31" s="20">
        <f t="shared" si="51"/>
        <v>-873378</v>
      </c>
      <c r="V31" s="44"/>
      <c r="W31" s="39">
        <f t="shared" si="52"/>
        <v>0</v>
      </c>
      <c r="X31" s="53">
        <f t="shared" si="53"/>
        <v>738317</v>
      </c>
      <c r="Y31" s="20">
        <f t="shared" si="54"/>
        <v>-738317</v>
      </c>
      <c r="Z31" s="44"/>
      <c r="AA31" s="39">
        <f t="shared" si="55"/>
        <v>0</v>
      </c>
      <c r="AB31" s="53">
        <f t="shared" si="56"/>
        <v>569189</v>
      </c>
      <c r="AC31" s="20">
        <f t="shared" si="57"/>
        <v>-569189</v>
      </c>
      <c r="AD31" s="44"/>
      <c r="AE31" s="39">
        <f t="shared" si="58"/>
        <v>0</v>
      </c>
      <c r="AF31" s="53">
        <f t="shared" si="59"/>
        <v>552228</v>
      </c>
      <c r="AG31" s="20">
        <f t="shared" si="60"/>
        <v>-552228</v>
      </c>
      <c r="AH31" s="44"/>
      <c r="AI31" s="39">
        <f t="shared" si="61"/>
        <v>0</v>
      </c>
      <c r="AJ31" s="53">
        <f t="shared" si="62"/>
        <v>541161</v>
      </c>
      <c r="AK31" s="20">
        <f t="shared" si="63"/>
        <v>-541161</v>
      </c>
      <c r="AL31" s="44"/>
      <c r="AM31" s="39">
        <f t="shared" si="64"/>
        <v>0</v>
      </c>
      <c r="AN31" s="53">
        <f t="shared" si="65"/>
        <v>564163</v>
      </c>
      <c r="AO31" s="20">
        <f t="shared" si="66"/>
        <v>-564163</v>
      </c>
      <c r="AP31" s="44"/>
      <c r="AQ31" s="39">
        <f t="shared" si="67"/>
        <v>0</v>
      </c>
      <c r="AR31" s="53">
        <f t="shared" si="68"/>
        <v>564667</v>
      </c>
      <c r="AS31" s="20">
        <f t="shared" si="69"/>
        <v>-564667</v>
      </c>
      <c r="AT31" s="44"/>
      <c r="AU31" s="39">
        <f t="shared" si="70"/>
        <v>0</v>
      </c>
      <c r="AV31" s="53">
        <f t="shared" si="71"/>
        <v>1145197</v>
      </c>
      <c r="AW31" s="20">
        <f t="shared" si="72"/>
        <v>-1145197</v>
      </c>
    </row>
    <row r="32" ht="15.75" customHeight="1">
      <c r="A32" s="52" t="s">
        <v>117</v>
      </c>
      <c r="B32" s="44"/>
      <c r="C32" s="39">
        <f t="shared" si="37"/>
        <v>0</v>
      </c>
      <c r="D32" s="53">
        <f t="shared" si="38"/>
        <v>547649</v>
      </c>
      <c r="E32" s="20">
        <f t="shared" si="39"/>
        <v>-547649</v>
      </c>
      <c r="F32" s="44"/>
      <c r="G32" s="39">
        <f t="shared" si="40"/>
        <v>0</v>
      </c>
      <c r="H32" s="53">
        <f t="shared" si="41"/>
        <v>650719</v>
      </c>
      <c r="I32" s="20">
        <f t="shared" si="42"/>
        <v>-650719</v>
      </c>
      <c r="J32" s="44"/>
      <c r="K32" s="39">
        <f t="shared" si="43"/>
        <v>0</v>
      </c>
      <c r="L32" s="53">
        <f t="shared" si="44"/>
        <v>814194</v>
      </c>
      <c r="M32" s="20">
        <f t="shared" si="45"/>
        <v>-814194</v>
      </c>
      <c r="N32" s="44"/>
      <c r="O32" s="39">
        <f t="shared" si="46"/>
        <v>0</v>
      </c>
      <c r="P32" s="53">
        <f t="shared" si="47"/>
        <v>863183</v>
      </c>
      <c r="Q32" s="20">
        <f t="shared" si="48"/>
        <v>-863183</v>
      </c>
      <c r="R32" s="44"/>
      <c r="S32" s="39">
        <f t="shared" si="49"/>
        <v>0</v>
      </c>
      <c r="T32" s="53">
        <f t="shared" si="50"/>
        <v>877359</v>
      </c>
      <c r="U32" s="20">
        <f t="shared" si="51"/>
        <v>-877359</v>
      </c>
      <c r="V32" s="44"/>
      <c r="W32" s="39">
        <f t="shared" si="52"/>
        <v>0</v>
      </c>
      <c r="X32" s="53">
        <f t="shared" si="53"/>
        <v>742298</v>
      </c>
      <c r="Y32" s="20">
        <f t="shared" si="54"/>
        <v>-742298</v>
      </c>
      <c r="Z32" s="44"/>
      <c r="AA32" s="39">
        <f t="shared" si="55"/>
        <v>0</v>
      </c>
      <c r="AB32" s="53">
        <f t="shared" si="56"/>
        <v>573170</v>
      </c>
      <c r="AC32" s="20">
        <f t="shared" si="57"/>
        <v>-573170</v>
      </c>
      <c r="AD32" s="44"/>
      <c r="AE32" s="39">
        <f t="shared" si="58"/>
        <v>0</v>
      </c>
      <c r="AF32" s="53">
        <f t="shared" si="59"/>
        <v>556209</v>
      </c>
      <c r="AG32" s="20">
        <f t="shared" si="60"/>
        <v>-556209</v>
      </c>
      <c r="AH32" s="44"/>
      <c r="AI32" s="39">
        <f t="shared" si="61"/>
        <v>0</v>
      </c>
      <c r="AJ32" s="53">
        <f t="shared" si="62"/>
        <v>545142</v>
      </c>
      <c r="AK32" s="20">
        <f t="shared" si="63"/>
        <v>-545142</v>
      </c>
      <c r="AL32" s="44"/>
      <c r="AM32" s="39">
        <f t="shared" si="64"/>
        <v>0</v>
      </c>
      <c r="AN32" s="53">
        <f t="shared" si="65"/>
        <v>568144</v>
      </c>
      <c r="AO32" s="20">
        <f t="shared" si="66"/>
        <v>-568144</v>
      </c>
      <c r="AP32" s="44"/>
      <c r="AQ32" s="39">
        <f t="shared" si="67"/>
        <v>0</v>
      </c>
      <c r="AR32" s="53">
        <f t="shared" si="68"/>
        <v>568648</v>
      </c>
      <c r="AS32" s="20">
        <f t="shared" si="69"/>
        <v>-568648</v>
      </c>
      <c r="AT32" s="44"/>
      <c r="AU32" s="39">
        <f t="shared" si="70"/>
        <v>0</v>
      </c>
      <c r="AV32" s="53">
        <f t="shared" si="71"/>
        <v>1149178</v>
      </c>
      <c r="AW32" s="20">
        <f t="shared" si="72"/>
        <v>-1149178</v>
      </c>
    </row>
    <row r="33" ht="15.75" customHeight="1">
      <c r="A33" s="52" t="s">
        <v>118</v>
      </c>
      <c r="B33" s="44"/>
      <c r="C33" s="39">
        <f t="shared" si="37"/>
        <v>0</v>
      </c>
      <c r="D33" s="53">
        <f t="shared" si="38"/>
        <v>549665</v>
      </c>
      <c r="E33" s="20">
        <f t="shared" si="39"/>
        <v>-549665</v>
      </c>
      <c r="F33" s="44"/>
      <c r="G33" s="39">
        <f t="shared" si="40"/>
        <v>0</v>
      </c>
      <c r="H33" s="53">
        <f t="shared" si="41"/>
        <v>652735</v>
      </c>
      <c r="I33" s="20">
        <f t="shared" si="42"/>
        <v>-652735</v>
      </c>
      <c r="J33" s="44"/>
      <c r="K33" s="39">
        <f t="shared" si="43"/>
        <v>0</v>
      </c>
      <c r="L33" s="53">
        <f t="shared" si="44"/>
        <v>816210</v>
      </c>
      <c r="M33" s="20">
        <f t="shared" si="45"/>
        <v>-816210</v>
      </c>
      <c r="N33" s="44"/>
      <c r="O33" s="39">
        <f t="shared" si="46"/>
        <v>0</v>
      </c>
      <c r="P33" s="53">
        <f t="shared" si="47"/>
        <v>865199</v>
      </c>
      <c r="Q33" s="20">
        <f t="shared" si="48"/>
        <v>-865199</v>
      </c>
      <c r="R33" s="44"/>
      <c r="S33" s="39">
        <f t="shared" si="49"/>
        <v>0</v>
      </c>
      <c r="T33" s="53">
        <f t="shared" si="50"/>
        <v>879375</v>
      </c>
      <c r="U33" s="20">
        <f t="shared" si="51"/>
        <v>-879375</v>
      </c>
      <c r="V33" s="44"/>
      <c r="W33" s="39">
        <f t="shared" si="52"/>
        <v>0</v>
      </c>
      <c r="X33" s="53">
        <f t="shared" si="53"/>
        <v>744314</v>
      </c>
      <c r="Y33" s="20">
        <f t="shared" si="54"/>
        <v>-744314</v>
      </c>
      <c r="Z33" s="44"/>
      <c r="AA33" s="39">
        <f t="shared" si="55"/>
        <v>0</v>
      </c>
      <c r="AB33" s="53">
        <f t="shared" si="56"/>
        <v>575186</v>
      </c>
      <c r="AC33" s="20">
        <f t="shared" si="57"/>
        <v>-575186</v>
      </c>
      <c r="AD33" s="44"/>
      <c r="AE33" s="39">
        <f t="shared" si="58"/>
        <v>0</v>
      </c>
      <c r="AF33" s="53">
        <f t="shared" si="59"/>
        <v>558225</v>
      </c>
      <c r="AG33" s="20">
        <f t="shared" si="60"/>
        <v>-558225</v>
      </c>
      <c r="AH33" s="44"/>
      <c r="AI33" s="39">
        <f t="shared" si="61"/>
        <v>0</v>
      </c>
      <c r="AJ33" s="53">
        <f t="shared" si="62"/>
        <v>547158</v>
      </c>
      <c r="AK33" s="20">
        <f t="shared" si="63"/>
        <v>-547158</v>
      </c>
      <c r="AL33" s="44"/>
      <c r="AM33" s="39">
        <f t="shared" si="64"/>
        <v>0</v>
      </c>
      <c r="AN33" s="53">
        <f t="shared" si="65"/>
        <v>570160</v>
      </c>
      <c r="AO33" s="20">
        <f t="shared" si="66"/>
        <v>-570160</v>
      </c>
      <c r="AP33" s="44"/>
      <c r="AQ33" s="39">
        <f t="shared" si="67"/>
        <v>0</v>
      </c>
      <c r="AR33" s="53">
        <f t="shared" si="68"/>
        <v>570664</v>
      </c>
      <c r="AS33" s="20">
        <f t="shared" si="69"/>
        <v>-570664</v>
      </c>
      <c r="AT33" s="44"/>
      <c r="AU33" s="39">
        <f t="shared" si="70"/>
        <v>0</v>
      </c>
      <c r="AV33" s="53">
        <f t="shared" si="71"/>
        <v>1151194</v>
      </c>
      <c r="AW33" s="20">
        <f t="shared" si="72"/>
        <v>-1151194</v>
      </c>
    </row>
    <row r="34" ht="15.75" customHeight="1">
      <c r="A34" s="52" t="s">
        <v>119</v>
      </c>
      <c r="B34" s="44"/>
      <c r="C34" s="39">
        <f t="shared" si="37"/>
        <v>0</v>
      </c>
      <c r="D34" s="53">
        <f t="shared" si="38"/>
        <v>982612</v>
      </c>
      <c r="E34" s="20">
        <f t="shared" si="39"/>
        <v>-982612</v>
      </c>
      <c r="F34" s="44"/>
      <c r="G34" s="39">
        <f t="shared" si="40"/>
        <v>0</v>
      </c>
      <c r="H34" s="53">
        <f t="shared" si="41"/>
        <v>1085682</v>
      </c>
      <c r="I34" s="20">
        <f t="shared" si="42"/>
        <v>-1085682</v>
      </c>
      <c r="J34" s="44"/>
      <c r="K34" s="39">
        <f t="shared" si="43"/>
        <v>0</v>
      </c>
      <c r="L34" s="53">
        <f t="shared" si="44"/>
        <v>1249157</v>
      </c>
      <c r="M34" s="20">
        <f t="shared" si="45"/>
        <v>-1249157</v>
      </c>
      <c r="N34" s="44"/>
      <c r="O34" s="39">
        <f t="shared" si="46"/>
        <v>0</v>
      </c>
      <c r="P34" s="53">
        <f t="shared" si="47"/>
        <v>1298146</v>
      </c>
      <c r="Q34" s="20">
        <f t="shared" si="48"/>
        <v>-1298146</v>
      </c>
      <c r="R34" s="44"/>
      <c r="S34" s="39">
        <f t="shared" si="49"/>
        <v>0</v>
      </c>
      <c r="T34" s="53">
        <f t="shared" si="50"/>
        <v>1312322</v>
      </c>
      <c r="U34" s="20">
        <f t="shared" si="51"/>
        <v>-1312322</v>
      </c>
      <c r="V34" s="44"/>
      <c r="W34" s="39">
        <f t="shared" si="52"/>
        <v>0</v>
      </c>
      <c r="X34" s="53">
        <f t="shared" si="53"/>
        <v>1177261</v>
      </c>
      <c r="Y34" s="20">
        <f t="shared" si="54"/>
        <v>-1177261</v>
      </c>
      <c r="Z34" s="44"/>
      <c r="AA34" s="39">
        <f t="shared" si="55"/>
        <v>0</v>
      </c>
      <c r="AB34" s="53">
        <f t="shared" si="56"/>
        <v>1008133</v>
      </c>
      <c r="AC34" s="20">
        <f t="shared" si="57"/>
        <v>-1008133</v>
      </c>
      <c r="AD34" s="44"/>
      <c r="AE34" s="39">
        <f t="shared" si="58"/>
        <v>0</v>
      </c>
      <c r="AF34" s="53">
        <f t="shared" si="59"/>
        <v>991172</v>
      </c>
      <c r="AG34" s="20">
        <f t="shared" si="60"/>
        <v>-991172</v>
      </c>
      <c r="AH34" s="44"/>
      <c r="AI34" s="39">
        <f t="shared" si="61"/>
        <v>0</v>
      </c>
      <c r="AJ34" s="53">
        <f t="shared" si="62"/>
        <v>980105</v>
      </c>
      <c r="AK34" s="20">
        <f t="shared" si="63"/>
        <v>-980105</v>
      </c>
      <c r="AL34" s="44"/>
      <c r="AM34" s="39">
        <f t="shared" si="64"/>
        <v>0</v>
      </c>
      <c r="AN34" s="53">
        <f t="shared" si="65"/>
        <v>1003107</v>
      </c>
      <c r="AO34" s="20">
        <f t="shared" si="66"/>
        <v>-1003107</v>
      </c>
      <c r="AP34" s="44"/>
      <c r="AQ34" s="39">
        <f t="shared" si="67"/>
        <v>0</v>
      </c>
      <c r="AR34" s="53">
        <f t="shared" si="68"/>
        <v>1003611</v>
      </c>
      <c r="AS34" s="20">
        <f t="shared" si="69"/>
        <v>-1003611</v>
      </c>
      <c r="AT34" s="44"/>
      <c r="AU34" s="39">
        <f t="shared" si="70"/>
        <v>0</v>
      </c>
      <c r="AV34" s="53">
        <f t="shared" si="71"/>
        <v>1584141</v>
      </c>
      <c r="AW34" s="20">
        <f t="shared" si="72"/>
        <v>-1584141</v>
      </c>
    </row>
    <row r="35" ht="15.75" customHeight="1">
      <c r="A35" s="52" t="s">
        <v>120</v>
      </c>
      <c r="B35" s="44"/>
      <c r="C35" s="39">
        <f t="shared" si="37"/>
        <v>0</v>
      </c>
      <c r="D35" s="53">
        <f t="shared" si="38"/>
        <v>980948</v>
      </c>
      <c r="E35" s="20">
        <f t="shared" si="39"/>
        <v>-980948</v>
      </c>
      <c r="F35" s="44"/>
      <c r="G35" s="39">
        <f t="shared" si="40"/>
        <v>0</v>
      </c>
      <c r="H35" s="53">
        <f t="shared" si="41"/>
        <v>1084018</v>
      </c>
      <c r="I35" s="20">
        <f t="shared" si="42"/>
        <v>-1084018</v>
      </c>
      <c r="J35" s="44"/>
      <c r="K35" s="39">
        <f t="shared" si="43"/>
        <v>0</v>
      </c>
      <c r="L35" s="53">
        <f t="shared" si="44"/>
        <v>1247493</v>
      </c>
      <c r="M35" s="20">
        <f t="shared" si="45"/>
        <v>-1247493</v>
      </c>
      <c r="N35" s="44"/>
      <c r="O35" s="39">
        <f t="shared" si="46"/>
        <v>0</v>
      </c>
      <c r="P35" s="53">
        <f t="shared" si="47"/>
        <v>1296482</v>
      </c>
      <c r="Q35" s="20">
        <f t="shared" si="48"/>
        <v>-1296482</v>
      </c>
      <c r="R35" s="44"/>
      <c r="S35" s="39">
        <f t="shared" si="49"/>
        <v>0</v>
      </c>
      <c r="T35" s="53">
        <f t="shared" si="50"/>
        <v>1310658</v>
      </c>
      <c r="U35" s="20">
        <f t="shared" si="51"/>
        <v>-1310658</v>
      </c>
      <c r="V35" s="44"/>
      <c r="W35" s="39">
        <f t="shared" si="52"/>
        <v>0</v>
      </c>
      <c r="X35" s="53">
        <f t="shared" si="53"/>
        <v>1175597</v>
      </c>
      <c r="Y35" s="20">
        <f t="shared" si="54"/>
        <v>-1175597</v>
      </c>
      <c r="Z35" s="44"/>
      <c r="AA35" s="39">
        <f t="shared" si="55"/>
        <v>0</v>
      </c>
      <c r="AB35" s="53">
        <f t="shared" si="56"/>
        <v>1006469</v>
      </c>
      <c r="AC35" s="20">
        <f t="shared" si="57"/>
        <v>-1006469</v>
      </c>
      <c r="AD35" s="44"/>
      <c r="AE35" s="39">
        <f t="shared" si="58"/>
        <v>0</v>
      </c>
      <c r="AF35" s="53">
        <f t="shared" si="59"/>
        <v>989508</v>
      </c>
      <c r="AG35" s="20">
        <f t="shared" si="60"/>
        <v>-989508</v>
      </c>
      <c r="AH35" s="44"/>
      <c r="AI35" s="39">
        <f t="shared" si="61"/>
        <v>0</v>
      </c>
      <c r="AJ35" s="53">
        <f t="shared" si="62"/>
        <v>978441</v>
      </c>
      <c r="AK35" s="20">
        <f t="shared" si="63"/>
        <v>-978441</v>
      </c>
      <c r="AL35" s="44"/>
      <c r="AM35" s="39">
        <f t="shared" si="64"/>
        <v>0</v>
      </c>
      <c r="AN35" s="53">
        <f t="shared" si="65"/>
        <v>1001443</v>
      </c>
      <c r="AO35" s="20">
        <f t="shared" si="66"/>
        <v>-1001443</v>
      </c>
      <c r="AP35" s="44"/>
      <c r="AQ35" s="39">
        <f t="shared" si="67"/>
        <v>0</v>
      </c>
      <c r="AR35" s="53">
        <f t="shared" si="68"/>
        <v>1001947</v>
      </c>
      <c r="AS35" s="20">
        <f t="shared" si="69"/>
        <v>-1001947</v>
      </c>
      <c r="AT35" s="44"/>
      <c r="AU35" s="39">
        <f t="shared" si="70"/>
        <v>0</v>
      </c>
      <c r="AV35" s="53">
        <f t="shared" si="71"/>
        <v>1582477</v>
      </c>
      <c r="AW35" s="20">
        <f t="shared" si="72"/>
        <v>-1582477</v>
      </c>
    </row>
    <row r="36" ht="15.75" customHeight="1">
      <c r="A36" s="52" t="s">
        <v>121</v>
      </c>
      <c r="B36" s="44"/>
      <c r="C36" s="39">
        <f t="shared" si="37"/>
        <v>0</v>
      </c>
      <c r="D36" s="53">
        <f t="shared" si="38"/>
        <v>984929</v>
      </c>
      <c r="E36" s="20">
        <f t="shared" si="39"/>
        <v>-984929</v>
      </c>
      <c r="F36" s="44"/>
      <c r="G36" s="39">
        <f t="shared" si="40"/>
        <v>0</v>
      </c>
      <c r="H36" s="53">
        <f t="shared" si="41"/>
        <v>1087999</v>
      </c>
      <c r="I36" s="20">
        <f t="shared" si="42"/>
        <v>-1087999</v>
      </c>
      <c r="J36" s="44"/>
      <c r="K36" s="39">
        <f t="shared" si="43"/>
        <v>0</v>
      </c>
      <c r="L36" s="53">
        <f t="shared" si="44"/>
        <v>1251474</v>
      </c>
      <c r="M36" s="20">
        <f t="shared" si="45"/>
        <v>-1251474</v>
      </c>
      <c r="N36" s="44"/>
      <c r="O36" s="39">
        <f t="shared" si="46"/>
        <v>0</v>
      </c>
      <c r="P36" s="53">
        <f t="shared" si="47"/>
        <v>1300463</v>
      </c>
      <c r="Q36" s="20">
        <f t="shared" si="48"/>
        <v>-1300463</v>
      </c>
      <c r="R36" s="44"/>
      <c r="S36" s="39">
        <f t="shared" si="49"/>
        <v>0</v>
      </c>
      <c r="T36" s="53">
        <f t="shared" si="50"/>
        <v>1314639</v>
      </c>
      <c r="U36" s="20">
        <f t="shared" si="51"/>
        <v>-1314639</v>
      </c>
      <c r="V36" s="44"/>
      <c r="W36" s="39">
        <f t="shared" si="52"/>
        <v>0</v>
      </c>
      <c r="X36" s="53">
        <f t="shared" si="53"/>
        <v>1179578</v>
      </c>
      <c r="Y36" s="20">
        <f t="shared" si="54"/>
        <v>-1179578</v>
      </c>
      <c r="Z36" s="44"/>
      <c r="AA36" s="39">
        <f t="shared" si="55"/>
        <v>0</v>
      </c>
      <c r="AB36" s="53">
        <f t="shared" si="56"/>
        <v>1010450</v>
      </c>
      <c r="AC36" s="20">
        <f t="shared" si="57"/>
        <v>-1010450</v>
      </c>
      <c r="AD36" s="44"/>
      <c r="AE36" s="39">
        <f t="shared" si="58"/>
        <v>0</v>
      </c>
      <c r="AF36" s="53">
        <f t="shared" si="59"/>
        <v>993489</v>
      </c>
      <c r="AG36" s="20">
        <f t="shared" si="60"/>
        <v>-993489</v>
      </c>
      <c r="AH36" s="44"/>
      <c r="AI36" s="39">
        <f t="shared" si="61"/>
        <v>0</v>
      </c>
      <c r="AJ36" s="53">
        <f t="shared" si="62"/>
        <v>982422</v>
      </c>
      <c r="AK36" s="20">
        <f t="shared" si="63"/>
        <v>-982422</v>
      </c>
      <c r="AL36" s="44"/>
      <c r="AM36" s="39">
        <f t="shared" si="64"/>
        <v>0</v>
      </c>
      <c r="AN36" s="53">
        <f t="shared" si="65"/>
        <v>1005424</v>
      </c>
      <c r="AO36" s="20">
        <f t="shared" si="66"/>
        <v>-1005424</v>
      </c>
      <c r="AP36" s="44"/>
      <c r="AQ36" s="39">
        <f t="shared" si="67"/>
        <v>0</v>
      </c>
      <c r="AR36" s="53">
        <f t="shared" si="68"/>
        <v>1005928</v>
      </c>
      <c r="AS36" s="20">
        <f t="shared" si="69"/>
        <v>-1005928</v>
      </c>
      <c r="AT36" s="44"/>
      <c r="AU36" s="39">
        <f t="shared" si="70"/>
        <v>0</v>
      </c>
      <c r="AV36" s="53">
        <f t="shared" si="71"/>
        <v>1586458</v>
      </c>
      <c r="AW36" s="20">
        <f t="shared" si="72"/>
        <v>-1586458</v>
      </c>
    </row>
    <row r="37" ht="15.75" customHeight="1">
      <c r="A37" s="52" t="s">
        <v>122</v>
      </c>
      <c r="B37" s="57"/>
      <c r="C37" s="39">
        <f t="shared" si="37"/>
        <v>0</v>
      </c>
      <c r="D37" s="58">
        <f t="shared" si="38"/>
        <v>986945</v>
      </c>
      <c r="E37" s="59">
        <f t="shared" si="39"/>
        <v>-986945</v>
      </c>
      <c r="F37" s="57"/>
      <c r="G37" s="39">
        <f t="shared" si="40"/>
        <v>0</v>
      </c>
      <c r="H37" s="58">
        <f t="shared" si="41"/>
        <v>1090015</v>
      </c>
      <c r="I37" s="59">
        <f t="shared" si="42"/>
        <v>-1090015</v>
      </c>
      <c r="J37" s="57"/>
      <c r="K37" s="39">
        <f t="shared" si="43"/>
        <v>0</v>
      </c>
      <c r="L37" s="58">
        <f t="shared" si="44"/>
        <v>1253490</v>
      </c>
      <c r="M37" s="59">
        <f t="shared" si="45"/>
        <v>-1253490</v>
      </c>
      <c r="N37" s="57"/>
      <c r="O37" s="39">
        <f t="shared" si="46"/>
        <v>0</v>
      </c>
      <c r="P37" s="58">
        <f t="shared" si="47"/>
        <v>1302479</v>
      </c>
      <c r="Q37" s="59">
        <f t="shared" si="48"/>
        <v>-1302479</v>
      </c>
      <c r="R37" s="57"/>
      <c r="S37" s="39">
        <f t="shared" si="49"/>
        <v>0</v>
      </c>
      <c r="T37" s="58">
        <f t="shared" si="50"/>
        <v>1316655</v>
      </c>
      <c r="U37" s="59">
        <f t="shared" si="51"/>
        <v>-1316655</v>
      </c>
      <c r="V37" s="57"/>
      <c r="W37" s="39">
        <f t="shared" si="52"/>
        <v>0</v>
      </c>
      <c r="X37" s="58">
        <f t="shared" si="53"/>
        <v>1181594</v>
      </c>
      <c r="Y37" s="59">
        <f t="shared" si="54"/>
        <v>-1181594</v>
      </c>
      <c r="Z37" s="57"/>
      <c r="AA37" s="39">
        <f t="shared" si="55"/>
        <v>0</v>
      </c>
      <c r="AB37" s="58">
        <f t="shared" si="56"/>
        <v>1012466</v>
      </c>
      <c r="AC37" s="59">
        <f t="shared" si="57"/>
        <v>-1012466</v>
      </c>
      <c r="AD37" s="57"/>
      <c r="AE37" s="39">
        <f t="shared" si="58"/>
        <v>0</v>
      </c>
      <c r="AF37" s="53">
        <f t="shared" si="59"/>
        <v>995505</v>
      </c>
      <c r="AG37" s="59">
        <f t="shared" si="60"/>
        <v>-995505</v>
      </c>
      <c r="AH37" s="57"/>
      <c r="AI37" s="39">
        <f t="shared" si="61"/>
        <v>0</v>
      </c>
      <c r="AJ37" s="53">
        <f t="shared" si="62"/>
        <v>984438</v>
      </c>
      <c r="AK37" s="59">
        <f t="shared" si="63"/>
        <v>-984438</v>
      </c>
      <c r="AL37" s="57"/>
      <c r="AM37" s="39">
        <f t="shared" si="64"/>
        <v>0</v>
      </c>
      <c r="AN37" s="53">
        <f t="shared" si="65"/>
        <v>1007440</v>
      </c>
      <c r="AO37" s="59">
        <f t="shared" si="66"/>
        <v>-1007440</v>
      </c>
      <c r="AP37" s="57"/>
      <c r="AQ37" s="39">
        <f t="shared" si="67"/>
        <v>0</v>
      </c>
      <c r="AR37" s="53">
        <f t="shared" si="68"/>
        <v>1007944</v>
      </c>
      <c r="AS37" s="59">
        <f t="shared" si="69"/>
        <v>-1007944</v>
      </c>
      <c r="AT37" s="57"/>
      <c r="AU37" s="60">
        <f t="shared" si="70"/>
        <v>0</v>
      </c>
      <c r="AV37" s="53">
        <f t="shared" si="71"/>
        <v>1588474</v>
      </c>
      <c r="AW37" s="59">
        <f t="shared" si="72"/>
        <v>-1588474</v>
      </c>
    </row>
    <row r="38" ht="15.75" customHeight="1">
      <c r="AI38" s="1">
        <v>8.0</v>
      </c>
    </row>
    <row r="39" ht="15.75" customHeight="1">
      <c r="D39" s="1" t="s">
        <v>59</v>
      </c>
      <c r="N39" s="61"/>
      <c r="AI39" s="1">
        <v>8.0</v>
      </c>
    </row>
    <row r="40" ht="15.75" customHeight="1">
      <c r="A40" s="39" t="s">
        <v>124</v>
      </c>
      <c r="B40" s="65">
        <v>57848.0</v>
      </c>
      <c r="C40" s="64" t="s">
        <v>107</v>
      </c>
      <c r="D40" s="65">
        <v>56662.0</v>
      </c>
      <c r="G40" s="47">
        <f t="shared" ref="G40:G55" si="73">MIN(D40,F40)</f>
        <v>56662</v>
      </c>
      <c r="H40" s="110"/>
      <c r="AI40" s="1">
        <v>1.0</v>
      </c>
    </row>
    <row r="41" ht="15.75" customHeight="1">
      <c r="A41" s="39" t="s">
        <v>125</v>
      </c>
      <c r="B41" s="65">
        <v>54500.0</v>
      </c>
      <c r="C41" s="64" t="s">
        <v>108</v>
      </c>
      <c r="D41" s="65">
        <v>54998.0</v>
      </c>
      <c r="G41" s="47">
        <f t="shared" si="73"/>
        <v>54998</v>
      </c>
      <c r="H41" s="110"/>
      <c r="AI41" s="1">
        <v>9.0</v>
      </c>
    </row>
    <row r="42" ht="15.75" customHeight="1">
      <c r="A42" s="39" t="s">
        <v>126</v>
      </c>
      <c r="B42" s="65">
        <v>48816.0</v>
      </c>
      <c r="C42" s="64" t="s">
        <v>109</v>
      </c>
      <c r="D42" s="65">
        <v>58979.0</v>
      </c>
      <c r="G42" s="47">
        <f t="shared" si="73"/>
        <v>58979</v>
      </c>
      <c r="H42" s="110"/>
    </row>
    <row r="43" ht="15.75" customHeight="1">
      <c r="A43" s="39" t="s">
        <v>127</v>
      </c>
      <c r="B43" s="65">
        <v>55686.0</v>
      </c>
      <c r="C43" s="64" t="s">
        <v>110</v>
      </c>
      <c r="D43" s="65">
        <v>60995.0</v>
      </c>
      <c r="G43" s="47">
        <f t="shared" si="73"/>
        <v>60995</v>
      </c>
      <c r="H43" s="110"/>
    </row>
    <row r="44" ht="15.75" customHeight="1">
      <c r="A44" s="39" t="s">
        <v>128</v>
      </c>
      <c r="B44" s="65">
        <v>52993.0</v>
      </c>
      <c r="C44" s="64" t="s">
        <v>111</v>
      </c>
      <c r="D44" s="65">
        <v>127996.0</v>
      </c>
      <c r="E44" s="47">
        <f t="shared" ref="E44:E47" si="74">$B$48*48</f>
        <v>47952</v>
      </c>
      <c r="F44" s="47">
        <f t="shared" ref="F44:F47" si="75">D40+E44</f>
        <v>104614</v>
      </c>
      <c r="G44" s="47">
        <f t="shared" si="73"/>
        <v>104614</v>
      </c>
      <c r="H44" s="110"/>
    </row>
    <row r="45" ht="15.75" customHeight="1">
      <c r="A45" s="39" t="s">
        <v>129</v>
      </c>
      <c r="B45" s="65">
        <v>58995.0</v>
      </c>
      <c r="C45" s="64" t="s">
        <v>112</v>
      </c>
      <c r="D45" s="65">
        <v>127999.0</v>
      </c>
      <c r="E45" s="47">
        <f t="shared" si="74"/>
        <v>47952</v>
      </c>
      <c r="F45" s="47">
        <f t="shared" si="75"/>
        <v>102950</v>
      </c>
      <c r="G45" s="47">
        <f t="shared" si="73"/>
        <v>102950</v>
      </c>
      <c r="H45" s="110"/>
    </row>
    <row r="46" ht="15.75" customHeight="1">
      <c r="A46" s="73" t="s">
        <v>130</v>
      </c>
      <c r="B46" s="65">
        <v>87992.0</v>
      </c>
      <c r="C46" s="64" t="s">
        <v>113</v>
      </c>
      <c r="D46" s="65">
        <v>127999.0</v>
      </c>
      <c r="E46" s="47">
        <f t="shared" si="74"/>
        <v>47952</v>
      </c>
      <c r="F46" s="47">
        <f t="shared" si="75"/>
        <v>106931</v>
      </c>
      <c r="G46" s="47">
        <f t="shared" si="73"/>
        <v>106931</v>
      </c>
      <c r="H46" s="110"/>
    </row>
    <row r="47" ht="15.75" customHeight="1">
      <c r="B47" s="113">
        <v>7993.0</v>
      </c>
      <c r="C47" s="64" t="s">
        <v>114</v>
      </c>
      <c r="D47" s="65">
        <v>128023.0</v>
      </c>
      <c r="E47" s="47">
        <f t="shared" si="74"/>
        <v>47952</v>
      </c>
      <c r="F47" s="47">
        <f t="shared" si="75"/>
        <v>108947</v>
      </c>
      <c r="G47" s="47">
        <f t="shared" si="73"/>
        <v>108947</v>
      </c>
    </row>
    <row r="48" ht="15.75" customHeight="1">
      <c r="A48" s="73" t="s">
        <v>132</v>
      </c>
      <c r="B48" s="65">
        <v>999.0</v>
      </c>
      <c r="C48" s="64" t="s">
        <v>115</v>
      </c>
      <c r="D48" s="65">
        <v>308999.0</v>
      </c>
      <c r="E48" s="47">
        <f t="shared" ref="E48:E51" si="76">$B$49*48</f>
        <v>162288</v>
      </c>
      <c r="F48" s="47">
        <f t="shared" ref="F48:F55" si="77">MIN(D44,F44)+E48</f>
        <v>266902</v>
      </c>
      <c r="G48" s="47">
        <f t="shared" si="73"/>
        <v>266902</v>
      </c>
    </row>
    <row r="49" ht="15.75" customHeight="1">
      <c r="A49" s="73" t="s">
        <v>133</v>
      </c>
      <c r="B49" s="65">
        <v>3381.0</v>
      </c>
      <c r="C49" s="64" t="s">
        <v>116</v>
      </c>
      <c r="D49" s="65">
        <v>309863.0</v>
      </c>
      <c r="E49" s="47">
        <f t="shared" si="76"/>
        <v>162288</v>
      </c>
      <c r="F49" s="47">
        <f t="shared" si="77"/>
        <v>265238</v>
      </c>
      <c r="G49" s="47">
        <f t="shared" si="73"/>
        <v>265238</v>
      </c>
    </row>
    <row r="50" ht="15.75" customHeight="1">
      <c r="A50" s="73" t="s">
        <v>134</v>
      </c>
      <c r="B50" s="65">
        <v>9110.0</v>
      </c>
      <c r="C50" s="64" t="s">
        <v>120</v>
      </c>
      <c r="D50" s="65">
        <v>349895.0</v>
      </c>
      <c r="E50" s="47">
        <f t="shared" si="76"/>
        <v>162288</v>
      </c>
      <c r="F50" s="47">
        <f t="shared" si="77"/>
        <v>269219</v>
      </c>
      <c r="G50" s="47">
        <f t="shared" si="73"/>
        <v>269219</v>
      </c>
    </row>
    <row r="51" ht="15.75" customHeight="1">
      <c r="B51" s="72"/>
      <c r="C51" s="64" t="s">
        <v>135</v>
      </c>
      <c r="D51" s="65">
        <v>550000.0</v>
      </c>
      <c r="E51" s="47">
        <f t="shared" si="76"/>
        <v>162288</v>
      </c>
      <c r="F51" s="47">
        <f t="shared" si="77"/>
        <v>271235</v>
      </c>
      <c r="G51" s="47">
        <f t="shared" si="73"/>
        <v>271235</v>
      </c>
    </row>
    <row r="52" ht="15.75" customHeight="1">
      <c r="A52" s="73" t="s">
        <v>136</v>
      </c>
      <c r="B52" s="65"/>
      <c r="C52" s="64" t="s">
        <v>113</v>
      </c>
      <c r="D52" s="65">
        <v>1250294.0</v>
      </c>
      <c r="E52" s="47">
        <f t="shared" ref="E52:E55" si="78">$B$50*48</f>
        <v>437280</v>
      </c>
      <c r="F52" s="47">
        <f t="shared" si="77"/>
        <v>704182</v>
      </c>
      <c r="G52" s="47">
        <f t="shared" si="73"/>
        <v>704182</v>
      </c>
    </row>
    <row r="53" ht="15.75" customHeight="1">
      <c r="A53" s="73" t="s">
        <v>137</v>
      </c>
      <c r="B53" s="114"/>
      <c r="C53" s="64" t="s">
        <v>117</v>
      </c>
      <c r="D53" s="65"/>
      <c r="E53" s="47">
        <f t="shared" si="78"/>
        <v>437280</v>
      </c>
      <c r="F53" s="47">
        <f t="shared" si="77"/>
        <v>702518</v>
      </c>
      <c r="G53" s="47">
        <f t="shared" si="73"/>
        <v>702518</v>
      </c>
    </row>
    <row r="54" ht="15.75" customHeight="1">
      <c r="A54" s="73" t="s">
        <v>138</v>
      </c>
      <c r="B54" s="65">
        <v>250000.0</v>
      </c>
      <c r="C54" s="64" t="s">
        <v>121</v>
      </c>
      <c r="D54" s="114"/>
      <c r="E54" s="47">
        <f t="shared" si="78"/>
        <v>437280</v>
      </c>
      <c r="F54" s="47">
        <f t="shared" si="77"/>
        <v>706499</v>
      </c>
      <c r="G54" s="47">
        <f t="shared" si="73"/>
        <v>706499</v>
      </c>
    </row>
    <row r="55" ht="15.75" customHeight="1">
      <c r="A55" s="73" t="s">
        <v>139</v>
      </c>
      <c r="B55" s="65">
        <v>328999.0</v>
      </c>
      <c r="C55" s="64" t="s">
        <v>140</v>
      </c>
      <c r="D55" s="65"/>
      <c r="E55" s="47">
        <f t="shared" si="78"/>
        <v>437280</v>
      </c>
      <c r="F55" s="47">
        <f t="shared" si="77"/>
        <v>708515</v>
      </c>
      <c r="G55" s="47">
        <f t="shared" si="73"/>
        <v>708515</v>
      </c>
    </row>
    <row r="56" ht="15.75" customHeight="1">
      <c r="A56" s="73" t="s">
        <v>141</v>
      </c>
      <c r="B56" s="65">
        <v>318900.0</v>
      </c>
      <c r="C56" s="72"/>
      <c r="D56" s="72"/>
    </row>
    <row r="57" ht="15.75" customHeight="1">
      <c r="A57" s="73" t="s">
        <v>142</v>
      </c>
      <c r="B57" s="114">
        <v>228999.0</v>
      </c>
      <c r="C57" s="72"/>
      <c r="D57" s="72"/>
    </row>
    <row r="58" ht="15.75" customHeight="1">
      <c r="A58" s="73" t="s">
        <v>143</v>
      </c>
      <c r="B58" s="65">
        <v>8976.0</v>
      </c>
      <c r="C58" s="72"/>
      <c r="D58" s="72"/>
    </row>
    <row r="59" ht="15.75" customHeight="1">
      <c r="A59" s="73" t="s">
        <v>144</v>
      </c>
      <c r="B59" s="65">
        <v>14490.0</v>
      </c>
      <c r="C59" s="72"/>
      <c r="D59" s="72"/>
    </row>
    <row r="60" ht="15.75" customHeight="1">
      <c r="A60" s="73" t="s">
        <v>145</v>
      </c>
      <c r="B60" s="65">
        <v>10958.0</v>
      </c>
      <c r="C60" s="72"/>
      <c r="D60" s="72"/>
    </row>
    <row r="61" ht="15.75" customHeight="1">
      <c r="A61" s="73" t="s">
        <v>146</v>
      </c>
      <c r="B61" s="65">
        <v>9685.0</v>
      </c>
      <c r="C61" s="72"/>
      <c r="D61" s="72"/>
    </row>
    <row r="62" ht="15.75" customHeight="1">
      <c r="A62" s="73" t="s">
        <v>147</v>
      </c>
      <c r="B62" s="65">
        <v>20999.0</v>
      </c>
      <c r="C62" s="72"/>
      <c r="D62" s="72"/>
    </row>
    <row r="63" ht="15.75" customHeight="1">
      <c r="A63" s="73" t="s">
        <v>148</v>
      </c>
      <c r="B63" s="65">
        <v>439999.0</v>
      </c>
      <c r="C63" s="72"/>
      <c r="D63" s="72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AD1:AG1"/>
    <mergeCell ref="AH1:AK1"/>
    <mergeCell ref="AL1:AO1"/>
    <mergeCell ref="AP1:AS1"/>
    <mergeCell ref="AT1:AW1"/>
    <mergeCell ref="B1:E1"/>
    <mergeCell ref="F1:I1"/>
    <mergeCell ref="J1:M1"/>
    <mergeCell ref="N1:Q1"/>
    <mergeCell ref="R1:U1"/>
    <mergeCell ref="V1:Y1"/>
    <mergeCell ref="Z1:AC1"/>
  </mergeCells>
  <conditionalFormatting sqref="E5:E20 E22:E37 I22:I37 I5:I20 M5:M20 M22:M37 Q5:Q20 Q22:Q37 U22:U37 U5:U20 Y5:Y20 Y22:Y37 AC22:AC37 AC5:AC20 AG5:AG20 AG22:AG37 AK22:AK37 AK5:AK20 AO5:AO20 AO22:AO37 AS22:AS37 AS5:AS20 AW5:AX20 AW22:AX37">
    <cfRule type="cellIs" dxfId="2" priority="1" operator="lessThan">
      <formula>0</formula>
    </cfRule>
  </conditionalFormatting>
  <conditionalFormatting sqref="E5:E20 E22:E37 I22:I37 I5:I20 M5:M20 M22:M37 Q5:Q20 Q22:Q37 U22:U37 U5:U20 Y5:Y20 Y22:Y37 AC22:AC37 AC5:AC20 AG5:AG20 AG22:AG37 AK22:AK37 AK5:AK20 AO5:AO20 AO22:AO37 AS22:AS37 AS5:AS20 AW5:AX20 AW22:AX37">
    <cfRule type="cellIs" dxfId="3" priority="2" operator="greaterThan">
      <formula>0</formula>
    </cfRule>
  </conditionalFormatting>
  <printOptions/>
  <pageMargins bottom="0.75" footer="0.0" header="0.0" left="0.7" right="0.7" top="0.75"/>
  <pageSetup orientation="landscape"/>
  <drawing r:id="rId1"/>
</worksheet>
</file>