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firstSheet="1"/>
  </bookViews>
  <sheets>
    <sheet sheetId="1" name="Calculation 1" state="visible" r:id="rId4"/>
    <sheet sheetId="2" name="Calculation 2-ALL SALARIES " state="visible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M21" authorId="0">
      <text/>
    </comment>
  </commentList>
</comments>
</file>

<file path=xl/sharedStrings.xml><?xml version="1.0" encoding="utf-8"?>
<sst xmlns="http://schemas.openxmlformats.org/spreadsheetml/2006/main" count="210" uniqueCount="93">
  <si>
    <t xml:space="preserve">Salary calculation /Llogaritje pagash </t>
  </si>
  <si>
    <t>Employee</t>
  </si>
  <si>
    <t>Employer</t>
  </si>
  <si>
    <t>Nr.</t>
  </si>
  <si>
    <t>Name of Employee</t>
  </si>
  <si>
    <t>Monthly Gross Salary</t>
  </si>
  <si>
    <t>Hourly wage (21 days* 8 hours)</t>
  </si>
  <si>
    <t>Normal working hours (07:00-15:00)</t>
  </si>
  <si>
    <t>Overtime hours during week +25% (15:00-19:00+06:00-07:00)</t>
  </si>
  <si>
    <t>Overtime hours during week +50% (22:00-06:00)</t>
  </si>
  <si>
    <t>Week working hours +20% (19:00-22:00)</t>
  </si>
  <si>
    <t>Nr of working hours on Saturdays and Sundays +25%</t>
  </si>
  <si>
    <t>Overtime hours on Saturdays and Sundays +50%</t>
  </si>
  <si>
    <t>Paid Holiday Leave/Dite leje te paguara</t>
  </si>
  <si>
    <t>Total paid days/Total dite te paguara</t>
  </si>
  <si>
    <t>Gross Salary ALL</t>
  </si>
  <si>
    <t>Bonus Bruto</t>
  </si>
  <si>
    <t>Gross Salary Total ALL</t>
  </si>
  <si>
    <t>Level of Soc.Insurance ALL</t>
  </si>
  <si>
    <t xml:space="preserve">Soc.insurance ALL
9,50%</t>
  </si>
  <si>
    <t xml:space="preserve">Health Insurance ALL
1,70%</t>
  </si>
  <si>
    <t xml:space="preserve">Total ALL
11,2%</t>
  </si>
  <si>
    <t xml:space="preserve">Soc.ins.of Employer ALL
15%</t>
  </si>
  <si>
    <t xml:space="preserve">Health Insurance of Employer ALL
1,70%</t>
  </si>
  <si>
    <t xml:space="preserve">Total ALL
16,70%</t>
  </si>
  <si>
    <t>Salary before Income ALL</t>
  </si>
  <si>
    <t xml:space="preserve">Income Tax ALL
Progresiv</t>
  </si>
  <si>
    <t>Nett Salary of Employee ALL</t>
  </si>
  <si>
    <t>Nett Salary of Employee Eur</t>
  </si>
  <si>
    <r>
      <t xml:space="preserve">Cost of Employer / Employee </t>
    </r>
    <r>
      <rPr>
        <family val="2"/>
        <sz val="9"/>
        <rFont val="Calibri"/>
      </rPr>
      <t>/Kosto e punedhenesit</t>
    </r>
  </si>
  <si>
    <t>Agency Commision 9%/Komision</t>
  </si>
  <si>
    <t>Total without VAT /Totali pa tvsh</t>
  </si>
  <si>
    <t>VAT 20% /TVSh</t>
  </si>
  <si>
    <t>Total with VAT /Totali me TVSH</t>
  </si>
  <si>
    <t>xxx</t>
  </si>
  <si>
    <t>Total</t>
  </si>
  <si>
    <t>Exchange rate BA</t>
  </si>
  <si>
    <t>22.02.2022</t>
  </si>
  <si>
    <t>Net salary without Bonus</t>
  </si>
  <si>
    <t>Bonus net</t>
  </si>
  <si>
    <t>Euro</t>
  </si>
  <si>
    <t>Leke</t>
  </si>
  <si>
    <t>Net salary plus Bonus</t>
  </si>
  <si>
    <t>Net salary/month</t>
  </si>
  <si>
    <t>Net salary plus Bonus in LEKE</t>
  </si>
  <si>
    <t>Bruto salary/month</t>
  </si>
  <si>
    <t>Brutto Salary plus Bonus in LEKE</t>
  </si>
  <si>
    <t>Bonus Brutto</t>
  </si>
  <si>
    <t>Bonus</t>
  </si>
  <si>
    <t>Net salary /7 days</t>
  </si>
  <si>
    <t>Bonus amount Euro</t>
  </si>
  <si>
    <t>First week</t>
  </si>
  <si>
    <t>7.5 % of net salary</t>
  </si>
  <si>
    <t xml:space="preserve">Second week </t>
  </si>
  <si>
    <t>25% of net salary</t>
  </si>
  <si>
    <t>TOTAL</t>
  </si>
  <si>
    <t>First week - 07:00 - 19:00 (12 hours)</t>
  </si>
  <si>
    <t>Hours</t>
  </si>
  <si>
    <t>Days</t>
  </si>
  <si>
    <t>Normal working hours</t>
  </si>
  <si>
    <t>Overtime during week 25% (15:00-19:00)</t>
  </si>
  <si>
    <t>Overtime during week 50%</t>
  </si>
  <si>
    <t>Working hours on weekends 25%</t>
  </si>
  <si>
    <t>Overtime during weekend 50%</t>
  </si>
  <si>
    <t xml:space="preserve">Total working hours </t>
  </si>
  <si>
    <t>hours</t>
  </si>
  <si>
    <t>Second week - 19:00 - 22:00 (12 hours)</t>
  </si>
  <si>
    <t>Working hours during week 20% (19:00-22:00)</t>
  </si>
  <si>
    <t xml:space="preserve">* Sipas Nenit 81 te kodit te punes puna nga ora 19:00-22:00 paguhet jo me pak se 20 % </t>
  </si>
  <si>
    <t>Night shift during week 50% ( 22:00-06:00)</t>
  </si>
  <si>
    <t>* Sipas Nenit 81 te kodit te punes puna 22:00 - 06:00 paguhet jo me pak se 50 %</t>
  </si>
  <si>
    <t>Night shift during week 25 % (06:00-07:00)</t>
  </si>
  <si>
    <t>* Overtime gjate turnit te nates</t>
  </si>
  <si>
    <t>Working hours on weekends  25%</t>
  </si>
  <si>
    <t>Monthly Base Net Salary Eur</t>
  </si>
  <si>
    <t>Salary 500 Euro</t>
  </si>
  <si>
    <t>Bonus neto</t>
  </si>
  <si>
    <t>Neto Salary</t>
  </si>
  <si>
    <t>Bruto Salary</t>
  </si>
  <si>
    <t>Neto Bonus</t>
  </si>
  <si>
    <t>Bruto Bonus</t>
  </si>
  <si>
    <t>Salary 1</t>
  </si>
  <si>
    <t>Salary 2</t>
  </si>
  <si>
    <t>Salary 3</t>
  </si>
  <si>
    <t>Salary 4</t>
  </si>
  <si>
    <t>Salary 5</t>
  </si>
  <si>
    <t>Salary 520 Euro</t>
  </si>
  <si>
    <t>Salary 550 Euro</t>
  </si>
  <si>
    <t>Total working hours first week</t>
  </si>
  <si>
    <t>Salary 570 Euro</t>
  </si>
  <si>
    <t>Salary 620 Euro</t>
  </si>
  <si>
    <t>Total working hours second week</t>
  </si>
  <si>
    <t>Total hours for 2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</si>
</sst>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(#,##0);_(* &quot;-&quot;??_);_(@_)"/>
    <numFmt numFmtId="165" formatCode="_ * #,##0_) [$€-1]_ ;_ * (#,##0) [$€-1]_ ;_ * &quot;-&quot;_) [$€-1]_ ;_ @_ "/>
    <numFmt numFmtId="166" formatCode="_(* #,##0.00_);_(* (#,##0.00);_(* &quot;-&quot;??_);_(@_)"/>
    <numFmt numFmtId="167" formatCode="#,##0.0_);(#,##0.0)"/>
    <numFmt numFmtId="168" formatCode="_ * #,##0.00_) [$€-1]_ ;_ * (#,##0.00) [$€-1]_ ;_ * &quot;-&quot;??_) [$€-1]_ ;_ @_ "/>
    <numFmt numFmtId="169" formatCode="_(* #,##0.0_);_(* (#,##0.0);_(* &quot;-&quot;??_);_(@_)"/>
    <numFmt numFmtId="170" formatCode="_(* #,##0_);_(* (#,##0);_(* &quot;-&quot;_);_(@_)"/>
    <numFmt numFmtId="171" formatCode="_ * #,##0.0_) [$€-1]_ ;_ * (#,##0.0) [$€-1]_ ;_ * &quot;-&quot;_) [$€-1]_ ;_ @_ "/>
  </numFmts>
  <fonts count="1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8"/>
      <name val="Calibri"/>
    </font>
    <font>
      <color theme="1"/>
      <family val="2"/>
      <scheme val="minor"/>
      <sz val="20"/>
      <name val="Calibri"/>
    </font>
    <font>
      <family val="2"/>
      <scheme val="minor"/>
      <sz val="9"/>
      <name val="Calibri"/>
    </font>
    <font>
      <b/>
      <color rgb="FFFF0000"/>
      <family val="2"/>
      <scheme val="minor"/>
      <sz val="9"/>
      <name val="Calibri"/>
    </font>
    <font>
      <family val="2"/>
      <scheme val="minor"/>
      <sz val="11"/>
      <name val="Calibri"/>
    </font>
    <font>
      <b/>
      <family val="2"/>
      <scheme val="minor"/>
      <sz val="11"/>
      <name val="Calibri"/>
    </font>
    <font>
      <color theme="1"/>
      <family val="2"/>
      <scheme val="minor"/>
      <sz val="10"/>
      <name val="Calibri"/>
    </font>
    <font>
      <family val="2"/>
      <scheme val="minor"/>
      <sz val="10"/>
      <name val="Calibri"/>
    </font>
    <font>
      <b/>
      <color rgb="FFFF0000"/>
      <family val="2"/>
      <scheme val="minor"/>
      <sz val="10"/>
      <name val="Calibri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family val="2"/>
      <scheme val="minor"/>
      <sz val="9"/>
      <name val="Calibri"/>
    </font>
    <font>
      <b/>
      <color theme="1"/>
      <family val="2"/>
      <scheme val="minor"/>
      <sz val="10"/>
      <name val="Calibri"/>
    </font>
    <font>
      <b/>
      <family val="2"/>
      <scheme val="minor"/>
      <sz val="10"/>
      <name val="Calibri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9F1FF"/>
        <bgColor indexed="64"/>
      </patternFill>
    </fill>
    <fill>
      <patternFill patternType="solid">
        <fgColor rgb="FFFFE0C1"/>
        <bgColor indexed="64"/>
      </patternFill>
    </fill>
    <fill>
      <patternFill patternType="solid">
        <fgColor rgb="FFAFFFE4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CC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166" fontId="7" fillId="2" borderId="1" xfId="0" applyNumberFormat="1" applyFont="1" applyFill="1" applyBorder="1"/>
    <xf numFmtId="37" fontId="7" fillId="2" borderId="1" xfId="0" applyNumberFormat="1" applyFont="1" applyFill="1" applyBorder="1"/>
    <xf numFmtId="39" fontId="7" fillId="2" borderId="1" xfId="0" applyNumberFormat="1" applyFont="1" applyFill="1" applyBorder="1"/>
    <xf numFmtId="167" fontId="7" fillId="2" borderId="1" xfId="0" applyNumberFormat="1" applyFont="1" applyFill="1" applyBorder="1"/>
    <xf numFmtId="37" fontId="8" fillId="0" borderId="1" xfId="0" applyNumberFormat="1" applyFont="1" applyBorder="1"/>
    <xf numFmtId="164" fontId="9" fillId="3" borderId="1" xfId="0" applyNumberFormat="1" applyFont="1" applyFill="1" applyBorder="1"/>
    <xf numFmtId="164" fontId="7" fillId="2" borderId="1" xfId="0" applyNumberFormat="1" applyFont="1" applyFill="1" applyBorder="1"/>
    <xf numFmtId="168" fontId="7" fillId="4" borderId="1" xfId="0" applyNumberFormat="1" applyFont="1" applyFill="1" applyBorder="1"/>
    <xf numFmtId="168" fontId="7" fillId="2" borderId="1" xfId="0" applyNumberFormat="1" applyFont="1" applyFill="1" applyBorder="1"/>
    <xf numFmtId="168" fontId="0" fillId="0" borderId="1" xfId="0" applyNumberFormat="1" applyBorder="1"/>
    <xf numFmtId="168" fontId="0" fillId="0" borderId="7" xfId="0" applyNumberFormat="1" applyBorder="1"/>
    <xf numFmtId="166" fontId="10" fillId="0" borderId="0" xfId="0" applyNumberFormat="1" applyFont="1"/>
    <xf numFmtId="166" fontId="10" fillId="0" borderId="8" xfId="0" applyNumberFormat="1" applyFont="1" applyBorder="1" applyAlignment="1">
      <alignment horizontal="center"/>
    </xf>
    <xf numFmtId="166" fontId="10" fillId="0" borderId="9" xfId="0" applyNumberFormat="1" applyFont="1" applyBorder="1"/>
    <xf numFmtId="166" fontId="11" fillId="3" borderId="9" xfId="0" applyNumberFormat="1" applyFont="1" applyFill="1" applyBorder="1"/>
    <xf numFmtId="168" fontId="10" fillId="4" borderId="9" xfId="0" applyNumberFormat="1" applyFont="1" applyFill="1" applyBorder="1"/>
    <xf numFmtId="168" fontId="10" fillId="0" borderId="9" xfId="0" applyNumberFormat="1" applyFont="1" applyBorder="1"/>
    <xf numFmtId="168" fontId="10" fillId="0" borderId="10" xfId="0" applyNumberFormat="1" applyFont="1" applyBorder="1"/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166" fontId="10" fillId="7" borderId="1" xfId="0" applyNumberFormat="1" applyFont="1" applyFill="1" applyBorder="1"/>
    <xf numFmtId="166" fontId="0" fillId="0" borderId="0" xfId="0" applyNumberFormat="1"/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168" fontId="10" fillId="8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7" borderId="1" xfId="0" applyNumberForma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168" fontId="11" fillId="9" borderId="1" xfId="0" applyNumberFormat="1" applyFont="1" applyFill="1" applyBorder="1"/>
    <xf numFmtId="164" fontId="10" fillId="9" borderId="1" xfId="0" applyNumberFormat="1" applyFont="1" applyFill="1" applyBorder="1"/>
    <xf numFmtId="169" fontId="0" fillId="0" borderId="1" xfId="0" applyNumberFormat="1" applyBorder="1" applyAlignment="1">
      <alignment vertical="center"/>
    </xf>
    <xf numFmtId="0" fontId="10" fillId="8" borderId="1" xfId="0" applyFont="1" applyFill="1" applyBorder="1" applyAlignment="1">
      <alignment horizontal="center"/>
    </xf>
    <xf numFmtId="168" fontId="10" fillId="8" borderId="1" xfId="0" applyNumberFormat="1" applyFont="1" applyFill="1" applyBorder="1"/>
    <xf numFmtId="164" fontId="10" fillId="8" borderId="1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8" fontId="0" fillId="0" borderId="0" xfId="0" applyNumberFormat="1"/>
    <xf numFmtId="164" fontId="0" fillId="0" borderId="0" xfId="0" applyNumberFormat="1"/>
    <xf numFmtId="0" fontId="10" fillId="10" borderId="1" xfId="0" applyFont="1" applyFill="1" applyBorder="1" applyAlignment="1">
      <alignment horizontal="center"/>
    </xf>
    <xf numFmtId="166" fontId="10" fillId="10" borderId="1" xfId="0" applyNumberFormat="1" applyFont="1" applyFill="1" applyBorder="1"/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6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8" fontId="10" fillId="0" borderId="0" xfId="0" applyNumberFormat="1" applyFont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" xfId="0" applyFont="1" applyBorder="1"/>
    <xf numFmtId="168" fontId="10" fillId="0" borderId="1" xfId="0" applyNumberFormat="1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70" fontId="0" fillId="0" borderId="1" xfId="0" applyNumberFormat="1" applyBorder="1"/>
    <xf numFmtId="170" fontId="12" fillId="0" borderId="1" xfId="0" applyNumberFormat="1" applyFont="1" applyBorder="1"/>
    <xf numFmtId="0" fontId="5" fillId="0" borderId="1" xfId="0" applyFont="1" applyBorder="1" applyAlignment="1">
      <alignment horizontal="center" wrapText="1"/>
    </xf>
    <xf numFmtId="170" fontId="5" fillId="0" borderId="1" xfId="0" applyNumberFormat="1" applyFont="1" applyBorder="1"/>
    <xf numFmtId="0" fontId="6" fillId="3" borderId="1" xfId="0" applyFont="1" applyFill="1" applyBorder="1" applyAlignment="1">
      <alignment horizontal="center"/>
    </xf>
    <xf numFmtId="170" fontId="6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10" fillId="7" borderId="1" xfId="0" applyFont="1" applyFill="1" applyBorder="1" applyAlignment="1">
      <alignment horizontal="center"/>
    </xf>
    <xf numFmtId="170" fontId="10" fillId="7" borderId="1" xfId="0" applyNumberFormat="1" applyFont="1" applyFill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4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49" fontId="5" fillId="14" borderId="4" xfId="0" applyNumberFormat="1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166" fontId="15" fillId="11" borderId="1" xfId="0" applyNumberFormat="1" applyFont="1" applyFill="1" applyBorder="1"/>
    <xf numFmtId="164" fontId="16" fillId="12" borderId="1" xfId="0" applyNumberFormat="1" applyFont="1" applyFill="1" applyBorder="1"/>
    <xf numFmtId="168" fontId="7" fillId="13" borderId="1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left"/>
    </xf>
    <xf numFmtId="165" fontId="0" fillId="2" borderId="2" xfId="0" applyNumberFormat="1" applyFill="1" applyBorder="1" applyAlignment="1">
      <alignment horizontal="left"/>
    </xf>
    <xf numFmtId="166" fontId="7" fillId="2" borderId="2" xfId="0" applyNumberFormat="1" applyFont="1" applyFill="1" applyBorder="1"/>
    <xf numFmtId="166" fontId="10" fillId="11" borderId="9" xfId="0" applyNumberFormat="1" applyFont="1" applyFill="1" applyBorder="1"/>
    <xf numFmtId="166" fontId="6" fillId="12" borderId="9" xfId="0" applyNumberFormat="1" applyFont="1" applyFill="1" applyBorder="1"/>
    <xf numFmtId="168" fontId="10" fillId="13" borderId="9" xfId="0" applyNumberFormat="1" applyFont="1" applyFill="1" applyBorder="1"/>
    <xf numFmtId="168" fontId="10" fillId="14" borderId="9" xfId="0" applyNumberFormat="1" applyFont="1" applyFill="1" applyBorder="1"/>
    <xf numFmtId="168" fontId="10" fillId="14" borderId="10" xfId="0" applyNumberFormat="1" applyFont="1" applyFill="1" applyBorder="1"/>
    <xf numFmtId="0" fontId="10" fillId="6" borderId="11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166" fontId="10" fillId="15" borderId="1" xfId="0" applyNumberFormat="1" applyFont="1" applyFill="1" applyBorder="1"/>
    <xf numFmtId="0" fontId="6" fillId="0" borderId="1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8" fontId="0" fillId="0" borderId="5" xfId="0" applyNumberForma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168" fontId="10" fillId="8" borderId="7" xfId="0" applyNumberFormat="1" applyFont="1" applyFill="1" applyBorder="1" applyAlignment="1">
      <alignment vertical="center"/>
    </xf>
    <xf numFmtId="0" fontId="10" fillId="16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168" fontId="0" fillId="7" borderId="7" xfId="0" applyNumberFormat="1" applyFill="1" applyBorder="1" applyAlignment="1">
      <alignment horizontal="center" vertical="center"/>
    </xf>
    <xf numFmtId="168" fontId="11" fillId="0" borderId="0" xfId="0" applyNumberFormat="1" applyFont="1"/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169" fontId="0" fillId="0" borderId="7" xfId="0" applyNumberFormat="1" applyBorder="1" applyAlignment="1">
      <alignment vertical="center"/>
    </xf>
    <xf numFmtId="0" fontId="10" fillId="0" borderId="0" xfId="0" applyFont="1" applyAlignment="1">
      <alignment horizontal="center" vertical="center"/>
    </xf>
    <xf numFmtId="165" fontId="0" fillId="16" borderId="1" xfId="0" applyNumberFormat="1" applyFill="1" applyBorder="1" applyAlignment="1">
      <alignment horizontal="left"/>
    </xf>
    <xf numFmtId="164" fontId="5" fillId="16" borderId="1" xfId="0" applyNumberFormat="1" applyFont="1" applyFill="1" applyBorder="1"/>
    <xf numFmtId="171" fontId="0" fillId="17" borderId="1" xfId="0" applyNumberFormat="1" applyFill="1" applyBorder="1" applyAlignment="1">
      <alignment horizontal="left"/>
    </xf>
    <xf numFmtId="164" fontId="5" fillId="17" borderId="1" xfId="0" applyNumberFormat="1" applyFont="1" applyFill="1" applyBorder="1"/>
    <xf numFmtId="168" fontId="5" fillId="18" borderId="1" xfId="0" applyNumberFormat="1" applyFont="1" applyFill="1" applyBorder="1"/>
    <xf numFmtId="166" fontId="5" fillId="18" borderId="1" xfId="0" applyNumberFormat="1" applyFont="1" applyFill="1" applyBorder="1"/>
    <xf numFmtId="168" fontId="5" fillId="19" borderId="1" xfId="0" applyNumberFormat="1" applyFont="1" applyFill="1" applyBorder="1"/>
    <xf numFmtId="166" fontId="5" fillId="19" borderId="1" xfId="0" applyNumberFormat="1" applyFont="1" applyFill="1" applyBorder="1"/>
    <xf numFmtId="165" fontId="0" fillId="16" borderId="2" xfId="0" applyNumberFormat="1" applyFill="1" applyBorder="1" applyAlignment="1">
      <alignment horizontal="left"/>
    </xf>
    <xf numFmtId="171" fontId="0" fillId="17" borderId="2" xfId="0" applyNumberFormat="1" applyFill="1" applyBorder="1" applyAlignment="1">
      <alignment horizontal="left"/>
    </xf>
    <xf numFmtId="0" fontId="6" fillId="0" borderId="17" xfId="0" applyFont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/>
    </xf>
    <xf numFmtId="166" fontId="10" fillId="10" borderId="10" xfId="0" applyNumberFormat="1" applyFont="1" applyFill="1" applyBorder="1"/>
    <xf numFmtId="0" fontId="11" fillId="0" borderId="0" xfId="0" applyFont="1" applyAlignment="1">
      <alignment vertical="center"/>
    </xf>
    <xf numFmtId="0" fontId="10" fillId="0" borderId="18" xfId="0" applyFont="1" applyBorder="1" applyAlignment="1">
      <alignment horizontal="center"/>
    </xf>
    <xf numFmtId="0" fontId="0" fillId="0" borderId="19" xfId="0" applyBorder="1"/>
    <xf numFmtId="168" fontId="0" fillId="0" borderId="19" xfId="0" applyNumberFormat="1" applyBorder="1"/>
    <xf numFmtId="164" fontId="0" fillId="0" borderId="20" xfId="0" applyNumberFormat="1" applyBorder="1"/>
    <xf numFmtId="0" fontId="10" fillId="20" borderId="1" xfId="0" applyFont="1" applyFill="1" applyBorder="1" applyAlignment="1">
      <alignment horizontal="center" vertical="center"/>
    </xf>
    <xf numFmtId="0" fontId="6" fillId="15" borderId="21" xfId="0" applyFont="1" applyFill="1" applyBorder="1" applyAlignment="1">
      <alignment horizontal="center"/>
    </xf>
    <xf numFmtId="0" fontId="6" fillId="15" borderId="22" xfId="0" applyFont="1" applyFill="1" applyBorder="1" applyAlignment="1">
      <alignment horizontal="center"/>
    </xf>
    <xf numFmtId="0" fontId="6" fillId="15" borderId="23" xfId="0" applyFont="1" applyFill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170" fontId="11" fillId="0" borderId="1" xfId="0" applyNumberFormat="1" applyFont="1" applyBorder="1"/>
    <xf numFmtId="170" fontId="6" fillId="0" borderId="1" xfId="0" applyNumberFormat="1" applyFont="1" applyBorder="1"/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 zoomScale="100" zoomScaleNormal="100">
      <selection activeCell="R16" sqref="R16"/>
    </sheetView>
  </sheetViews>
  <sheetFormatPr defaultRowHeight="14.45" outlineLevelRow="0" outlineLevelCol="0" x14ac:dyDescent="0" customHeight="1"/>
  <cols>
    <col min="1" max="1" width="5" style="1" customWidth="1"/>
    <col min="2" max="2" width="24.42578125" customWidth="1"/>
    <col min="3" max="3" width="11.7109375" customWidth="1"/>
    <col min="4" max="4" width="11.28515625" customWidth="1"/>
    <col min="5" max="5" width="10.140625" customWidth="1"/>
    <col min="6" max="6" width="11" customWidth="1"/>
    <col min="7" max="9" width="11.28515625" customWidth="1"/>
    <col min="10" max="10" width="10.5703125" customWidth="1"/>
    <col min="13" max="13" width="11.5703125" customWidth="1"/>
    <col min="14" max="14" width="11.85546875" customWidth="1"/>
    <col min="15" max="16" width="12" customWidth="1"/>
    <col min="17" max="17" width="12.28515625" customWidth="1"/>
    <col min="18" max="18" width="11.42578125" customWidth="1"/>
    <col min="19" max="19" width="9.7109375" customWidth="1"/>
    <col min="20" max="20" width="12.140625" customWidth="1"/>
    <col min="21" max="21" width="11.140625" customWidth="1"/>
    <col min="22" max="22" width="9.7109375" customWidth="1"/>
    <col min="23" max="23" width="11" customWidth="1"/>
    <col min="24" max="24" width="11.7109375" customWidth="1"/>
    <col min="25" max="25" width="11" customWidth="1"/>
    <col min="26" max="26" width="11.28515625" customWidth="1"/>
    <col min="27" max="27" width="12.85546875" customWidth="1"/>
    <col min="28" max="28" width="14.85546875" customWidth="1"/>
    <col min="29" max="29" width="14.28515625" customWidth="1"/>
    <col min="30" max="30" width="13.28515625" customWidth="1"/>
    <col min="31" max="31" width="9.28515625" customWidth="1"/>
    <col min="32" max="32" width="12.85546875" customWidth="1"/>
  </cols>
  <sheetData>
    <row r="1" spans="1:1" x14ac:dyDescent="0.25">
      <c r="A1" s="1">
        <v>350</v>
      </c>
    </row>
    <row r="2" ht="23.45" customHeight="1" spans="14:16" x14ac:dyDescent="0.25">
      <c r="N2" s="2" t="s">
        <v>0</v>
      </c>
      <c r="O2" s="2"/>
      <c r="P2" s="2"/>
    </row>
    <row r="5" ht="25.9" customHeight="1" spans="1:28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 t="s">
        <v>1</v>
      </c>
      <c r="S5" s="5"/>
      <c r="T5" s="5"/>
      <c r="U5" s="5" t="s">
        <v>2</v>
      </c>
      <c r="V5" s="5"/>
      <c r="W5" s="5"/>
      <c r="X5" s="4"/>
      <c r="Y5" s="6"/>
      <c r="Z5" s="4"/>
      <c r="AA5" s="4"/>
      <c r="AB5" s="4"/>
    </row>
    <row r="6" ht="26.45" customHeight="1" spans="1:28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7"/>
      <c r="S6" s="7"/>
      <c r="T6" s="7"/>
      <c r="U6" s="7"/>
      <c r="V6" s="7"/>
      <c r="W6" s="7"/>
      <c r="X6" s="4"/>
      <c r="Y6" s="4"/>
      <c r="Z6" s="4"/>
      <c r="AA6" s="4"/>
      <c r="AB6" s="4"/>
    </row>
    <row r="7" ht="84" customHeight="1" spans="1:32" s="8" customFormat="1" x14ac:dyDescent="0.25">
      <c r="A7" s="9" t="s">
        <v>3</v>
      </c>
      <c r="B7" s="10" t="s">
        <v>4</v>
      </c>
      <c r="C7" s="10"/>
      <c r="D7" s="10" t="s">
        <v>5</v>
      </c>
      <c r="E7" s="11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0" t="s">
        <v>16</v>
      </c>
      <c r="P7" s="10" t="s">
        <v>17</v>
      </c>
      <c r="Q7" s="12" t="s">
        <v>18</v>
      </c>
      <c r="R7" s="10" t="s">
        <v>19</v>
      </c>
      <c r="S7" s="10" t="s">
        <v>20</v>
      </c>
      <c r="T7" s="10" t="s">
        <v>21</v>
      </c>
      <c r="U7" s="10" t="s">
        <v>22</v>
      </c>
      <c r="V7" s="10" t="s">
        <v>23</v>
      </c>
      <c r="W7" s="10" t="s">
        <v>24</v>
      </c>
      <c r="X7" s="10" t="s">
        <v>25</v>
      </c>
      <c r="Y7" s="10" t="s">
        <v>26</v>
      </c>
      <c r="Z7" s="10" t="s">
        <v>27</v>
      </c>
      <c r="AA7" s="13" t="s">
        <v>28</v>
      </c>
      <c r="AB7" s="14" t="s">
        <v>29</v>
      </c>
      <c r="AC7" s="15" t="s">
        <v>30</v>
      </c>
      <c r="AD7" s="16" t="s">
        <v>31</v>
      </c>
      <c r="AE7" s="16" t="s">
        <v>32</v>
      </c>
      <c r="AF7" s="17" t="s">
        <v>33</v>
      </c>
    </row>
    <row r="8" spans="1:32" x14ac:dyDescent="0.25">
      <c r="A8" s="18">
        <v>1</v>
      </c>
      <c r="B8" s="19" t="s">
        <v>34</v>
      </c>
      <c r="C8" s="20">
        <v>500</v>
      </c>
      <c r="D8" s="21">
        <v>74842</v>
      </c>
      <c r="E8" s="21">
        <f>D8/21/8</f>
        <v>445.48809523809524</v>
      </c>
      <c r="F8" s="22">
        <f>+F27+F38</f>
        <v>40</v>
      </c>
      <c r="G8" s="23">
        <f>+F28+F41</f>
        <v>25</v>
      </c>
      <c r="H8" s="23">
        <f>+F29+F40</f>
        <v>40</v>
      </c>
      <c r="I8" s="23">
        <f>+F39</f>
        <v>15</v>
      </c>
      <c r="J8" s="22">
        <f>+F30+F42</f>
        <v>0</v>
      </c>
      <c r="K8" s="24">
        <f>+F31+F43</f>
        <v>48</v>
      </c>
      <c r="L8" s="25">
        <v>0</v>
      </c>
      <c r="M8" s="23">
        <v>14</v>
      </c>
      <c r="N8" s="21">
        <f>(E8*F8)+ (E8*G8*1.25) +(E8*H8*1.5)+(E8*I8*1.2)+ (E8*J8*1.25)+ (E8*K8*1.5)+D8/21*L8</f>
        <v>98564.24107142857</v>
      </c>
      <c r="O8" s="21">
        <v>8664.76</v>
      </c>
      <c r="P8" s="21">
        <f>+N8+O8</f>
        <v>107229.00107142856</v>
      </c>
      <c r="Q8" s="26">
        <f>IF(P8&gt;132312,132312,IF(P8&lt;30000,30000,P8))</f>
        <v>107229.00107142856</v>
      </c>
      <c r="R8" s="27">
        <f>Q8*0.095</f>
        <v>10186.755101785713</v>
      </c>
      <c r="S8" s="27">
        <f>P8*0.017</f>
        <v>1822.8930182142856</v>
      </c>
      <c r="T8" s="27">
        <f>R8+S8</f>
        <v>12009.648119999998</v>
      </c>
      <c r="U8" s="27">
        <f>Q8*0.15</f>
        <v>16084.350160714283</v>
      </c>
      <c r="V8" s="27">
        <f>P8*0.017</f>
        <v>1822.8930182142856</v>
      </c>
      <c r="W8" s="27">
        <f>U8+V8</f>
        <v>17907.24317892857</v>
      </c>
      <c r="X8" s="27">
        <f>P8</f>
        <v>107229.00107142856</v>
      </c>
      <c r="Y8" s="27">
        <f>IF(AND(X8&gt;30000,X8&lt;150000),(X8-30000)*0.13,IF(X8&gt;150000,((X8-150000)*0.23+15600)))+IF(X8&lt;30000,0)</f>
        <v>10039.770139285713</v>
      </c>
      <c r="Z8" s="27">
        <f>P8-T8-Y8</f>
        <v>85179.58281214285</v>
      </c>
      <c r="AA8" s="28">
        <f>+Z8/D11</f>
        <v>702.4540888350887</v>
      </c>
      <c r="AB8" s="29">
        <f>(P8+W8)/D11</f>
        <v>1031.966388342051</v>
      </c>
      <c r="AC8" s="30">
        <f>AB8*0.09</f>
        <v>92.87697495078459</v>
      </c>
      <c r="AD8" s="30">
        <f>AB8+AC8</f>
        <v>1124.8433632928356</v>
      </c>
      <c r="AE8" s="30">
        <v>0</v>
      </c>
      <c r="AF8" s="31">
        <f>AD8+AE8</f>
        <v>1124.8433632928356</v>
      </c>
    </row>
    <row r="9" ht="15" customHeight="1" spans="1:32" s="32" customFormat="1" x14ac:dyDescent="0.25">
      <c r="A9" s="33"/>
      <c r="B9" s="34" t="s">
        <v>35</v>
      </c>
      <c r="C9" s="34"/>
      <c r="D9" s="34">
        <f t="shared" ref="D9:AF9" si="0">SUM(D8:D8)</f>
        <v>74842</v>
      </c>
      <c r="E9" s="34">
        <f t="shared" si="0"/>
        <v>445.48809523809524</v>
      </c>
      <c r="F9" s="34">
        <f t="shared" si="0"/>
        <v>40</v>
      </c>
      <c r="G9" s="34">
        <f t="shared" si="0"/>
        <v>25</v>
      </c>
      <c r="H9" s="34">
        <f t="shared" si="0"/>
        <v>40</v>
      </c>
      <c r="I9" s="34">
        <f t="shared" si="0"/>
        <v>15</v>
      </c>
      <c r="J9" s="34">
        <f t="shared" si="0"/>
        <v>0</v>
      </c>
      <c r="K9" s="34">
        <f t="shared" si="0"/>
        <v>48</v>
      </c>
      <c r="L9" s="34">
        <f t="shared" si="0"/>
        <v>0</v>
      </c>
      <c r="M9" s="34">
        <f t="shared" si="0"/>
        <v>14</v>
      </c>
      <c r="N9" s="34">
        <f t="shared" si="0"/>
        <v>98564.24107142857</v>
      </c>
      <c r="O9" s="34">
        <f t="shared" si="0"/>
        <v>8664.76</v>
      </c>
      <c r="P9" s="34">
        <f t="shared" si="0"/>
        <v>107229.00107142856</v>
      </c>
      <c r="Q9" s="35">
        <f t="shared" si="0"/>
        <v>107229.00107142856</v>
      </c>
      <c r="R9" s="34">
        <f t="shared" si="0"/>
        <v>10186.755101785713</v>
      </c>
      <c r="S9" s="34">
        <f t="shared" si="0"/>
        <v>1822.8930182142856</v>
      </c>
      <c r="T9" s="34">
        <f t="shared" si="0"/>
        <v>12009.648119999998</v>
      </c>
      <c r="U9" s="34">
        <f t="shared" si="0"/>
        <v>16084.350160714283</v>
      </c>
      <c r="V9" s="34">
        <f t="shared" si="0"/>
        <v>1822.8930182142856</v>
      </c>
      <c r="W9" s="34">
        <f t="shared" si="0"/>
        <v>17907.24317892857</v>
      </c>
      <c r="X9" s="34">
        <f t="shared" si="0"/>
        <v>107229.00107142856</v>
      </c>
      <c r="Y9" s="34">
        <f t="shared" si="0"/>
        <v>10039.770139285713</v>
      </c>
      <c r="Z9" s="34">
        <f t="shared" si="0"/>
        <v>85179.58281214285</v>
      </c>
      <c r="AA9" s="36">
        <f t="shared" si="0"/>
        <v>702.4540888350887</v>
      </c>
      <c r="AB9" s="37">
        <f t="shared" si="0"/>
        <v>1031.966388342051</v>
      </c>
      <c r="AC9" s="37">
        <f t="shared" si="0"/>
        <v>92.87697495078459</v>
      </c>
      <c r="AD9" s="37">
        <f t="shared" si="0"/>
        <v>1124.8433632928356</v>
      </c>
      <c r="AE9" s="37">
        <f t="shared" si="0"/>
        <v>0</v>
      </c>
      <c r="AF9" s="38">
        <f t="shared" si="0"/>
        <v>1124.8433632928356</v>
      </c>
    </row>
    <row r="11" spans="2:27" x14ac:dyDescent="0.25">
      <c r="B11" s="39" t="s">
        <v>36</v>
      </c>
      <c r="C11" s="39"/>
      <c r="D11" s="40">
        <v>121.26</v>
      </c>
      <c r="E11" s="40" t="s">
        <v>37</v>
      </c>
      <c r="K11" s="41">
        <f>+F9+G9+H9+J9+K9+I9</f>
        <v>168</v>
      </c>
      <c r="R11" s="42"/>
      <c r="X11" s="43" t="s">
        <v>38</v>
      </c>
      <c r="Y11" s="43"/>
      <c r="Z11" s="43"/>
      <c r="AA11" s="44">
        <v>648.29</v>
      </c>
    </row>
    <row r="12" spans="14:27" x14ac:dyDescent="0.25">
      <c r="N12" s="42"/>
      <c r="O12" s="42"/>
      <c r="P12" s="42"/>
      <c r="X12" s="45" t="s">
        <v>39</v>
      </c>
      <c r="Y12" s="45"/>
      <c r="Z12" s="45"/>
      <c r="AA12" s="46">
        <f>+G20</f>
        <v>54.16666666666667</v>
      </c>
    </row>
    <row r="13" ht="17.25" customHeight="1" spans="4:27" s="8" customFormat="1" x14ac:dyDescent="0.25">
      <c r="D13" s="47" t="s">
        <v>40</v>
      </c>
      <c r="E13" s="47" t="s">
        <v>41</v>
      </c>
      <c r="X13" s="48" t="s">
        <v>42</v>
      </c>
      <c r="Y13" s="48"/>
      <c r="Z13" s="48"/>
      <c r="AA13" s="49">
        <f>+AA11+AA12</f>
        <v>702.4566666666666</v>
      </c>
    </row>
    <row r="14" spans="2:27" x14ac:dyDescent="0.25">
      <c r="B14" s="50" t="s">
        <v>43</v>
      </c>
      <c r="C14" s="50"/>
      <c r="D14" s="51">
        <v>500</v>
      </c>
      <c r="E14" s="52">
        <f>+D14*D11</f>
        <v>60630</v>
      </c>
      <c r="X14" s="43" t="s">
        <v>44</v>
      </c>
      <c r="Y14" s="43"/>
      <c r="Z14" s="43"/>
      <c r="AA14" s="53">
        <f>+AA13*D11</f>
        <v>85179.8954</v>
      </c>
    </row>
    <row r="15" spans="2:27" x14ac:dyDescent="0.25">
      <c r="B15" s="54" t="s">
        <v>45</v>
      </c>
      <c r="C15" s="54"/>
      <c r="D15" s="55">
        <f>+E15/D11</f>
        <v>617.202704931552</v>
      </c>
      <c r="E15" s="56">
        <v>74842</v>
      </c>
      <c r="S15" s="42"/>
      <c r="T15" s="42"/>
      <c r="X15" s="57" t="s">
        <v>46</v>
      </c>
      <c r="Y15" s="58"/>
      <c r="Z15" s="59"/>
      <c r="AA15" s="53">
        <v>107229</v>
      </c>
    </row>
    <row r="16" spans="4:27" x14ac:dyDescent="0.25">
      <c r="D16" s="60"/>
      <c r="E16" s="61"/>
      <c r="J16" s="42"/>
      <c r="S16" s="42"/>
      <c r="T16" s="42"/>
      <c r="X16" s="62" t="s">
        <v>47</v>
      </c>
      <c r="Y16" s="62"/>
      <c r="Z16" s="62"/>
      <c r="AA16" s="63">
        <f>+AA15-N9</f>
        <v>8664.758928571435</v>
      </c>
    </row>
    <row r="17" ht="43.15" customHeight="1" spans="2:27" x14ac:dyDescent="0.25">
      <c r="B17" s="64" t="s">
        <v>48</v>
      </c>
      <c r="C17" s="65"/>
      <c r="D17" s="65"/>
      <c r="E17" s="66"/>
      <c r="F17" s="67" t="s">
        <v>49</v>
      </c>
      <c r="G17" s="67" t="s">
        <v>50</v>
      </c>
      <c r="H17" s="68"/>
      <c r="I17" s="68"/>
      <c r="J17" s="69"/>
      <c r="K17" s="70"/>
      <c r="L17" s="70"/>
      <c r="M17" s="71"/>
      <c r="R17" s="42"/>
      <c r="S17" s="42"/>
      <c r="AA17" s="42"/>
    </row>
    <row r="18" spans="2:19" x14ac:dyDescent="0.25">
      <c r="B18" s="72" t="s">
        <v>51</v>
      </c>
      <c r="C18" s="72"/>
      <c r="D18" s="72" t="s">
        <v>52</v>
      </c>
      <c r="E18" s="72"/>
      <c r="F18" s="73">
        <f>500/21*7</f>
        <v>166.66666666666669</v>
      </c>
      <c r="G18" s="30">
        <f>+F18*7.5%</f>
        <v>12.500000000000002</v>
      </c>
      <c r="H18" s="60"/>
      <c r="I18" s="60"/>
      <c r="J18" s="69"/>
      <c r="K18" s="70"/>
      <c r="L18" s="70"/>
      <c r="M18" s="71"/>
      <c r="R18" s="42"/>
      <c r="S18" s="42"/>
    </row>
    <row r="19" spans="2:19" x14ac:dyDescent="0.25">
      <c r="B19" s="72" t="s">
        <v>53</v>
      </c>
      <c r="C19" s="72"/>
      <c r="D19" s="72" t="s">
        <v>54</v>
      </c>
      <c r="E19" s="72"/>
      <c r="F19" s="73">
        <f>500/21*7</f>
        <v>166.66666666666669</v>
      </c>
      <c r="G19" s="30">
        <f>+F19*25%</f>
        <v>41.66666666666667</v>
      </c>
      <c r="H19" s="60"/>
      <c r="I19" s="60"/>
      <c r="J19" s="69"/>
      <c r="K19" s="70"/>
      <c r="L19" s="70"/>
      <c r="M19" s="71"/>
      <c r="R19" s="42"/>
      <c r="S19" s="42"/>
    </row>
    <row r="20" spans="2:19" x14ac:dyDescent="0.25">
      <c r="B20" s="74" t="s">
        <v>55</v>
      </c>
      <c r="C20" s="75"/>
      <c r="D20" s="75"/>
      <c r="E20" s="76"/>
      <c r="F20" s="77"/>
      <c r="G20" s="78">
        <f>SUM(G18:G19)</f>
        <v>54.16666666666667</v>
      </c>
      <c r="H20" s="71"/>
      <c r="I20" s="71"/>
      <c r="J20" s="69"/>
      <c r="K20" s="70"/>
      <c r="L20" s="70"/>
      <c r="M20" s="71"/>
      <c r="R20" s="42"/>
      <c r="S20" s="42"/>
    </row>
    <row r="21" spans="2:19" x14ac:dyDescent="0.25">
      <c r="B21" s="70"/>
      <c r="C21" s="70"/>
      <c r="D21" s="70"/>
      <c r="E21" s="70"/>
      <c r="F21" s="79"/>
      <c r="G21" s="71"/>
      <c r="H21" s="71"/>
      <c r="I21" s="71"/>
      <c r="J21" s="69"/>
      <c r="K21" s="70"/>
      <c r="L21" s="70"/>
      <c r="M21" s="71"/>
      <c r="R21" s="42"/>
      <c r="S21" s="42"/>
    </row>
    <row r="22" spans="2:19" x14ac:dyDescent="0.25">
      <c r="B22" s="70"/>
      <c r="C22" s="70"/>
      <c r="D22" s="70"/>
      <c r="E22" s="70"/>
      <c r="F22" s="79"/>
      <c r="G22" s="71"/>
      <c r="H22" s="71"/>
      <c r="I22" s="71"/>
      <c r="J22" s="70"/>
      <c r="K22" s="70"/>
      <c r="L22" s="70"/>
      <c r="M22" s="71"/>
      <c r="R22" s="42"/>
      <c r="S22" s="42"/>
    </row>
    <row r="23" spans="19:20" x14ac:dyDescent="0.25">
      <c r="S23" s="42"/>
      <c r="T23" s="42"/>
    </row>
    <row r="24" spans="2:20" x14ac:dyDescent="0.25">
      <c r="B24" s="79" t="s">
        <v>56</v>
      </c>
      <c r="C24" s="79"/>
      <c r="M24" s="79"/>
      <c r="S24" s="42"/>
      <c r="T24" s="42"/>
    </row>
    <row r="25" spans="2:20" x14ac:dyDescent="0.25">
      <c r="B25" s="79"/>
      <c r="C25" s="79"/>
      <c r="M25" s="79"/>
      <c r="S25" s="42"/>
      <c r="T25" s="42"/>
    </row>
    <row r="26" spans="2:20" x14ac:dyDescent="0.25">
      <c r="B26" s="77"/>
      <c r="C26" s="77"/>
      <c r="D26" s="80" t="s">
        <v>57</v>
      </c>
      <c r="E26" s="80" t="s">
        <v>58</v>
      </c>
      <c r="F26" s="80" t="s">
        <v>35</v>
      </c>
      <c r="M26" s="79"/>
      <c r="S26" s="42"/>
      <c r="T26" s="42"/>
    </row>
    <row r="27" ht="30" customHeight="1" spans="2:6" x14ac:dyDescent="0.25">
      <c r="B27" s="81" t="s">
        <v>59</v>
      </c>
      <c r="C27" s="81"/>
      <c r="D27" s="82">
        <v>8</v>
      </c>
      <c r="E27" s="82">
        <v>5</v>
      </c>
      <c r="F27" s="83">
        <f>+D27*E27</f>
        <v>40</v>
      </c>
    </row>
    <row r="28" ht="28.9" customHeight="1" spans="2:6" x14ac:dyDescent="0.25">
      <c r="B28" s="81" t="s">
        <v>60</v>
      </c>
      <c r="C28" s="81"/>
      <c r="D28" s="82">
        <v>4</v>
      </c>
      <c r="E28" s="82">
        <v>5</v>
      </c>
      <c r="F28" s="83">
        <f t="shared" ref="F28:F31" si="1">+D28*E28</f>
        <v>20</v>
      </c>
    </row>
    <row r="29" spans="2:6" x14ac:dyDescent="0.25">
      <c r="B29" s="81" t="s">
        <v>61</v>
      </c>
      <c r="C29" s="81"/>
      <c r="D29" s="82">
        <v>0</v>
      </c>
      <c r="E29" s="82">
        <v>0</v>
      </c>
      <c r="F29" s="83">
        <v>0</v>
      </c>
    </row>
    <row r="30" ht="29.25" customHeight="1" spans="2:6" x14ac:dyDescent="0.25">
      <c r="B30" s="84" t="s">
        <v>62</v>
      </c>
      <c r="C30" s="84"/>
      <c r="D30" s="85">
        <v>0</v>
      </c>
      <c r="E30" s="85">
        <v>0</v>
      </c>
      <c r="F30" s="85">
        <f t="shared" si="1"/>
        <v>0</v>
      </c>
    </row>
    <row r="31" ht="28.9" customHeight="1" spans="2:6" x14ac:dyDescent="0.25">
      <c r="B31" s="84" t="s">
        <v>63</v>
      </c>
      <c r="C31" s="84"/>
      <c r="D31" s="85">
        <f>12</f>
        <v>12</v>
      </c>
      <c r="E31" s="85">
        <v>2</v>
      </c>
      <c r="F31" s="83">
        <f t="shared" si="1"/>
        <v>24</v>
      </c>
    </row>
    <row r="33" spans="2:5" x14ac:dyDescent="0.25">
      <c r="B33" s="86" t="s">
        <v>64</v>
      </c>
      <c r="C33" s="86"/>
      <c r="D33" s="87">
        <f>SUM(F27:F31)</f>
        <v>84</v>
      </c>
      <c r="E33" s="86" t="s">
        <v>65</v>
      </c>
    </row>
    <row r="35" spans="2:20" x14ac:dyDescent="0.25">
      <c r="B35" s="79" t="s">
        <v>66</v>
      </c>
      <c r="C35" s="79"/>
      <c r="M35" s="79"/>
      <c r="S35" s="42"/>
      <c r="T35" s="42"/>
    </row>
    <row r="36" spans="2:20" x14ac:dyDescent="0.25">
      <c r="B36" s="79"/>
      <c r="C36" s="79"/>
      <c r="M36" s="79"/>
      <c r="S36" s="42"/>
      <c r="T36" s="42"/>
    </row>
    <row r="37" spans="2:20" x14ac:dyDescent="0.25">
      <c r="B37" s="77"/>
      <c r="C37" s="77"/>
      <c r="D37" s="80" t="s">
        <v>57</v>
      </c>
      <c r="E37" s="80" t="s">
        <v>58</v>
      </c>
      <c r="F37" s="80" t="s">
        <v>35</v>
      </c>
      <c r="M37" s="79"/>
      <c r="S37" s="42"/>
      <c r="T37" s="42"/>
    </row>
    <row r="38" ht="27.75" customHeight="1" spans="2:6" x14ac:dyDescent="0.25">
      <c r="B38" s="81" t="s">
        <v>59</v>
      </c>
      <c r="C38" s="81"/>
      <c r="D38" s="82">
        <v>0</v>
      </c>
      <c r="E38" s="82">
        <v>0</v>
      </c>
      <c r="F38" s="83">
        <f>+D38*E38</f>
        <v>0</v>
      </c>
    </row>
    <row r="39" ht="30" customHeight="1" spans="2:7" x14ac:dyDescent="0.25">
      <c r="B39" s="81" t="s">
        <v>67</v>
      </c>
      <c r="C39" s="81"/>
      <c r="D39" s="82">
        <v>3</v>
      </c>
      <c r="E39" s="82">
        <v>5</v>
      </c>
      <c r="F39" s="83">
        <f t="shared" ref="F39:F43" si="2">+D39*E39</f>
        <v>15</v>
      </c>
      <c r="G39" s="88" t="s">
        <v>68</v>
      </c>
    </row>
    <row r="40" ht="30" customHeight="1" spans="2:7" x14ac:dyDescent="0.25">
      <c r="B40" s="81" t="s">
        <v>69</v>
      </c>
      <c r="C40" s="81"/>
      <c r="D40" s="82">
        <v>8</v>
      </c>
      <c r="E40" s="82">
        <v>5</v>
      </c>
      <c r="F40" s="83">
        <f t="shared" si="2"/>
        <v>40</v>
      </c>
      <c r="G40" s="88" t="s">
        <v>70</v>
      </c>
    </row>
    <row r="41" ht="30" customHeight="1" spans="2:7" x14ac:dyDescent="0.25">
      <c r="B41" s="81" t="s">
        <v>71</v>
      </c>
      <c r="C41" s="81"/>
      <c r="D41" s="82">
        <v>1</v>
      </c>
      <c r="E41" s="82">
        <v>5</v>
      </c>
      <c r="F41" s="83">
        <f t="shared" si="2"/>
        <v>5</v>
      </c>
      <c r="G41" s="88" t="s">
        <v>72</v>
      </c>
    </row>
    <row r="42" ht="30" customHeight="1" spans="2:6" x14ac:dyDescent="0.25">
      <c r="B42" s="81" t="s">
        <v>73</v>
      </c>
      <c r="C42" s="81"/>
      <c r="D42" s="82">
        <v>0</v>
      </c>
      <c r="E42" s="82">
        <v>0</v>
      </c>
      <c r="F42" s="83">
        <f t="shared" si="2"/>
        <v>0</v>
      </c>
    </row>
    <row r="43" ht="30" customHeight="1" spans="2:6" x14ac:dyDescent="0.25">
      <c r="B43" s="81" t="s">
        <v>63</v>
      </c>
      <c r="C43" s="81"/>
      <c r="D43" s="82">
        <v>12</v>
      </c>
      <c r="E43" s="82">
        <v>2</v>
      </c>
      <c r="F43" s="83">
        <f t="shared" si="2"/>
        <v>24</v>
      </c>
    </row>
    <row r="45" spans="2:5" x14ac:dyDescent="0.25">
      <c r="B45" s="86" t="s">
        <v>64</v>
      </c>
      <c r="C45" s="86"/>
      <c r="D45" s="87">
        <f>SUM(F38:F43)</f>
        <v>84</v>
      </c>
      <c r="E45" s="86" t="s">
        <v>65</v>
      </c>
    </row>
    <row r="47" spans="2:4" x14ac:dyDescent="0.25">
      <c r="B47" s="89" t="s">
        <v>35</v>
      </c>
      <c r="C47" s="89"/>
      <c r="D47" s="90">
        <f>+D45+D33</f>
        <v>168</v>
      </c>
    </row>
  </sheetData>
  <mergeCells count="12">
    <mergeCell ref="R5:T6"/>
    <mergeCell ref="U5:W6"/>
    <mergeCell ref="X11:Z11"/>
    <mergeCell ref="X12:Z12"/>
    <mergeCell ref="X13:Z13"/>
    <mergeCell ref="X14:Z14"/>
    <mergeCell ref="X15:Z15"/>
    <mergeCell ref="X16:Z16"/>
    <mergeCell ref="B17:E17"/>
    <mergeCell ref="D18:E18"/>
    <mergeCell ref="D19:E19"/>
    <mergeCell ref="B20:E20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53"/>
  <sheetViews>
    <sheetView workbookViewId="0" zoomScale="100" zoomScaleNormal="100">
      <selection activeCell="M17" sqref="M17"/>
    </sheetView>
  </sheetViews>
  <sheetFormatPr defaultRowHeight="14.45" outlineLevelRow="0" outlineLevelCol="0" x14ac:dyDescent="0" customHeight="1"/>
  <cols>
    <col min="1" max="1" width="5" style="1" customWidth="1"/>
    <col min="2" max="2" width="16.7109375" customWidth="1"/>
    <col min="3" max="3" width="13.5703125" customWidth="1"/>
    <col min="4" max="4" width="11.28515625" customWidth="1"/>
    <col min="5" max="5" width="10.85546875" customWidth="1"/>
    <col min="6" max="6" width="11" customWidth="1"/>
    <col min="7" max="9" width="11.28515625" customWidth="1"/>
    <col min="10" max="10" width="10.5703125" customWidth="1"/>
    <col min="13" max="13" width="11.5703125" customWidth="1"/>
    <col min="14" max="14" width="11.85546875" customWidth="1"/>
    <col min="15" max="16" width="12" customWidth="1"/>
    <col min="17" max="17" width="12.28515625" customWidth="1"/>
    <col min="18" max="18" width="11.42578125" customWidth="1"/>
    <col min="19" max="19" width="13.140625" customWidth="1"/>
    <col min="20" max="20" width="12.140625" customWidth="1"/>
    <col min="21" max="21" width="11.140625" customWidth="1"/>
    <col min="22" max="22" width="11.5703125" customWidth="1"/>
    <col min="23" max="23" width="11" customWidth="1"/>
    <col min="24" max="24" width="11.7109375" customWidth="1"/>
    <col min="25" max="25" width="11" customWidth="1"/>
    <col min="26" max="26" width="11.28515625" customWidth="1"/>
    <col min="27" max="27" width="12.85546875" customWidth="1"/>
    <col min="28" max="28" width="14.85546875" customWidth="1"/>
    <col min="29" max="29" width="14.28515625" customWidth="1"/>
    <col min="30" max="30" width="13.28515625" customWidth="1"/>
    <col min="31" max="31" width="9.28515625" customWidth="1"/>
    <col min="32" max="32" width="12.85546875" customWidth="1"/>
  </cols>
  <sheetData>
    <row r="2" ht="23.45" customHeight="1" spans="14:16" x14ac:dyDescent="0.25">
      <c r="N2" s="2" t="s">
        <v>0</v>
      </c>
      <c r="O2" s="2"/>
      <c r="P2" s="2"/>
    </row>
    <row r="4" ht="15" customHeight="1" x14ac:dyDescent="0.25"/>
    <row r="5" ht="12" customHeight="1" spans="1:28" s="91" customFormat="1" x14ac:dyDescent="0.25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4" t="s">
        <v>1</v>
      </c>
      <c r="S5" s="95"/>
      <c r="T5" s="95"/>
      <c r="U5" s="95" t="s">
        <v>2</v>
      </c>
      <c r="V5" s="95"/>
      <c r="W5" s="96"/>
      <c r="X5" s="93"/>
      <c r="Y5" s="97"/>
      <c r="Z5" s="93"/>
      <c r="AA5" s="93"/>
      <c r="AB5" s="93"/>
    </row>
    <row r="6" ht="12" customHeight="1" spans="1:28" s="91" customFormat="1" x14ac:dyDescent="0.25">
      <c r="A6" s="92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8"/>
      <c r="S6" s="99"/>
      <c r="T6" s="99"/>
      <c r="U6" s="99"/>
      <c r="V6" s="99"/>
      <c r="W6" s="100"/>
      <c r="X6" s="93"/>
      <c r="Y6" s="93"/>
      <c r="Z6" s="93"/>
      <c r="AA6" s="93"/>
      <c r="AB6" s="93"/>
    </row>
    <row r="7" ht="84" customHeight="1" spans="1:32" s="8" customFormat="1" x14ac:dyDescent="0.25">
      <c r="A7" s="9" t="s">
        <v>3</v>
      </c>
      <c r="B7" s="10" t="s">
        <v>4</v>
      </c>
      <c r="C7" s="10" t="s">
        <v>74</v>
      </c>
      <c r="D7" s="10" t="s">
        <v>5</v>
      </c>
      <c r="E7" s="101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02" t="s">
        <v>16</v>
      </c>
      <c r="P7" s="10" t="s">
        <v>17</v>
      </c>
      <c r="Q7" s="103" t="s">
        <v>18</v>
      </c>
      <c r="R7" s="10" t="s">
        <v>19</v>
      </c>
      <c r="S7" s="10" t="s">
        <v>20</v>
      </c>
      <c r="T7" s="10" t="s">
        <v>21</v>
      </c>
      <c r="U7" s="10" t="s">
        <v>22</v>
      </c>
      <c r="V7" s="10" t="s">
        <v>23</v>
      </c>
      <c r="W7" s="10" t="s">
        <v>24</v>
      </c>
      <c r="X7" s="10" t="s">
        <v>25</v>
      </c>
      <c r="Y7" s="10" t="s">
        <v>26</v>
      </c>
      <c r="Z7" s="10" t="s">
        <v>27</v>
      </c>
      <c r="AA7" s="104" t="s">
        <v>28</v>
      </c>
      <c r="AB7" s="105" t="s">
        <v>29</v>
      </c>
      <c r="AC7" s="106" t="s">
        <v>30</v>
      </c>
      <c r="AD7" s="107" t="s">
        <v>31</v>
      </c>
      <c r="AE7" s="107" t="s">
        <v>32</v>
      </c>
      <c r="AF7" s="108" t="s">
        <v>33</v>
      </c>
    </row>
    <row r="8" spans="1:32" x14ac:dyDescent="0.25">
      <c r="A8" s="18">
        <v>1</v>
      </c>
      <c r="B8" s="19" t="s">
        <v>34</v>
      </c>
      <c r="C8" s="20">
        <v>500</v>
      </c>
      <c r="D8" s="21">
        <f>+F19</f>
        <v>74842</v>
      </c>
      <c r="E8" s="21">
        <f>D8/21/8</f>
        <v>445.48809523809524</v>
      </c>
      <c r="F8" s="22">
        <f>+G33+G44</f>
        <v>40</v>
      </c>
      <c r="G8" s="23">
        <f>+G34+G47</f>
        <v>25</v>
      </c>
      <c r="H8" s="23">
        <f>+G35+G46</f>
        <v>40</v>
      </c>
      <c r="I8" s="23">
        <f>+G45</f>
        <v>15</v>
      </c>
      <c r="J8" s="22">
        <f>+G36+G48</f>
        <v>0</v>
      </c>
      <c r="K8" s="24">
        <f>+G37+G49</f>
        <v>48</v>
      </c>
      <c r="L8" s="25">
        <v>0</v>
      </c>
      <c r="M8" s="23">
        <v>14</v>
      </c>
      <c r="N8" s="21">
        <f>(E8*F8)+ (E8*G8*1.25) +(E8*H8*1.5)+(E8*I8*1.2)+ (E8*J8*1.25)+ (E8*K8*1.5)+D8/21*L8</f>
        <v>98564.24107142857</v>
      </c>
      <c r="O8" s="109">
        <v>8664.76</v>
      </c>
      <c r="P8" s="21">
        <f>+N8+O8</f>
        <v>107229.00107142856</v>
      </c>
      <c r="Q8" s="110">
        <f>IF(P8&gt;132312,132312,IF(P8&lt;30000,30000,P8))</f>
        <v>107229.00107142856</v>
      </c>
      <c r="R8" s="27">
        <f>Q8*0.095</f>
        <v>10186.755101785713</v>
      </c>
      <c r="S8" s="27">
        <f>P8*0.017</f>
        <v>1822.8930182142856</v>
      </c>
      <c r="T8" s="27">
        <f>R8+S8</f>
        <v>12009.648119999998</v>
      </c>
      <c r="U8" s="27">
        <f>Q8*0.15</f>
        <v>16084.350160714283</v>
      </c>
      <c r="V8" s="27">
        <f>P8*0.017</f>
        <v>1822.8930182142856</v>
      </c>
      <c r="W8" s="27">
        <f>U8+V8</f>
        <v>17907.24317892857</v>
      </c>
      <c r="X8" s="27">
        <f>P8</f>
        <v>107229.00107142856</v>
      </c>
      <c r="Y8" s="27">
        <f>IF(AND(X8&gt;30000,X8&lt;150000),(X8-30000)*0.13,IF(X8&gt;150000,((X8-150000)*0.23+15600)))+IF(X8&lt;30000,0)</f>
        <v>10039.770139285713</v>
      </c>
      <c r="Z8" s="27">
        <f>P8-T8-Y8</f>
        <v>85179.58281214285</v>
      </c>
      <c r="AA8" s="111">
        <f>+Z8/$D$15</f>
        <v>702.4540888350887</v>
      </c>
      <c r="AB8" s="29">
        <f>(P8+W8)/$D$15</f>
        <v>1031.966388342051</v>
      </c>
      <c r="AC8" s="30">
        <f>AB8*0.09</f>
        <v>92.87697495078459</v>
      </c>
      <c r="AD8" s="30">
        <f>AB8+AC8</f>
        <v>1124.8433632928356</v>
      </c>
      <c r="AE8" s="30">
        <v>0</v>
      </c>
      <c r="AF8" s="31">
        <f>AD8+AE8</f>
        <v>1124.8433632928356</v>
      </c>
    </row>
    <row r="9" spans="1:32" x14ac:dyDescent="0.25">
      <c r="A9" s="112">
        <v>2</v>
      </c>
      <c r="B9" s="113" t="s">
        <v>34</v>
      </c>
      <c r="C9" s="114">
        <v>520</v>
      </c>
      <c r="D9" s="115">
        <f>+F20</f>
        <v>78041</v>
      </c>
      <c r="E9" s="21">
        <f>D9/21/8</f>
        <v>464.5297619047619</v>
      </c>
      <c r="F9" s="22">
        <v>40</v>
      </c>
      <c r="G9" s="23">
        <v>25</v>
      </c>
      <c r="H9" s="23">
        <v>40</v>
      </c>
      <c r="I9" s="23">
        <v>15</v>
      </c>
      <c r="J9" s="22">
        <v>0</v>
      </c>
      <c r="K9" s="24">
        <v>48</v>
      </c>
      <c r="L9" s="25">
        <v>0</v>
      </c>
      <c r="M9" s="23">
        <v>14</v>
      </c>
      <c r="N9" s="21">
        <f>(E9*F9)+ (E9*G9*1.25) +(E9*H9*1.5)+(E9*I9*1.2)+ (E9*J9*1.25)+ (E9*K9*1.5)+D9/21*L9</f>
        <v>102777.20982142858</v>
      </c>
      <c r="O9" s="109">
        <v>9012.79</v>
      </c>
      <c r="P9" s="21">
        <f>+N9+O9</f>
        <v>111789.99982142859</v>
      </c>
      <c r="Q9" s="110">
        <f>IF(P9&gt;132312,132312,IF(P9&lt;30000,30000,P9))</f>
        <v>111789.99982142859</v>
      </c>
      <c r="R9" s="27">
        <f>Q9*0.095</f>
        <v>10620.049983035717</v>
      </c>
      <c r="S9" s="27">
        <f>P9*0.017</f>
        <v>1900.4299969642861</v>
      </c>
      <c r="T9" s="27">
        <f>R9+S9</f>
        <v>12520.479980000004</v>
      </c>
      <c r="U9" s="27">
        <f>Q9*0.15</f>
        <v>16768.499973214286</v>
      </c>
      <c r="V9" s="27">
        <f>P9*0.017</f>
        <v>1900.4299969642861</v>
      </c>
      <c r="W9" s="27">
        <f>U9+V9</f>
        <v>18668.92997017857</v>
      </c>
      <c r="X9" s="27">
        <f>P9</f>
        <v>111789.99982142859</v>
      </c>
      <c r="Y9" s="27">
        <f>IF(AND(X9&gt;30000,X9&lt;150000),(X9-30000)*0.13,IF(X9&gt;150000,((X9-150000)*0.23+15600)))+IF(X9&lt;30000,0)</f>
        <v>10632.699976785716</v>
      </c>
      <c r="Z9" s="27">
        <f>P9-T9-Y9</f>
        <v>88636.81986464286</v>
      </c>
      <c r="AA9" s="111">
        <f>+Z9/$D$15</f>
        <v>730.9650326953889</v>
      </c>
      <c r="AB9" s="29">
        <f>(P9+W9)/$D$15</f>
        <v>1075.8612056045454</v>
      </c>
      <c r="AC9" s="30">
        <f>AB9*0.09</f>
        <v>96.82750850440908</v>
      </c>
      <c r="AD9" s="30">
        <f>AB9+AC9</f>
        <v>1172.6887141089544</v>
      </c>
      <c r="AE9" s="30">
        <v>0</v>
      </c>
      <c r="AF9" s="31">
        <f>AD9+AE9</f>
        <v>1172.6887141089544</v>
      </c>
    </row>
    <row r="10" spans="1:32" x14ac:dyDescent="0.25">
      <c r="A10" s="18">
        <v>3</v>
      </c>
      <c r="B10" s="113" t="s">
        <v>34</v>
      </c>
      <c r="C10" s="114">
        <v>550</v>
      </c>
      <c r="D10" s="115">
        <f>+F21</f>
        <v>82841</v>
      </c>
      <c r="E10" s="21">
        <f>D10/21/8</f>
        <v>493.1011904761905</v>
      </c>
      <c r="F10" s="22">
        <v>40</v>
      </c>
      <c r="G10" s="23">
        <v>25</v>
      </c>
      <c r="H10" s="23">
        <v>40</v>
      </c>
      <c r="I10" s="23">
        <v>15</v>
      </c>
      <c r="J10" s="22">
        <v>0</v>
      </c>
      <c r="K10" s="24">
        <v>48</v>
      </c>
      <c r="L10" s="25">
        <v>0</v>
      </c>
      <c r="M10" s="23">
        <v>14</v>
      </c>
      <c r="N10" s="21">
        <f>(E10*F10)+ (E10*G10*1.25) +(E10*H10*1.5)+(E10*I10*1.2)+ (E10*J10*1.25)+ (E10*K10*1.5)+D10/21*L10</f>
        <v>109098.63839285713</v>
      </c>
      <c r="O10" s="109">
        <v>9531.36</v>
      </c>
      <c r="P10" s="21">
        <f>+N10+O10</f>
        <v>118629.99839285713</v>
      </c>
      <c r="Q10" s="110">
        <f>IF(P10&gt;132312,132312,IF(P10&lt;30000,30000,P10))</f>
        <v>118629.99839285713</v>
      </c>
      <c r="R10" s="27">
        <f>Q10*0.095</f>
        <v>11269.849847321428</v>
      </c>
      <c r="S10" s="27">
        <f>P10*0.017</f>
        <v>2016.7099726785714</v>
      </c>
      <c r="T10" s="27">
        <f>R10+S10</f>
        <v>13286.559819999999</v>
      </c>
      <c r="U10" s="27">
        <f>Q10*0.15</f>
        <v>17794.49975892857</v>
      </c>
      <c r="V10" s="27">
        <f>P10*0.017</f>
        <v>2016.7099726785714</v>
      </c>
      <c r="W10" s="27">
        <f>U10+V10</f>
        <v>19811.20973160714</v>
      </c>
      <c r="X10" s="27">
        <f>P10</f>
        <v>118629.99839285713</v>
      </c>
      <c r="Y10" s="27">
        <f>IF(AND(X10&gt;30000,X10&lt;150000),(X10-30000)*0.13,IF(X10&gt;150000,((X10-150000)*0.23+15600)))+IF(X10&lt;30000,0)</f>
        <v>11521.899791071428</v>
      </c>
      <c r="Z10" s="27">
        <f>P10-T10-Y10</f>
        <v>93821.53878178571</v>
      </c>
      <c r="AA10" s="111">
        <f>+Z10/$D$15</f>
        <v>773.7220747302136</v>
      </c>
      <c r="AB10" s="29">
        <f>(P10+W10)/$D$15</f>
        <v>1141.6889998718807</v>
      </c>
      <c r="AC10" s="30">
        <f>AB10*0.09</f>
        <v>102.75200998846925</v>
      </c>
      <c r="AD10" s="30">
        <f>AB10+AC10</f>
        <v>1244.44100986035</v>
      </c>
      <c r="AE10" s="30">
        <v>0</v>
      </c>
      <c r="AF10" s="31">
        <f>AD10+AE10</f>
        <v>1244.44100986035</v>
      </c>
    </row>
    <row r="11" spans="1:32" x14ac:dyDescent="0.25">
      <c r="A11" s="112">
        <v>4</v>
      </c>
      <c r="B11" s="113" t="s">
        <v>34</v>
      </c>
      <c r="C11" s="114">
        <v>570</v>
      </c>
      <c r="D11" s="115">
        <f>+F22</f>
        <v>86039</v>
      </c>
      <c r="E11" s="21">
        <f t="shared" ref="E11:E12" si="0">D11/21/8</f>
        <v>512.1369047619048</v>
      </c>
      <c r="F11" s="22">
        <v>40</v>
      </c>
      <c r="G11" s="23">
        <v>25</v>
      </c>
      <c r="H11" s="23">
        <v>40</v>
      </c>
      <c r="I11" s="23">
        <v>15</v>
      </c>
      <c r="J11" s="22">
        <v>0</v>
      </c>
      <c r="K11" s="24">
        <v>48</v>
      </c>
      <c r="L11" s="25">
        <v>0</v>
      </c>
      <c r="M11" s="23">
        <v>14</v>
      </c>
      <c r="N11" s="21">
        <f t="shared" ref="N11:N12" si="1">(E11*F11)+ (E11*G11*1.25) +(E11*H11*1.5)+(E11*I11*1.2)+ (E11*J11*1.25)+ (E11*K11*1.5)+D11/21*L11</f>
        <v>113310.29017857143</v>
      </c>
      <c r="O11" s="109">
        <v>9878.71</v>
      </c>
      <c r="P11" s="21">
        <f>+N11+O11</f>
        <v>123189.00017857144</v>
      </c>
      <c r="Q11" s="110">
        <f>IF(P11&gt;132312,132312,IF(P11&lt;30000,30000,P11))</f>
        <v>123189.00017857144</v>
      </c>
      <c r="R11" s="27">
        <f t="shared" ref="R11:R12" si="2">Q11*0.095</f>
        <v>11702.955016964286</v>
      </c>
      <c r="S11" s="27">
        <f t="shared" ref="S11:S12" si="3">P11*0.017</f>
        <v>2094.213003035715</v>
      </c>
      <c r="T11" s="27">
        <f t="shared" ref="T11:T12" si="4">R11+S11</f>
        <v>13797.168020000001</v>
      </c>
      <c r="U11" s="27">
        <f t="shared" ref="U11:U12" si="5">Q11*0.15</f>
        <v>18478.350026785716</v>
      </c>
      <c r="V11" s="27">
        <f t="shared" ref="V11:V12" si="6">P11*0.017</f>
        <v>2094.213003035715</v>
      </c>
      <c r="W11" s="27">
        <f t="shared" ref="W11:W12" si="7">U11+V11</f>
        <v>20572.56302982143</v>
      </c>
      <c r="X11" s="27">
        <f t="shared" ref="X11:X12" si="8">P11</f>
        <v>123189.00017857144</v>
      </c>
      <c r="Y11" s="27">
        <f t="shared" ref="Y11:Y12" si="9">IF(AND(X11&gt;30000,X11&lt;150000),(X11-30000)*0.13,IF(X11&gt;150000,((X11-150000)*0.23+15600)))+IF(X11&lt;30000,0)</f>
        <v>12114.570023214288</v>
      </c>
      <c r="Z11" s="27">
        <f t="shared" ref="Z11:Z12" si="10">P11-T11-Y11</f>
        <v>97277.26213535716</v>
      </c>
      <c r="AA11" s="111">
        <f>+Z11/$D$15</f>
        <v>802.2205355051719</v>
      </c>
      <c r="AB11" s="29">
        <f>(P11+W11)/$D$15</f>
        <v>1185.5645984528524</v>
      </c>
      <c r="AC11" s="30">
        <f t="shared" ref="AC11:AC12" si="11">AB11*0.09</f>
        <v>106.70081386075671</v>
      </c>
      <c r="AD11" s="30">
        <f t="shared" ref="AD11:AD12" si="12">AB11+AC11</f>
        <v>1292.265412313609</v>
      </c>
      <c r="AE11" s="30">
        <v>0</v>
      </c>
      <c r="AF11" s="31">
        <f t="shared" ref="AF11:AF12" si="13">AD11+AE11</f>
        <v>1292.265412313609</v>
      </c>
    </row>
    <row r="12" ht="16.5" customHeight="1" spans="1:32" x14ac:dyDescent="0.25">
      <c r="A12" s="18">
        <v>5</v>
      </c>
      <c r="B12" s="113" t="s">
        <v>34</v>
      </c>
      <c r="C12" s="114">
        <v>620</v>
      </c>
      <c r="D12" s="115">
        <f>+F23</f>
        <v>94038</v>
      </c>
      <c r="E12" s="21">
        <f t="shared" si="0"/>
        <v>559.75</v>
      </c>
      <c r="F12" s="22">
        <v>40</v>
      </c>
      <c r="G12" s="23">
        <v>25</v>
      </c>
      <c r="H12" s="23">
        <v>40</v>
      </c>
      <c r="I12" s="23">
        <v>15</v>
      </c>
      <c r="J12" s="22">
        <v>0</v>
      </c>
      <c r="K12" s="24">
        <v>48</v>
      </c>
      <c r="L12" s="25">
        <v>0</v>
      </c>
      <c r="M12" s="23">
        <v>14</v>
      </c>
      <c r="N12" s="21">
        <f t="shared" si="1"/>
        <v>123844.6875</v>
      </c>
      <c r="O12" s="109">
        <v>10491.31</v>
      </c>
      <c r="P12" s="21">
        <f t="shared" ref="P12" si="14">+N12+O12</f>
        <v>134335.9975</v>
      </c>
      <c r="Q12" s="110">
        <f t="shared" ref="Q12" si="15">IF(P12&gt;132312,132312,IF(P12&lt;30000,30000,P12))</f>
        <v>132312</v>
      </c>
      <c r="R12" s="27">
        <f t="shared" si="2"/>
        <v>12569.64</v>
      </c>
      <c r="S12" s="27">
        <f t="shared" si="3"/>
        <v>2283.7119575</v>
      </c>
      <c r="T12" s="27">
        <f t="shared" si="4"/>
        <v>14853.3519575</v>
      </c>
      <c r="U12" s="27">
        <f t="shared" si="5"/>
        <v>19846.8</v>
      </c>
      <c r="V12" s="27">
        <f t="shared" si="6"/>
        <v>2283.7119575</v>
      </c>
      <c r="W12" s="27">
        <f t="shared" si="7"/>
        <v>22130.5119575</v>
      </c>
      <c r="X12" s="27">
        <f t="shared" si="8"/>
        <v>134335.9975</v>
      </c>
      <c r="Y12" s="27">
        <f t="shared" si="9"/>
        <v>13563.679675</v>
      </c>
      <c r="Z12" s="27">
        <f t="shared" si="10"/>
        <v>105918.9658675</v>
      </c>
      <c r="AA12" s="111">
        <f>+Z12/$D$15</f>
        <v>873.4864412625762</v>
      </c>
      <c r="AB12" s="29">
        <f>(P12+W12)/$D$15</f>
        <v>1290.3390191118258</v>
      </c>
      <c r="AC12" s="30">
        <f t="shared" si="11"/>
        <v>116.13051172006432</v>
      </c>
      <c r="AD12" s="30">
        <f t="shared" si="12"/>
        <v>1406.46953083189</v>
      </c>
      <c r="AE12" s="30">
        <v>0</v>
      </c>
      <c r="AF12" s="31">
        <f t="shared" si="13"/>
        <v>1406.46953083189</v>
      </c>
    </row>
    <row r="13" ht="15" customHeight="1" spans="1:32" s="32" customFormat="1" x14ac:dyDescent="0.25">
      <c r="A13" s="33"/>
      <c r="B13" s="34" t="s">
        <v>35</v>
      </c>
      <c r="C13" s="34"/>
      <c r="D13" s="34">
        <f t="shared" ref="D13:AF13" si="16">SUM(D8:D12)</f>
        <v>415801</v>
      </c>
      <c r="E13" s="34">
        <f t="shared" si="16"/>
        <v>2475.0059523809523</v>
      </c>
      <c r="F13" s="34">
        <f t="shared" si="16"/>
        <v>200</v>
      </c>
      <c r="G13" s="34">
        <f t="shared" si="16"/>
        <v>125</v>
      </c>
      <c r="H13" s="34">
        <f t="shared" si="16"/>
        <v>200</v>
      </c>
      <c r="I13" s="34">
        <f t="shared" si="16"/>
        <v>75</v>
      </c>
      <c r="J13" s="34">
        <f t="shared" si="16"/>
        <v>0</v>
      </c>
      <c r="K13" s="34">
        <f t="shared" si="16"/>
        <v>240</v>
      </c>
      <c r="L13" s="34">
        <f t="shared" si="16"/>
        <v>0</v>
      </c>
      <c r="M13" s="34">
        <f t="shared" si="16"/>
        <v>70</v>
      </c>
      <c r="N13" s="34">
        <f t="shared" si="16"/>
        <v>547595.0669642857</v>
      </c>
      <c r="O13" s="116">
        <f t="shared" si="16"/>
        <v>47578.93</v>
      </c>
      <c r="P13" s="34">
        <f t="shared" si="16"/>
        <v>595173.9969642857</v>
      </c>
      <c r="Q13" s="117">
        <f t="shared" si="16"/>
        <v>593149.9994642858</v>
      </c>
      <c r="R13" s="34">
        <f t="shared" si="16"/>
        <v>56349.24994910714</v>
      </c>
      <c r="S13" s="34">
        <f t="shared" si="16"/>
        <v>10117.957948392857</v>
      </c>
      <c r="T13" s="34">
        <f t="shared" si="16"/>
        <v>66467.20789749999</v>
      </c>
      <c r="U13" s="34">
        <f t="shared" si="16"/>
        <v>88972.49991964285</v>
      </c>
      <c r="V13" s="34">
        <f t="shared" si="16"/>
        <v>10117.957948392857</v>
      </c>
      <c r="W13" s="34">
        <f t="shared" si="16"/>
        <v>99090.45786803572</v>
      </c>
      <c r="X13" s="34">
        <f t="shared" si="16"/>
        <v>595173.9969642857</v>
      </c>
      <c r="Y13" s="34">
        <f t="shared" si="16"/>
        <v>57872.61960535714</v>
      </c>
      <c r="Z13" s="34">
        <f t="shared" si="16"/>
        <v>470834.1694614286</v>
      </c>
      <c r="AA13" s="118">
        <f t="shared" si="16"/>
        <v>3882.8481730284393</v>
      </c>
      <c r="AB13" s="119">
        <f t="shared" si="16"/>
        <v>5725.420211383155</v>
      </c>
      <c r="AC13" s="119">
        <f t="shared" si="16"/>
        <v>515.287819024484</v>
      </c>
      <c r="AD13" s="119">
        <f t="shared" si="16"/>
        <v>6240.708030407639</v>
      </c>
      <c r="AE13" s="119">
        <f t="shared" si="16"/>
        <v>0</v>
      </c>
      <c r="AF13" s="120">
        <f t="shared" si="16"/>
        <v>6240.708030407639</v>
      </c>
    </row>
    <row r="14" ht="15" customHeight="1" x14ac:dyDescent="0.25"/>
    <row r="15" spans="2:27" x14ac:dyDescent="0.25">
      <c r="B15" s="121" t="s">
        <v>36</v>
      </c>
      <c r="C15" s="122"/>
      <c r="D15" s="40">
        <v>121.26</v>
      </c>
      <c r="E15" s="40" t="s">
        <v>37</v>
      </c>
      <c r="K15" s="123">
        <f>+F13+G13+H13+J13+K13+I13</f>
        <v>840</v>
      </c>
      <c r="R15" s="42"/>
      <c r="W15" s="124" t="s">
        <v>75</v>
      </c>
      <c r="X15" s="125" t="s">
        <v>38</v>
      </c>
      <c r="Y15" s="125"/>
      <c r="Z15" s="125"/>
      <c r="AA15" s="126">
        <v>648.29</v>
      </c>
    </row>
    <row r="16" spans="14:28" x14ac:dyDescent="0.25">
      <c r="N16" s="42"/>
      <c r="O16" s="42"/>
      <c r="P16" s="42"/>
      <c r="W16" s="127"/>
      <c r="X16" s="45" t="s">
        <v>76</v>
      </c>
      <c r="Y16" s="45"/>
      <c r="Z16" s="45"/>
      <c r="AA16" s="128">
        <f>+G19</f>
        <v>54.16666666666667</v>
      </c>
      <c r="AB16" s="79"/>
    </row>
    <row r="17" spans="3:28" x14ac:dyDescent="0.25">
      <c r="C17" s="129" t="s">
        <v>77</v>
      </c>
      <c r="D17" s="129"/>
      <c r="E17" s="130" t="s">
        <v>78</v>
      </c>
      <c r="F17" s="130"/>
      <c r="G17" s="131" t="s">
        <v>79</v>
      </c>
      <c r="H17" s="131"/>
      <c r="I17" s="132" t="s">
        <v>80</v>
      </c>
      <c r="J17" s="132"/>
      <c r="N17" s="42"/>
      <c r="O17" s="42"/>
      <c r="P17" s="42"/>
      <c r="W17" s="127"/>
      <c r="X17" s="48" t="s">
        <v>42</v>
      </c>
      <c r="Y17" s="48"/>
      <c r="Z17" s="48"/>
      <c r="AA17" s="133">
        <f>+AA15+AA16</f>
        <v>702.4566666666666</v>
      </c>
      <c r="AB17" s="134">
        <f>+AA17-AA8</f>
        <v>0.0025778315779234617</v>
      </c>
    </row>
    <row r="18" ht="17.25" customHeight="1" spans="3:28" s="8" customFormat="1" x14ac:dyDescent="0.25">
      <c r="C18" s="135" t="s">
        <v>40</v>
      </c>
      <c r="D18" s="135" t="s">
        <v>41</v>
      </c>
      <c r="E18" s="136" t="s">
        <v>40</v>
      </c>
      <c r="F18" s="136" t="s">
        <v>41</v>
      </c>
      <c r="G18" s="137" t="s">
        <v>40</v>
      </c>
      <c r="H18" s="137" t="s">
        <v>41</v>
      </c>
      <c r="I18" s="138" t="s">
        <v>40</v>
      </c>
      <c r="J18" s="138" t="s">
        <v>41</v>
      </c>
      <c r="W18" s="127"/>
      <c r="X18" s="43" t="s">
        <v>44</v>
      </c>
      <c r="Y18" s="43"/>
      <c r="Z18" s="43"/>
      <c r="AA18" s="139">
        <f>+AA17*$D$15</f>
        <v>85179.8954</v>
      </c>
      <c r="AB18" s="140"/>
    </row>
    <row r="19" spans="2:28" x14ac:dyDescent="0.25">
      <c r="B19" s="80" t="s">
        <v>81</v>
      </c>
      <c r="C19" s="141">
        <v>500</v>
      </c>
      <c r="D19" s="142">
        <f>+C19*$D$15</f>
        <v>60630</v>
      </c>
      <c r="E19" s="143">
        <f>+F19/$D$15</f>
        <v>617.202704931552</v>
      </c>
      <c r="F19" s="144">
        <v>74842</v>
      </c>
      <c r="G19" s="145">
        <f>+(C19/21*7*7.5%)+(C19/21*7*25%)</f>
        <v>54.16666666666667</v>
      </c>
      <c r="H19" s="146">
        <f>+G19*$D$15</f>
        <v>6568.250000000001</v>
      </c>
      <c r="I19" s="147">
        <f>+J19/$D$15</f>
        <v>71.45603602648387</v>
      </c>
      <c r="J19" s="148">
        <f>+AA20</f>
        <v>8664.758928571435</v>
      </c>
      <c r="W19" s="127"/>
      <c r="X19" s="57" t="s">
        <v>46</v>
      </c>
      <c r="Y19" s="58"/>
      <c r="Z19" s="59"/>
      <c r="AA19" s="139">
        <v>107229</v>
      </c>
      <c r="AB19" s="79"/>
    </row>
    <row r="20" ht="15" customHeight="1" spans="2:28" x14ac:dyDescent="0.25">
      <c r="B20" s="80" t="s">
        <v>82</v>
      </c>
      <c r="C20" s="149">
        <v>520</v>
      </c>
      <c r="D20" s="142">
        <f t="shared" ref="D20:D23" si="17">+C20*$D$15</f>
        <v>63055.200000000004</v>
      </c>
      <c r="E20" s="150">
        <f t="shared" ref="E20:E23" si="18">+F20/$D$15</f>
        <v>643.5840343064489</v>
      </c>
      <c r="F20" s="144">
        <v>78041</v>
      </c>
      <c r="G20" s="145">
        <f t="shared" ref="G20:G23" si="19">+(C20/21*7*7.5%)+(C20/21*7*25%)</f>
        <v>56.333333333333336</v>
      </c>
      <c r="H20" s="146">
        <f t="shared" ref="H20:H23" si="20">+G20*$D$15</f>
        <v>6830.9800000000005</v>
      </c>
      <c r="I20" s="147">
        <f t="shared" ref="I20:I23" si="21">+J20/$D$15</f>
        <v>74.32616013995893</v>
      </c>
      <c r="J20" s="148">
        <f>+AA28</f>
        <v>9012.79017857142</v>
      </c>
      <c r="S20" s="42"/>
      <c r="T20" s="42"/>
      <c r="W20" s="151"/>
      <c r="X20" s="152" t="s">
        <v>47</v>
      </c>
      <c r="Y20" s="152"/>
      <c r="Z20" s="152"/>
      <c r="AA20" s="153">
        <f>+AA19-N8</f>
        <v>8664.758928571435</v>
      </c>
      <c r="AB20" s="79"/>
    </row>
    <row r="21" spans="2:28" x14ac:dyDescent="0.25">
      <c r="B21" s="80" t="s">
        <v>83</v>
      </c>
      <c r="C21" s="149">
        <v>550</v>
      </c>
      <c r="D21" s="142">
        <f>+C21*$D$15</f>
        <v>66693</v>
      </c>
      <c r="E21" s="150">
        <f t="shared" si="18"/>
        <v>683.1683984825994</v>
      </c>
      <c r="F21" s="144">
        <v>82841</v>
      </c>
      <c r="G21" s="145">
        <f t="shared" si="19"/>
        <v>59.58333333333333</v>
      </c>
      <c r="H21" s="146">
        <f t="shared" si="20"/>
        <v>7225.075</v>
      </c>
      <c r="I21" s="147">
        <f t="shared" si="21"/>
        <v>78.60268519827535</v>
      </c>
      <c r="J21" s="148">
        <f>+AA36</f>
        <v>9531.36160714287</v>
      </c>
      <c r="S21" s="42"/>
      <c r="T21" s="42"/>
      <c r="W21" s="154"/>
      <c r="AA21" s="42"/>
      <c r="AB21" s="79"/>
    </row>
    <row r="22" ht="15" customHeight="1" spans="2:28" x14ac:dyDescent="0.25">
      <c r="B22" s="80" t="s">
        <v>84</v>
      </c>
      <c r="C22" s="149">
        <v>570</v>
      </c>
      <c r="D22" s="142">
        <f t="shared" si="17"/>
        <v>69118.2</v>
      </c>
      <c r="E22" s="150">
        <f t="shared" si="18"/>
        <v>709.5414811149595</v>
      </c>
      <c r="F22" s="144">
        <v>86039</v>
      </c>
      <c r="G22" s="145">
        <f t="shared" si="19"/>
        <v>61.75</v>
      </c>
      <c r="H22" s="146">
        <f t="shared" si="20"/>
        <v>7487.805</v>
      </c>
      <c r="I22" s="147">
        <f t="shared" si="21"/>
        <v>81.46717649207129</v>
      </c>
      <c r="J22" s="148">
        <f>+AA44</f>
        <v>9878.709821428565</v>
      </c>
      <c r="S22" s="42"/>
      <c r="T22" s="42"/>
      <c r="AA22" s="42"/>
      <c r="AB22" s="79"/>
    </row>
    <row r="23" ht="15" customHeight="1" spans="2:28" x14ac:dyDescent="0.25">
      <c r="B23" s="80" t="s">
        <v>85</v>
      </c>
      <c r="C23" s="149">
        <v>620</v>
      </c>
      <c r="D23" s="142">
        <f t="shared" si="17"/>
        <v>75181.2</v>
      </c>
      <c r="E23" s="150">
        <f t="shared" si="18"/>
        <v>775.5071746660069</v>
      </c>
      <c r="F23" s="144">
        <v>94038</v>
      </c>
      <c r="G23" s="145">
        <f t="shared" si="19"/>
        <v>67.16666666666667</v>
      </c>
      <c r="H23" s="146">
        <f t="shared" si="20"/>
        <v>8144.630000000001</v>
      </c>
      <c r="I23" s="147">
        <f t="shared" si="21"/>
        <v>86.51915305954148</v>
      </c>
      <c r="J23" s="148">
        <f>+AA52</f>
        <v>10491.3125</v>
      </c>
      <c r="S23" s="42"/>
      <c r="T23" s="42"/>
      <c r="W23" s="124" t="s">
        <v>86</v>
      </c>
      <c r="X23" s="125" t="s">
        <v>38</v>
      </c>
      <c r="Y23" s="125"/>
      <c r="Z23" s="125"/>
      <c r="AA23" s="126">
        <v>674.63</v>
      </c>
      <c r="AB23" s="79"/>
    </row>
    <row r="24" spans="2:28" x14ac:dyDescent="0.25">
      <c r="B24" s="155"/>
      <c r="C24" s="156"/>
      <c r="D24" s="157"/>
      <c r="E24" s="158"/>
      <c r="J24" s="42"/>
      <c r="S24" s="42"/>
      <c r="T24" s="42"/>
      <c r="W24" s="127"/>
      <c r="X24" s="45" t="s">
        <v>76</v>
      </c>
      <c r="Y24" s="45"/>
      <c r="Z24" s="45"/>
      <c r="AA24" s="128">
        <f>+G20</f>
        <v>56.333333333333336</v>
      </c>
      <c r="AB24" s="79"/>
    </row>
    <row r="25" spans="2:28" x14ac:dyDescent="0.25">
      <c r="B25" s="159" t="s">
        <v>48</v>
      </c>
      <c r="C25" s="159"/>
      <c r="D25" s="159"/>
      <c r="E25" s="159"/>
      <c r="F25" s="68"/>
      <c r="G25" s="68"/>
      <c r="H25" s="69"/>
      <c r="I25" s="70"/>
      <c r="J25" s="70"/>
      <c r="K25" s="71"/>
      <c r="P25" s="42"/>
      <c r="Q25" s="42"/>
      <c r="W25" s="127"/>
      <c r="X25" s="48" t="s">
        <v>42</v>
      </c>
      <c r="Y25" s="48"/>
      <c r="Z25" s="48"/>
      <c r="AA25" s="133">
        <f>+AA23+AA24</f>
        <v>730.9633333333334</v>
      </c>
      <c r="AB25" s="134">
        <f>+AA9-AA25</f>
        <v>0.0016993620555467714</v>
      </c>
    </row>
    <row r="26" spans="2:28" x14ac:dyDescent="0.25">
      <c r="B26" s="80" t="s">
        <v>51</v>
      </c>
      <c r="C26" s="80"/>
      <c r="D26" s="80" t="s">
        <v>52</v>
      </c>
      <c r="E26" s="80"/>
      <c r="F26" s="60"/>
      <c r="G26" s="60"/>
      <c r="H26" s="69"/>
      <c r="I26" s="70"/>
      <c r="J26" s="70"/>
      <c r="K26" s="71"/>
      <c r="P26" s="42"/>
      <c r="Q26" s="42"/>
      <c r="W26" s="127"/>
      <c r="X26" s="43" t="s">
        <v>44</v>
      </c>
      <c r="Y26" s="43"/>
      <c r="Z26" s="43"/>
      <c r="AA26" s="139">
        <f>+AA25*$D$15</f>
        <v>88636.6138</v>
      </c>
      <c r="AB26" s="79"/>
    </row>
    <row r="27" ht="14.25" customHeight="1" spans="2:28" x14ac:dyDescent="0.25">
      <c r="B27" s="80" t="s">
        <v>53</v>
      </c>
      <c r="C27" s="80"/>
      <c r="D27" s="80" t="s">
        <v>54</v>
      </c>
      <c r="E27" s="80"/>
      <c r="F27" s="60"/>
      <c r="G27" s="60"/>
      <c r="H27" s="69"/>
      <c r="I27" s="70"/>
      <c r="J27" s="70"/>
      <c r="K27" s="71"/>
      <c r="P27" s="42"/>
      <c r="Q27" s="42"/>
      <c r="W27" s="127"/>
      <c r="X27" s="57" t="s">
        <v>46</v>
      </c>
      <c r="Y27" s="58"/>
      <c r="Z27" s="59"/>
      <c r="AA27" s="139">
        <v>111790</v>
      </c>
      <c r="AB27" s="79"/>
    </row>
    <row r="28" ht="14.25" customHeight="1" spans="2:28" x14ac:dyDescent="0.25">
      <c r="B28" s="70"/>
      <c r="C28" s="70"/>
      <c r="D28" s="70"/>
      <c r="E28" s="70"/>
      <c r="F28" s="71"/>
      <c r="G28" s="71"/>
      <c r="H28" s="69"/>
      <c r="I28" s="70"/>
      <c r="J28" s="70"/>
      <c r="K28" s="71"/>
      <c r="P28" s="42"/>
      <c r="Q28" s="42"/>
      <c r="W28" s="151"/>
      <c r="X28" s="152" t="s">
        <v>47</v>
      </c>
      <c r="Y28" s="152"/>
      <c r="Z28" s="152"/>
      <c r="AA28" s="153">
        <f>+AA27-N9</f>
        <v>9012.79017857142</v>
      </c>
      <c r="AB28" s="79"/>
    </row>
    <row r="29" ht="14.25" customHeight="1" spans="6:28" x14ac:dyDescent="0.25">
      <c r="F29" s="79"/>
      <c r="G29" s="71"/>
      <c r="H29" s="71"/>
      <c r="I29" s="71"/>
      <c r="J29" s="69"/>
      <c r="K29" s="70"/>
      <c r="L29" s="70"/>
      <c r="M29" s="71"/>
      <c r="R29" s="42"/>
      <c r="S29" s="42"/>
      <c r="AB29" s="79"/>
    </row>
    <row r="30" ht="14.25" customHeight="1" spans="2:28" x14ac:dyDescent="0.25">
      <c r="B30" s="160" t="s">
        <v>56</v>
      </c>
      <c r="C30" s="161"/>
      <c r="D30" s="162"/>
      <c r="F30" s="79"/>
      <c r="G30" s="71"/>
      <c r="H30" s="71"/>
      <c r="I30" s="71"/>
      <c r="J30" s="70"/>
      <c r="K30" s="70"/>
      <c r="L30" s="70"/>
      <c r="M30" s="71"/>
      <c r="R30" s="42"/>
      <c r="S30" s="42"/>
      <c r="AB30" s="79"/>
    </row>
    <row r="31" ht="14.25" customHeight="1" spans="2:28" x14ac:dyDescent="0.25">
      <c r="B31" s="79"/>
      <c r="C31" s="79"/>
      <c r="S31" s="42"/>
      <c r="T31" s="42"/>
      <c r="W31" s="124" t="s">
        <v>87</v>
      </c>
      <c r="X31" s="125" t="s">
        <v>38</v>
      </c>
      <c r="Y31" s="125"/>
      <c r="Z31" s="125"/>
      <c r="AA31" s="126">
        <v>714.14</v>
      </c>
      <c r="AB31" s="79"/>
    </row>
    <row r="32" ht="14.25" customHeight="1" spans="2:28" x14ac:dyDescent="0.25">
      <c r="B32" s="74"/>
      <c r="C32" s="75"/>
      <c r="D32" s="76"/>
      <c r="E32" s="80" t="s">
        <v>57</v>
      </c>
      <c r="F32" s="80" t="s">
        <v>58</v>
      </c>
      <c r="G32" s="80" t="s">
        <v>35</v>
      </c>
      <c r="M32" s="79"/>
      <c r="S32" s="42"/>
      <c r="T32" s="42"/>
      <c r="W32" s="127"/>
      <c r="X32" s="45" t="s">
        <v>76</v>
      </c>
      <c r="Y32" s="45"/>
      <c r="Z32" s="45"/>
      <c r="AA32" s="128">
        <f>+G21</f>
        <v>59.58333333333333</v>
      </c>
      <c r="AB32" s="79"/>
    </row>
    <row r="33" ht="14.25" customHeight="1" spans="2:28" x14ac:dyDescent="0.25">
      <c r="B33" s="163" t="s">
        <v>59</v>
      </c>
      <c r="C33" s="164"/>
      <c r="D33" s="165"/>
      <c r="E33" s="82">
        <v>8</v>
      </c>
      <c r="F33" s="82">
        <v>5</v>
      </c>
      <c r="G33" s="166">
        <f>+E33*F33</f>
        <v>40</v>
      </c>
      <c r="M33" s="79"/>
      <c r="S33" s="42"/>
      <c r="T33" s="42"/>
      <c r="W33" s="127"/>
      <c r="X33" s="48" t="s">
        <v>42</v>
      </c>
      <c r="Y33" s="48"/>
      <c r="Z33" s="48"/>
      <c r="AA33" s="133">
        <f>+AA31+AA32</f>
        <v>773.7233333333334</v>
      </c>
      <c r="AB33" s="134">
        <f>+AA10-AA33</f>
        <v>-0.0012586031197088232</v>
      </c>
    </row>
    <row r="34" ht="14.25" customHeight="1" spans="2:28" x14ac:dyDescent="0.25">
      <c r="B34" s="163" t="s">
        <v>60</v>
      </c>
      <c r="C34" s="164"/>
      <c r="D34" s="165"/>
      <c r="E34" s="82">
        <v>4</v>
      </c>
      <c r="F34" s="82">
        <v>5</v>
      </c>
      <c r="G34" s="166">
        <f>+E34*F34</f>
        <v>20</v>
      </c>
      <c r="N34" s="79"/>
      <c r="T34" s="42"/>
      <c r="U34" s="42"/>
      <c r="W34" s="127"/>
      <c r="X34" s="43" t="s">
        <v>44</v>
      </c>
      <c r="Y34" s="43"/>
      <c r="Z34" s="43"/>
      <c r="AA34" s="139">
        <f>+AA33*$D$15</f>
        <v>93821.69140000001</v>
      </c>
      <c r="AB34" s="79"/>
    </row>
    <row r="35" ht="14.25" customHeight="1" spans="2:28" x14ac:dyDescent="0.25">
      <c r="B35" s="163" t="s">
        <v>61</v>
      </c>
      <c r="C35" s="164"/>
      <c r="D35" s="165"/>
      <c r="E35" s="82">
        <v>0</v>
      </c>
      <c r="F35" s="82">
        <v>0</v>
      </c>
      <c r="G35" s="166">
        <v>0</v>
      </c>
      <c r="W35" s="127"/>
      <c r="X35" s="57" t="s">
        <v>46</v>
      </c>
      <c r="Y35" s="58"/>
      <c r="Z35" s="59"/>
      <c r="AA35" s="139">
        <v>118630</v>
      </c>
      <c r="AB35" s="79"/>
    </row>
    <row r="36" ht="14.25" customHeight="1" spans="2:28" x14ac:dyDescent="0.25">
      <c r="B36" s="163" t="s">
        <v>62</v>
      </c>
      <c r="C36" s="164"/>
      <c r="D36" s="165"/>
      <c r="E36" s="85">
        <v>0</v>
      </c>
      <c r="F36" s="85">
        <v>0</v>
      </c>
      <c r="G36" s="167">
        <f>+E36*F36</f>
        <v>0</v>
      </c>
      <c r="W36" s="151"/>
      <c r="X36" s="152" t="s">
        <v>47</v>
      </c>
      <c r="Y36" s="152"/>
      <c r="Z36" s="152"/>
      <c r="AA36" s="153">
        <f>+AA35-N10</f>
        <v>9531.36160714287</v>
      </c>
      <c r="AB36" s="79"/>
    </row>
    <row r="37" ht="14.25" customHeight="1" spans="2:28" x14ac:dyDescent="0.25">
      <c r="B37" s="163" t="s">
        <v>63</v>
      </c>
      <c r="C37" s="164"/>
      <c r="D37" s="165"/>
      <c r="E37" s="85">
        <f>12</f>
        <v>12</v>
      </c>
      <c r="F37" s="85">
        <v>2</v>
      </c>
      <c r="G37" s="166">
        <f>+E37*F37</f>
        <v>24</v>
      </c>
      <c r="AB37" s="79"/>
    </row>
    <row r="38" ht="14.25" customHeight="1" spans="28:28" x14ac:dyDescent="0.25">
      <c r="AB38" s="79"/>
    </row>
    <row r="39" ht="14.25" customHeight="1" spans="2:28" x14ac:dyDescent="0.25">
      <c r="B39" s="168" t="s">
        <v>88</v>
      </c>
      <c r="C39" s="169"/>
      <c r="D39" s="170"/>
      <c r="E39" s="87">
        <f>SUM(G33:G37)</f>
        <v>84</v>
      </c>
      <c r="F39" s="86" t="s">
        <v>65</v>
      </c>
      <c r="W39" s="124" t="s">
        <v>89</v>
      </c>
      <c r="X39" s="125" t="s">
        <v>38</v>
      </c>
      <c r="Y39" s="125"/>
      <c r="Z39" s="125"/>
      <c r="AA39" s="126">
        <v>740.47</v>
      </c>
      <c r="AB39" s="79"/>
    </row>
    <row r="40" ht="14.25" customHeight="1" spans="23:28" x14ac:dyDescent="0.25">
      <c r="W40" s="127"/>
      <c r="X40" s="45" t="s">
        <v>76</v>
      </c>
      <c r="Y40" s="45"/>
      <c r="Z40" s="45"/>
      <c r="AA40" s="128">
        <f>+G22</f>
        <v>61.75</v>
      </c>
      <c r="AB40" s="79"/>
    </row>
    <row r="41" ht="14.25" customHeight="1" spans="2:28" x14ac:dyDescent="0.25">
      <c r="B41" s="160" t="s">
        <v>66</v>
      </c>
      <c r="C41" s="161"/>
      <c r="D41" s="162"/>
      <c r="W41" s="127"/>
      <c r="X41" s="48" t="s">
        <v>42</v>
      </c>
      <c r="Y41" s="48"/>
      <c r="Z41" s="48"/>
      <c r="AA41" s="133">
        <f>+AA39+AA40</f>
        <v>802.22</v>
      </c>
      <c r="AB41" s="134">
        <f>+AA11-AA41</f>
        <v>0.0005355051719106996</v>
      </c>
    </row>
    <row r="42" ht="14.25" customHeight="1" spans="2:28" x14ac:dyDescent="0.25">
      <c r="B42" s="79"/>
      <c r="C42" s="79"/>
      <c r="W42" s="127"/>
      <c r="X42" s="43" t="s">
        <v>44</v>
      </c>
      <c r="Y42" s="43"/>
      <c r="Z42" s="43"/>
      <c r="AA42" s="139">
        <f>+AA41*$D$15</f>
        <v>97277.19720000001</v>
      </c>
      <c r="AB42" s="79"/>
    </row>
    <row r="43" ht="14.25" customHeight="1" spans="2:27" x14ac:dyDescent="0.25">
      <c r="B43" s="163"/>
      <c r="C43" s="164"/>
      <c r="D43" s="165"/>
      <c r="E43" s="80" t="s">
        <v>57</v>
      </c>
      <c r="F43" s="80" t="s">
        <v>58</v>
      </c>
      <c r="G43" s="80" t="s">
        <v>35</v>
      </c>
      <c r="N43" s="79"/>
      <c r="T43" s="42"/>
      <c r="U43" s="42"/>
      <c r="W43" s="127"/>
      <c r="X43" s="57" t="s">
        <v>46</v>
      </c>
      <c r="Y43" s="58"/>
      <c r="Z43" s="59"/>
      <c r="AA43" s="139">
        <v>123189</v>
      </c>
    </row>
    <row r="44" ht="14.25" customHeight="1" spans="2:27" x14ac:dyDescent="0.25">
      <c r="B44" s="163" t="s">
        <v>59</v>
      </c>
      <c r="C44" s="164"/>
      <c r="D44" s="165"/>
      <c r="E44" s="82">
        <v>0</v>
      </c>
      <c r="F44" s="82">
        <v>0</v>
      </c>
      <c r="G44" s="166">
        <f t="shared" ref="G44:G49" si="22">+E44*F44</f>
        <v>0</v>
      </c>
      <c r="N44" s="79"/>
      <c r="T44" s="42"/>
      <c r="U44" s="42"/>
      <c r="W44" s="151"/>
      <c r="X44" s="152" t="s">
        <v>47</v>
      </c>
      <c r="Y44" s="152"/>
      <c r="Z44" s="152"/>
      <c r="AA44" s="153">
        <f>+AA43-N11</f>
        <v>9878.709821428565</v>
      </c>
    </row>
    <row r="45" ht="14.25" customHeight="1" spans="2:21" x14ac:dyDescent="0.25">
      <c r="B45" s="163" t="s">
        <v>67</v>
      </c>
      <c r="C45" s="164"/>
      <c r="D45" s="165"/>
      <c r="E45" s="82">
        <v>3</v>
      </c>
      <c r="F45" s="82">
        <v>5</v>
      </c>
      <c r="G45" s="166">
        <f t="shared" si="22"/>
        <v>15</v>
      </c>
      <c r="H45" s="88" t="s">
        <v>68</v>
      </c>
      <c r="N45" s="79"/>
      <c r="T45" s="42"/>
      <c r="U45" s="42"/>
    </row>
    <row r="46" ht="14.25" customHeight="1" spans="2:8" x14ac:dyDescent="0.25">
      <c r="B46" s="163" t="s">
        <v>69</v>
      </c>
      <c r="C46" s="164"/>
      <c r="D46" s="165"/>
      <c r="E46" s="82">
        <v>8</v>
      </c>
      <c r="F46" s="82">
        <v>5</v>
      </c>
      <c r="G46" s="166">
        <f t="shared" si="22"/>
        <v>40</v>
      </c>
      <c r="H46" s="88" t="s">
        <v>70</v>
      </c>
    </row>
    <row r="47" ht="14.25" customHeight="1" spans="2:27" x14ac:dyDescent="0.25">
      <c r="B47" s="163" t="s">
        <v>71</v>
      </c>
      <c r="C47" s="164"/>
      <c r="D47" s="165"/>
      <c r="E47" s="82">
        <v>1</v>
      </c>
      <c r="F47" s="82">
        <v>5</v>
      </c>
      <c r="G47" s="166">
        <f t="shared" si="22"/>
        <v>5</v>
      </c>
      <c r="H47" s="88" t="s">
        <v>72</v>
      </c>
      <c r="W47" s="124" t="s">
        <v>90</v>
      </c>
      <c r="X47" s="125" t="s">
        <v>38</v>
      </c>
      <c r="Y47" s="125"/>
      <c r="Z47" s="125"/>
      <c r="AA47" s="126">
        <v>806.32</v>
      </c>
    </row>
    <row r="48" ht="14.25" customHeight="1" spans="2:27" x14ac:dyDescent="0.25">
      <c r="B48" s="163" t="s">
        <v>73</v>
      </c>
      <c r="C48" s="164"/>
      <c r="D48" s="165"/>
      <c r="E48" s="82">
        <v>0</v>
      </c>
      <c r="F48" s="82">
        <v>0</v>
      </c>
      <c r="G48" s="166">
        <f t="shared" si="22"/>
        <v>0</v>
      </c>
      <c r="W48" s="127"/>
      <c r="X48" s="45" t="s">
        <v>76</v>
      </c>
      <c r="Y48" s="45"/>
      <c r="Z48" s="45"/>
      <c r="AA48" s="128">
        <f>+G23</f>
        <v>67.16666666666667</v>
      </c>
    </row>
    <row r="49" ht="14.25" customHeight="1" spans="2:28" x14ac:dyDescent="0.25">
      <c r="B49" s="163" t="s">
        <v>63</v>
      </c>
      <c r="C49" s="164"/>
      <c r="D49" s="165"/>
      <c r="E49" s="82">
        <v>12</v>
      </c>
      <c r="F49" s="82">
        <v>2</v>
      </c>
      <c r="G49" s="166">
        <f t="shared" si="22"/>
        <v>24</v>
      </c>
      <c r="H49" s="88"/>
      <c r="W49" s="127"/>
      <c r="X49" s="48" t="s">
        <v>42</v>
      </c>
      <c r="Y49" s="48"/>
      <c r="Z49" s="48"/>
      <c r="AA49" s="133">
        <f>+AA47+AA48</f>
        <v>873.4866666666667</v>
      </c>
      <c r="AB49" s="134">
        <f>+AA12-AA49</f>
        <v>-0.00022540409042903775</v>
      </c>
    </row>
    <row r="50" ht="14.25" customHeight="1" spans="23:27" x14ac:dyDescent="0.25">
      <c r="W50" s="127"/>
      <c r="X50" s="43" t="s">
        <v>44</v>
      </c>
      <c r="Y50" s="43"/>
      <c r="Z50" s="43"/>
      <c r="AA50" s="139">
        <f>+AA49*$D$15</f>
        <v>105918.99320000001</v>
      </c>
    </row>
    <row r="51" ht="14.25" customHeight="1" spans="2:27" x14ac:dyDescent="0.25">
      <c r="B51" s="168" t="s">
        <v>91</v>
      </c>
      <c r="C51" s="169"/>
      <c r="D51" s="170"/>
      <c r="E51" s="87">
        <f>SUM(G44:G49)</f>
        <v>84</v>
      </c>
      <c r="F51" s="86" t="s">
        <v>65</v>
      </c>
      <c r="W51" s="127"/>
      <c r="X51" s="57" t="s">
        <v>46</v>
      </c>
      <c r="Y51" s="58"/>
      <c r="Z51" s="59"/>
      <c r="AA51" s="139">
        <v>134336</v>
      </c>
    </row>
    <row r="52" ht="14.25" customHeight="1" spans="23:27" x14ac:dyDescent="0.25">
      <c r="W52" s="151"/>
      <c r="X52" s="152" t="s">
        <v>47</v>
      </c>
      <c r="Y52" s="152"/>
      <c r="Z52" s="152"/>
      <c r="AA52" s="153">
        <f>+AA51-N12</f>
        <v>10491.3125</v>
      </c>
    </row>
    <row r="53" ht="14.25" customHeight="1" spans="2:4" x14ac:dyDescent="0.25">
      <c r="B53" s="171" t="s">
        <v>92</v>
      </c>
      <c r="C53" s="172"/>
      <c r="D53" s="90">
        <f>+E51+E39</f>
        <v>168</v>
      </c>
    </row>
  </sheetData>
  <mergeCells count="65">
    <mergeCell ref="R5:T6"/>
    <mergeCell ref="U5:W6"/>
    <mergeCell ref="B15:C15"/>
    <mergeCell ref="X15:Z15"/>
    <mergeCell ref="W15:W20"/>
    <mergeCell ref="X16:Z16"/>
    <mergeCell ref="C17:D17"/>
    <mergeCell ref="E17:F17"/>
    <mergeCell ref="G17:H17"/>
    <mergeCell ref="I17:J17"/>
    <mergeCell ref="X17:Z17"/>
    <mergeCell ref="X18:Z18"/>
    <mergeCell ref="X19:Z19"/>
    <mergeCell ref="X20:Z20"/>
    <mergeCell ref="X23:Z23"/>
    <mergeCell ref="W23:W28"/>
    <mergeCell ref="X24:Z24"/>
    <mergeCell ref="B25:E25"/>
    <mergeCell ref="X25:Z25"/>
    <mergeCell ref="B26:C26"/>
    <mergeCell ref="D26:E26"/>
    <mergeCell ref="X26:Z26"/>
    <mergeCell ref="B27:C27"/>
    <mergeCell ref="D27:E27"/>
    <mergeCell ref="X27:Z27"/>
    <mergeCell ref="X28:Z28"/>
    <mergeCell ref="B30:D30"/>
    <mergeCell ref="X31:Z31"/>
    <mergeCell ref="B32:D32"/>
    <mergeCell ref="W31:W36"/>
    <mergeCell ref="X32:Z32"/>
    <mergeCell ref="B33:D33"/>
    <mergeCell ref="X33:Z33"/>
    <mergeCell ref="B34:D34"/>
    <mergeCell ref="X34:Z34"/>
    <mergeCell ref="B35:D35"/>
    <mergeCell ref="X35:Z35"/>
    <mergeCell ref="B36:D36"/>
    <mergeCell ref="X36:Z36"/>
    <mergeCell ref="B37:D37"/>
    <mergeCell ref="B39:D39"/>
    <mergeCell ref="X39:Z39"/>
    <mergeCell ref="W39:W44"/>
    <mergeCell ref="X40:Z40"/>
    <mergeCell ref="B41:D41"/>
    <mergeCell ref="X41:Z41"/>
    <mergeCell ref="X42:Z42"/>
    <mergeCell ref="B43:D43"/>
    <mergeCell ref="X43:Z43"/>
    <mergeCell ref="B44:D44"/>
    <mergeCell ref="X44:Z44"/>
    <mergeCell ref="B45:D45"/>
    <mergeCell ref="B46:D46"/>
    <mergeCell ref="B47:D47"/>
    <mergeCell ref="X47:Z47"/>
    <mergeCell ref="B48:D48"/>
    <mergeCell ref="W47:W52"/>
    <mergeCell ref="X48:Z48"/>
    <mergeCell ref="B49:D49"/>
    <mergeCell ref="X49:Z49"/>
    <mergeCell ref="X50:Z50"/>
    <mergeCell ref="B51:D51"/>
    <mergeCell ref="X51:Z51"/>
    <mergeCell ref="X52:Z52"/>
    <mergeCell ref="B53:C53"/>
  </mergeCells>
  <pageMargins left="0.7" right="0.7" top="0.75" bottom="0.75" header="0.3" footer="0.3"/>
  <pageSetup paperSize="8" orientation="landscape" horizontalDpi="4294967295" verticalDpi="4294967295" scale="5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1</vt:lpstr>
      <vt:lpstr>Calculation 2-ALL SALARIES 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Financa</dc:creator>
  <dc:title/>
  <dc:subject/>
  <dc:description/>
  <cp:keywords/>
  <cp:category/>
  <cp:lastModifiedBy>Zhebo, Laura</cp:lastModifiedBy>
  <cp:contentStatus/>
  <dcterms:created xsi:type="dcterms:W3CDTF">2022-02-23T10:53:50Z</dcterms:created>
  <dcterms:modified xsi:type="dcterms:W3CDTF">2022-04-12T12:54:17Z</dcterms:modified>
</cp:coreProperties>
</file>