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fanghao/Projects/exciler/exciler/excel/"/>
    </mc:Choice>
  </mc:AlternateContent>
  <bookViews>
    <workbookView xWindow="0" yWindow="460" windowWidth="28800" windowHeight="15540" tabRatio="827" activeTab="1"/>
  </bookViews>
  <sheets>
    <sheet name="控制台" sheetId="37" r:id="rId1"/>
    <sheet name="新网二手车回租1108" sheetId="36" r:id="rId2"/>
    <sheet name="微众二手车回租1108" sheetId="38" r:id="rId3"/>
    <sheet name="民生金租190-1108" sheetId="40" r:id="rId4"/>
    <sheet name="民生金租1108" sheetId="41" r:id="rId5"/>
    <sheet name="民生银行190-1108" sheetId="43" r:id="rId6"/>
    <sheet name="人保民生回租370-550" sheetId="44" r:id="rId7"/>
  </sheets>
  <definedNames>
    <definedName name="哦1" localSheetId="2">#REF!</definedName>
    <definedName name="哦1" localSheetId="4">#REF!</definedName>
    <definedName name="哦1" localSheetId="3">#REF!</definedName>
    <definedName name="哦1" localSheetId="5">#REF!</definedName>
    <definedName name="哦1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36" l="1"/>
  <c r="G12" i="44"/>
  <c r="C27" i="44"/>
  <c r="C28" i="43"/>
  <c r="C27" i="38"/>
  <c r="C19" i="37"/>
  <c r="E15" i="37"/>
  <c r="C12" i="36"/>
  <c r="C14" i="37"/>
  <c r="C18" i="37"/>
  <c r="C21" i="37"/>
  <c r="C29" i="37"/>
  <c r="C13" i="36"/>
  <c r="C39" i="37"/>
  <c r="C6" i="36"/>
  <c r="C8" i="36"/>
  <c r="C38" i="37"/>
  <c r="C10" i="36"/>
  <c r="C30" i="36"/>
  <c r="C12" i="44"/>
  <c r="C13" i="44"/>
  <c r="I64" i="37"/>
  <c r="C7" i="44"/>
  <c r="C8" i="44"/>
  <c r="I68" i="37"/>
  <c r="C10" i="44"/>
  <c r="G11" i="44"/>
  <c r="C30" i="44"/>
  <c r="I69" i="37"/>
  <c r="C6" i="44"/>
  <c r="I63" i="37"/>
  <c r="C33" i="37"/>
  <c r="C35" i="37"/>
  <c r="C36" i="37"/>
  <c r="C37" i="37"/>
  <c r="I66" i="37"/>
  <c r="I67" i="37"/>
  <c r="C9" i="44"/>
  <c r="C29" i="44"/>
  <c r="C32" i="44"/>
  <c r="C13" i="43"/>
  <c r="C14" i="43"/>
  <c r="C7" i="43"/>
  <c r="C8" i="43"/>
  <c r="C32" i="43"/>
  <c r="I39" i="37"/>
  <c r="C6" i="43"/>
  <c r="C34" i="43"/>
  <c r="I38" i="37"/>
  <c r="C11" i="43"/>
  <c r="C31" i="43"/>
  <c r="I36" i="37"/>
  <c r="I37" i="37"/>
  <c r="C9" i="43"/>
  <c r="C30" i="43"/>
  <c r="C33" i="43"/>
  <c r="C14" i="38"/>
  <c r="C26" i="38"/>
  <c r="C6" i="38"/>
  <c r="C5" i="38"/>
  <c r="C32" i="38"/>
  <c r="F39" i="37"/>
  <c r="C9" i="38"/>
  <c r="C34" i="38"/>
  <c r="F38" i="37"/>
  <c r="C30" i="38"/>
  <c r="C31" i="38"/>
  <c r="F33" i="37"/>
  <c r="F35" i="37"/>
  <c r="F36" i="37"/>
  <c r="F37" i="37"/>
  <c r="C10" i="38"/>
  <c r="C13" i="38"/>
  <c r="C29" i="38"/>
  <c r="C33" i="38"/>
  <c r="C31" i="36"/>
  <c r="C33" i="36"/>
  <c r="C9" i="36"/>
  <c r="C29" i="36"/>
  <c r="C32" i="36"/>
  <c r="C35" i="36"/>
  <c r="G5" i="44"/>
  <c r="D32" i="44"/>
  <c r="F57" i="37"/>
  <c r="K67" i="37"/>
  <c r="D110" i="37"/>
  <c r="C111" i="37"/>
  <c r="C105" i="37"/>
  <c r="C90" i="37"/>
  <c r="C96" i="37"/>
  <c r="C108" i="37"/>
  <c r="C95" i="37"/>
  <c r="C107" i="37"/>
  <c r="C94" i="37"/>
  <c r="C106" i="37"/>
  <c r="C93" i="37"/>
  <c r="C91" i="37"/>
  <c r="C35" i="44"/>
  <c r="K63" i="37"/>
  <c r="I85" i="37"/>
  <c r="I79" i="37"/>
  <c r="C2" i="44"/>
  <c r="C25" i="44"/>
  <c r="E17" i="44"/>
  <c r="C31" i="44"/>
  <c r="C19" i="44"/>
  <c r="E20" i="44"/>
  <c r="E24" i="44"/>
  <c r="G2" i="44"/>
  <c r="C102" i="37"/>
  <c r="C109" i="37"/>
  <c r="E19" i="37"/>
  <c r="I47" i="37"/>
  <c r="C36" i="43"/>
  <c r="I34" i="37"/>
  <c r="E25" i="43"/>
  <c r="C25" i="43"/>
  <c r="C26" i="43"/>
  <c r="C20" i="43"/>
  <c r="E21" i="43"/>
  <c r="C21" i="43"/>
  <c r="C19" i="43"/>
  <c r="E18" i="43"/>
  <c r="C18" i="43"/>
  <c r="G7" i="43"/>
  <c r="J6" i="43"/>
  <c r="G5" i="43"/>
  <c r="J4" i="43"/>
  <c r="G2" i="43"/>
  <c r="E20" i="37"/>
  <c r="F66" i="37"/>
  <c r="F67" i="37"/>
  <c r="C5" i="40"/>
  <c r="C34" i="40"/>
  <c r="C8" i="40"/>
  <c r="C2" i="40"/>
  <c r="F64" i="37"/>
  <c r="F70" i="37"/>
  <c r="F25" i="37"/>
  <c r="C54" i="41"/>
  <c r="C18" i="41"/>
  <c r="C14" i="41"/>
  <c r="C96" i="41"/>
  <c r="C5" i="41"/>
  <c r="C2" i="41"/>
  <c r="C65" i="37"/>
  <c r="C66" i="37"/>
  <c r="C64" i="37"/>
  <c r="C63" i="37"/>
  <c r="C70" i="37"/>
  <c r="C41" i="41"/>
  <c r="C67" i="37"/>
  <c r="F49" i="37"/>
  <c r="C35" i="38"/>
  <c r="C7" i="38"/>
  <c r="C4" i="38"/>
  <c r="C2" i="38"/>
  <c r="F34" i="37"/>
  <c r="C2" i="36"/>
  <c r="C48" i="37"/>
  <c r="G7" i="41"/>
  <c r="C24" i="37"/>
  <c r="C27" i="37"/>
  <c r="C92" i="37"/>
  <c r="C97" i="37"/>
  <c r="G17" i="41"/>
  <c r="G25" i="37"/>
  <c r="I16" i="41"/>
  <c r="E42" i="38"/>
  <c r="C13" i="41"/>
  <c r="C30" i="37"/>
  <c r="F58" i="37"/>
  <c r="F68" i="37"/>
  <c r="C68" i="37"/>
  <c r="C49" i="41"/>
  <c r="E25" i="37"/>
  <c r="C34" i="37"/>
  <c r="H9" i="41"/>
  <c r="C5" i="36"/>
  <c r="C25" i="36"/>
  <c r="K66" i="37"/>
  <c r="C11" i="41"/>
  <c r="C87" i="41"/>
  <c r="C86" i="41"/>
  <c r="C63" i="41"/>
  <c r="C79" i="41"/>
  <c r="C33" i="41"/>
  <c r="C70" i="41"/>
  <c r="C83" i="41"/>
  <c r="C64" i="41"/>
  <c r="C80" i="41"/>
  <c r="C62" i="41"/>
  <c r="C61" i="41"/>
  <c r="C85" i="41"/>
  <c r="C48" i="41"/>
  <c r="J47" i="41"/>
  <c r="C47" i="41"/>
  <c r="J46" i="41"/>
  <c r="C39" i="41"/>
  <c r="K37" i="41"/>
  <c r="C34" i="41"/>
  <c r="C90" i="41"/>
  <c r="C32" i="41"/>
  <c r="C91" i="41"/>
  <c r="C31" i="41"/>
  <c r="C89" i="41"/>
  <c r="C30" i="41"/>
  <c r="C28" i="41"/>
  <c r="C27" i="41"/>
  <c r="C67" i="41"/>
  <c r="C77" i="41"/>
  <c r="C26" i="41"/>
  <c r="C22" i="41"/>
  <c r="C21" i="41"/>
  <c r="H18" i="41"/>
  <c r="J16" i="41"/>
  <c r="H16" i="41"/>
  <c r="C16" i="41"/>
  <c r="C29" i="41"/>
  <c r="C93" i="41"/>
  <c r="C10" i="41"/>
  <c r="C77" i="40"/>
  <c r="C67" i="40"/>
  <c r="C45" i="40"/>
  <c r="C60" i="40"/>
  <c r="C43" i="40"/>
  <c r="C41" i="40"/>
  <c r="C37" i="40"/>
  <c r="C21" i="40"/>
  <c r="C24" i="40"/>
  <c r="H18" i="40"/>
  <c r="C18" i="40"/>
  <c r="C68" i="40"/>
  <c r="C44" i="40"/>
  <c r="C61" i="40"/>
  <c r="C17" i="40"/>
  <c r="C52" i="40"/>
  <c r="C64" i="40"/>
  <c r="J16" i="40"/>
  <c r="I16" i="40"/>
  <c r="C16" i="40"/>
  <c r="C69" i="40"/>
  <c r="C15" i="40"/>
  <c r="C70" i="40"/>
  <c r="H14" i="40"/>
  <c r="G19" i="40"/>
  <c r="C13" i="40"/>
  <c r="C12" i="40"/>
  <c r="C72" i="40"/>
  <c r="C11" i="40"/>
  <c r="C71" i="40"/>
  <c r="C10" i="40"/>
  <c r="H9" i="40"/>
  <c r="G7" i="40"/>
  <c r="J6" i="40"/>
  <c r="C104" i="37"/>
  <c r="C103" i="37"/>
  <c r="C110" i="37"/>
  <c r="E30" i="44"/>
  <c r="I86" i="37"/>
  <c r="E17" i="37"/>
  <c r="E16" i="37"/>
  <c r="H16" i="40"/>
  <c r="E24" i="36"/>
  <c r="C6" i="40"/>
  <c r="C7" i="40"/>
  <c r="C51" i="40"/>
  <c r="C63" i="40"/>
  <c r="C74" i="40"/>
  <c r="C68" i="41"/>
  <c r="C81" i="41"/>
  <c r="C88" i="41"/>
  <c r="C23" i="41"/>
  <c r="J24" i="41"/>
  <c r="C12" i="41"/>
  <c r="H15" i="41"/>
  <c r="C69" i="41"/>
  <c r="C82" i="41"/>
  <c r="C92" i="41"/>
  <c r="G19" i="41"/>
  <c r="C71" i="41"/>
  <c r="C78" i="41"/>
  <c r="C50" i="40"/>
  <c r="C62" i="40"/>
  <c r="C66" i="40"/>
  <c r="J5" i="40"/>
  <c r="H15" i="40"/>
  <c r="C14" i="40"/>
  <c r="C48" i="40"/>
  <c r="C58" i="40"/>
  <c r="F43" i="37"/>
  <c r="I43" i="37"/>
  <c r="C43" i="37"/>
  <c r="I74" i="37"/>
  <c r="F30" i="44"/>
  <c r="G3" i="44"/>
  <c r="C33" i="44"/>
  <c r="I73" i="37"/>
  <c r="C81" i="37"/>
  <c r="I54" i="37"/>
  <c r="F81" i="37"/>
  <c r="C55" i="37"/>
  <c r="C84" i="41"/>
  <c r="E84" i="41"/>
  <c r="F77" i="37"/>
  <c r="C77" i="37"/>
  <c r="C9" i="40"/>
  <c r="C35" i="41"/>
  <c r="C17" i="41"/>
  <c r="C24" i="41"/>
  <c r="J19" i="41"/>
  <c r="H14" i="41"/>
  <c r="J52" i="41"/>
  <c r="J50" i="41"/>
  <c r="C72" i="41"/>
  <c r="C73" i="40"/>
  <c r="C49" i="40"/>
  <c r="C37" i="43"/>
  <c r="C40" i="43"/>
  <c r="I51" i="37"/>
  <c r="I71" i="37"/>
  <c r="I75" i="37"/>
  <c r="C37" i="44"/>
  <c r="G4" i="44"/>
  <c r="G10" i="44"/>
  <c r="G7" i="44"/>
  <c r="G3" i="43"/>
  <c r="I41" i="37"/>
  <c r="D17" i="41"/>
  <c r="E85" i="41"/>
  <c r="J44" i="41"/>
  <c r="J53" i="41"/>
  <c r="J51" i="41"/>
  <c r="J45" i="41"/>
  <c r="D43" i="41"/>
  <c r="C43" i="41"/>
  <c r="C36" i="41"/>
  <c r="C38" i="41"/>
  <c r="C40" i="41"/>
  <c r="C42" i="41"/>
  <c r="E60" i="41"/>
  <c r="J17" i="41"/>
  <c r="C27" i="40"/>
  <c r="C28" i="40"/>
  <c r="C30" i="40"/>
  <c r="F71" i="37"/>
  <c r="C38" i="40"/>
  <c r="F75" i="37"/>
  <c r="J4" i="40"/>
  <c r="C59" i="40"/>
  <c r="C65" i="40"/>
  <c r="C53" i="40"/>
  <c r="C39" i="43"/>
  <c r="C41" i="43"/>
  <c r="I46" i="37"/>
  <c r="I48" i="37"/>
  <c r="J50" i="37"/>
  <c r="J3" i="43"/>
  <c r="G4" i="43"/>
  <c r="C38" i="44"/>
  <c r="C36" i="44"/>
  <c r="F76" i="37"/>
  <c r="I42" i="37"/>
  <c r="I44" i="37"/>
  <c r="I53" i="37"/>
  <c r="G6" i="43"/>
  <c r="J5" i="43"/>
  <c r="J49" i="41"/>
  <c r="J43" i="41"/>
  <c r="J48" i="41"/>
  <c r="C46" i="41"/>
  <c r="C25" i="41"/>
  <c r="H3" i="41"/>
  <c r="C44" i="41"/>
  <c r="C45" i="41"/>
  <c r="C56" i="41"/>
  <c r="C75" i="37"/>
  <c r="C75" i="40"/>
  <c r="J7" i="40"/>
  <c r="C76" i="40"/>
  <c r="E40" i="40"/>
  <c r="C42" i="40"/>
  <c r="C39" i="40"/>
  <c r="F78" i="37"/>
  <c r="C31" i="40"/>
  <c r="C29" i="40"/>
  <c r="E30" i="40"/>
  <c r="J2" i="43"/>
  <c r="L3" i="43"/>
  <c r="I50" i="37"/>
  <c r="I52" i="37"/>
  <c r="I76" i="37"/>
  <c r="C40" i="44"/>
  <c r="G6" i="44"/>
  <c r="G9" i="44"/>
  <c r="G13" i="44"/>
  <c r="G15" i="44"/>
  <c r="C39" i="44"/>
  <c r="C42" i="43"/>
  <c r="I56" i="37"/>
  <c r="D41" i="43"/>
  <c r="C43" i="43"/>
  <c r="I58" i="37"/>
  <c r="J42" i="41"/>
  <c r="J37" i="41"/>
  <c r="J8" i="40"/>
  <c r="F79" i="37"/>
  <c r="C94" i="41"/>
  <c r="C57" i="41"/>
  <c r="C76" i="37"/>
  <c r="C58" i="41"/>
  <c r="C60" i="41"/>
  <c r="C95" i="41"/>
  <c r="C50" i="41"/>
  <c r="C52" i="41"/>
  <c r="C71" i="37"/>
  <c r="E56" i="41"/>
  <c r="C32" i="40"/>
  <c r="E33" i="40"/>
  <c r="C33" i="40"/>
  <c r="E75" i="40"/>
  <c r="C40" i="40"/>
  <c r="F80" i="37"/>
  <c r="L6" i="43"/>
  <c r="C38" i="43"/>
  <c r="I83" i="37"/>
  <c r="G14" i="44"/>
  <c r="G17" i="44"/>
  <c r="I82" i="37"/>
  <c r="I84" i="37"/>
  <c r="I78" i="37"/>
  <c r="K65" i="37"/>
  <c r="C35" i="40"/>
  <c r="F73" i="37"/>
  <c r="I56" i="41"/>
  <c r="C80" i="37"/>
  <c r="E94" i="41"/>
  <c r="C78" i="37"/>
  <c r="I57" i="41"/>
  <c r="J39" i="41"/>
  <c r="C51" i="41"/>
  <c r="C53" i="41"/>
  <c r="F64" i="41"/>
  <c r="E58" i="41"/>
  <c r="C66" i="41"/>
  <c r="C65" i="41"/>
  <c r="F65" i="41"/>
  <c r="J3" i="40"/>
  <c r="C47" i="40"/>
  <c r="I80" i="37"/>
  <c r="J82" i="37"/>
  <c r="G16" i="44"/>
  <c r="J23" i="41"/>
  <c r="J26" i="41"/>
  <c r="C73" i="37"/>
  <c r="C55" i="41"/>
  <c r="C59" i="41"/>
  <c r="C97" i="41"/>
  <c r="C79" i="37"/>
  <c r="E25" i="38"/>
  <c r="C25" i="38"/>
  <c r="E24" i="38"/>
  <c r="E21" i="38"/>
  <c r="C20" i="38"/>
  <c r="C11" i="38"/>
  <c r="H5" i="38"/>
  <c r="H2" i="38"/>
  <c r="F42" i="37"/>
  <c r="H3" i="38"/>
  <c r="C36" i="38"/>
  <c r="C37" i="38"/>
  <c r="C43" i="38"/>
  <c r="F41" i="37"/>
  <c r="F44" i="37"/>
  <c r="C38" i="38"/>
  <c r="F48" i="37"/>
  <c r="H4" i="38"/>
  <c r="F50" i="37"/>
  <c r="C40" i="38"/>
  <c r="F52" i="37"/>
  <c r="H6" i="38"/>
  <c r="C41" i="38"/>
  <c r="C39" i="38"/>
  <c r="H7" i="38"/>
  <c r="H8" i="38"/>
  <c r="H9" i="38"/>
  <c r="K3" i="38"/>
  <c r="F54" i="37"/>
  <c r="F55" i="37"/>
  <c r="G52" i="37"/>
  <c r="F51" i="37"/>
  <c r="E41" i="38"/>
  <c r="G50" i="37"/>
  <c r="K2" i="38"/>
  <c r="C42" i="38"/>
  <c r="K4" i="38"/>
  <c r="F53" i="37"/>
  <c r="K5" i="38"/>
  <c r="K6" i="38"/>
  <c r="F46" i="37"/>
  <c r="G5" i="36"/>
  <c r="G2" i="36"/>
  <c r="F56" i="37"/>
  <c r="F45" i="37"/>
  <c r="C19" i="36"/>
  <c r="E20" i="36"/>
  <c r="E17" i="36"/>
  <c r="G3" i="36"/>
  <c r="C42" i="37"/>
  <c r="G7" i="36"/>
  <c r="C41" i="37"/>
  <c r="J72" i="37"/>
  <c r="I72" i="37"/>
  <c r="C44" i="37"/>
  <c r="K64" i="37"/>
  <c r="K68" i="37"/>
  <c r="C37" i="36"/>
  <c r="C38" i="36"/>
  <c r="C45" i="37"/>
  <c r="C36" i="36"/>
  <c r="C47" i="37"/>
  <c r="C49" i="37"/>
  <c r="G4" i="36"/>
  <c r="D50" i="37"/>
  <c r="C50" i="37"/>
  <c r="C39" i="36"/>
  <c r="C51" i="37"/>
  <c r="C42" i="36"/>
  <c r="C53" i="37"/>
  <c r="C54" i="37"/>
  <c r="C40" i="36"/>
  <c r="C52" i="37"/>
  <c r="D51" i="37"/>
  <c r="G6" i="36"/>
  <c r="C43" i="36"/>
</calcChain>
</file>

<file path=xl/sharedStrings.xml><?xml version="1.0" encoding="utf-8"?>
<sst xmlns="http://schemas.openxmlformats.org/spreadsheetml/2006/main" count="1026" uniqueCount="709">
  <si>
    <t>二手车回租</t>
  </si>
  <si>
    <t>金融方案</t>
  </si>
  <si>
    <t>资金方</t>
  </si>
  <si>
    <t>新网</t>
  </si>
  <si>
    <t>产品类型</t>
  </si>
  <si>
    <t>最低首付比例</t>
  </si>
  <si>
    <t>授信贷款额度</t>
  </si>
  <si>
    <t>2,3</t>
  </si>
  <si>
    <t>产品要素</t>
  </si>
  <si>
    <t>等额本息资金成本（年）</t>
  </si>
  <si>
    <t>车辆结算价TP</t>
  </si>
  <si>
    <t>前端输入</t>
  </si>
  <si>
    <t xml:space="preserve">       商业险保险种类</t>
  </si>
  <si>
    <t xml:space="preserve">       商业险投保期限</t>
  </si>
  <si>
    <t xml:space="preserve">       商业险金额</t>
  </si>
  <si>
    <t>业务类型</t>
  </si>
  <si>
    <t xml:space="preserve">    商业险报价种类</t>
  </si>
  <si>
    <t xml:space="preserve">    GPS</t>
  </si>
  <si>
    <t xml:space="preserve">    车辆安全保障服务费期限term</t>
  </si>
  <si>
    <t xml:space="preserve">        车辆安全保障服务费金额</t>
  </si>
  <si>
    <t xml:space="preserve">    抵押费</t>
  </si>
  <si>
    <t xml:space="preserve">    外迁运营费</t>
  </si>
  <si>
    <t xml:space="preserve">    上牌服务费</t>
  </si>
  <si>
    <t>精准</t>
  </si>
  <si>
    <t>系统输入：精准、非精准</t>
  </si>
  <si>
    <t>联保</t>
  </si>
  <si>
    <t>系统输入：联保、非联保</t>
  </si>
  <si>
    <t>前端输入，上限限制：</t>
  </si>
  <si>
    <t>默认为贷款期限</t>
  </si>
  <si>
    <t>固定数值：0</t>
  </si>
  <si>
    <t>首付款判断</t>
  </si>
  <si>
    <t>最高贷款额</t>
  </si>
  <si>
    <t>最低首付款</t>
  </si>
  <si>
    <t>最低贷款额</t>
  </si>
  <si>
    <t>最高首付款</t>
  </si>
  <si>
    <t>客户选定首付款</t>
  </si>
  <si>
    <t>客户选定首付款是否在可选区间</t>
  </si>
  <si>
    <t>贷款要素</t>
  </si>
  <si>
    <t>贷款额</t>
  </si>
  <si>
    <t>月供</t>
    <phoneticPr fontId="8" type="noConversion"/>
  </si>
  <si>
    <t>金融产品公式</t>
  </si>
  <si>
    <t>客户分类</t>
  </si>
  <si>
    <t>资金部给定参数</t>
  </si>
  <si>
    <t>风控系统输入</t>
  </si>
  <si>
    <t>前端输入：0,600,700,800</t>
  </si>
  <si>
    <t>车价</t>
  </si>
  <si>
    <t>超融</t>
  </si>
  <si>
    <t>超融总金额</t>
  </si>
  <si>
    <t>贷款期限（年）</t>
  </si>
  <si>
    <t xml:space="preserve">    经销商返点-外部输入</t>
  </si>
  <si>
    <t xml:space="preserve">        经销商返点-终值</t>
  </si>
  <si>
    <t>仅用于自主到店B、优信带看C业务，前端输入，上限限制为</t>
  </si>
  <si>
    <t>月供系数</t>
  </si>
  <si>
    <t>二手车回租、二手车直租-3年</t>
  </si>
  <si>
    <t>直租3年190,回租2、3年370,回租2、3年550</t>
  </si>
  <si>
    <t>对客展示</t>
  </si>
  <si>
    <t>贷款期限</t>
  </si>
  <si>
    <t>月供</t>
  </si>
  <si>
    <t>优信服务费</t>
  </si>
  <si>
    <t>最低10%，风控系统输入</t>
  </si>
  <si>
    <t>首付款</t>
  </si>
  <si>
    <t>服务费清分</t>
  </si>
  <si>
    <t>总对客费率</t>
  </si>
  <si>
    <t>商城服务费</t>
  </si>
  <si>
    <t>金融服务费</t>
  </si>
  <si>
    <t>全国直购C业务取值：0
自主到店B、优信带看C业务取值：经销商返点-外部输入</t>
  </si>
  <si>
    <t>新网方案是否可用</t>
  </si>
  <si>
    <t>All</t>
  </si>
  <si>
    <t>总贷款额</t>
    <phoneticPr fontId="17" type="noConversion"/>
  </si>
  <si>
    <t>自主到店B</t>
  </si>
  <si>
    <t>产品类型</t>
    <phoneticPr fontId="17" type="noConversion"/>
  </si>
  <si>
    <t>二手车回租</t>
    <phoneticPr fontId="17" type="noConversion"/>
  </si>
  <si>
    <t>对客展示</t>
    <phoneticPr fontId="17" type="noConversion"/>
  </si>
  <si>
    <t>费率测算</t>
    <phoneticPr fontId="17" type="noConversion"/>
  </si>
  <si>
    <t>金融方案</t>
    <phoneticPr fontId="17" type="noConversion"/>
  </si>
  <si>
    <t>车价</t>
    <phoneticPr fontId="17" type="noConversion"/>
  </si>
  <si>
    <t>手续费率</t>
    <phoneticPr fontId="17" type="noConversion"/>
  </si>
  <si>
    <t>资金方</t>
    <phoneticPr fontId="17" type="noConversion"/>
  </si>
  <si>
    <t>微众</t>
    <phoneticPr fontId="17" type="noConversion"/>
  </si>
  <si>
    <t>费项超融合计</t>
    <phoneticPr fontId="17" type="noConversion"/>
  </si>
  <si>
    <t>金融收益率</t>
    <phoneticPr fontId="17" type="noConversion"/>
  </si>
  <si>
    <t>微众客户分类</t>
    <phoneticPr fontId="17" type="noConversion"/>
  </si>
  <si>
    <t>其他</t>
  </si>
  <si>
    <t>首付车款</t>
    <phoneticPr fontId="17" type="noConversion"/>
  </si>
  <si>
    <t>商城收益率</t>
    <phoneticPr fontId="17" type="noConversion"/>
  </si>
  <si>
    <t>资金成本</t>
    <phoneticPr fontId="17" type="noConversion"/>
  </si>
  <si>
    <t>贷款期限</t>
    <phoneticPr fontId="17" type="noConversion"/>
  </si>
  <si>
    <t>对客费率</t>
    <phoneticPr fontId="17" type="noConversion"/>
  </si>
  <si>
    <t>产品年限</t>
    <phoneticPr fontId="17" type="noConversion"/>
  </si>
  <si>
    <t>贷款额</t>
    <phoneticPr fontId="17" type="noConversion"/>
  </si>
  <si>
    <t>金融对客费率</t>
    <phoneticPr fontId="17" type="noConversion"/>
  </si>
  <si>
    <t>业务来源</t>
    <phoneticPr fontId="17" type="noConversion"/>
  </si>
  <si>
    <t>月供</t>
    <phoneticPr fontId="17" type="noConversion"/>
  </si>
  <si>
    <t>业务类型</t>
    <phoneticPr fontId="17" type="noConversion"/>
  </si>
  <si>
    <t>月供和</t>
    <phoneticPr fontId="17" type="noConversion"/>
  </si>
  <si>
    <t>固定值做入参</t>
    <phoneticPr fontId="17" type="noConversion"/>
  </si>
  <si>
    <t>首付比判断</t>
    <phoneticPr fontId="17" type="noConversion"/>
  </si>
  <si>
    <t>风控录入首付比</t>
    <phoneticPr fontId="17" type="noConversion"/>
  </si>
  <si>
    <t>是否微众降首付</t>
    <phoneticPr fontId="17" type="noConversion"/>
  </si>
  <si>
    <t>370方案首付比</t>
    <phoneticPr fontId="17" type="noConversion"/>
  </si>
  <si>
    <t>最终首付比</t>
    <phoneticPr fontId="17" type="noConversion"/>
  </si>
  <si>
    <t>车款</t>
    <phoneticPr fontId="17" type="noConversion"/>
  </si>
  <si>
    <t>车辆结算价</t>
    <phoneticPr fontId="17" type="noConversion"/>
  </si>
  <si>
    <t>超融项上限</t>
    <phoneticPr fontId="17" type="noConversion"/>
  </si>
  <si>
    <t>超融规则</t>
    <phoneticPr fontId="17" type="noConversion"/>
  </si>
  <si>
    <t>超融项</t>
    <phoneticPr fontId="17" type="noConversion"/>
  </si>
  <si>
    <t>是否超融</t>
    <phoneticPr fontId="17" type="noConversion"/>
  </si>
  <si>
    <t>是</t>
  </si>
  <si>
    <t>GPS</t>
    <phoneticPr fontId="17" type="noConversion"/>
  </si>
  <si>
    <t>首刷OR超融</t>
    <phoneticPr fontId="17" type="noConversion"/>
  </si>
  <si>
    <t>抵押服务费</t>
    <phoneticPr fontId="17" type="noConversion"/>
  </si>
  <si>
    <t>系统配置入0-1500；代办服务费=抵押服务费+外迁运营费+上牌服务费</t>
    <phoneticPr fontId="17" type="noConversion"/>
  </si>
  <si>
    <t>配置项</t>
    <phoneticPr fontId="17" type="noConversion"/>
  </si>
  <si>
    <t>外迁运营费</t>
    <phoneticPr fontId="17" type="noConversion"/>
  </si>
  <si>
    <t>前端输入，暂未收取，取“0”</t>
    <phoneticPr fontId="17" type="noConversion"/>
  </si>
  <si>
    <t>上牌服务费</t>
    <phoneticPr fontId="17" type="noConversion"/>
  </si>
  <si>
    <t>GPS+代办服务费合计</t>
    <phoneticPr fontId="17" type="noConversion"/>
  </si>
  <si>
    <t>车辆安全保障服务费</t>
    <phoneticPr fontId="17" type="noConversion"/>
  </si>
  <si>
    <t>车辆安全保障服务费=盗抢险，购买年限为融资年限</t>
    <phoneticPr fontId="17" type="noConversion"/>
  </si>
  <si>
    <t>商业险精准OR非精准</t>
    <phoneticPr fontId="17" type="noConversion"/>
  </si>
  <si>
    <t>商业险投保年限</t>
    <phoneticPr fontId="17" type="noConversion"/>
  </si>
  <si>
    <t>商业险</t>
    <phoneticPr fontId="17" type="noConversion"/>
  </si>
  <si>
    <t>经销商服务费（自主到店B+优信带看C）</t>
    <phoneticPr fontId="17" type="noConversion"/>
  </si>
  <si>
    <t>全国直购经销商服务费从优信服务费中清分出来</t>
    <phoneticPr fontId="17" type="noConversion"/>
  </si>
  <si>
    <t>roundup(0)，存储该值，引用计算项</t>
    <phoneticPr fontId="17" type="noConversion"/>
  </si>
  <si>
    <t>首付额度判断</t>
    <phoneticPr fontId="17" type="noConversion"/>
  </si>
  <si>
    <t>月供系数</t>
    <phoneticPr fontId="17" type="noConversion"/>
  </si>
  <si>
    <t>最终可用授信额度</t>
    <phoneticPr fontId="17" type="noConversion"/>
  </si>
  <si>
    <t>最高贷款额</t>
    <phoneticPr fontId="17" type="noConversion"/>
  </si>
  <si>
    <t>最低贷款额</t>
    <phoneticPr fontId="17" type="noConversion"/>
  </si>
  <si>
    <t>最低首付款</t>
    <phoneticPr fontId="17" type="noConversion"/>
  </si>
  <si>
    <t>最高首付款</t>
    <phoneticPr fontId="17" type="noConversion"/>
  </si>
  <si>
    <t>客户选定首付</t>
    <phoneticPr fontId="17" type="noConversion"/>
  </si>
  <si>
    <t>客户选定首付款是否在可选区间</t>
    <phoneticPr fontId="17" type="noConversion"/>
  </si>
  <si>
    <t>贷款要素</t>
    <phoneticPr fontId="17" type="noConversion"/>
  </si>
  <si>
    <t>最终首付款</t>
    <phoneticPr fontId="17" type="noConversion"/>
  </si>
  <si>
    <t>最终贷款额</t>
    <phoneticPr fontId="17" type="noConversion"/>
  </si>
  <si>
    <t>最终月供</t>
    <phoneticPr fontId="17" type="noConversion"/>
  </si>
  <si>
    <t>优信服务费</t>
    <phoneticPr fontId="17" type="noConversion"/>
  </si>
  <si>
    <t>强制超融项，优信服务费=金融服务费+商城服务费</t>
    <phoneticPr fontId="17" type="noConversion"/>
  </si>
  <si>
    <t xml:space="preserve">   金融服务费</t>
    <phoneticPr fontId="17" type="noConversion"/>
  </si>
  <si>
    <t xml:space="preserve">   商城服务费</t>
    <phoneticPr fontId="17" type="noConversion"/>
  </si>
  <si>
    <t>倒推首付比</t>
    <phoneticPr fontId="17" type="noConversion"/>
  </si>
  <si>
    <t>优信带看C</t>
  </si>
  <si>
    <t>返回目录</t>
    <phoneticPr fontId="17" type="noConversion"/>
  </si>
  <si>
    <t>各种收费项</t>
    <phoneticPr fontId="17" type="noConversion"/>
  </si>
  <si>
    <t>借款期限（年）</t>
    <phoneticPr fontId="31" type="noConversion"/>
  </si>
  <si>
    <t>2年或3年</t>
    <phoneticPr fontId="31" type="noConversion"/>
  </si>
  <si>
    <t>限制</t>
    <phoneticPr fontId="31" type="noConversion"/>
  </si>
  <si>
    <t>项目</t>
    <phoneticPr fontId="17" type="noConversion"/>
  </si>
  <si>
    <t>入参</t>
    <phoneticPr fontId="17" type="noConversion"/>
  </si>
  <si>
    <t>限制</t>
    <phoneticPr fontId="17" type="noConversion"/>
  </si>
  <si>
    <t>金融方案</t>
    <phoneticPr fontId="31" type="noConversion"/>
  </si>
  <si>
    <t>是否选择超融</t>
    <phoneticPr fontId="17" type="noConversion"/>
  </si>
  <si>
    <t>总车价</t>
  </si>
  <si>
    <t>资金方</t>
    <phoneticPr fontId="31" type="noConversion"/>
  </si>
  <si>
    <t>民生金租</t>
    <phoneticPr fontId="31" type="noConversion"/>
  </si>
  <si>
    <r>
      <t>精准o</t>
    </r>
    <r>
      <rPr>
        <sz val="11"/>
        <color theme="1"/>
        <rFont val="DengXian"/>
        <family val="2"/>
        <scheme val="minor"/>
      </rPr>
      <t>r非精准</t>
    </r>
    <phoneticPr fontId="17" type="noConversion"/>
  </si>
  <si>
    <t>超融金额</t>
  </si>
  <si>
    <t>盗抢险投保年限</t>
    <phoneticPr fontId="17" type="noConversion"/>
  </si>
  <si>
    <t>不能大于贷款年限</t>
    <phoneticPr fontId="17" type="noConversion"/>
  </si>
  <si>
    <t>风控审批额度</t>
    <phoneticPr fontId="17" type="noConversion"/>
  </si>
  <si>
    <t>额度取大</t>
    <phoneticPr fontId="31" type="noConversion"/>
  </si>
  <si>
    <t>商业险投保年限</t>
    <phoneticPr fontId="17" type="noConversion"/>
  </si>
  <si>
    <t>期限</t>
  </si>
  <si>
    <t>最终授信额度</t>
    <phoneticPr fontId="17" type="noConversion"/>
  </si>
  <si>
    <t>联保额度系数</t>
    <phoneticPr fontId="17" type="noConversion"/>
  </si>
  <si>
    <t>车辆结算价TP0</t>
    <phoneticPr fontId="31" type="noConversion"/>
  </si>
  <si>
    <t>业务类型</t>
    <phoneticPr fontId="17" type="noConversion"/>
  </si>
  <si>
    <t>回租大公户</t>
  </si>
  <si>
    <t>GPS(首刷or超融)</t>
    <phoneticPr fontId="17" type="noConversion"/>
  </si>
  <si>
    <t>保险种类</t>
    <phoneticPr fontId="17" type="noConversion"/>
  </si>
  <si>
    <r>
      <t>抵押费（包车价or超融or首刷</t>
    </r>
    <r>
      <rPr>
        <sz val="11"/>
        <color theme="1"/>
        <rFont val="DengXian"/>
        <family val="2"/>
        <scheme val="minor"/>
      </rPr>
      <t>）</t>
    </r>
    <phoneticPr fontId="17" type="noConversion"/>
  </si>
  <si>
    <t>配置项</t>
    <phoneticPr fontId="17" type="noConversion"/>
  </si>
  <si>
    <t>商业险（超融项收取）</t>
    <phoneticPr fontId="17" type="noConversion"/>
  </si>
  <si>
    <t>外迁运营费（首刷or超融）</t>
    <phoneticPr fontId="17" type="noConversion"/>
  </si>
  <si>
    <t>待定</t>
    <phoneticPr fontId="17" type="noConversion"/>
  </si>
  <si>
    <t>GPS（超融项收取）</t>
    <phoneticPr fontId="17" type="noConversion"/>
  </si>
  <si>
    <r>
      <t>上牌服务费（首刷o</t>
    </r>
    <r>
      <rPr>
        <sz val="11"/>
        <color theme="1"/>
        <rFont val="DengXian"/>
        <family val="2"/>
        <scheme val="minor"/>
      </rPr>
      <t>r超融</t>
    </r>
    <r>
      <rPr>
        <sz val="11"/>
        <color theme="1"/>
        <rFont val="DengXian"/>
        <family val="2"/>
        <scheme val="minor"/>
      </rPr>
      <t>）</t>
    </r>
    <phoneticPr fontId="17" type="noConversion"/>
  </si>
  <si>
    <t>盗抢险购买年限</t>
    <phoneticPr fontId="17" type="noConversion"/>
  </si>
  <si>
    <r>
      <t>盗抢险（首刷o</t>
    </r>
    <r>
      <rPr>
        <sz val="11"/>
        <color theme="1"/>
        <rFont val="DengXian"/>
        <family val="2"/>
        <scheme val="minor"/>
      </rPr>
      <t>r超融</t>
    </r>
    <r>
      <rPr>
        <sz val="11"/>
        <color theme="1"/>
        <rFont val="DengXian"/>
        <family val="2"/>
        <scheme val="minor"/>
      </rPr>
      <t>）</t>
    </r>
    <phoneticPr fontId="17" type="noConversion"/>
  </si>
  <si>
    <t>盗抢险（超融项收取）</t>
    <phoneticPr fontId="17" type="noConversion"/>
  </si>
  <si>
    <t>经销商服务费（包车价）</t>
    <phoneticPr fontId="17" type="noConversion"/>
  </si>
  <si>
    <t>抵押费（超融项收取）</t>
    <phoneticPr fontId="17" type="noConversion"/>
  </si>
  <si>
    <r>
      <t>经销商服务费Plus</t>
    </r>
    <r>
      <rPr>
        <sz val="11"/>
        <color theme="1"/>
        <rFont val="DengXian"/>
        <family val="2"/>
        <scheme val="minor"/>
      </rPr>
      <t>（超融）</t>
    </r>
    <phoneticPr fontId="17" type="noConversion"/>
  </si>
  <si>
    <t>10万及以下</t>
    <phoneticPr fontId="17" type="noConversion"/>
  </si>
  <si>
    <t>10万以上</t>
    <phoneticPr fontId="17" type="noConversion"/>
  </si>
  <si>
    <t>外迁运营费（超融项收取）</t>
    <phoneticPr fontId="17" type="noConversion"/>
  </si>
  <si>
    <t>商业险（超融）</t>
    <phoneticPr fontId="17" type="noConversion"/>
  </si>
  <si>
    <t>上牌服务费（超融项收取）</t>
    <phoneticPr fontId="17" type="noConversion"/>
  </si>
  <si>
    <t>公户资产管理费（首刷）</t>
    <phoneticPr fontId="17" type="noConversion"/>
  </si>
  <si>
    <t>经销商服务费Plus（超融项收取）</t>
    <phoneticPr fontId="17" type="noConversion"/>
  </si>
  <si>
    <t>违章保证金（首刷）</t>
    <phoneticPr fontId="17" type="noConversion"/>
  </si>
  <si>
    <t>经销商返点率</t>
  </si>
  <si>
    <t>交易服务费</t>
    <phoneticPr fontId="17" type="noConversion"/>
  </si>
  <si>
    <t>产品编号关系（微众、新网、工行统一）：</t>
    <phoneticPr fontId="31" type="noConversion"/>
  </si>
  <si>
    <t>业务类型</t>
    <phoneticPr fontId="31" type="noConversion"/>
  </si>
  <si>
    <t>经销商返点</t>
    <phoneticPr fontId="17" type="noConversion"/>
  </si>
  <si>
    <t>异地运营费(暂时不用)</t>
    <phoneticPr fontId="17" type="noConversion"/>
  </si>
  <si>
    <t>抵押费(包车价模式暂时不用)</t>
    <phoneticPr fontId="17" type="noConversion"/>
  </si>
  <si>
    <t>包车价总费用</t>
    <phoneticPr fontId="17" type="noConversion"/>
  </si>
  <si>
    <t>对客户</t>
    <phoneticPr fontId="31" type="noConversion"/>
  </si>
  <si>
    <t>对优信（不超融/超融）</t>
    <phoneticPr fontId="31" type="noConversion"/>
  </si>
  <si>
    <t>对微众</t>
    <phoneticPr fontId="31" type="noConversion"/>
  </si>
  <si>
    <t>年收益率</t>
  </si>
  <si>
    <t>资金部给定</t>
  </si>
  <si>
    <t>PS41/PS51</t>
    <phoneticPr fontId="31" type="noConversion"/>
  </si>
  <si>
    <t>PS42/PS52</t>
    <phoneticPr fontId="31" type="noConversion"/>
  </si>
  <si>
    <t>PS14</t>
    <phoneticPr fontId="31" type="noConversion"/>
  </si>
  <si>
    <t>最低首付比例对应贷款额</t>
  </si>
  <si>
    <t>rounddown</t>
    <phoneticPr fontId="31" type="noConversion"/>
  </si>
  <si>
    <t>PS43/PS53</t>
    <phoneticPr fontId="31" type="noConversion"/>
  </si>
  <si>
    <t>370/白户</t>
    <phoneticPr fontId="31" type="noConversion"/>
  </si>
  <si>
    <t>PS44/PS54</t>
    <phoneticPr fontId="31" type="noConversion"/>
  </si>
  <si>
    <t>最高贷款额下的优信利润</t>
  </si>
  <si>
    <t xml:space="preserve">round </t>
    <phoneticPr fontId="31" type="noConversion"/>
  </si>
  <si>
    <r>
      <t>限牌190、民生</t>
    </r>
    <r>
      <rPr>
        <sz val="11"/>
        <color theme="1"/>
        <rFont val="DengXian"/>
        <family val="2"/>
        <scheme val="minor"/>
      </rPr>
      <t>190</t>
    </r>
    <phoneticPr fontId="31" type="noConversion"/>
  </si>
  <si>
    <t>PS45/PS55</t>
    <phoneticPr fontId="31" type="noConversion"/>
  </si>
  <si>
    <t>不支持</t>
    <phoneticPr fontId="31" type="noConversion"/>
  </si>
  <si>
    <t>直租190</t>
    <phoneticPr fontId="31" type="noConversion"/>
  </si>
  <si>
    <t>PS46/PS56</t>
    <phoneticPr fontId="31" type="noConversion"/>
  </si>
  <si>
    <t>资金部给定参数</t>
    <phoneticPr fontId="31" type="noConversion"/>
  </si>
  <si>
    <t>车抵贷</t>
    <phoneticPr fontId="31" type="noConversion"/>
  </si>
  <si>
    <r>
      <t>PS4</t>
    </r>
    <r>
      <rPr>
        <sz val="11"/>
        <color theme="1"/>
        <rFont val="DengXian"/>
        <family val="2"/>
        <scheme val="minor"/>
      </rPr>
      <t>7</t>
    </r>
    <r>
      <rPr>
        <sz val="11"/>
        <color theme="1"/>
        <rFont val="DengXian"/>
        <family val="2"/>
        <scheme val="minor"/>
      </rPr>
      <t>/PS5</t>
    </r>
    <r>
      <rPr>
        <sz val="11"/>
        <color theme="1"/>
        <rFont val="DengXian"/>
        <family val="2"/>
        <scheme val="minor"/>
      </rPr>
      <t>7</t>
    </r>
    <phoneticPr fontId="31" type="noConversion"/>
  </si>
  <si>
    <t>最低贷款额下的优信利润</t>
  </si>
  <si>
    <t>前端输入</t>
    <phoneticPr fontId="31" type="noConversion"/>
  </si>
  <si>
    <t>首付车款</t>
    <phoneticPr fontId="17" type="noConversion"/>
  </si>
  <si>
    <t xml:space="preserve"> </t>
    <phoneticPr fontId="17" type="noConversion"/>
  </si>
  <si>
    <t>贷款总额</t>
    <phoneticPr fontId="31" type="noConversion"/>
  </si>
  <si>
    <t>优信利润</t>
  </si>
  <si>
    <t>合同购车总价（新结算价）</t>
    <phoneticPr fontId="31" type="noConversion"/>
  </si>
  <si>
    <t>等额本息资金成本</t>
    <phoneticPr fontId="31" type="noConversion"/>
  </si>
  <si>
    <t>月供</t>
    <phoneticPr fontId="31" type="noConversion"/>
  </si>
  <si>
    <t>公户资产管理费（首刷收取）</t>
    <phoneticPr fontId="31" type="noConversion"/>
  </si>
  <si>
    <t>公户违章违约金（首刷收取）</t>
    <phoneticPr fontId="31" type="noConversion"/>
  </si>
  <si>
    <t>输出产品编号</t>
    <phoneticPr fontId="31" type="noConversion"/>
  </si>
  <si>
    <t>PS45/PS55</t>
  </si>
  <si>
    <t>倒推首付比</t>
    <phoneticPr fontId="31" type="noConversion"/>
  </si>
  <si>
    <t>GPS（首刷收取）</t>
    <phoneticPr fontId="31" type="noConversion"/>
  </si>
  <si>
    <t>盗抢险（首刷收取）</t>
    <phoneticPr fontId="17" type="noConversion"/>
  </si>
  <si>
    <t>抵押费（首刷收取）</t>
    <phoneticPr fontId="17" type="noConversion"/>
  </si>
  <si>
    <t>外迁运营费（首刷收取）</t>
    <phoneticPr fontId="17" type="noConversion"/>
  </si>
  <si>
    <t>上牌服务费（首刷收取）</t>
    <phoneticPr fontId="17" type="noConversion"/>
  </si>
  <si>
    <t>应刷首刷金额</t>
    <phoneticPr fontId="31" type="noConversion"/>
  </si>
  <si>
    <t>首付清分</t>
    <phoneticPr fontId="31" type="noConversion"/>
  </si>
  <si>
    <t>用户实际刷卡金额（多刷钱的情况）</t>
    <phoneticPr fontId="31" type="noConversion"/>
  </si>
  <si>
    <t>带看费用</t>
    <phoneticPr fontId="31" type="noConversion"/>
  </si>
  <si>
    <t>xindktip</t>
    <phoneticPr fontId="17" type="noConversion"/>
  </si>
  <si>
    <t>刷卡手续费</t>
    <phoneticPr fontId="31" type="noConversion"/>
  </si>
  <si>
    <r>
      <t>xinfee</t>
    </r>
    <r>
      <rPr>
        <sz val="11"/>
        <color theme="1"/>
        <rFont val="DengXian"/>
        <family val="2"/>
        <scheme val="minor"/>
      </rPr>
      <t>\xindkfee</t>
    </r>
    <phoneticPr fontId="17" type="noConversion"/>
  </si>
  <si>
    <t>清分GPS</t>
    <phoneticPr fontId="31" type="noConversion"/>
  </si>
  <si>
    <t>finance002</t>
    <phoneticPr fontId="17" type="noConversion"/>
  </si>
  <si>
    <t>盗抢险</t>
    <phoneticPr fontId="17" type="noConversion"/>
  </si>
  <si>
    <t>xintheftinsys</t>
    <phoneticPr fontId="17" type="noConversion"/>
  </si>
  <si>
    <t>清分违章违约金（公户时）</t>
    <phoneticPr fontId="31" type="noConversion"/>
  </si>
  <si>
    <t>xinweizhang</t>
    <phoneticPr fontId="17" type="noConversion"/>
  </si>
  <si>
    <t>清分公户资产管理费（公户时）</t>
    <phoneticPr fontId="17" type="noConversion"/>
  </si>
  <si>
    <t>xinpublicyg</t>
  </si>
  <si>
    <t>抵押费用</t>
    <phoneticPr fontId="17" type="noConversion"/>
  </si>
  <si>
    <t>xinmortgageyg</t>
    <phoneticPr fontId="17" type="noConversion"/>
  </si>
  <si>
    <t>外迁运营费用</t>
    <phoneticPr fontId="17" type="noConversion"/>
  </si>
  <si>
    <t>xinnonlocalyg</t>
    <phoneticPr fontId="17" type="noConversion"/>
  </si>
  <si>
    <t>上牌服务费</t>
  </si>
  <si>
    <t>xinlistingyg</t>
    <phoneticPr fontId="17" type="noConversion"/>
  </si>
  <si>
    <t>清分给车商</t>
    <phoneticPr fontId="31" type="noConversion"/>
  </si>
  <si>
    <t>车商</t>
    <phoneticPr fontId="17" type="noConversion"/>
  </si>
  <si>
    <t>放款、请款</t>
    <phoneticPr fontId="31" type="noConversion"/>
  </si>
  <si>
    <t>车辆尾款（凯枫-车商）</t>
    <phoneticPr fontId="31" type="noConversion"/>
  </si>
  <si>
    <t>经销商服务费（凯枫-车商）</t>
    <phoneticPr fontId="31" type="noConversion"/>
  </si>
  <si>
    <t>经销商服务费Plus（凯枫-车商）</t>
    <phoneticPr fontId="31" type="noConversion"/>
  </si>
  <si>
    <t>外迁运营费用（凯枫-优估）</t>
    <phoneticPr fontId="17" type="noConversion"/>
  </si>
  <si>
    <t>抵押费（凯枫-优估）</t>
    <phoneticPr fontId="31" type="noConversion"/>
  </si>
  <si>
    <t>商业险（凯枫-保险公司or个人）</t>
    <phoneticPr fontId="31" type="noConversion"/>
  </si>
  <si>
    <t>GPS（凯枫-凯枫）</t>
    <phoneticPr fontId="31" type="noConversion"/>
  </si>
  <si>
    <t>盗抢险（凯枫-优陕）</t>
    <phoneticPr fontId="17" type="noConversion"/>
  </si>
  <si>
    <t>上牌服务费（凯枫-优估）</t>
    <phoneticPr fontId="17" type="noConversion"/>
  </si>
  <si>
    <t>手续费（凯枫-优估）</t>
    <phoneticPr fontId="31" type="noConversion"/>
  </si>
  <si>
    <t>向资方请款金额</t>
    <phoneticPr fontId="31" type="noConversion"/>
  </si>
  <si>
    <t>盗抢险（优陕-保险公司）</t>
    <phoneticPr fontId="17" type="noConversion"/>
  </si>
  <si>
    <t>返回目录</t>
    <phoneticPr fontId="17" type="noConversion"/>
  </si>
  <si>
    <t>说明</t>
    <phoneticPr fontId="31" type="noConversion"/>
  </si>
  <si>
    <t>限制</t>
    <phoneticPr fontId="31" type="noConversion"/>
  </si>
  <si>
    <t>各种收费项</t>
    <phoneticPr fontId="17" type="noConversion"/>
  </si>
  <si>
    <t>产品编号关系（微众、新网、工行统一）：</t>
    <phoneticPr fontId="31" type="noConversion"/>
  </si>
  <si>
    <t>必选项</t>
    <phoneticPr fontId="31" type="noConversion"/>
  </si>
  <si>
    <t>金融方案</t>
    <phoneticPr fontId="31" type="noConversion"/>
  </si>
  <si>
    <t>项目</t>
    <phoneticPr fontId="17" type="noConversion"/>
  </si>
  <si>
    <t>入参</t>
    <phoneticPr fontId="17" type="noConversion"/>
  </si>
  <si>
    <t>限制</t>
    <phoneticPr fontId="17" type="noConversion"/>
  </si>
  <si>
    <t>资方</t>
    <phoneticPr fontId="31" type="noConversion"/>
  </si>
  <si>
    <t>是否选择超融</t>
    <phoneticPr fontId="17" type="noConversion"/>
  </si>
  <si>
    <t>对客户</t>
    <phoneticPr fontId="31" type="noConversion"/>
  </si>
  <si>
    <t>对优信（不超融/超融）</t>
    <phoneticPr fontId="31" type="noConversion"/>
  </si>
  <si>
    <t>对微众</t>
    <phoneticPr fontId="31" type="noConversion"/>
  </si>
  <si>
    <t>用户类型</t>
    <phoneticPr fontId="31" type="noConversion"/>
  </si>
  <si>
    <r>
      <t>精准o</t>
    </r>
    <r>
      <rPr>
        <sz val="11"/>
        <color theme="1"/>
        <rFont val="DengXian"/>
        <family val="2"/>
        <scheme val="minor"/>
      </rPr>
      <t>r非精准</t>
    </r>
    <phoneticPr fontId="17" type="noConversion"/>
  </si>
  <si>
    <t>PS41/PS51</t>
    <phoneticPr fontId="31" type="noConversion"/>
  </si>
  <si>
    <t>标准月供计算器模块</t>
  </si>
  <si>
    <t>期限（年）</t>
    <phoneticPr fontId="31" type="noConversion"/>
  </si>
  <si>
    <t>盗抢险投保年限</t>
    <phoneticPr fontId="17" type="noConversion"/>
  </si>
  <si>
    <t>不能大于贷款年限</t>
    <phoneticPr fontId="17" type="noConversion"/>
  </si>
  <si>
    <t>PS42/PS52</t>
    <phoneticPr fontId="31" type="noConversion"/>
  </si>
  <si>
    <t>PS14</t>
    <phoneticPr fontId="31" type="noConversion"/>
  </si>
  <si>
    <t>商业险投保年限</t>
    <phoneticPr fontId="17" type="noConversion"/>
  </si>
  <si>
    <t>联保额度系数</t>
    <phoneticPr fontId="17" type="noConversion"/>
  </si>
  <si>
    <t>业务类型</t>
    <phoneticPr fontId="17" type="noConversion"/>
  </si>
  <si>
    <t>风控录入首付比</t>
    <phoneticPr fontId="31" type="noConversion"/>
  </si>
  <si>
    <t>GPS(首刷or超融)</t>
    <phoneticPr fontId="17" type="noConversion"/>
  </si>
  <si>
    <t>PS43/PS53</t>
    <phoneticPr fontId="31" type="noConversion"/>
  </si>
  <si>
    <t>是否微众降首付比</t>
    <phoneticPr fontId="31" type="noConversion"/>
  </si>
  <si>
    <r>
      <t>抵押费（包车价or超融or首刷</t>
    </r>
    <r>
      <rPr>
        <sz val="11"/>
        <color theme="1"/>
        <rFont val="DengXian"/>
        <family val="2"/>
        <scheme val="minor"/>
      </rPr>
      <t>）</t>
    </r>
    <phoneticPr fontId="17" type="noConversion"/>
  </si>
  <si>
    <t>配置项</t>
    <phoneticPr fontId="17" type="noConversion"/>
  </si>
  <si>
    <t>370/白户</t>
    <phoneticPr fontId="31" type="noConversion"/>
  </si>
  <si>
    <t>PS44/PS54</t>
    <phoneticPr fontId="31" type="noConversion"/>
  </si>
  <si>
    <t>是否新网、民生降首付比</t>
    <phoneticPr fontId="31" type="noConversion"/>
  </si>
  <si>
    <t>外迁运营费（首刷or超融）</t>
    <phoneticPr fontId="17" type="noConversion"/>
  </si>
  <si>
    <t>待定</t>
    <phoneticPr fontId="17" type="noConversion"/>
  </si>
  <si>
    <r>
      <t>限牌190、民生</t>
    </r>
    <r>
      <rPr>
        <sz val="11"/>
        <color theme="1"/>
        <rFont val="DengXian"/>
        <family val="2"/>
        <scheme val="minor"/>
      </rPr>
      <t>190</t>
    </r>
    <phoneticPr fontId="31" type="noConversion"/>
  </si>
  <si>
    <t>PS45/PS55</t>
    <phoneticPr fontId="31" type="noConversion"/>
  </si>
  <si>
    <t>不支持</t>
    <phoneticPr fontId="31" type="noConversion"/>
  </si>
  <si>
    <t>370金融方案首付比</t>
    <phoneticPr fontId="31" type="noConversion"/>
  </si>
  <si>
    <r>
      <t>上牌服务费（首刷o</t>
    </r>
    <r>
      <rPr>
        <sz val="11"/>
        <color theme="1"/>
        <rFont val="DengXian"/>
        <family val="2"/>
        <scheme val="minor"/>
      </rPr>
      <t>r超融</t>
    </r>
    <r>
      <rPr>
        <sz val="11"/>
        <color theme="1"/>
        <rFont val="DengXian"/>
        <family val="2"/>
        <scheme val="minor"/>
      </rPr>
      <t>）</t>
    </r>
    <phoneticPr fontId="17" type="noConversion"/>
  </si>
  <si>
    <t>直租190</t>
    <phoneticPr fontId="31" type="noConversion"/>
  </si>
  <si>
    <t>PS46/PS56</t>
    <phoneticPr fontId="31" type="noConversion"/>
  </si>
  <si>
    <t>最终首付比</t>
    <phoneticPr fontId="31" type="noConversion"/>
  </si>
  <si>
    <r>
      <t>盗抢险（首刷o</t>
    </r>
    <r>
      <rPr>
        <sz val="11"/>
        <color theme="1"/>
        <rFont val="DengXian"/>
        <family val="2"/>
        <scheme val="minor"/>
      </rPr>
      <t>r超融</t>
    </r>
    <r>
      <rPr>
        <sz val="11"/>
        <color theme="1"/>
        <rFont val="DengXian"/>
        <family val="2"/>
        <scheme val="minor"/>
      </rPr>
      <t>）</t>
    </r>
    <phoneticPr fontId="17" type="noConversion"/>
  </si>
  <si>
    <t>车抵贷</t>
    <phoneticPr fontId="31" type="noConversion"/>
  </si>
  <si>
    <r>
      <t>PS4</t>
    </r>
    <r>
      <rPr>
        <sz val="11"/>
        <color theme="1"/>
        <rFont val="DengXian"/>
        <family val="2"/>
        <scheme val="minor"/>
      </rPr>
      <t>7</t>
    </r>
    <r>
      <rPr>
        <sz val="11"/>
        <color theme="1"/>
        <rFont val="DengXian"/>
        <family val="2"/>
        <scheme val="minor"/>
      </rPr>
      <t>/PS5</t>
    </r>
    <r>
      <rPr>
        <sz val="11"/>
        <color theme="1"/>
        <rFont val="DengXian"/>
        <family val="2"/>
        <scheme val="minor"/>
      </rPr>
      <t>7</t>
    </r>
    <phoneticPr fontId="31" type="noConversion"/>
  </si>
  <si>
    <t>车辆结算价</t>
  </si>
  <si>
    <t>经销商服务费（包车价）</t>
    <phoneticPr fontId="17" type="noConversion"/>
  </si>
  <si>
    <t>差异化利率</t>
    <phoneticPr fontId="17" type="noConversion"/>
  </si>
  <si>
    <t>非差异化</t>
  </si>
  <si>
    <t>高额度和低首付属于差异化</t>
    <phoneticPr fontId="17" type="noConversion"/>
  </si>
  <si>
    <r>
      <t>经销商服务费Plus</t>
    </r>
    <r>
      <rPr>
        <sz val="11"/>
        <color theme="1"/>
        <rFont val="DengXian"/>
        <family val="2"/>
        <scheme val="minor"/>
      </rPr>
      <t>（超融）</t>
    </r>
    <phoneticPr fontId="17" type="noConversion"/>
  </si>
  <si>
    <t>10万及以下</t>
    <phoneticPr fontId="17" type="noConversion"/>
  </si>
  <si>
    <t>10万以上</t>
    <phoneticPr fontId="17" type="noConversion"/>
  </si>
  <si>
    <t>优信年利润率</t>
  </si>
  <si>
    <t>round 6</t>
    <phoneticPr fontId="31" type="noConversion"/>
  </si>
  <si>
    <t>商业险（超融）</t>
    <phoneticPr fontId="17" type="noConversion"/>
  </si>
  <si>
    <t>优信总利润</t>
  </si>
  <si>
    <t>公户资产管理费（首刷）</t>
    <phoneticPr fontId="17" type="noConversion"/>
  </si>
  <si>
    <t>降首付比是否可行</t>
    <phoneticPr fontId="31" type="noConversion"/>
  </si>
  <si>
    <t>业务来源</t>
    <phoneticPr fontId="17" type="noConversion"/>
  </si>
  <si>
    <t>违章保证金（首刷）</t>
    <phoneticPr fontId="17" type="noConversion"/>
  </si>
  <si>
    <t>交易服务费</t>
    <phoneticPr fontId="17" type="noConversion"/>
  </si>
  <si>
    <t>五成首付用户不能买370</t>
    <phoneticPr fontId="31" type="noConversion"/>
  </si>
  <si>
    <t>异地运营费（暂时不用）</t>
    <phoneticPr fontId="17" type="noConversion"/>
  </si>
  <si>
    <r>
      <t>抵押费</t>
    </r>
    <r>
      <rPr>
        <sz val="11"/>
        <color theme="1"/>
        <rFont val="DengXian"/>
        <family val="2"/>
        <scheme val="minor"/>
      </rPr>
      <t>(全国直购包车价收取</t>
    </r>
    <r>
      <rPr>
        <sz val="11"/>
        <color theme="1"/>
        <rFont val="DengXian"/>
        <family val="2"/>
        <scheme val="minor"/>
      </rPr>
      <t>)</t>
    </r>
    <phoneticPr fontId="17" type="noConversion"/>
  </si>
  <si>
    <t>经销商返点(包车价收取)</t>
    <phoneticPr fontId="17" type="noConversion"/>
  </si>
  <si>
    <t>风控额度</t>
    <phoneticPr fontId="17" type="noConversion"/>
  </si>
  <si>
    <r>
      <t>经销商返点+异地运营费</t>
    </r>
    <r>
      <rPr>
        <sz val="11"/>
        <color theme="1"/>
        <rFont val="DengXian"/>
        <family val="2"/>
        <scheme val="minor"/>
      </rPr>
      <t>+抵押费</t>
    </r>
    <phoneticPr fontId="17" type="noConversion"/>
  </si>
  <si>
    <t>全部包车价里</t>
    <phoneticPr fontId="17" type="noConversion"/>
  </si>
  <si>
    <t>风控-资方额度</t>
    <phoneticPr fontId="17" type="noConversion"/>
  </si>
  <si>
    <t>判断2</t>
    <phoneticPr fontId="31" type="noConversion"/>
  </si>
  <si>
    <t>风控-优信额度</t>
    <phoneticPr fontId="17" type="noConversion"/>
  </si>
  <si>
    <t>服务费和超融是否超限</t>
    <phoneticPr fontId="31" type="noConversion"/>
  </si>
  <si>
    <t>是否支持超融（超融项填0时判断）</t>
    <phoneticPr fontId="17" type="noConversion"/>
  </si>
  <si>
    <t>超融项为0时，才检查</t>
    <phoneticPr fontId="17" type="noConversion"/>
  </si>
  <si>
    <t>保险种类</t>
    <phoneticPr fontId="31" type="noConversion"/>
  </si>
  <si>
    <t>汇总判断</t>
    <phoneticPr fontId="31" type="noConversion"/>
  </si>
  <si>
    <t xml:space="preserve"> GPS（超融项收取）</t>
    <phoneticPr fontId="31" type="noConversion"/>
  </si>
  <si>
    <t>盗抢险购买年限</t>
    <phoneticPr fontId="17" type="noConversion"/>
  </si>
  <si>
    <t>盗抢险（超融项收取）</t>
    <phoneticPr fontId="17" type="noConversion"/>
  </si>
  <si>
    <t>抵押费（超融项收取）</t>
    <phoneticPr fontId="17" type="noConversion"/>
  </si>
  <si>
    <t>外迁运营费（超融项收取）</t>
    <phoneticPr fontId="17" type="noConversion"/>
  </si>
  <si>
    <t>商业险（超融项收取）</t>
    <phoneticPr fontId="17" type="noConversion"/>
  </si>
  <si>
    <t>上牌服务费（超融项收取）</t>
    <phoneticPr fontId="17" type="noConversion"/>
  </si>
  <si>
    <t>经销商服务费Plus（超融项收取）</t>
    <phoneticPr fontId="17" type="noConversion"/>
  </si>
  <si>
    <t>经销商服务费、超融费为0时，进行对比。</t>
    <phoneticPr fontId="31" type="noConversion"/>
  </si>
  <si>
    <t>当前资方</t>
    <phoneticPr fontId="31" type="noConversion"/>
  </si>
  <si>
    <t>资金成本</t>
  </si>
  <si>
    <t>谁大用谁</t>
    <phoneticPr fontId="31" type="noConversion"/>
  </si>
  <si>
    <r>
      <t>月供预算-</t>
    </r>
    <r>
      <rPr>
        <sz val="11"/>
        <color theme="1"/>
        <rFont val="DengXian"/>
        <family val="2"/>
        <scheme val="minor"/>
      </rPr>
      <t>C</t>
    </r>
    <phoneticPr fontId="31" type="noConversion"/>
  </si>
  <si>
    <t>双资方数值一致时，用微众</t>
    <phoneticPr fontId="31" type="noConversion"/>
  </si>
  <si>
    <t>微众</t>
    <phoneticPr fontId="31" type="noConversion"/>
  </si>
  <si>
    <t>金融产品固定参数</t>
  </si>
  <si>
    <t>月供预算</t>
    <phoneticPr fontId="31" type="noConversion"/>
  </si>
  <si>
    <t>资金成本</t>
    <phoneticPr fontId="17" type="noConversion"/>
  </si>
  <si>
    <t>试算取值</t>
    <rPh sb="0" eb="1">
      <t>shi yan</t>
    </rPh>
    <rPh sb="1" eb="2">
      <t>suan</t>
    </rPh>
    <rPh sb="2" eb="3">
      <t>qu zhi</t>
    </rPh>
    <rPh sb="3" eb="4">
      <t>zhi</t>
    </rPh>
    <phoneticPr fontId="31" type="noConversion"/>
  </si>
  <si>
    <t>输出比优用的贷款额模块</t>
  </si>
  <si>
    <t>贷款额预算</t>
    <phoneticPr fontId="31" type="noConversion"/>
  </si>
  <si>
    <t>rounddown0</t>
    <phoneticPr fontId="31" type="noConversion"/>
  </si>
  <si>
    <t>满-最低首付比</t>
    <phoneticPr fontId="17" type="noConversion"/>
  </si>
  <si>
    <t>首付款预算</t>
    <phoneticPr fontId="31" type="noConversion"/>
  </si>
  <si>
    <t>满-年收益率-大分母</t>
    <phoneticPr fontId="17" type="noConversion"/>
  </si>
  <si>
    <t>满-首付款预算</t>
    <phoneticPr fontId="17" type="noConversion"/>
  </si>
  <si>
    <t>年收益率-大分母</t>
    <phoneticPr fontId="17" type="noConversion"/>
  </si>
  <si>
    <t>round 6</t>
    <phoneticPr fontId="31" type="noConversion"/>
  </si>
  <si>
    <t>满-贷款额预算</t>
    <phoneticPr fontId="17" type="noConversion"/>
  </si>
  <si>
    <t>贷款额预算</t>
    <phoneticPr fontId="31" type="noConversion"/>
  </si>
  <si>
    <t>满-超融金额</t>
    <phoneticPr fontId="17" type="noConversion"/>
  </si>
  <si>
    <t>资方额度</t>
    <phoneticPr fontId="31" type="noConversion"/>
  </si>
  <si>
    <t>满-经销商返点-B</t>
    <phoneticPr fontId="17" type="noConversion"/>
  </si>
  <si>
    <t>优信额度</t>
    <phoneticPr fontId="31" type="noConversion"/>
  </si>
  <si>
    <t>满-最高贷款额</t>
    <phoneticPr fontId="17" type="noConversion"/>
  </si>
  <si>
    <t>最终授信额度</t>
  </si>
  <si>
    <t>满-优信利润</t>
    <phoneticPr fontId="17" type="noConversion"/>
  </si>
  <si>
    <t>满-总车价</t>
    <phoneticPr fontId="17" type="noConversion"/>
  </si>
  <si>
    <t>最低贷款额</t>
    <phoneticPr fontId="31" type="noConversion"/>
  </si>
  <si>
    <t>资方说不限制了</t>
    <phoneticPr fontId="31" type="noConversion"/>
  </si>
  <si>
    <t>满-月供预算</t>
    <phoneticPr fontId="17" type="noConversion"/>
  </si>
  <si>
    <t xml:space="preserve">roundup0  </t>
    <phoneticPr fontId="31" type="noConversion"/>
  </si>
  <si>
    <t>满-优信总利润</t>
    <phoneticPr fontId="17" type="noConversion"/>
  </si>
  <si>
    <t>最高首付款</t>
    <phoneticPr fontId="31" type="noConversion"/>
  </si>
  <si>
    <r>
      <t>满-</t>
    </r>
    <r>
      <rPr>
        <sz val="11"/>
        <color theme="1"/>
        <rFont val="DengXian"/>
        <family val="2"/>
        <scheme val="minor"/>
      </rPr>
      <t>C端贷款额</t>
    </r>
    <phoneticPr fontId="17" type="noConversion"/>
  </si>
  <si>
    <t>最终贷款额</t>
    <phoneticPr fontId="31" type="noConversion"/>
  </si>
  <si>
    <t>rounddown0</t>
    <phoneticPr fontId="31" type="noConversion"/>
  </si>
  <si>
    <t>车贷贷款额</t>
    <phoneticPr fontId="17" type="noConversion"/>
  </si>
  <si>
    <t>最终优信利润</t>
    <phoneticPr fontId="31" type="noConversion"/>
  </si>
  <si>
    <t>最终合同购车总价(新结算价)</t>
    <phoneticPr fontId="31" type="noConversion"/>
  </si>
  <si>
    <t>最终车辆首付</t>
    <phoneticPr fontId="31" type="noConversion"/>
  </si>
  <si>
    <t>背户类型</t>
    <phoneticPr fontId="17" type="noConversion"/>
  </si>
  <si>
    <t>违章违约金（首刷收取）</t>
    <phoneticPr fontId="31" type="noConversion"/>
  </si>
  <si>
    <t>公户资产管理费（首刷收取）</t>
    <phoneticPr fontId="17" type="noConversion"/>
  </si>
  <si>
    <t>输出产品编号</t>
    <phoneticPr fontId="31" type="noConversion"/>
  </si>
  <si>
    <t>倒推首付比</t>
    <phoneticPr fontId="31" type="noConversion"/>
  </si>
  <si>
    <t>round 6</t>
    <phoneticPr fontId="31" type="noConversion"/>
  </si>
  <si>
    <t>GPS（首刷收取）</t>
    <phoneticPr fontId="31" type="noConversion"/>
  </si>
  <si>
    <t>抵押费（首刷收取）</t>
    <phoneticPr fontId="17" type="noConversion"/>
  </si>
  <si>
    <t>外迁运营费（首刷收取）</t>
    <phoneticPr fontId="17" type="noConversion"/>
  </si>
  <si>
    <t>上牌服务费（首刷收取）</t>
    <phoneticPr fontId="17" type="noConversion"/>
  </si>
  <si>
    <r>
      <t>盗抢险（首刷收取</t>
    </r>
    <r>
      <rPr>
        <sz val="11"/>
        <color theme="1"/>
        <rFont val="DengXian"/>
        <family val="2"/>
        <scheme val="minor"/>
      </rPr>
      <t>）</t>
    </r>
    <phoneticPr fontId="17" type="noConversion"/>
  </si>
  <si>
    <t>应刷首刷金额</t>
    <phoneticPr fontId="31" type="noConversion"/>
  </si>
  <si>
    <t>首付清分</t>
    <phoneticPr fontId="31" type="noConversion"/>
  </si>
  <si>
    <t>用户实际刷卡金额（多刷钱的情况）</t>
    <phoneticPr fontId="31" type="noConversion"/>
  </si>
  <si>
    <t>带看费用</t>
    <phoneticPr fontId="31" type="noConversion"/>
  </si>
  <si>
    <t>xindktip</t>
    <phoneticPr fontId="17" type="noConversion"/>
  </si>
  <si>
    <t>1. 本地直租车款</t>
    <phoneticPr fontId="17" type="noConversion"/>
  </si>
  <si>
    <t>优歆做中转</t>
    <phoneticPr fontId="17" type="noConversion"/>
  </si>
  <si>
    <t>刷卡手续费</t>
    <phoneticPr fontId="31" type="noConversion"/>
  </si>
  <si>
    <r>
      <t>xinfee</t>
    </r>
    <r>
      <rPr>
        <sz val="11"/>
        <color theme="1"/>
        <rFont val="DengXian"/>
        <family val="2"/>
        <scheme val="minor"/>
      </rPr>
      <t>\xindkfee</t>
    </r>
    <phoneticPr fontId="17" type="noConversion"/>
  </si>
  <si>
    <t>2. 全国直购回租车款</t>
    <phoneticPr fontId="17" type="noConversion"/>
  </si>
  <si>
    <t>优歆做车商</t>
    <phoneticPr fontId="17" type="noConversion"/>
  </si>
  <si>
    <t>清分GPS</t>
    <phoneticPr fontId="31" type="noConversion"/>
  </si>
  <si>
    <t>finance002</t>
  </si>
  <si>
    <t>3. 全国直购直租车款</t>
    <phoneticPr fontId="17" type="noConversion"/>
  </si>
  <si>
    <t>鹏达做中转</t>
    <phoneticPr fontId="17" type="noConversion"/>
  </si>
  <si>
    <t>清分盗抢险</t>
    <phoneticPr fontId="17" type="noConversion"/>
  </si>
  <si>
    <t>xintheftinsys</t>
    <phoneticPr fontId="17" type="noConversion"/>
  </si>
  <si>
    <t>4. 盗抢险</t>
    <phoneticPr fontId="17" type="noConversion"/>
  </si>
  <si>
    <t>优陕做中转</t>
    <phoneticPr fontId="17" type="noConversion"/>
  </si>
  <si>
    <t>清分违章违约金</t>
    <phoneticPr fontId="31" type="noConversion"/>
  </si>
  <si>
    <t>xinweizhang\xinzzweizhang</t>
    <phoneticPr fontId="17" type="noConversion"/>
  </si>
  <si>
    <r>
      <t>5</t>
    </r>
    <r>
      <rPr>
        <sz val="11"/>
        <color theme="1"/>
        <rFont val="DengXian"/>
        <family val="2"/>
        <scheme val="minor"/>
      </rPr>
      <t>. 车抵贷</t>
    </r>
    <phoneticPr fontId="17" type="noConversion"/>
  </si>
  <si>
    <t>鹏达做车商</t>
    <phoneticPr fontId="17" type="noConversion"/>
  </si>
  <si>
    <t>清分公户资产管理费</t>
    <phoneticPr fontId="17" type="noConversion"/>
  </si>
  <si>
    <t>xinpublicyg</t>
    <phoneticPr fontId="17" type="noConversion"/>
  </si>
  <si>
    <t>抵押费用</t>
    <phoneticPr fontId="17" type="noConversion"/>
  </si>
  <si>
    <t>xinmortgageyg</t>
    <phoneticPr fontId="17" type="noConversion"/>
  </si>
  <si>
    <t>外迁运营费用</t>
    <phoneticPr fontId="17" type="noConversion"/>
  </si>
  <si>
    <t>xinnonlocalyg</t>
    <phoneticPr fontId="17" type="noConversion"/>
  </si>
  <si>
    <t>xinlistingyg</t>
    <phoneticPr fontId="17" type="noConversion"/>
  </si>
  <si>
    <t>清分给车商或全国直购</t>
    <phoneticPr fontId="31" type="noConversion"/>
  </si>
  <si>
    <t>车商\直购xinzhigou</t>
    <phoneticPr fontId="17" type="noConversion"/>
  </si>
  <si>
    <t>放款、请款</t>
    <phoneticPr fontId="31" type="noConversion"/>
  </si>
  <si>
    <t>车辆尾款（凯枫-车商or优信）</t>
    <phoneticPr fontId="31" type="noConversion"/>
  </si>
  <si>
    <t>直租需要中转</t>
    <phoneticPr fontId="31" type="noConversion"/>
  </si>
  <si>
    <t>经销商服务费（凯枫-车商or优信）</t>
    <phoneticPr fontId="31" type="noConversion"/>
  </si>
  <si>
    <t>经销商服务费Plus（凯枫-车商or优信）</t>
    <phoneticPr fontId="17" type="noConversion"/>
  </si>
  <si>
    <t>抵押费 （凯枫-优估）</t>
    <phoneticPr fontId="17" type="noConversion"/>
  </si>
  <si>
    <t>全国直购直租需要中转</t>
    <phoneticPr fontId="17" type="noConversion"/>
  </si>
  <si>
    <t>外迁运营费用 （凯枫-优估）</t>
    <phoneticPr fontId="17" type="noConversion"/>
  </si>
  <si>
    <t>上牌服务费（凯枫-优估）</t>
    <phoneticPr fontId="17" type="noConversion"/>
  </si>
  <si>
    <t>商业险（凯枫-保险公司or个人）</t>
    <phoneticPr fontId="31" type="noConversion"/>
  </si>
  <si>
    <t>GPS（凯枫-凯枫）</t>
    <phoneticPr fontId="31" type="noConversion"/>
  </si>
  <si>
    <t>盗抢险（凯枫-优陕）</t>
    <phoneticPr fontId="17" type="noConversion"/>
  </si>
  <si>
    <t>优估服务费（凯枫-优估）</t>
    <phoneticPr fontId="31" type="noConversion"/>
  </si>
  <si>
    <t>直租需要中转</t>
    <phoneticPr fontId="31" type="noConversion"/>
  </si>
  <si>
    <t>向资方请款金额</t>
    <phoneticPr fontId="31" type="noConversion"/>
  </si>
  <si>
    <t>盗抢险（优陕-保险公司）</t>
    <phoneticPr fontId="17" type="noConversion"/>
  </si>
  <si>
    <t>合同</t>
  </si>
  <si>
    <t>购车协议---车辆总价</t>
    <phoneticPr fontId="31" type="noConversion"/>
  </si>
  <si>
    <t>只有这里特殊</t>
    <phoneticPr fontId="31" type="noConversion"/>
  </si>
  <si>
    <t>用户信息</t>
    <phoneticPr fontId="17" type="noConversion"/>
  </si>
  <si>
    <t>新网资方</t>
    <phoneticPr fontId="17" type="noConversion"/>
  </si>
  <si>
    <t>首付比</t>
    <phoneticPr fontId="17" type="noConversion"/>
  </si>
  <si>
    <t>额度</t>
    <phoneticPr fontId="17" type="noConversion"/>
  </si>
  <si>
    <t>车辆信息</t>
    <phoneticPr fontId="17" type="noConversion"/>
  </si>
  <si>
    <t>原TP</t>
    <phoneticPr fontId="17" type="noConversion"/>
  </si>
  <si>
    <t>上牌日期</t>
    <phoneticPr fontId="17" type="noConversion"/>
  </si>
  <si>
    <t>业务类型</t>
    <phoneticPr fontId="17" type="noConversion"/>
  </si>
  <si>
    <t>费用信息</t>
    <phoneticPr fontId="17" type="noConversion"/>
  </si>
  <si>
    <t>GPS费用</t>
    <phoneticPr fontId="17" type="noConversion"/>
  </si>
  <si>
    <t>抵押费</t>
    <phoneticPr fontId="17" type="noConversion"/>
  </si>
  <si>
    <t>外迁费</t>
    <phoneticPr fontId="17" type="noConversion"/>
  </si>
  <si>
    <t>上牌服务费</t>
    <phoneticPr fontId="17" type="noConversion"/>
  </si>
  <si>
    <t>盗抢险年限</t>
    <phoneticPr fontId="17" type="noConversion"/>
  </si>
  <si>
    <t>盗抢险</t>
    <phoneticPr fontId="17" type="noConversion"/>
  </si>
  <si>
    <t>商业险年限</t>
    <phoneticPr fontId="17" type="noConversion"/>
  </si>
  <si>
    <t>商业险</t>
    <phoneticPr fontId="17" type="noConversion"/>
  </si>
  <si>
    <t>公户资产管理费</t>
    <phoneticPr fontId="17" type="noConversion"/>
  </si>
  <si>
    <t>公户违章违约金</t>
    <phoneticPr fontId="17" type="noConversion"/>
  </si>
  <si>
    <t>微众资方</t>
    <phoneticPr fontId="17" type="noConversion"/>
  </si>
  <si>
    <t>用户类型</t>
    <phoneticPr fontId="17" type="noConversion"/>
  </si>
  <si>
    <t>是否差异化</t>
    <phoneticPr fontId="17" type="noConversion"/>
  </si>
  <si>
    <t>总对客费率</t>
    <phoneticPr fontId="17" type="noConversion"/>
  </si>
  <si>
    <t>贷款期限（年）</t>
    <phoneticPr fontId="17" type="noConversion"/>
  </si>
  <si>
    <t>金融方案</t>
    <phoneticPr fontId="17" type="noConversion"/>
  </si>
  <si>
    <t>金融方案</t>
    <phoneticPr fontId="17" type="noConversion"/>
  </si>
  <si>
    <t>贷款期限（年）</t>
    <phoneticPr fontId="17" type="noConversion"/>
  </si>
  <si>
    <t>是否降首付比</t>
    <phoneticPr fontId="17" type="noConversion"/>
  </si>
  <si>
    <t>降首付比后</t>
    <phoneticPr fontId="17" type="noConversion"/>
  </si>
  <si>
    <t>最终可用首付比</t>
    <phoneticPr fontId="17" type="noConversion"/>
  </si>
  <si>
    <t>使用的风控额度</t>
    <phoneticPr fontId="17" type="noConversion"/>
  </si>
  <si>
    <t>总对客费率</t>
    <phoneticPr fontId="17" type="noConversion"/>
  </si>
  <si>
    <t>等额本息资金成本（年）</t>
    <phoneticPr fontId="17" type="noConversion"/>
  </si>
  <si>
    <t>商业险类型</t>
    <phoneticPr fontId="17" type="noConversion"/>
  </si>
  <si>
    <t>商业险联保系数</t>
    <phoneticPr fontId="17" type="noConversion"/>
  </si>
  <si>
    <t>超融收取</t>
    <phoneticPr fontId="17" type="noConversion"/>
  </si>
  <si>
    <t>首付收取</t>
    <phoneticPr fontId="17" type="noConversion"/>
  </si>
  <si>
    <t>不能超过贷款年</t>
    <phoneticPr fontId="17" type="noConversion"/>
  </si>
  <si>
    <t>暂时等于贷款年</t>
    <phoneticPr fontId="17" type="noConversion"/>
  </si>
  <si>
    <t>0，1000，1800</t>
    <phoneticPr fontId="17" type="noConversion"/>
  </si>
  <si>
    <t>前端输入，上限限制：MIN(TP*0.4%*term)</t>
    <phoneticPr fontId="17" type="noConversion"/>
  </si>
  <si>
    <t>贷款年限</t>
    <phoneticPr fontId="17" type="noConversion"/>
  </si>
  <si>
    <t>经销商服务费输入值</t>
    <phoneticPr fontId="17" type="noConversion"/>
  </si>
  <si>
    <t>经销商服务费最终值</t>
    <phoneticPr fontId="17" type="noConversion"/>
  </si>
  <si>
    <t>限制</t>
    <phoneticPr fontId="17" type="noConversion"/>
  </si>
  <si>
    <t>落户类型</t>
    <phoneticPr fontId="17" type="noConversion"/>
  </si>
  <si>
    <t>首付各项总金额</t>
    <phoneticPr fontId="17" type="noConversion"/>
  </si>
  <si>
    <t>超融各项总金额（不含服务费）</t>
    <phoneticPr fontId="17" type="noConversion"/>
  </si>
  <si>
    <t>最少1500</t>
    <phoneticPr fontId="17" type="noConversion"/>
  </si>
  <si>
    <t>最低首付款</t>
    <phoneticPr fontId="17" type="noConversion"/>
  </si>
  <si>
    <t>最高首付款</t>
    <phoneticPr fontId="17" type="noConversion"/>
  </si>
  <si>
    <t>用户选择的首付款</t>
    <phoneticPr fontId="17" type="noConversion"/>
  </si>
  <si>
    <t>round 2</t>
    <phoneticPr fontId="17" type="noConversion"/>
  </si>
  <si>
    <t>最低和最高贷款额取小</t>
    <phoneticPr fontId="17" type="noConversion"/>
  </si>
  <si>
    <t>优信服务费(总)</t>
    <phoneticPr fontId="17" type="noConversion"/>
  </si>
  <si>
    <t>车贷金额</t>
    <phoneticPr fontId="17" type="noConversion"/>
  </si>
  <si>
    <t>超融贷款金额</t>
    <phoneticPr fontId="17" type="noConversion"/>
  </si>
  <si>
    <t>首付应刷总金额</t>
    <phoneticPr fontId="17" type="noConversion"/>
  </si>
  <si>
    <t>微众A3</t>
  </si>
  <si>
    <t>双资方比优-新网</t>
    <phoneticPr fontId="17" type="noConversion"/>
  </si>
  <si>
    <t>双资方比优-微众</t>
    <phoneticPr fontId="17" type="noConversion"/>
  </si>
  <si>
    <t>民生金租</t>
  </si>
  <si>
    <t>回租私户</t>
  </si>
  <si>
    <t>超融收取</t>
  </si>
  <si>
    <t>--</t>
    <phoneticPr fontId="17" type="noConversion"/>
  </si>
  <si>
    <t>超融贷款额</t>
    <phoneticPr fontId="17" type="noConversion"/>
  </si>
  <si>
    <t>新TP价</t>
    <phoneticPr fontId="17" type="noConversion"/>
  </si>
  <si>
    <t>否</t>
  </si>
  <si>
    <t>否</t>
    <phoneticPr fontId="17" type="noConversion"/>
  </si>
  <si>
    <t>民生190首付比-决策引擎</t>
    <phoneticPr fontId="17" type="noConversion"/>
  </si>
  <si>
    <t>民生金租190-决策引擎</t>
    <phoneticPr fontId="17" type="noConversion"/>
  </si>
  <si>
    <t>民生金租（包车价）</t>
    <phoneticPr fontId="17" type="noConversion"/>
  </si>
  <si>
    <t>民生金租190（包车价）</t>
    <phoneticPr fontId="17" type="noConversion"/>
  </si>
  <si>
    <t>新网（利差超融）</t>
    <phoneticPr fontId="17" type="noConversion"/>
  </si>
  <si>
    <t>微众（利差超融）</t>
    <phoneticPr fontId="17" type="noConversion"/>
  </si>
  <si>
    <t>微众资方校验金融服务费</t>
    <phoneticPr fontId="17" type="noConversion"/>
  </si>
  <si>
    <t>产品类型</t>
    <phoneticPr fontId="17" type="noConversion"/>
  </si>
  <si>
    <t>二手车回租</t>
    <phoneticPr fontId="17" type="noConversion"/>
  </si>
  <si>
    <t>对资方展示</t>
    <phoneticPr fontId="17" type="noConversion"/>
  </si>
  <si>
    <t>校验</t>
    <phoneticPr fontId="17" type="noConversion"/>
  </si>
  <si>
    <t>限牌城市190</t>
    <phoneticPr fontId="17" type="noConversion"/>
  </si>
  <si>
    <t>老车价</t>
    <phoneticPr fontId="17" type="noConversion"/>
  </si>
  <si>
    <t>新车价</t>
    <phoneticPr fontId="17" type="noConversion"/>
  </si>
  <si>
    <t>民生银行</t>
    <phoneticPr fontId="17" type="noConversion"/>
  </si>
  <si>
    <t>贷款额≤新车价</t>
    <phoneticPr fontId="17" type="noConversion"/>
  </si>
  <si>
    <t>首付/新车价≥10%</t>
    <phoneticPr fontId="17" type="noConversion"/>
  </si>
  <si>
    <t>最低首付比例</t>
    <phoneticPr fontId="17" type="noConversion"/>
  </si>
  <si>
    <t>风控额度or联保额度</t>
    <phoneticPr fontId="17" type="noConversion"/>
  </si>
  <si>
    <t>当新网额度超过30万时，使用30万</t>
    <phoneticPr fontId="17" type="noConversion"/>
  </si>
  <si>
    <t>车辆结算价TP（老TP）</t>
    <phoneticPr fontId="17" type="noConversion"/>
  </si>
  <si>
    <t>前端输入</t>
    <phoneticPr fontId="17" type="noConversion"/>
  </si>
  <si>
    <r>
      <t>前端输入</t>
    </r>
    <r>
      <rPr>
        <sz val="10"/>
        <color theme="1"/>
        <rFont val="微软雅黑"/>
        <family val="2"/>
        <charset val="134"/>
      </rPr>
      <t>，商业险上限限制：</t>
    </r>
    <phoneticPr fontId="17" type="noConversion"/>
  </si>
  <si>
    <t>固定数值：0，1000，1800</t>
    <phoneticPr fontId="17" type="noConversion"/>
  </si>
  <si>
    <t>固定数值：ROUND(老TP*0.4%*term)</t>
    <phoneticPr fontId="17" type="noConversion"/>
  </si>
  <si>
    <t>固定数值：0,600,700,800</t>
    <phoneticPr fontId="17" type="noConversion"/>
  </si>
  <si>
    <r>
      <t>仅用于自主到店B、优信带看C业务，</t>
    </r>
    <r>
      <rPr>
        <sz val="10"/>
        <color rgb="FFFF0000"/>
        <rFont val="微软雅黑"/>
        <family val="2"/>
        <charset val="134"/>
      </rPr>
      <t>前端输入</t>
    </r>
    <r>
      <rPr>
        <sz val="10"/>
        <color rgb="FF000000"/>
        <rFont val="微软雅黑"/>
        <family val="2"/>
        <charset val="134"/>
      </rPr>
      <t>，上限限制为</t>
    </r>
    <phoneticPr fontId="17" type="noConversion"/>
  </si>
  <si>
    <t>自主到店B、优信带看C业务取值：经销商返点-外部输入</t>
    <phoneticPr fontId="17" type="noConversion"/>
  </si>
  <si>
    <t xml:space="preserve">rounddown 0 </t>
    <phoneticPr fontId="17" type="noConversion"/>
  </si>
  <si>
    <t>最低贷款额不能大于最高贷款额</t>
    <phoneticPr fontId="17" type="noConversion"/>
  </si>
  <si>
    <t>预估最低首付款</t>
    <phoneticPr fontId="17" type="noConversion"/>
  </si>
  <si>
    <t>预估最高首付款</t>
    <phoneticPr fontId="17" type="noConversion"/>
  </si>
  <si>
    <t>民生银行方案是否可用</t>
    <phoneticPr fontId="17" type="noConversion"/>
  </si>
  <si>
    <t>月供</t>
    <phoneticPr fontId="8" type="noConversion"/>
  </si>
  <si>
    <t>新结算价</t>
    <phoneticPr fontId="17" type="noConversion"/>
  </si>
  <si>
    <t>倒推首付比</t>
    <phoneticPr fontId="17" type="noConversion"/>
  </si>
  <si>
    <t>倒推贷款比</t>
    <phoneticPr fontId="17" type="noConversion"/>
  </si>
  <si>
    <t>新TP价-给资方用</t>
    <phoneticPr fontId="17" type="noConversion"/>
  </si>
  <si>
    <t>按新车价倒推首付比</t>
    <phoneticPr fontId="17" type="noConversion"/>
  </si>
  <si>
    <t>按新车价倒推贷款比</t>
    <phoneticPr fontId="17" type="noConversion"/>
  </si>
  <si>
    <t>人保民生银行190（利差超融）</t>
    <phoneticPr fontId="17" type="noConversion"/>
  </si>
  <si>
    <t>微众校验项，GPS+抵押+上牌+外迁&lt;=5300</t>
    <phoneticPr fontId="17" type="noConversion"/>
  </si>
  <si>
    <t>最低首付&gt;最高首付=无金融方案</t>
    <phoneticPr fontId="17" type="noConversion"/>
  </si>
  <si>
    <t>微众+100</t>
    <phoneticPr fontId="17" type="noConversion"/>
  </si>
  <si>
    <t>用户实际刷卡金额</t>
    <phoneticPr fontId="17" type="noConversion"/>
  </si>
  <si>
    <t>GPS/平台管理费-首付清分</t>
    <phoneticPr fontId="17" type="noConversion"/>
  </si>
  <si>
    <t>违章押金-首付清分</t>
    <phoneticPr fontId="17" type="noConversion"/>
  </si>
  <si>
    <t>资产管理费-首付清分</t>
    <phoneticPr fontId="17" type="noConversion"/>
  </si>
  <si>
    <t>车辆安全保障服务费-首付清分</t>
    <phoneticPr fontId="17" type="noConversion"/>
  </si>
  <si>
    <t>刷卡手续费-首付清分</t>
    <phoneticPr fontId="17" type="noConversion"/>
  </si>
  <si>
    <t>带看车服务费-首付清分</t>
    <phoneticPr fontId="17" type="noConversion"/>
  </si>
  <si>
    <t>抵押费用-首付清分</t>
    <phoneticPr fontId="17" type="noConversion"/>
  </si>
  <si>
    <t>外迁运营费用-首付清分</t>
    <phoneticPr fontId="17" type="noConversion"/>
  </si>
  <si>
    <t>上牌费-首付清分</t>
    <phoneticPr fontId="17" type="noConversion"/>
  </si>
  <si>
    <t>车辆首付款-首付清分</t>
    <phoneticPr fontId="17" type="noConversion"/>
  </si>
  <si>
    <t>xindktip</t>
    <phoneticPr fontId="17" type="noConversion"/>
  </si>
  <si>
    <t>xinweizhang</t>
    <phoneticPr fontId="17" type="noConversion"/>
  </si>
  <si>
    <t>xintheftinsys</t>
    <phoneticPr fontId="17" type="noConversion"/>
  </si>
  <si>
    <t>xinnonlocalyg</t>
    <phoneticPr fontId="17" type="noConversion"/>
  </si>
  <si>
    <t>xinfee</t>
    <phoneticPr fontId="17" type="noConversion"/>
  </si>
  <si>
    <t>车辆安全保障服务费-放款清分</t>
    <phoneticPr fontId="17" type="noConversion"/>
  </si>
  <si>
    <t>经销商服务费-放款清分</t>
    <phoneticPr fontId="17" type="noConversion"/>
  </si>
  <si>
    <t>车辆尾款-放款清分</t>
    <phoneticPr fontId="17" type="noConversion"/>
  </si>
  <si>
    <t>GPS/平台管理费-放款清分</t>
    <phoneticPr fontId="17" type="noConversion"/>
  </si>
  <si>
    <t>商业保险-放款清分</t>
    <phoneticPr fontId="17" type="noConversion"/>
  </si>
  <si>
    <t>抵押费用-放款清分</t>
    <phoneticPr fontId="17" type="noConversion"/>
  </si>
  <si>
    <t>外迁运营费用-放款清分</t>
    <phoneticPr fontId="17" type="noConversion"/>
  </si>
  <si>
    <t>上牌费-放款清分</t>
    <phoneticPr fontId="17" type="noConversion"/>
  </si>
  <si>
    <t>凯枫-保险公司或个人</t>
    <phoneticPr fontId="17" type="noConversion"/>
  </si>
  <si>
    <t>车辆安全保障服务费</t>
    <phoneticPr fontId="17" type="noConversion"/>
  </si>
  <si>
    <t>凯枫-优陕</t>
    <phoneticPr fontId="17" type="noConversion"/>
  </si>
  <si>
    <t>优陕-保险公司</t>
    <phoneticPr fontId="17" type="noConversion"/>
  </si>
  <si>
    <t>凯枫-凯枫</t>
    <phoneticPr fontId="17" type="noConversion"/>
  </si>
  <si>
    <t>凯枫-优估</t>
    <phoneticPr fontId="17" type="noConversion"/>
  </si>
  <si>
    <t>产品编号关系（微众、新网、工行统一）：</t>
    <phoneticPr fontId="31" type="noConversion"/>
  </si>
  <si>
    <t>对客户</t>
    <phoneticPr fontId="31" type="noConversion"/>
  </si>
  <si>
    <t>对优信（不超融/超融）</t>
    <phoneticPr fontId="31" type="noConversion"/>
  </si>
  <si>
    <t>对微众</t>
    <phoneticPr fontId="31" type="noConversion"/>
  </si>
  <si>
    <t>PS42/PS52</t>
    <phoneticPr fontId="31" type="noConversion"/>
  </si>
  <si>
    <t>PS14</t>
    <phoneticPr fontId="31" type="noConversion"/>
  </si>
  <si>
    <t>PS44/PS54</t>
    <phoneticPr fontId="31" type="noConversion"/>
  </si>
  <si>
    <t>PS45/PS55</t>
    <phoneticPr fontId="31" type="noConversion"/>
  </si>
  <si>
    <t>不支持</t>
    <phoneticPr fontId="31" type="noConversion"/>
  </si>
  <si>
    <t>PS46/PS56</t>
    <phoneticPr fontId="31" type="noConversion"/>
  </si>
  <si>
    <t>车抵贷</t>
    <phoneticPr fontId="31" type="noConversion"/>
  </si>
  <si>
    <r>
      <t>PS4</t>
    </r>
    <r>
      <rPr>
        <sz val="11"/>
        <color theme="1"/>
        <rFont val="DengXian"/>
        <family val="2"/>
        <scheme val="minor"/>
      </rPr>
      <t>7</t>
    </r>
    <r>
      <rPr>
        <sz val="11"/>
        <color theme="1"/>
        <rFont val="DengXian"/>
        <family val="2"/>
        <scheme val="minor"/>
      </rPr>
      <t>/PS5</t>
    </r>
    <r>
      <rPr>
        <sz val="11"/>
        <color theme="1"/>
        <rFont val="DengXian"/>
        <family val="2"/>
        <scheme val="minor"/>
      </rPr>
      <t>7</t>
    </r>
    <phoneticPr fontId="31" type="noConversion"/>
  </si>
  <si>
    <t>直租</t>
    <phoneticPr fontId="31" type="noConversion"/>
  </si>
  <si>
    <t>回租190</t>
    <phoneticPr fontId="31" type="noConversion"/>
  </si>
  <si>
    <t>回租550</t>
    <phoneticPr fontId="17" type="noConversion"/>
  </si>
  <si>
    <t>回租370/白户用户</t>
    <phoneticPr fontId="31" type="noConversion"/>
  </si>
  <si>
    <t>对应字段"优信服务费"推送微众，上限比例校验融资额*3.58%*年</t>
    <phoneticPr fontId="17" type="noConversion"/>
  </si>
  <si>
    <t>微众资方校验的商城服务费</t>
    <phoneticPr fontId="17" type="noConversion"/>
  </si>
  <si>
    <t>1000or1800</t>
    <phoneticPr fontId="17" type="noConversion"/>
  </si>
  <si>
    <t>对应字段“经销商服务费”推送微众</t>
    <phoneticPr fontId="17" type="noConversion"/>
  </si>
  <si>
    <t>强制超融</t>
    <phoneticPr fontId="17" type="noConversion"/>
  </si>
  <si>
    <t>民生人保-决策引擎</t>
    <phoneticPr fontId="17" type="noConversion"/>
  </si>
  <si>
    <t>超融超过风控额度88%=无金融方案</t>
    <phoneticPr fontId="17" type="noConversion"/>
  </si>
  <si>
    <t>总对客费率</t>
    <phoneticPr fontId="17" type="noConversion"/>
  </si>
  <si>
    <t>贷款期限（年）</t>
    <phoneticPr fontId="17" type="noConversion"/>
  </si>
  <si>
    <t>人保民生月还</t>
    <rPh sb="0" eb="1">
      <t>ren bao</t>
    </rPh>
    <rPh sb="2" eb="3">
      <t>min sheng</t>
    </rPh>
    <rPh sb="4" eb="5">
      <t>yue huan</t>
    </rPh>
    <phoneticPr fontId="17" type="noConversion"/>
  </si>
  <si>
    <t>人保民生首付</t>
    <rPh sb="0" eb="1">
      <t>ren bao</t>
    </rPh>
    <rPh sb="2" eb="3">
      <t>min sheng</t>
    </rPh>
    <rPh sb="4" eb="5">
      <t>shou fu</t>
    </rPh>
    <phoneticPr fontId="17" type="noConversion"/>
  </si>
  <si>
    <t>人保民生费率(资金成本)</t>
    <rPh sb="0" eb="1">
      <t>ren bao</t>
    </rPh>
    <rPh sb="2" eb="3">
      <t>min sheng</t>
    </rPh>
    <rPh sb="4" eb="5">
      <t>fei lü</t>
    </rPh>
    <phoneticPr fontId="17" type="noConversion"/>
  </si>
  <si>
    <t>人保月还系数</t>
    <rPh sb="0" eb="1">
      <t>ren bao</t>
    </rPh>
    <rPh sb="2" eb="3">
      <t>yue huan</t>
    </rPh>
    <rPh sb="4" eb="5">
      <t>xi shu</t>
    </rPh>
    <phoneticPr fontId="17" type="noConversion"/>
  </si>
  <si>
    <t>人保贷款额</t>
    <rPh sb="0" eb="1">
      <t>ren bao</t>
    </rPh>
    <rPh sb="2" eb="3">
      <t>dai kuan e</t>
    </rPh>
    <phoneticPr fontId="17" type="noConversion"/>
  </si>
  <si>
    <t>人保优信服务费</t>
    <rPh sb="0" eb="1">
      <t>ren bao</t>
    </rPh>
    <rPh sb="2" eb="3">
      <t>you xin</t>
    </rPh>
    <rPh sb="4" eb="5">
      <t>fu wu</t>
    </rPh>
    <rPh sb="6" eb="7">
      <t>fei</t>
    </rPh>
    <phoneticPr fontId="17" type="noConversion"/>
  </si>
  <si>
    <t>人保金融服务费（直购）</t>
    <rPh sb="0" eb="1">
      <t>ren bao</t>
    </rPh>
    <rPh sb="2" eb="3">
      <t>jin rong</t>
    </rPh>
    <rPh sb="4" eb="5">
      <t>fu wu</t>
    </rPh>
    <rPh sb="6" eb="7">
      <t>fei</t>
    </rPh>
    <rPh sb="8" eb="9">
      <t>zhi gou</t>
    </rPh>
    <phoneticPr fontId="17" type="noConversion"/>
  </si>
  <si>
    <t>直购时等于优估利润，两年期3.62%；三年期3.39%</t>
    <rPh sb="0" eb="1">
      <t>zhi gou</t>
    </rPh>
    <rPh sb="2" eb="3">
      <t>shi</t>
    </rPh>
    <rPh sb="3" eb="4">
      <t>deng yu</t>
    </rPh>
    <rPh sb="5" eb="6">
      <t>you gu</t>
    </rPh>
    <rPh sb="7" eb="8">
      <t>li run</t>
    </rPh>
    <phoneticPr fontId="17" type="noConversion"/>
  </si>
  <si>
    <t>人保商城服务费（直购）</t>
    <rPh sb="0" eb="1">
      <t>ren bao</t>
    </rPh>
    <rPh sb="2" eb="3">
      <t>shang cheng</t>
    </rPh>
    <rPh sb="4" eb="5">
      <t>fu wu fei</t>
    </rPh>
    <rPh sb="8" eb="9">
      <t>zhi gou</t>
    </rPh>
    <phoneticPr fontId="17" type="noConversion"/>
  </si>
  <si>
    <t>直购时等于优歆服务费</t>
    <rPh sb="0" eb="1">
      <t>zhi gou</t>
    </rPh>
    <rPh sb="2" eb="3">
      <t>shi</t>
    </rPh>
    <rPh sb="3" eb="4">
      <t>deng yu</t>
    </rPh>
    <rPh sb="5" eb="6">
      <t>you xin</t>
    </rPh>
    <rPh sb="7" eb="8">
      <t>fu wu fei</t>
    </rPh>
    <phoneticPr fontId="17" type="noConversion"/>
  </si>
  <si>
    <t>人保金融服务费（本地）</t>
    <rPh sb="0" eb="1">
      <t>ren bao</t>
    </rPh>
    <rPh sb="2" eb="3">
      <t>jin rong</t>
    </rPh>
    <rPh sb="4" eb="5">
      <t>fu wu</t>
    </rPh>
    <rPh sb="6" eb="7">
      <t>fei</t>
    </rPh>
    <rPh sb="8" eb="9">
      <t>ben di</t>
    </rPh>
    <phoneticPr fontId="17" type="noConversion"/>
  </si>
  <si>
    <t>非直购时等于人保优信服务费</t>
    <rPh sb="4" eb="5">
      <t>deng yu</t>
    </rPh>
    <phoneticPr fontId="17" type="noConversion"/>
  </si>
  <si>
    <t>0，1000，1800</t>
    <phoneticPr fontId="17" type="noConversion"/>
  </si>
  <si>
    <t>前端输入，上限限制：MIN(TP*0.4%*term)</t>
    <phoneticPr fontId="17" type="noConversion"/>
  </si>
  <si>
    <t>风控额度对应的</t>
    <rPh sb="0" eb="1">
      <t>feng kong</t>
    </rPh>
    <rPh sb="2" eb="3">
      <t>e du</t>
    </rPh>
    <rPh sb="4" eb="5">
      <t>dui ying</t>
    </rPh>
    <rPh sb="6" eb="7">
      <t>de</t>
    </rPh>
    <phoneticPr fontId="17" type="noConversion"/>
  </si>
  <si>
    <t>TP的100%</t>
    <rPh sb="2" eb="3">
      <t>de</t>
    </rPh>
    <phoneticPr fontId="17" type="noConversion"/>
  </si>
  <si>
    <t>round 6</t>
    <phoneticPr fontId="17" type="noConversion"/>
  </si>
  <si>
    <t xml:space="preserve">rounddown 0 </t>
    <phoneticPr fontId="17" type="noConversion"/>
  </si>
  <si>
    <t>总贷款额</t>
    <phoneticPr fontId="17" type="noConversion"/>
  </si>
  <si>
    <t>月供</t>
    <phoneticPr fontId="8" type="noConversion"/>
  </si>
  <si>
    <t>round 2</t>
    <phoneticPr fontId="17" type="noConversion"/>
  </si>
  <si>
    <t>人保民生银行370、550（利差超融）</t>
    <phoneticPr fontId="17" type="noConversion"/>
  </si>
  <si>
    <t>人保民生</t>
    <phoneticPr fontId="17" type="noConversion"/>
  </si>
  <si>
    <t>自主到店B</t>
    <phoneticPr fontId="17" type="noConversion"/>
  </si>
  <si>
    <t>这里使用新网资金成本</t>
    <phoneticPr fontId="17" type="noConversion"/>
  </si>
  <si>
    <t>首付车款+总贷款额&gt;1.3倍车价=无金融方案</t>
    <phoneticPr fontId="17" type="noConversion"/>
  </si>
  <si>
    <t>TP&gt;=4w</t>
    <phoneticPr fontId="17" type="noConversion"/>
  </si>
  <si>
    <t>最低首付&gt;最高首付=无金融方案</t>
    <phoneticPr fontId="17" type="noConversion"/>
  </si>
  <si>
    <t>人保民生额度是否足够</t>
    <phoneticPr fontId="17" type="noConversion"/>
  </si>
  <si>
    <t>转单后最低首付款</t>
    <phoneticPr fontId="17" type="noConversion"/>
  </si>
  <si>
    <t>判断是否可以新网转人保</t>
    <phoneticPr fontId="17" type="noConversion"/>
  </si>
  <si>
    <t>最低首付款-原人保民生</t>
    <phoneticPr fontId="17" type="noConversion"/>
  </si>
  <si>
    <t>清分、放款</t>
    <phoneticPr fontId="17" type="noConversion"/>
  </si>
  <si>
    <t>优估服务费-金融服务费</t>
    <phoneticPr fontId="17" type="noConversion"/>
  </si>
  <si>
    <t>优信服务费(总)</t>
    <phoneticPr fontId="17" type="noConversion"/>
  </si>
  <si>
    <t>金融服务费</t>
    <phoneticPr fontId="17" type="noConversion"/>
  </si>
  <si>
    <t>金融服务费</t>
    <phoneticPr fontId="17" type="noConversion"/>
  </si>
  <si>
    <t>向资方请款总金额（总贷款额）</t>
    <phoneticPr fontId="17" type="noConversion"/>
  </si>
  <si>
    <t>校验-车商收到车款</t>
    <phoneticPr fontId="17" type="noConversion"/>
  </si>
  <si>
    <t>总融资额小于新TP</t>
    <phoneticPr fontId="17" type="noConversion"/>
  </si>
  <si>
    <t>最终判断是否能新网转民生</t>
    <phoneticPr fontId="17" type="noConversion"/>
  </si>
  <si>
    <t>民生首付比&lt;=新网实际使用首付比</t>
    <phoneticPr fontId="17" type="noConversion"/>
  </si>
  <si>
    <t>业务模式非大公户</t>
    <phoneticPr fontId="17" type="noConversion"/>
  </si>
  <si>
    <t>金融服务费&gt;微众校验=无金融方案</t>
    <phoneticPr fontId="17" type="noConversion"/>
  </si>
  <si>
    <t>门店服务费&gt;微众校验=无金融方案</t>
    <phoneticPr fontId="17" type="noConversion"/>
  </si>
  <si>
    <t>PS15-租金贷</t>
    <phoneticPr fontId="17" type="noConversion"/>
  </si>
  <si>
    <t>非资金饥渴</t>
  </si>
  <si>
    <t>凯枫-优估</t>
    <phoneticPr fontId="17" type="noConversion"/>
  </si>
  <si>
    <t>凯枫-优估（全国直购）</t>
    <phoneticPr fontId="17" type="noConversion"/>
  </si>
  <si>
    <t>凯枫-车商</t>
    <phoneticPr fontId="17" type="noConversion"/>
  </si>
  <si>
    <t>门店服务费-经销商服务费(全国直购才有)</t>
    <phoneticPr fontId="17" type="noConversion"/>
  </si>
  <si>
    <t xml:space="preserve"> </t>
    <phoneticPr fontId="17" type="noConversion"/>
  </si>
  <si>
    <t>回租私户</t>
    <phoneticPr fontId="17" type="noConversion"/>
  </si>
  <si>
    <t>经销商虚户
xinzhigou（全国直购）</t>
    <phoneticPr fontId="17" type="noConversion"/>
  </si>
  <si>
    <t>凯枫-车商
凯枫-优歆（全国直购）</t>
    <phoneticPr fontId="17" type="noConversion"/>
  </si>
  <si>
    <t>全国直购C</t>
  </si>
  <si>
    <t>首付车款+总贷款额&gt;1.3倍车价=无金融方案</t>
    <phoneticPr fontId="17" type="noConversion"/>
  </si>
  <si>
    <t>预算首付款</t>
    <rPh sb="0" eb="1">
      <t>yu'suan</t>
    </rPh>
    <rPh sb="2" eb="3">
      <t>shou'fu'k</t>
    </rPh>
    <phoneticPr fontId="17" type="noConversion"/>
  </si>
  <si>
    <t>#简写PMT，精度8</t>
    <rPh sb="1" eb="2">
      <t>jian'xie</t>
    </rPh>
    <rPh sb="7" eb="8">
      <t>jing'du</t>
    </rPh>
    <phoneticPr fontId="17" type="noConversion"/>
  </si>
  <si>
    <t>贷款基于TP价限制比例</t>
    <rPh sb="0" eb="1">
      <t>dai'k</t>
    </rPh>
    <rPh sb="2" eb="3">
      <t>ji'yu</t>
    </rPh>
    <rPh sb="6" eb="7">
      <t>jia</t>
    </rPh>
    <rPh sb="7" eb="8">
      <t>xian'z</t>
    </rPh>
    <rPh sb="9" eb="10">
      <t>bi'l</t>
    </rPh>
    <phoneticPr fontId="17" type="noConversion"/>
  </si>
  <si>
    <t>#新</t>
    <rPh sb="1" eb="2">
      <t>xin</t>
    </rPh>
    <phoneticPr fontId="17" type="noConversion"/>
  </si>
  <si>
    <t>#引用预算首付款，四舍五入</t>
    <rPh sb="1" eb="2">
      <t>yin'y</t>
    </rPh>
    <rPh sb="3" eb="4">
      <t>yu'suan</t>
    </rPh>
    <rPh sb="5" eb="6">
      <t>shou'fu'k</t>
    </rPh>
    <rPh sb="9" eb="10">
      <t>si'she'wu'r</t>
    </rPh>
    <phoneticPr fontId="17" type="noConversion"/>
  </si>
  <si>
    <t>#四舍五入</t>
    <rPh sb="1" eb="2">
      <t>si'she'wu'r</t>
    </rPh>
    <phoneticPr fontId="17" type="noConversion"/>
  </si>
  <si>
    <t>#简写PMT，精度8</t>
    <phoneticPr fontId="17" type="noConversion"/>
  </si>
  <si>
    <t>#新，无限制可往大填写</t>
    <rPh sb="1" eb="2">
      <t>xin</t>
    </rPh>
    <rPh sb="3" eb="4">
      <t>wu</t>
    </rPh>
    <rPh sb="4" eb="5">
      <t>xian'z</t>
    </rPh>
    <rPh sb="6" eb="7">
      <t>ke</t>
    </rPh>
    <rPh sb="7" eb="8">
      <t>wang</t>
    </rPh>
    <rPh sb="8" eb="9">
      <t>da</t>
    </rPh>
    <rPh sb="9" eb="10">
      <t>tian'x</t>
    </rPh>
    <phoneticPr fontId="17" type="noConversion"/>
  </si>
  <si>
    <t>#去掉首付比例限制，四舍五入</t>
    <rPh sb="1" eb="2">
      <t>qu'diao</t>
    </rPh>
    <rPh sb="3" eb="4">
      <t>shou'fu</t>
    </rPh>
    <rPh sb="5" eb="6">
      <t>bi'l</t>
    </rPh>
    <rPh sb="7" eb="8">
      <t>xian'z</t>
    </rPh>
    <rPh sb="10" eb="11">
      <t>si'she'wu</t>
    </rPh>
    <phoneticPr fontId="17" type="noConversion"/>
  </si>
  <si>
    <t>#引入预算首付款，四舍五入</t>
    <rPh sb="1" eb="2">
      <t>yin'ru</t>
    </rPh>
    <rPh sb="3" eb="4">
      <t>yu'suan</t>
    </rPh>
    <rPh sb="5" eb="6">
      <t>shou'fu'k</t>
    </rPh>
    <rPh sb="9" eb="10">
      <t>si'she'wu</t>
    </rPh>
    <phoneticPr fontId="17" type="noConversion"/>
  </si>
  <si>
    <t>#引用参数TP限制比例，去掉首付比例限制，增加130%限制，四舍五入</t>
    <rPh sb="1" eb="2">
      <t>yin'y</t>
    </rPh>
    <rPh sb="3" eb="4">
      <t>can's</t>
    </rPh>
    <rPh sb="7" eb="8">
      <t>xian'z</t>
    </rPh>
    <rPh sb="9" eb="10">
      <t>bi'l</t>
    </rPh>
    <rPh sb="12" eb="13">
      <t>qu'd</t>
    </rPh>
    <rPh sb="14" eb="15">
      <t>shou'fu'bi'l</t>
    </rPh>
    <rPh sb="18" eb="19">
      <t>xian'z</t>
    </rPh>
    <rPh sb="21" eb="22">
      <t>zeng'j</t>
    </rPh>
    <rPh sb="27" eb="28">
      <t>xian'z</t>
    </rPh>
    <rPh sb="30" eb="31">
      <t>si'she'w'r</t>
    </rPh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</si>
</sst>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8" formatCode="&quot;¥&quot;#,##0.00_);[Red]\(&quot;¥&quot;#,##0.00\)"/>
    <numFmt numFmtId="164" formatCode="&quot;¥&quot;#,##0;[Red]&quot;¥&quot;\-#,##0"/>
    <numFmt numFmtId="165" formatCode="&quot;¥&quot;#,##0.00;[Red]&quot;¥&quot;\-#,##0.00"/>
    <numFmt numFmtId="166" formatCode="_ * #,##0.00_ ;_ * \-#,##0.00_ ;_ * &quot;-&quot;??_ ;_ @_ "/>
    <numFmt numFmtId="167" formatCode="0.000%"/>
    <numFmt numFmtId="168" formatCode="&quot;¥&quot;#,##0.00"/>
    <numFmt numFmtId="169" formatCode="0.0000%"/>
    <numFmt numFmtId="170" formatCode="0.0%"/>
    <numFmt numFmtId="171" formatCode="_ * #,##0_ ;_ * \-#,##0_ ;_ * &quot;-&quot;??_ ;_ @_ "/>
    <numFmt numFmtId="172" formatCode="0_ "/>
    <numFmt numFmtId="173" formatCode="0.00_ "/>
    <numFmt numFmtId="174" formatCode="0.00000%"/>
    <numFmt numFmtId="175" formatCode="&quot;¥&quot;#,##0.00;[Red]\-&quot;¥&quot;#,##0.00"/>
    <numFmt numFmtId="176" formatCode="0.0000000%"/>
    <numFmt numFmtId="177" formatCode="0.000000%"/>
    <numFmt numFmtId="178" formatCode="0.00_);[Red]\(0.00\)"/>
    <numFmt numFmtId="179" formatCode="#,##0.00_ ;[Red]\-#,##0.00\ "/>
    <numFmt numFmtId="180" formatCode="0.00000000000000000000000%"/>
    <numFmt numFmtId="181" formatCode="0.00000000000%"/>
    <numFmt numFmtId="182" formatCode="0.000000000000%"/>
    <numFmt numFmtId="183" formatCode="0.0000000000000%"/>
  </numFmts>
  <fonts count="54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DengXian"/>
      <family val="2"/>
      <scheme val="minor"/>
    </font>
    <font>
      <sz val="9"/>
      <color theme="1"/>
      <name val="DengXian"/>
      <family val="2"/>
      <charset val="134"/>
      <scheme val="minor"/>
    </font>
    <font>
      <b/>
      <sz val="9"/>
      <color theme="0"/>
      <name val="微软雅黑"/>
      <family val="2"/>
      <charset val="134"/>
    </font>
    <font>
      <sz val="9"/>
      <color rgb="FF000000"/>
      <name val="Calibri"/>
      <family val="2"/>
      <charset val="134"/>
    </font>
    <font>
      <b/>
      <sz val="9"/>
      <color rgb="FFFF0000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2"/>
      <color theme="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u/>
      <sz val="11"/>
      <color theme="10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strike/>
      <sz val="11"/>
      <color rgb="FFFF0000"/>
      <name val="DengXian"/>
      <family val="2"/>
      <charset val="134"/>
      <scheme val="minor"/>
    </font>
    <font>
      <strike/>
      <sz val="11"/>
      <color theme="1"/>
      <name val="DengXian"/>
      <family val="2"/>
      <charset val="134"/>
      <scheme val="minor"/>
    </font>
    <font>
      <strike/>
      <sz val="11"/>
      <color theme="1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z val="12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1"/>
      <name val="DengXian"/>
      <family val="2"/>
      <charset val="134"/>
      <scheme val="minor"/>
    </font>
    <font>
      <sz val="11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b/>
      <sz val="11"/>
      <color rgb="FFFF0000"/>
      <name val="DengXian"/>
      <family val="2"/>
      <scheme val="minor"/>
    </font>
    <font>
      <b/>
      <sz val="11"/>
      <name val="DengXian"/>
      <family val="3"/>
      <charset val="134"/>
      <scheme val="minor"/>
    </font>
    <font>
      <sz val="11"/>
      <color rgb="FFFF0000"/>
      <name val="DengXian"/>
      <family val="2"/>
      <charset val="134"/>
      <scheme val="minor"/>
    </font>
    <font>
      <sz val="10"/>
      <color rgb="FFFF0000"/>
      <name val="DengXian"/>
      <family val="2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9"/>
      <color rgb="FFFF0000"/>
      <name val="DengXian"/>
      <family val="3"/>
      <charset val="134"/>
      <scheme val="minor"/>
    </font>
    <font>
      <sz val="9"/>
      <color theme="1"/>
      <name val="宋体 (正文)"/>
      <family val="1"/>
      <charset val="134"/>
    </font>
    <font>
      <sz val="9"/>
      <color theme="1"/>
      <name val="Abadi MT Condensed Extra Bold"/>
    </font>
    <font>
      <sz val="9"/>
      <color rgb="FFFF0000"/>
      <name val="DengXian"/>
      <family val="2"/>
      <scheme val="minor"/>
    </font>
    <font>
      <b/>
      <sz val="9"/>
      <name val="DengXian"/>
      <family val="3"/>
      <charset val="134"/>
      <scheme val="minor"/>
    </font>
    <font>
      <u/>
      <sz val="9"/>
      <color theme="1"/>
      <name val="DengXian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4">
    <xf numFmtId="0" fontId="0" fillId="0" borderId="0"/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66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579">
    <xf numFmtId="0" fontId="0" fillId="0" borderId="0" xfId="0"/>
    <xf numFmtId="0" fontId="9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3" fillId="0" borderId="1" xfId="2" applyFont="1" applyFill="1" applyBorder="1" applyAlignment="1">
      <alignment horizontal="right" vertical="center"/>
    </xf>
    <xf numFmtId="0" fontId="13" fillId="0" borderId="0" xfId="0" applyFont="1"/>
    <xf numFmtId="0" fontId="13" fillId="0" borderId="1" xfId="3" applyFont="1" applyFill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2" fontId="13" fillId="0" borderId="2" xfId="4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 applyProtection="1">
      <alignment horizontal="left" vertical="center" wrapText="1"/>
    </xf>
    <xf numFmtId="0" fontId="12" fillId="0" borderId="1" xfId="0" applyFont="1" applyBorder="1"/>
    <xf numFmtId="0" fontId="9" fillId="0" borderId="1" xfId="0" applyFont="1" applyFill="1" applyBorder="1" applyAlignment="1" applyProtection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10" fontId="12" fillId="0" borderId="1" xfId="1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9" fontId="12" fillId="0" borderId="1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13" fillId="0" borderId="1" xfId="2" applyFont="1" applyFill="1" applyBorder="1" applyAlignment="1">
      <alignment vertical="center"/>
    </xf>
    <xf numFmtId="3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0" borderId="0" xfId="2" applyFont="1" applyFill="1" applyBorder="1" applyAlignment="1">
      <alignment horizontal="left" vertical="center"/>
    </xf>
    <xf numFmtId="0" fontId="13" fillId="0" borderId="0" xfId="3" applyFont="1" applyFill="1" applyBorder="1" applyAlignment="1">
      <alignment horizontal="left" vertical="center"/>
    </xf>
    <xf numFmtId="3" fontId="13" fillId="0" borderId="0" xfId="2" applyNumberFormat="1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165" fontId="12" fillId="0" borderId="0" xfId="0" applyNumberFormat="1" applyFont="1" applyAlignment="1">
      <alignment horizontal="left"/>
    </xf>
    <xf numFmtId="167" fontId="12" fillId="0" borderId="0" xfId="1" applyNumberFormat="1" applyFont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right" vertical="center"/>
    </xf>
    <xf numFmtId="10" fontId="12" fillId="0" borderId="0" xfId="1" applyNumberFormat="1" applyFont="1" applyBorder="1" applyAlignment="1">
      <alignment horizontal="left" vertical="center"/>
    </xf>
    <xf numFmtId="167" fontId="12" fillId="0" borderId="0" xfId="1" applyNumberFormat="1" applyFont="1" applyBorder="1" applyAlignment="1">
      <alignment horizontal="left" vertical="center"/>
    </xf>
    <xf numFmtId="0" fontId="13" fillId="0" borderId="2" xfId="2" applyFont="1" applyFill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168" fontId="12" fillId="0" borderId="0" xfId="0" applyNumberFormat="1" applyFont="1" applyAlignment="1">
      <alignment horizontal="left"/>
    </xf>
    <xf numFmtId="9" fontId="13" fillId="0" borderId="0" xfId="0" applyNumberFormat="1" applyFont="1"/>
    <xf numFmtId="9" fontId="12" fillId="0" borderId="0" xfId="0" applyNumberFormat="1" applyFont="1"/>
    <xf numFmtId="167" fontId="12" fillId="0" borderId="0" xfId="0" applyNumberFormat="1" applyFont="1"/>
    <xf numFmtId="9" fontId="13" fillId="0" borderId="0" xfId="0" applyNumberFormat="1" applyFont="1" applyAlignment="1">
      <alignment horizontal="center"/>
    </xf>
    <xf numFmtId="9" fontId="12" fillId="0" borderId="0" xfId="0" applyNumberFormat="1" applyFont="1" applyAlignment="1">
      <alignment horizontal="center"/>
    </xf>
    <xf numFmtId="10" fontId="12" fillId="0" borderId="0" xfId="0" applyNumberFormat="1" applyFont="1"/>
    <xf numFmtId="169" fontId="12" fillId="0" borderId="0" xfId="1" applyNumberFormat="1" applyFont="1" applyAlignment="1"/>
    <xf numFmtId="0" fontId="12" fillId="0" borderId="0" xfId="0" applyFont="1" applyAlignment="1">
      <alignment horizontal="center"/>
    </xf>
    <xf numFmtId="169" fontId="12" fillId="0" borderId="0" xfId="1" applyNumberFormat="1" applyFont="1" applyBorder="1" applyAlignment="1">
      <alignment horizontal="left" vertical="center"/>
    </xf>
    <xf numFmtId="0" fontId="13" fillId="0" borderId="0" xfId="0" applyFont="1" applyBorder="1"/>
    <xf numFmtId="167" fontId="12" fillId="0" borderId="0" xfId="1" applyNumberFormat="1" applyFont="1" applyBorder="1" applyAlignment="1"/>
    <xf numFmtId="0" fontId="16" fillId="0" borderId="1" xfId="0" applyFont="1" applyFill="1" applyBorder="1" applyAlignment="1">
      <alignment horizontal="right" vertical="center"/>
    </xf>
    <xf numFmtId="165" fontId="12" fillId="0" borderId="1" xfId="0" applyNumberFormat="1" applyFont="1" applyBorder="1" applyAlignment="1">
      <alignment horizontal="right"/>
    </xf>
    <xf numFmtId="0" fontId="12" fillId="2" borderId="1" xfId="0" applyFont="1" applyFill="1" applyBorder="1" applyAlignment="1">
      <alignment horizontal="right" vertical="center"/>
    </xf>
    <xf numFmtId="1" fontId="12" fillId="4" borderId="1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9" fillId="0" borderId="14" xfId="0" applyFont="1" applyFill="1" applyBorder="1" applyAlignment="1" applyProtection="1">
      <alignment horizontal="left" vertical="center"/>
      <protection hidden="1"/>
    </xf>
    <xf numFmtId="8" fontId="9" fillId="0" borderId="11" xfId="0" applyNumberFormat="1" applyFont="1" applyFill="1" applyBorder="1" applyAlignment="1" applyProtection="1">
      <alignment horizontal="right" vertical="center"/>
      <protection hidden="1"/>
    </xf>
    <xf numFmtId="0" fontId="0" fillId="0" borderId="15" xfId="0" applyBorder="1"/>
    <xf numFmtId="0" fontId="9" fillId="0" borderId="0" xfId="0" applyFont="1" applyFill="1" applyBorder="1" applyAlignment="1" applyProtection="1">
      <alignment horizontal="left" vertical="center"/>
      <protection hidden="1"/>
    </xf>
    <xf numFmtId="167" fontId="9" fillId="0" borderId="9" xfId="1" applyNumberFormat="1" applyFont="1" applyFill="1" applyBorder="1" applyAlignment="1" applyProtection="1">
      <alignment horizontal="right" vertical="center"/>
      <protection hidden="1"/>
    </xf>
    <xf numFmtId="170" fontId="10" fillId="0" borderId="1" xfId="0" applyNumberFormat="1" applyFont="1" applyFill="1" applyBorder="1" applyAlignment="1">
      <alignment vertical="center"/>
    </xf>
    <xf numFmtId="170" fontId="10" fillId="0" borderId="1" xfId="0" applyNumberFormat="1" applyFont="1" applyFill="1" applyBorder="1" applyAlignment="1">
      <alignment horizontal="right" vertical="center"/>
    </xf>
    <xf numFmtId="8" fontId="9" fillId="0" borderId="9" xfId="0" applyNumberFormat="1" applyFont="1" applyFill="1" applyBorder="1" applyAlignment="1" applyProtection="1">
      <alignment horizontal="right" vertical="center"/>
      <protection hidden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right" vertical="center"/>
    </xf>
    <xf numFmtId="0" fontId="21" fillId="0" borderId="1" xfId="0" applyFont="1" applyFill="1" applyBorder="1" applyAlignment="1">
      <alignment vertical="center"/>
    </xf>
    <xf numFmtId="0" fontId="9" fillId="0" borderId="9" xfId="0" applyFont="1" applyFill="1" applyBorder="1" applyAlignment="1" applyProtection="1">
      <alignment horizontal="right" vertical="center"/>
      <protection hidden="1"/>
    </xf>
    <xf numFmtId="0" fontId="9" fillId="0" borderId="1" xfId="0" applyFont="1" applyFill="1" applyBorder="1" applyAlignment="1" applyProtection="1">
      <alignment horizontal="right" vertical="center"/>
      <protection locked="0" hidden="1"/>
    </xf>
    <xf numFmtId="0" fontId="9" fillId="0" borderId="16" xfId="0" applyFont="1" applyFill="1" applyBorder="1" applyAlignment="1" applyProtection="1">
      <alignment horizontal="left" vertical="center"/>
      <protection hidden="1"/>
    </xf>
    <xf numFmtId="167" fontId="9" fillId="0" borderId="17" xfId="1" applyNumberFormat="1" applyFont="1" applyFill="1" applyBorder="1" applyAlignment="1" applyProtection="1">
      <alignment horizontal="right" vertical="center"/>
      <protection hidden="1"/>
    </xf>
    <xf numFmtId="165" fontId="9" fillId="0" borderId="9" xfId="0" applyNumberFormat="1" applyFont="1" applyFill="1" applyBorder="1" applyAlignment="1" applyProtection="1">
      <alignment horizontal="right" vertical="center"/>
      <protection hidden="1"/>
    </xf>
    <xf numFmtId="0" fontId="10" fillId="0" borderId="3" xfId="0" applyFont="1" applyFill="1" applyBorder="1" applyAlignment="1">
      <alignment vertical="center"/>
    </xf>
    <xf numFmtId="0" fontId="9" fillId="6" borderId="3" xfId="0" applyFont="1" applyFill="1" applyBorder="1" applyAlignment="1" applyProtection="1">
      <alignment horizontal="right" vertical="center"/>
      <protection locked="0" hidden="1"/>
    </xf>
    <xf numFmtId="0" fontId="21" fillId="0" borderId="3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10" fontId="9" fillId="2" borderId="19" xfId="0" applyNumberFormat="1" applyFont="1" applyFill="1" applyBorder="1" applyAlignment="1" applyProtection="1">
      <alignment horizontal="right" vertical="center"/>
      <protection hidden="1"/>
    </xf>
    <xf numFmtId="10" fontId="9" fillId="0" borderId="17" xfId="1" applyNumberFormat="1" applyFont="1" applyFill="1" applyBorder="1" applyAlignment="1" applyProtection="1">
      <alignment horizontal="right" vertical="center"/>
      <protection hidden="1"/>
    </xf>
    <xf numFmtId="9" fontId="10" fillId="6" borderId="2" xfId="0" applyNumberFormat="1" applyFont="1" applyFill="1" applyBorder="1" applyAlignment="1">
      <alignment vertical="center"/>
    </xf>
    <xf numFmtId="0" fontId="0" fillId="0" borderId="0" xfId="0" applyBorder="1"/>
    <xf numFmtId="9" fontId="10" fillId="0" borderId="3" xfId="0" applyNumberFormat="1" applyFont="1" applyFill="1" applyBorder="1" applyAlignment="1">
      <alignment horizontal="right" vertical="center"/>
    </xf>
    <xf numFmtId="9" fontId="9" fillId="0" borderId="19" xfId="0" applyNumberFormat="1" applyFont="1" applyFill="1" applyBorder="1" applyAlignment="1" applyProtection="1">
      <alignment horizontal="right" vertical="center"/>
      <protection locked="0" hidden="1"/>
    </xf>
    <xf numFmtId="0" fontId="9" fillId="0" borderId="20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wrapText="1"/>
    </xf>
    <xf numFmtId="0" fontId="9" fillId="0" borderId="22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9" fontId="0" fillId="0" borderId="0" xfId="1" applyNumberFormat="1" applyFont="1" applyAlignment="1"/>
    <xf numFmtId="0" fontId="9" fillId="0" borderId="2" xfId="0" applyFont="1" applyFill="1" applyBorder="1" applyAlignment="1" applyProtection="1">
      <alignment horizontal="left" vertical="center" wrapText="1"/>
    </xf>
    <xf numFmtId="0" fontId="9" fillId="6" borderId="2" xfId="0" applyFont="1" applyFill="1" applyBorder="1" applyAlignment="1" applyProtection="1">
      <alignment horizontal="right" vertical="center" wrapText="1"/>
      <protection locked="0" hidden="1"/>
    </xf>
    <xf numFmtId="0" fontId="9" fillId="0" borderId="23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2" fontId="9" fillId="6" borderId="2" xfId="0" applyNumberFormat="1" applyFont="1" applyFill="1" applyBorder="1" applyAlignment="1" applyProtection="1">
      <alignment horizontal="right" vertical="center" wrapText="1"/>
      <protection hidden="1"/>
    </xf>
    <xf numFmtId="0" fontId="9" fillId="0" borderId="1" xfId="0" applyFont="1" applyFill="1" applyBorder="1" applyAlignment="1">
      <alignment horizontal="left"/>
    </xf>
    <xf numFmtId="2" fontId="9" fillId="6" borderId="1" xfId="0" applyNumberFormat="1" applyFont="1" applyFill="1" applyBorder="1" applyAlignment="1" applyProtection="1">
      <alignment horizontal="right" vertical="center" wrapText="1"/>
      <protection hidden="1"/>
    </xf>
    <xf numFmtId="0" fontId="9" fillId="0" borderId="24" xfId="0" applyFont="1" applyFill="1" applyBorder="1" applyAlignment="1" applyProtection="1">
      <alignment horizontal="left" vertical="center"/>
    </xf>
    <xf numFmtId="2" fontId="9" fillId="0" borderId="1" xfId="0" applyNumberFormat="1" applyFont="1" applyFill="1" applyBorder="1" applyAlignment="1" applyProtection="1">
      <alignment horizontal="right" vertical="center" wrapText="1"/>
      <protection hidden="1"/>
    </xf>
    <xf numFmtId="10" fontId="9" fillId="0" borderId="0" xfId="1" applyNumberFormat="1" applyFont="1" applyFill="1" applyBorder="1" applyAlignment="1" applyProtection="1">
      <alignment horizontal="left" vertical="center"/>
      <protection hidden="1"/>
    </xf>
    <xf numFmtId="169" fontId="9" fillId="0" borderId="0" xfId="1" applyNumberFormat="1" applyFont="1" applyFill="1" applyBorder="1" applyAlignment="1" applyProtection="1">
      <alignment horizontal="left" vertical="center"/>
      <protection hidden="1"/>
    </xf>
    <xf numFmtId="0" fontId="9" fillId="0" borderId="24" xfId="0" applyFont="1" applyFill="1" applyBorder="1" applyAlignment="1">
      <alignment vertical="center"/>
    </xf>
    <xf numFmtId="0" fontId="9" fillId="0" borderId="24" xfId="0" applyFont="1" applyFill="1" applyBorder="1" applyAlignment="1">
      <alignment horizontal="left" vertical="center"/>
    </xf>
    <xf numFmtId="1" fontId="9" fillId="6" borderId="1" xfId="0" applyNumberFormat="1" applyFont="1" applyFill="1" applyBorder="1" applyAlignment="1" applyProtection="1">
      <alignment horizontal="right" vertical="center" wrapText="1"/>
      <protection hidden="1"/>
    </xf>
    <xf numFmtId="0" fontId="9" fillId="0" borderId="19" xfId="0" applyFont="1" applyFill="1" applyBorder="1" applyAlignment="1" applyProtection="1">
      <alignment horizontal="left" vertical="center" wrapText="1"/>
    </xf>
    <xf numFmtId="1" fontId="9" fillId="0" borderId="19" xfId="0" applyNumberFormat="1" applyFont="1" applyFill="1" applyBorder="1" applyAlignment="1" applyProtection="1">
      <alignment horizontal="right" vertical="center" wrapText="1"/>
      <protection hidden="1"/>
    </xf>
    <xf numFmtId="0" fontId="9" fillId="0" borderId="25" xfId="0" applyFont="1" applyFill="1" applyBorder="1" applyAlignment="1" applyProtection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8" fontId="9" fillId="0" borderId="0" xfId="0" applyNumberFormat="1" applyFont="1" applyFill="1" applyBorder="1" applyAlignment="1">
      <alignment horizontal="right"/>
    </xf>
    <xf numFmtId="1" fontId="9" fillId="0" borderId="1" xfId="0" applyNumberFormat="1" applyFont="1" applyFill="1" applyBorder="1" applyAlignment="1" applyProtection="1">
      <alignment horizontal="right" vertical="center"/>
      <protection locked="0" hidden="1"/>
    </xf>
    <xf numFmtId="1" fontId="9" fillId="0" borderId="1" xfId="0" applyNumberFormat="1" applyFont="1" applyFill="1" applyBorder="1" applyAlignment="1" applyProtection="1">
      <alignment horizontal="right" vertical="center" wrapText="1"/>
      <protection hidden="1"/>
    </xf>
    <xf numFmtId="0" fontId="9" fillId="0" borderId="19" xfId="0" applyFont="1" applyFill="1" applyBorder="1" applyAlignment="1" applyProtection="1">
      <alignment vertical="center"/>
    </xf>
    <xf numFmtId="1" fontId="22" fillId="0" borderId="19" xfId="0" applyNumberFormat="1" applyFont="1" applyFill="1" applyBorder="1" applyAlignment="1" applyProtection="1">
      <alignment horizontal="right" vertical="center"/>
      <protection locked="0" hidden="1"/>
    </xf>
    <xf numFmtId="0" fontId="9" fillId="0" borderId="19" xfId="0" applyFont="1" applyFill="1" applyBorder="1" applyAlignment="1">
      <alignment horizontal="left"/>
    </xf>
    <xf numFmtId="0" fontId="9" fillId="0" borderId="2" xfId="0" applyFont="1" applyFill="1" applyBorder="1" applyAlignment="1" applyProtection="1">
      <alignment vertical="center"/>
    </xf>
    <xf numFmtId="1" fontId="10" fillId="0" borderId="2" xfId="0" applyNumberFormat="1" applyFont="1" applyFill="1" applyBorder="1" applyAlignment="1" applyProtection="1">
      <alignment horizontal="right" vertical="center"/>
      <protection locked="0" hidden="1"/>
    </xf>
    <xf numFmtId="0" fontId="9" fillId="0" borderId="1" xfId="0" applyFont="1" applyFill="1" applyBorder="1" applyAlignment="1" applyProtection="1">
      <alignment vertical="center"/>
    </xf>
    <xf numFmtId="1" fontId="10" fillId="0" borderId="1" xfId="0" applyNumberFormat="1" applyFont="1" applyFill="1" applyBorder="1" applyAlignment="1" applyProtection="1">
      <alignment horizontal="right" vertical="center"/>
      <protection locked="0" hidden="1"/>
    </xf>
    <xf numFmtId="2" fontId="10" fillId="0" borderId="1" xfId="0" applyNumberFormat="1" applyFont="1" applyFill="1" applyBorder="1" applyAlignment="1" applyProtection="1">
      <alignment horizontal="right" vertical="center" wrapText="1"/>
      <protection hidden="1"/>
    </xf>
    <xf numFmtId="1" fontId="10" fillId="0" borderId="1" xfId="0" applyNumberFormat="1" applyFont="1" applyFill="1" applyBorder="1" applyAlignment="1" applyProtection="1">
      <alignment horizontal="right" vertical="center" wrapText="1"/>
      <protection hidden="1"/>
    </xf>
    <xf numFmtId="10" fontId="9" fillId="0" borderId="1" xfId="1" applyNumberFormat="1" applyFont="1" applyFill="1" applyBorder="1" applyAlignment="1">
      <alignment horizontal="right" vertical="center"/>
    </xf>
    <xf numFmtId="0" fontId="0" fillId="0" borderId="0" xfId="0" applyFill="1"/>
    <xf numFmtId="0" fontId="9" fillId="0" borderId="0" xfId="0" applyFont="1" applyFill="1"/>
    <xf numFmtId="0" fontId="0" fillId="0" borderId="0" xfId="0" applyAlignment="1"/>
    <xf numFmtId="0" fontId="9" fillId="2" borderId="2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 applyProtection="1">
      <alignment horizontal="right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" xfId="0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right" vertical="center"/>
    </xf>
    <xf numFmtId="3" fontId="24" fillId="0" borderId="0" xfId="0" applyNumberFormat="1" applyFont="1" applyBorder="1" applyAlignment="1">
      <alignment horizontal="center" vertical="center"/>
    </xf>
    <xf numFmtId="171" fontId="24" fillId="0" borderId="1" xfId="5" applyNumberFormat="1" applyFont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9" fontId="24" fillId="0" borderId="0" xfId="1" applyFont="1" applyAlignment="1">
      <alignment horizontal="center"/>
    </xf>
    <xf numFmtId="0" fontId="24" fillId="2" borderId="1" xfId="0" applyFont="1" applyFill="1" applyBorder="1" applyAlignment="1">
      <alignment horizontal="center"/>
    </xf>
    <xf numFmtId="171" fontId="24" fillId="2" borderId="1" xfId="5" applyNumberFormat="1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171" fontId="24" fillId="4" borderId="1" xfId="5" applyNumberFormat="1" applyFont="1" applyFill="1" applyBorder="1" applyAlignment="1">
      <alignment horizontal="center"/>
    </xf>
    <xf numFmtId="9" fontId="24" fillId="0" borderId="1" xfId="1" applyFont="1" applyBorder="1" applyAlignment="1">
      <alignment horizontal="center"/>
    </xf>
    <xf numFmtId="171" fontId="24" fillId="0" borderId="1" xfId="5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4" xfId="0" applyFont="1" applyFill="1" applyBorder="1" applyAlignment="1" applyProtection="1">
      <alignment horizontal="center" vertical="center" wrapText="1"/>
    </xf>
    <xf numFmtId="0" fontId="24" fillId="0" borderId="0" xfId="0" applyFont="1" applyAlignment="1">
      <alignment horizontal="right" vertical="center"/>
    </xf>
    <xf numFmtId="171" fontId="24" fillId="0" borderId="0" xfId="5" applyNumberFormat="1" applyFont="1" applyAlignment="1">
      <alignment horizontal="center"/>
    </xf>
    <xf numFmtId="0" fontId="26" fillId="0" borderId="1" xfId="0" applyFont="1" applyFill="1" applyBorder="1" applyAlignment="1" applyProtection="1">
      <alignment horizontal="center" vertical="center" wrapText="1"/>
    </xf>
    <xf numFmtId="167" fontId="24" fillId="0" borderId="0" xfId="1" applyNumberFormat="1" applyFont="1" applyAlignment="1">
      <alignment horizontal="center"/>
    </xf>
    <xf numFmtId="169" fontId="24" fillId="0" borderId="0" xfId="1" applyNumberFormat="1" applyFont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171" fontId="24" fillId="0" borderId="1" xfId="5" applyNumberFormat="1" applyFont="1" applyFill="1" applyBorder="1" applyAlignment="1">
      <alignment horizontal="right" vertical="center"/>
    </xf>
    <xf numFmtId="0" fontId="24" fillId="0" borderId="0" xfId="0" applyFont="1" applyBorder="1" applyAlignment="1">
      <alignment horizontal="center"/>
    </xf>
    <xf numFmtId="167" fontId="24" fillId="0" borderId="0" xfId="1" applyNumberFormat="1" applyFont="1" applyBorder="1" applyAlignment="1">
      <alignment horizontal="center"/>
    </xf>
    <xf numFmtId="9" fontId="24" fillId="0" borderId="0" xfId="0" applyNumberFormat="1" applyFont="1" applyAlignment="1">
      <alignment horizontal="center"/>
    </xf>
    <xf numFmtId="167" fontId="24" fillId="0" borderId="0" xfId="0" applyNumberFormat="1" applyFont="1" applyAlignment="1">
      <alignment horizontal="center"/>
    </xf>
    <xf numFmtId="10" fontId="24" fillId="0" borderId="0" xfId="0" applyNumberFormat="1" applyFont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5" fontId="24" fillId="0" borderId="0" xfId="0" applyNumberFormat="1" applyFont="1" applyAlignment="1">
      <alignment horizontal="center"/>
    </xf>
    <xf numFmtId="168" fontId="24" fillId="0" borderId="0" xfId="0" applyNumberFormat="1" applyFont="1" applyAlignment="1">
      <alignment horizontal="center"/>
    </xf>
    <xf numFmtId="171" fontId="24" fillId="2" borderId="1" xfId="5" applyNumberFormat="1" applyFont="1" applyFill="1" applyBorder="1" applyAlignment="1">
      <alignment horizontal="right" vertical="center"/>
    </xf>
    <xf numFmtId="0" fontId="26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right" vertical="center"/>
    </xf>
    <xf numFmtId="0" fontId="24" fillId="0" borderId="0" xfId="0" applyFont="1" applyAlignment="1">
      <alignment horizontal="left"/>
    </xf>
    <xf numFmtId="171" fontId="28" fillId="2" borderId="1" xfId="5" applyNumberFormat="1" applyFont="1" applyFill="1" applyBorder="1" applyAlignment="1">
      <alignment horizontal="right" vertical="center"/>
    </xf>
    <xf numFmtId="167" fontId="24" fillId="0" borderId="0" xfId="1" applyNumberFormat="1" applyFont="1" applyBorder="1" applyAlignment="1">
      <alignment horizontal="center" vertical="center"/>
    </xf>
    <xf numFmtId="10" fontId="24" fillId="0" borderId="0" xfId="1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5" fontId="12" fillId="2" borderId="0" xfId="0" applyNumberFormat="1" applyFont="1" applyFill="1" applyBorder="1" applyAlignment="1">
      <alignment horizontal="left" vertical="center"/>
    </xf>
    <xf numFmtId="0" fontId="29" fillId="8" borderId="0" xfId="8" applyFill="1"/>
    <xf numFmtId="0" fontId="30" fillId="0" borderId="0" xfId="7" applyFont="1">
      <alignment vertical="center"/>
    </xf>
    <xf numFmtId="0" fontId="30" fillId="0" borderId="1" xfId="7" applyFont="1" applyBorder="1">
      <alignment vertical="center"/>
    </xf>
    <xf numFmtId="14" fontId="30" fillId="0" borderId="1" xfId="7" applyNumberFormat="1" applyFont="1" applyBorder="1">
      <alignment vertical="center"/>
    </xf>
    <xf numFmtId="14" fontId="30" fillId="10" borderId="1" xfId="7" applyNumberFormat="1" applyFont="1" applyFill="1" applyBorder="1">
      <alignment vertical="center"/>
    </xf>
    <xf numFmtId="0" fontId="6" fillId="9" borderId="1" xfId="6" applyFont="1" applyFill="1" applyBorder="1">
      <alignment vertical="center"/>
    </xf>
    <xf numFmtId="0" fontId="6" fillId="11" borderId="1" xfId="6" applyFont="1" applyFill="1" applyBorder="1">
      <alignment vertical="center"/>
    </xf>
    <xf numFmtId="0" fontId="6" fillId="3" borderId="1" xfId="6" applyFill="1" applyBorder="1">
      <alignment vertical="center"/>
    </xf>
    <xf numFmtId="172" fontId="6" fillId="12" borderId="1" xfId="6" applyNumberFormat="1" applyFill="1" applyBorder="1">
      <alignment vertical="center"/>
    </xf>
    <xf numFmtId="2" fontId="30" fillId="0" borderId="0" xfId="7" applyNumberFormat="1" applyFont="1">
      <alignment vertical="center"/>
    </xf>
    <xf numFmtId="0" fontId="30" fillId="0" borderId="1" xfId="7" applyFont="1" applyFill="1" applyBorder="1">
      <alignment vertical="center"/>
    </xf>
    <xf numFmtId="0" fontId="6" fillId="12" borderId="1" xfId="6" applyFill="1" applyBorder="1">
      <alignment vertical="center"/>
    </xf>
    <xf numFmtId="0" fontId="6" fillId="12" borderId="1" xfId="6" applyFont="1" applyFill="1" applyBorder="1">
      <alignment vertical="center"/>
    </xf>
    <xf numFmtId="0" fontId="30" fillId="9" borderId="1" xfId="7" applyFont="1" applyFill="1" applyBorder="1">
      <alignment vertical="center"/>
    </xf>
    <xf numFmtId="0" fontId="6" fillId="4" borderId="1" xfId="6" applyFill="1" applyBorder="1">
      <alignment vertical="center"/>
    </xf>
    <xf numFmtId="2" fontId="6" fillId="3" borderId="1" xfId="6" applyNumberFormat="1" applyFill="1" applyBorder="1" applyAlignment="1">
      <alignment horizontal="right" vertical="center"/>
    </xf>
    <xf numFmtId="165" fontId="30" fillId="0" borderId="0" xfId="7" applyNumberFormat="1" applyFont="1">
      <alignment vertical="center"/>
    </xf>
    <xf numFmtId="0" fontId="30" fillId="2" borderId="1" xfId="7" applyFont="1" applyFill="1" applyBorder="1">
      <alignment vertical="center"/>
    </xf>
    <xf numFmtId="0" fontId="30" fillId="4" borderId="1" xfId="7" applyFont="1" applyFill="1" applyBorder="1" applyAlignment="1">
      <alignment horizontal="right" vertical="center"/>
    </xf>
    <xf numFmtId="0" fontId="30" fillId="4" borderId="1" xfId="7" applyFont="1" applyFill="1" applyBorder="1">
      <alignment vertical="center"/>
    </xf>
    <xf numFmtId="0" fontId="30" fillId="10" borderId="1" xfId="7" applyFont="1" applyFill="1" applyBorder="1">
      <alignment vertical="center"/>
    </xf>
    <xf numFmtId="0" fontId="6" fillId="4" borderId="1" xfId="6" applyFill="1" applyBorder="1" applyAlignment="1">
      <alignment horizontal="right" vertical="center"/>
    </xf>
    <xf numFmtId="0" fontId="6" fillId="2" borderId="1" xfId="6" applyFont="1" applyFill="1" applyBorder="1">
      <alignment vertical="center"/>
    </xf>
    <xf numFmtId="0" fontId="6" fillId="0" borderId="1" xfId="6" applyFill="1" applyBorder="1">
      <alignment vertical="center"/>
    </xf>
    <xf numFmtId="0" fontId="32" fillId="12" borderId="1" xfId="6" applyFont="1" applyFill="1" applyBorder="1" applyAlignment="1">
      <alignment horizontal="center" vertical="center"/>
    </xf>
    <xf numFmtId="0" fontId="6" fillId="4" borderId="1" xfId="6" applyFont="1" applyFill="1" applyBorder="1">
      <alignment vertical="center"/>
    </xf>
    <xf numFmtId="1" fontId="6" fillId="4" borderId="24" xfId="6" applyNumberFormat="1" applyFill="1" applyBorder="1" applyAlignment="1">
      <alignment horizontal="right" vertical="center"/>
    </xf>
    <xf numFmtId="173" fontId="30" fillId="4" borderId="1" xfId="7" applyNumberFormat="1" applyFont="1" applyFill="1" applyBorder="1">
      <alignment vertical="center"/>
    </xf>
    <xf numFmtId="0" fontId="6" fillId="0" borderId="1" xfId="6" applyFill="1" applyBorder="1" applyAlignment="1">
      <alignment horizontal="center" vertical="center"/>
    </xf>
    <xf numFmtId="0" fontId="33" fillId="0" borderId="1" xfId="6" applyFont="1" applyFill="1" applyBorder="1" applyAlignment="1">
      <alignment horizontal="center" vertical="center"/>
    </xf>
    <xf numFmtId="0" fontId="34" fillId="0" borderId="1" xfId="6" applyFont="1" applyFill="1" applyBorder="1">
      <alignment vertical="center"/>
    </xf>
    <xf numFmtId="0" fontId="35" fillId="0" borderId="1" xfId="6" applyFont="1" applyFill="1" applyBorder="1">
      <alignment vertical="center"/>
    </xf>
    <xf numFmtId="2" fontId="30" fillId="0" borderId="1" xfId="7" applyNumberFormat="1" applyFont="1" applyBorder="1">
      <alignment vertical="center"/>
    </xf>
    <xf numFmtId="0" fontId="6" fillId="2" borderId="1" xfId="6" applyFont="1" applyFill="1" applyBorder="1" applyAlignment="1">
      <alignment horizontal="center" vertical="center"/>
    </xf>
    <xf numFmtId="173" fontId="30" fillId="0" borderId="1" xfId="7" applyNumberFormat="1" applyFont="1" applyBorder="1">
      <alignment vertical="center"/>
    </xf>
    <xf numFmtId="2" fontId="30" fillId="4" borderId="1" xfId="7" applyNumberFormat="1" applyFont="1" applyFill="1" applyBorder="1">
      <alignment vertical="center"/>
    </xf>
    <xf numFmtId="0" fontId="6" fillId="0" borderId="1" xfId="6" applyFont="1" applyFill="1" applyBorder="1">
      <alignment vertical="center"/>
    </xf>
    <xf numFmtId="173" fontId="30" fillId="0" borderId="0" xfId="7" applyNumberFormat="1" applyFont="1">
      <alignment vertical="center"/>
    </xf>
    <xf numFmtId="2" fontId="6" fillId="4" borderId="1" xfId="6" applyNumberFormat="1" applyFill="1" applyBorder="1" applyAlignment="1">
      <alignment horizontal="right" vertical="center"/>
    </xf>
    <xf numFmtId="0" fontId="36" fillId="4" borderId="1" xfId="6" applyFont="1" applyFill="1" applyBorder="1">
      <alignment vertical="center"/>
    </xf>
    <xf numFmtId="165" fontId="6" fillId="3" borderId="1" xfId="6" applyNumberFormat="1" applyFill="1" applyBorder="1" applyAlignment="1">
      <alignment horizontal="right" vertical="center"/>
    </xf>
    <xf numFmtId="0" fontId="6" fillId="3" borderId="1" xfId="6" applyFill="1" applyBorder="1" applyAlignment="1">
      <alignment horizontal="right" vertical="center"/>
    </xf>
    <xf numFmtId="0" fontId="6" fillId="0" borderId="1" xfId="6" applyFill="1" applyBorder="1" applyAlignment="1">
      <alignment horizontal="right" vertical="center"/>
    </xf>
    <xf numFmtId="2" fontId="6" fillId="0" borderId="1" xfId="6" applyNumberFormat="1" applyFill="1" applyBorder="1" applyAlignment="1">
      <alignment horizontal="right" vertical="center"/>
    </xf>
    <xf numFmtId="0" fontId="36" fillId="0" borderId="1" xfId="6" applyFont="1" applyFill="1" applyBorder="1">
      <alignment vertical="center"/>
    </xf>
    <xf numFmtId="165" fontId="6" fillId="0" borderId="1" xfId="6" applyNumberFormat="1" applyFill="1" applyBorder="1" applyAlignment="1">
      <alignment horizontal="right" vertical="center"/>
    </xf>
    <xf numFmtId="164" fontId="6" fillId="0" borderId="1" xfId="6" applyNumberFormat="1" applyFill="1" applyBorder="1" applyAlignment="1">
      <alignment horizontal="right" vertical="center"/>
    </xf>
    <xf numFmtId="164" fontId="6" fillId="0" borderId="1" xfId="6" applyNumberFormat="1" applyFont="1" applyFill="1" applyBorder="1" applyAlignment="1">
      <alignment horizontal="right" vertical="center"/>
    </xf>
    <xf numFmtId="0" fontId="30" fillId="4" borderId="0" xfId="7" applyFont="1" applyFill="1">
      <alignment vertical="center"/>
    </xf>
    <xf numFmtId="0" fontId="6" fillId="0" borderId="0" xfId="6">
      <alignment vertical="center"/>
    </xf>
    <xf numFmtId="0" fontId="6" fillId="3" borderId="24" xfId="6" applyFill="1" applyBorder="1" applyAlignment="1">
      <alignment horizontal="right" vertical="center"/>
    </xf>
    <xf numFmtId="0" fontId="6" fillId="0" borderId="27" xfId="6" applyFill="1" applyBorder="1" applyAlignment="1">
      <alignment horizontal="center" vertical="center"/>
    </xf>
    <xf numFmtId="0" fontId="33" fillId="0" borderId="27" xfId="6" applyFont="1" applyFill="1" applyBorder="1" applyAlignment="1">
      <alignment horizontal="center" vertical="center"/>
    </xf>
    <xf numFmtId="9" fontId="30" fillId="4" borderId="24" xfId="6" applyNumberFormat="1" applyFont="1" applyFill="1" applyBorder="1" applyAlignment="1">
      <alignment horizontal="right" vertical="center"/>
    </xf>
    <xf numFmtId="0" fontId="6" fillId="0" borderId="27" xfId="6" applyFont="1" applyFill="1" applyBorder="1" applyAlignment="1">
      <alignment horizontal="center" vertical="center"/>
    </xf>
    <xf numFmtId="9" fontId="6" fillId="4" borderId="1" xfId="6" applyNumberFormat="1" applyFill="1" applyBorder="1" applyAlignment="1">
      <alignment horizontal="right" vertical="center"/>
    </xf>
    <xf numFmtId="10" fontId="0" fillId="0" borderId="0" xfId="9" applyNumberFormat="1" applyFont="1" applyFill="1" applyAlignment="1">
      <alignment vertical="center"/>
    </xf>
    <xf numFmtId="0" fontId="6" fillId="0" borderId="0" xfId="6" applyFill="1">
      <alignment vertical="center"/>
    </xf>
    <xf numFmtId="174" fontId="0" fillId="4" borderId="1" xfId="9" applyNumberFormat="1" applyFont="1" applyFill="1" applyBorder="1" applyAlignment="1">
      <alignment horizontal="right" vertical="center"/>
    </xf>
    <xf numFmtId="0" fontId="37" fillId="0" borderId="27" xfId="6" applyFont="1" applyFill="1" applyBorder="1" applyAlignment="1">
      <alignment vertical="center" wrapText="1"/>
    </xf>
    <xf numFmtId="0" fontId="37" fillId="0" borderId="1" xfId="6" applyFont="1" applyFill="1" applyBorder="1" applyAlignment="1">
      <alignment horizontal="center" vertical="center" wrapText="1"/>
    </xf>
    <xf numFmtId="170" fontId="6" fillId="0" borderId="1" xfId="6" applyNumberFormat="1" applyFill="1" applyBorder="1" applyAlignment="1">
      <alignment horizontal="right" vertical="center"/>
    </xf>
    <xf numFmtId="0" fontId="37" fillId="0" borderId="1" xfId="6" applyFont="1" applyFill="1" applyBorder="1" applyAlignment="1">
      <alignment vertical="center" wrapText="1"/>
    </xf>
    <xf numFmtId="0" fontId="6" fillId="4" borderId="1" xfId="6" applyFont="1" applyFill="1" applyBorder="1" applyAlignment="1">
      <alignment vertical="center" wrapText="1"/>
    </xf>
    <xf numFmtId="1" fontId="6" fillId="3" borderId="24" xfId="6" applyNumberFormat="1" applyFill="1" applyBorder="1" applyAlignment="1">
      <alignment horizontal="right" vertical="center"/>
    </xf>
    <xf numFmtId="172" fontId="6" fillId="4" borderId="1" xfId="6" applyNumberFormat="1" applyFill="1" applyBorder="1" applyAlignment="1">
      <alignment vertical="center"/>
    </xf>
    <xf numFmtId="2" fontId="6" fillId="0" borderId="1" xfId="6" applyNumberFormat="1" applyFill="1" applyBorder="1">
      <alignment vertical="center"/>
    </xf>
    <xf numFmtId="172" fontId="6" fillId="2" borderId="1" xfId="6" applyNumberFormat="1" applyFill="1" applyBorder="1" applyAlignment="1">
      <alignment horizontal="right" vertical="center"/>
    </xf>
    <xf numFmtId="0" fontId="37" fillId="0" borderId="28" xfId="6" applyFont="1" applyFill="1" applyBorder="1" applyAlignment="1">
      <alignment vertical="center" wrapText="1"/>
    </xf>
    <xf numFmtId="0" fontId="37" fillId="0" borderId="2" xfId="6" applyFont="1" applyFill="1" applyBorder="1" applyAlignment="1">
      <alignment horizontal="center" vertical="center" wrapText="1"/>
    </xf>
    <xf numFmtId="0" fontId="6" fillId="4" borderId="1" xfId="6" applyFont="1" applyFill="1" applyBorder="1" applyAlignment="1">
      <alignment horizontal="right" vertical="center"/>
    </xf>
    <xf numFmtId="0" fontId="38" fillId="0" borderId="28" xfId="6" applyFont="1" applyFill="1" applyBorder="1">
      <alignment vertical="center"/>
    </xf>
    <xf numFmtId="0" fontId="38" fillId="0" borderId="2" xfId="6" applyFont="1" applyFill="1" applyBorder="1">
      <alignment vertical="center"/>
    </xf>
    <xf numFmtId="0" fontId="6" fillId="11" borderId="1" xfId="6" applyFill="1" applyBorder="1">
      <alignment vertical="center"/>
    </xf>
    <xf numFmtId="10" fontId="6" fillId="0" borderId="1" xfId="6" applyNumberFormat="1" applyFill="1" applyBorder="1" applyAlignment="1">
      <alignment horizontal="right" vertical="center"/>
    </xf>
    <xf numFmtId="2" fontId="6" fillId="4" borderId="1" xfId="6" applyNumberFormat="1" applyFill="1" applyBorder="1">
      <alignment vertical="center"/>
    </xf>
    <xf numFmtId="173" fontId="6" fillId="0" borderId="1" xfId="6" applyNumberFormat="1" applyFill="1" applyBorder="1">
      <alignment vertical="center"/>
    </xf>
    <xf numFmtId="0" fontId="6" fillId="0" borderId="24" xfId="6" applyFill="1" applyBorder="1" applyAlignment="1">
      <alignment horizontal="right" vertical="center"/>
    </xf>
    <xf numFmtId="0" fontId="6" fillId="0" borderId="2" xfId="6" applyFill="1" applyBorder="1">
      <alignment vertical="center"/>
    </xf>
    <xf numFmtId="165" fontId="6" fillId="0" borderId="24" xfId="6" applyNumberFormat="1" applyFill="1" applyBorder="1" applyAlignment="1">
      <alignment horizontal="right" vertical="center"/>
    </xf>
    <xf numFmtId="0" fontId="6" fillId="0" borderId="0" xfId="6" applyFill="1" applyBorder="1">
      <alignment vertical="center"/>
    </xf>
    <xf numFmtId="0" fontId="39" fillId="4" borderId="1" xfId="6" applyFont="1" applyFill="1" applyBorder="1">
      <alignment vertical="center"/>
    </xf>
    <xf numFmtId="0" fontId="40" fillId="4" borderId="1" xfId="6" applyFont="1" applyFill="1" applyBorder="1">
      <alignment vertical="center"/>
    </xf>
    <xf numFmtId="0" fontId="41" fillId="4" borderId="1" xfId="6" applyFont="1" applyFill="1" applyBorder="1">
      <alignment vertical="center"/>
    </xf>
    <xf numFmtId="0" fontId="41" fillId="4" borderId="24" xfId="6" applyFont="1" applyFill="1" applyBorder="1">
      <alignment vertical="center"/>
    </xf>
    <xf numFmtId="0" fontId="0" fillId="12" borderId="24" xfId="6" applyFont="1" applyFill="1" applyBorder="1">
      <alignment vertical="center"/>
    </xf>
    <xf numFmtId="0" fontId="6" fillId="12" borderId="27" xfId="6" applyFill="1" applyBorder="1" applyAlignment="1">
      <alignment horizontal="left" vertical="center"/>
    </xf>
    <xf numFmtId="2" fontId="39" fillId="0" borderId="24" xfId="6" applyNumberFormat="1" applyFont="1" applyFill="1" applyBorder="1" applyAlignment="1">
      <alignment horizontal="right" vertical="center"/>
    </xf>
    <xf numFmtId="0" fontId="0" fillId="0" borderId="1" xfId="6" applyFont="1" applyBorder="1" applyAlignment="1">
      <alignment horizontal="left" vertical="center"/>
    </xf>
    <xf numFmtId="169" fontId="0" fillId="0" borderId="1" xfId="9" applyNumberFormat="1" applyFont="1" applyFill="1" applyBorder="1" applyAlignment="1">
      <alignment horizontal="right" vertical="center"/>
    </xf>
    <xf numFmtId="0" fontId="0" fillId="4" borderId="1" xfId="6" applyFont="1" applyFill="1" applyBorder="1">
      <alignment vertical="center"/>
    </xf>
    <xf numFmtId="2" fontId="39" fillId="4" borderId="24" xfId="6" applyNumberFormat="1" applyFont="1" applyFill="1" applyBorder="1" applyAlignment="1">
      <alignment horizontal="right" vertical="center"/>
    </xf>
    <xf numFmtId="2" fontId="6" fillId="0" borderId="3" xfId="6" applyNumberFormat="1" applyFill="1" applyBorder="1">
      <alignment vertical="center"/>
    </xf>
    <xf numFmtId="0" fontId="0" fillId="0" borderId="3" xfId="6" applyFont="1" applyBorder="1" applyAlignment="1">
      <alignment horizontal="left" vertical="center"/>
    </xf>
    <xf numFmtId="0" fontId="6" fillId="0" borderId="1" xfId="6" applyBorder="1" applyAlignment="1">
      <alignment horizontal="left" vertical="center"/>
    </xf>
    <xf numFmtId="169" fontId="0" fillId="0" borderId="24" xfId="9" applyNumberFormat="1" applyFont="1" applyFill="1" applyBorder="1" applyAlignment="1">
      <alignment horizontal="right" vertical="center"/>
    </xf>
    <xf numFmtId="0" fontId="0" fillId="0" borderId="1" xfId="6" applyFont="1" applyFill="1" applyBorder="1" applyAlignment="1">
      <alignment horizontal="left" vertical="center"/>
    </xf>
    <xf numFmtId="2" fontId="6" fillId="0" borderId="24" xfId="6" applyNumberFormat="1" applyFill="1" applyBorder="1" applyAlignment="1">
      <alignment horizontal="right" vertical="center"/>
    </xf>
    <xf numFmtId="0" fontId="6" fillId="12" borderId="1" xfId="6" applyFont="1" applyFill="1" applyBorder="1" applyAlignment="1">
      <alignment horizontal="left" vertical="center"/>
    </xf>
    <xf numFmtId="0" fontId="6" fillId="0" borderId="1" xfId="6" applyFont="1" applyFill="1" applyBorder="1" applyAlignment="1">
      <alignment horizontal="left" vertical="center"/>
    </xf>
    <xf numFmtId="175" fontId="6" fillId="0" borderId="1" xfId="6" applyNumberFormat="1" applyBorder="1" applyAlignment="1">
      <alignment horizontal="left" vertical="center"/>
    </xf>
    <xf numFmtId="173" fontId="6" fillId="0" borderId="1" xfId="6" applyNumberFormat="1" applyBorder="1" applyAlignment="1">
      <alignment horizontal="left" vertical="center"/>
    </xf>
    <xf numFmtId="10" fontId="0" fillId="0" borderId="1" xfId="9" applyNumberFormat="1" applyFont="1" applyFill="1" applyBorder="1" applyAlignment="1">
      <alignment vertical="center"/>
    </xf>
    <xf numFmtId="173" fontId="0" fillId="0" borderId="1" xfId="9" applyNumberFormat="1" applyFont="1" applyFill="1" applyBorder="1" applyAlignment="1">
      <alignment vertical="center"/>
    </xf>
    <xf numFmtId="165" fontId="6" fillId="0" borderId="1" xfId="6" applyNumberFormat="1" applyBorder="1" applyAlignment="1">
      <alignment horizontal="left" vertical="center"/>
    </xf>
    <xf numFmtId="0" fontId="6" fillId="2" borderId="1" xfId="6" applyFill="1" applyBorder="1">
      <alignment vertical="center"/>
    </xf>
    <xf numFmtId="2" fontId="39" fillId="2" borderId="24" xfId="6" applyNumberFormat="1" applyFont="1" applyFill="1" applyBorder="1" applyAlignment="1">
      <alignment horizontal="right" vertical="center"/>
    </xf>
    <xf numFmtId="1" fontId="6" fillId="0" borderId="1" xfId="6" applyNumberFormat="1" applyBorder="1" applyAlignment="1">
      <alignment horizontal="left" vertical="center"/>
    </xf>
    <xf numFmtId="0" fontId="6" fillId="0" borderId="1" xfId="6" applyFill="1" applyBorder="1" applyAlignment="1">
      <alignment horizontal="left" vertical="center"/>
    </xf>
    <xf numFmtId="2" fontId="42" fillId="4" borderId="24" xfId="6" applyNumberFormat="1" applyFont="1" applyFill="1" applyBorder="1" applyAlignment="1">
      <alignment horizontal="right" vertical="center"/>
    </xf>
    <xf numFmtId="173" fontId="6" fillId="0" borderId="0" xfId="6" applyNumberFormat="1" applyFill="1" applyBorder="1">
      <alignment vertical="center"/>
    </xf>
    <xf numFmtId="0" fontId="0" fillId="0" borderId="1" xfId="6" applyFont="1" applyFill="1" applyBorder="1">
      <alignment vertical="center"/>
    </xf>
    <xf numFmtId="172" fontId="6" fillId="0" borderId="1" xfId="6" applyNumberFormat="1" applyFill="1" applyBorder="1">
      <alignment vertical="center"/>
    </xf>
    <xf numFmtId="172" fontId="6" fillId="0" borderId="0" xfId="6" applyNumberFormat="1" applyFill="1" applyBorder="1">
      <alignment vertical="center"/>
    </xf>
    <xf numFmtId="176" fontId="6" fillId="0" borderId="0" xfId="1" applyNumberFormat="1" applyFont="1" applyFill="1" applyBorder="1">
      <alignment vertical="center"/>
    </xf>
    <xf numFmtId="165" fontId="6" fillId="0" borderId="0" xfId="6" applyNumberFormat="1" applyFill="1" applyBorder="1">
      <alignment vertical="center"/>
    </xf>
    <xf numFmtId="173" fontId="6" fillId="0" borderId="1" xfId="6" applyNumberFormat="1" applyFill="1" applyBorder="1" applyAlignment="1">
      <alignment horizontal="right" vertical="center"/>
    </xf>
    <xf numFmtId="0" fontId="6" fillId="0" borderId="32" xfId="6" applyFill="1" applyBorder="1">
      <alignment vertical="center"/>
    </xf>
    <xf numFmtId="0" fontId="6" fillId="0" borderId="0" xfId="6" applyFont="1" applyFill="1">
      <alignment vertical="center"/>
    </xf>
    <xf numFmtId="0" fontId="6" fillId="0" borderId="0" xfId="6" applyFont="1">
      <alignment vertical="center"/>
    </xf>
    <xf numFmtId="165" fontId="6" fillId="0" borderId="1" xfId="6" applyNumberFormat="1" applyFill="1" applyBorder="1">
      <alignment vertical="center"/>
    </xf>
    <xf numFmtId="2" fontId="6" fillId="0" borderId="0" xfId="6" applyNumberFormat="1" applyFill="1" applyBorder="1">
      <alignment vertical="center"/>
    </xf>
    <xf numFmtId="0" fontId="0" fillId="2" borderId="1" xfId="6" applyFont="1" applyFill="1" applyBorder="1" applyAlignment="1">
      <alignment horizontal="center" vertical="center"/>
    </xf>
    <xf numFmtId="0" fontId="6" fillId="0" borderId="0" xfId="6" applyFill="1" applyAlignment="1">
      <alignment horizontal="right" vertical="center"/>
    </xf>
    <xf numFmtId="0" fontId="6" fillId="0" borderId="0" xfId="6" applyAlignment="1">
      <alignment horizontal="right" vertical="center"/>
    </xf>
    <xf numFmtId="0" fontId="0" fillId="0" borderId="1" xfId="0" applyBorder="1"/>
    <xf numFmtId="0" fontId="0" fillId="3" borderId="1" xfId="0" applyFill="1" applyBorder="1"/>
    <xf numFmtId="9" fontId="0" fillId="3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2" fontId="13" fillId="3" borderId="1" xfId="4" applyNumberFormat="1" applyFont="1" applyFill="1" applyBorder="1" applyAlignment="1">
      <alignment horizontal="right" vertical="center"/>
    </xf>
    <xf numFmtId="9" fontId="0" fillId="4" borderId="1" xfId="0" applyNumberFormat="1" applyFill="1" applyBorder="1"/>
    <xf numFmtId="0" fontId="12" fillId="3" borderId="1" xfId="0" applyFont="1" applyFill="1" applyBorder="1" applyAlignment="1">
      <alignment horizontal="right" vertical="center"/>
    </xf>
    <xf numFmtId="0" fontId="13" fillId="3" borderId="1" xfId="2" applyFont="1" applyFill="1" applyBorder="1" applyAlignment="1">
      <alignment horizontal="right" vertical="center"/>
    </xf>
    <xf numFmtId="0" fontId="0" fillId="4" borderId="1" xfId="0" applyFill="1" applyBorder="1"/>
    <xf numFmtId="0" fontId="0" fillId="6" borderId="1" xfId="0" applyFill="1" applyBorder="1"/>
    <xf numFmtId="0" fontId="30" fillId="0" borderId="27" xfId="7" applyFont="1" applyBorder="1">
      <alignment vertical="center"/>
    </xf>
    <xf numFmtId="0" fontId="0" fillId="12" borderId="1" xfId="0" applyFill="1" applyBorder="1"/>
    <xf numFmtId="3" fontId="0" fillId="12" borderId="1" xfId="0" applyNumberFormat="1" applyFill="1" applyBorder="1"/>
    <xf numFmtId="0" fontId="30" fillId="0" borderId="0" xfId="7" applyFont="1" applyBorder="1">
      <alignment vertical="center"/>
    </xf>
    <xf numFmtId="1" fontId="0" fillId="0" borderId="1" xfId="0" applyNumberFormat="1" applyBorder="1"/>
    <xf numFmtId="0" fontId="0" fillId="13" borderId="1" xfId="0" applyFill="1" applyBorder="1"/>
    <xf numFmtId="0" fontId="13" fillId="13" borderId="1" xfId="2" applyFont="1" applyFill="1" applyBorder="1" applyAlignment="1">
      <alignment vertical="center"/>
    </xf>
    <xf numFmtId="165" fontId="0" fillId="0" borderId="1" xfId="0" applyNumberFormat="1" applyBorder="1"/>
    <xf numFmtId="165" fontId="12" fillId="2" borderId="1" xfId="0" applyNumberFormat="1" applyFont="1" applyFill="1" applyBorder="1" applyAlignment="1">
      <alignment horizontal="right" vertical="center"/>
    </xf>
    <xf numFmtId="0" fontId="12" fillId="13" borderId="1" xfId="0" applyFont="1" applyFill="1" applyBorder="1" applyAlignment="1">
      <alignment vertical="center"/>
    </xf>
    <xf numFmtId="0" fontId="13" fillId="4" borderId="1" xfId="2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6" fillId="4" borderId="0" xfId="6" applyFill="1" applyBorder="1" applyAlignment="1">
      <alignment horizontal="right" vertical="center"/>
    </xf>
    <xf numFmtId="0" fontId="9" fillId="4" borderId="21" xfId="0" applyFont="1" applyFill="1" applyBorder="1" applyAlignment="1" applyProtection="1">
      <alignment horizontal="right" vertical="center" wrapText="1"/>
      <protection locked="0" hidden="1"/>
    </xf>
    <xf numFmtId="2" fontId="9" fillId="6" borderId="1" xfId="0" applyNumberFormat="1" applyFont="1" applyFill="1" applyBorder="1" applyAlignment="1" applyProtection="1">
      <alignment horizontal="right" vertical="center"/>
      <protection locked="0" hidden="1"/>
    </xf>
    <xf numFmtId="0" fontId="6" fillId="4" borderId="24" xfId="6" applyFill="1" applyBorder="1" applyAlignment="1">
      <alignment horizontal="right" vertical="center"/>
    </xf>
    <xf numFmtId="0" fontId="6" fillId="4" borderId="24" xfId="6" applyFont="1" applyFill="1" applyBorder="1" applyAlignment="1">
      <alignment horizontal="right" vertical="center"/>
    </xf>
    <xf numFmtId="0" fontId="30" fillId="4" borderId="1" xfId="6" applyFont="1" applyFill="1" applyBorder="1">
      <alignment vertical="center"/>
    </xf>
    <xf numFmtId="9" fontId="30" fillId="4" borderId="1" xfId="6" applyNumberFormat="1" applyFont="1" applyFill="1" applyBorder="1" applyAlignment="1">
      <alignment horizontal="right" vertical="center"/>
    </xf>
    <xf numFmtId="1" fontId="44" fillId="0" borderId="24" xfId="6" applyNumberFormat="1" applyFont="1" applyFill="1" applyBorder="1" applyAlignment="1">
      <alignment horizontal="right" vertical="center"/>
    </xf>
    <xf numFmtId="0" fontId="44" fillId="2" borderId="1" xfId="6" applyFont="1" applyFill="1" applyBorder="1" applyAlignment="1">
      <alignment horizontal="right" vertical="center"/>
    </xf>
    <xf numFmtId="0" fontId="44" fillId="4" borderId="1" xfId="6" applyFont="1" applyFill="1" applyBorder="1" applyAlignment="1">
      <alignment horizontal="right" vertical="center"/>
    </xf>
    <xf numFmtId="9" fontId="44" fillId="4" borderId="1" xfId="6" applyNumberFormat="1" applyFont="1" applyFill="1" applyBorder="1" applyAlignment="1">
      <alignment horizontal="right" vertical="center"/>
    </xf>
    <xf numFmtId="0" fontId="44" fillId="4" borderId="24" xfId="6" applyFont="1" applyFill="1" applyBorder="1" applyAlignment="1">
      <alignment horizontal="right" vertical="center"/>
    </xf>
    <xf numFmtId="2" fontId="44" fillId="4" borderId="1" xfId="6" applyNumberFormat="1" applyFont="1" applyFill="1" applyBorder="1" applyAlignment="1">
      <alignment horizontal="right" vertical="center"/>
    </xf>
    <xf numFmtId="10" fontId="41" fillId="4" borderId="24" xfId="6" applyNumberFormat="1" applyFont="1" applyFill="1" applyBorder="1" applyAlignment="1">
      <alignment horizontal="right" vertical="center"/>
    </xf>
    <xf numFmtId="10" fontId="12" fillId="0" borderId="1" xfId="1" quotePrefix="1" applyNumberFormat="1" applyFont="1" applyBorder="1" applyAlignment="1">
      <alignment horizontal="right" vertical="center"/>
    </xf>
    <xf numFmtId="2" fontId="0" fillId="0" borderId="1" xfId="0" applyNumberFormat="1" applyBorder="1"/>
    <xf numFmtId="2" fontId="44" fillId="4" borderId="24" xfId="6" applyNumberFormat="1" applyFont="1" applyFill="1" applyBorder="1" applyAlignment="1">
      <alignment horizontal="right" vertical="center"/>
    </xf>
    <xf numFmtId="10" fontId="30" fillId="4" borderId="1" xfId="7" applyNumberFormat="1" applyFont="1" applyFill="1" applyBorder="1">
      <alignment vertical="center"/>
    </xf>
    <xf numFmtId="169" fontId="30" fillId="4" borderId="1" xfId="7" applyNumberFormat="1" applyFont="1" applyFill="1" applyBorder="1">
      <alignment vertical="center"/>
    </xf>
    <xf numFmtId="2" fontId="30" fillId="4" borderId="1" xfId="7" applyNumberFormat="1" applyFont="1" applyFill="1" applyBorder="1" applyAlignment="1">
      <alignment horizontal="right" vertical="center"/>
    </xf>
    <xf numFmtId="2" fontId="30" fillId="4" borderId="0" xfId="7" applyNumberFormat="1" applyFont="1" applyFill="1" applyAlignment="1">
      <alignment horizontal="right" vertical="center"/>
    </xf>
    <xf numFmtId="165" fontId="30" fillId="4" borderId="1" xfId="7" applyNumberFormat="1" applyFont="1" applyFill="1" applyBorder="1">
      <alignment vertical="center"/>
    </xf>
    <xf numFmtId="165" fontId="6" fillId="4" borderId="1" xfId="6" applyNumberFormat="1" applyFill="1" applyBorder="1" applyAlignment="1">
      <alignment horizontal="right" vertical="center"/>
    </xf>
    <xf numFmtId="164" fontId="6" fillId="4" borderId="1" xfId="6" applyNumberFormat="1" applyFill="1" applyBorder="1" applyAlignment="1">
      <alignment horizontal="right" vertical="center"/>
    </xf>
    <xf numFmtId="164" fontId="6" fillId="4" borderId="1" xfId="6" applyNumberFormat="1" applyFont="1" applyFill="1" applyBorder="1" applyAlignment="1">
      <alignment horizontal="right" vertical="center"/>
    </xf>
    <xf numFmtId="0" fontId="45" fillId="4" borderId="1" xfId="7" applyFont="1" applyFill="1" applyBorder="1">
      <alignment vertical="center"/>
    </xf>
    <xf numFmtId="9" fontId="45" fillId="4" borderId="1" xfId="7" applyNumberFormat="1" applyFont="1" applyFill="1" applyBorder="1">
      <alignment vertical="center"/>
    </xf>
    <xf numFmtId="0" fontId="45" fillId="4" borderId="0" xfId="7" applyFont="1" applyFill="1">
      <alignment vertical="center"/>
    </xf>
    <xf numFmtId="1" fontId="45" fillId="4" borderId="1" xfId="7" applyNumberFormat="1" applyFont="1" applyFill="1" applyBorder="1">
      <alignment vertical="center"/>
    </xf>
    <xf numFmtId="2" fontId="39" fillId="4" borderId="1" xfId="6" applyNumberFormat="1" applyFont="1" applyFill="1" applyBorder="1" applyAlignment="1">
      <alignment horizontal="right" vertical="center"/>
    </xf>
    <xf numFmtId="2" fontId="45" fillId="4" borderId="1" xfId="7" applyNumberFormat="1" applyFont="1" applyFill="1" applyBorder="1">
      <alignment vertical="center"/>
    </xf>
    <xf numFmtId="165" fontId="24" fillId="2" borderId="0" xfId="0" applyNumberFormat="1" applyFont="1" applyFill="1" applyBorder="1" applyAlignment="1">
      <alignment horizontal="center" vertical="center"/>
    </xf>
    <xf numFmtId="171" fontId="24" fillId="4" borderId="1" xfId="5" applyNumberFormat="1" applyFont="1" applyFill="1" applyBorder="1" applyAlignment="1">
      <alignment horizontal="right" vertical="center"/>
    </xf>
    <xf numFmtId="0" fontId="24" fillId="2" borderId="0" xfId="0" applyFont="1" applyFill="1" applyBorder="1" applyAlignment="1">
      <alignment horizontal="center" vertical="center"/>
    </xf>
    <xf numFmtId="171" fontId="24" fillId="0" borderId="0" xfId="0" applyNumberFormat="1" applyFont="1" applyBorder="1" applyAlignment="1">
      <alignment horizontal="center" vertical="center"/>
    </xf>
    <xf numFmtId="171" fontId="24" fillId="0" borderId="0" xfId="1" applyNumberFormat="1" applyFont="1" applyBorder="1" applyAlignment="1">
      <alignment horizontal="center" vertical="center"/>
    </xf>
    <xf numFmtId="171" fontId="24" fillId="0" borderId="0" xfId="0" applyNumberFormat="1" applyFont="1" applyAlignment="1">
      <alignment horizontal="center"/>
    </xf>
    <xf numFmtId="171" fontId="24" fillId="0" borderId="1" xfId="0" applyNumberFormat="1" applyFont="1" applyBorder="1" applyAlignment="1">
      <alignment horizontal="right" vertical="center"/>
    </xf>
    <xf numFmtId="0" fontId="24" fillId="0" borderId="1" xfId="0" applyFont="1" applyBorder="1" applyAlignment="1">
      <alignment horizontal="center"/>
    </xf>
    <xf numFmtId="0" fontId="46" fillId="0" borderId="1" xfId="0" applyFont="1" applyBorder="1"/>
    <xf numFmtId="2" fontId="24" fillId="0" borderId="2" xfId="10" applyNumberFormat="1" applyFont="1" applyFill="1" applyBorder="1" applyAlignment="1">
      <alignment horizontal="right" vertical="center"/>
    </xf>
    <xf numFmtId="0" fontId="24" fillId="0" borderId="0" xfId="11" applyFont="1" applyFill="1" applyBorder="1" applyAlignment="1">
      <alignment horizontal="center" vertical="center"/>
    </xf>
    <xf numFmtId="0" fontId="24" fillId="0" borderId="0" xfId="10" applyFont="1" applyFill="1" applyBorder="1" applyAlignment="1">
      <alignment horizontal="center" vertical="center"/>
    </xf>
    <xf numFmtId="0" fontId="47" fillId="0" borderId="0" xfId="10" applyFont="1" applyFill="1" applyBorder="1" applyAlignment="1">
      <alignment horizontal="center" vertical="center"/>
    </xf>
    <xf numFmtId="3" fontId="24" fillId="0" borderId="0" xfId="11" applyNumberFormat="1" applyFont="1" applyFill="1" applyBorder="1" applyAlignment="1">
      <alignment horizontal="center" vertical="center"/>
    </xf>
    <xf numFmtId="0" fontId="27" fillId="0" borderId="0" xfId="11" applyFont="1" applyFill="1" applyBorder="1" applyAlignment="1">
      <alignment horizontal="center" vertical="center"/>
    </xf>
    <xf numFmtId="0" fontId="24" fillId="0" borderId="1" xfId="11" applyFont="1" applyFill="1" applyBorder="1" applyAlignment="1">
      <alignment horizontal="center" vertical="center"/>
    </xf>
    <xf numFmtId="0" fontId="24" fillId="4" borderId="1" xfId="11" applyFont="1" applyFill="1" applyBorder="1" applyAlignment="1">
      <alignment horizontal="center" vertical="center"/>
    </xf>
    <xf numFmtId="0" fontId="24" fillId="0" borderId="2" xfId="11" applyFont="1" applyFill="1" applyBorder="1" applyAlignment="1">
      <alignment horizontal="center" vertical="center"/>
    </xf>
    <xf numFmtId="0" fontId="24" fillId="2" borderId="1" xfId="11" applyFont="1" applyFill="1" applyBorder="1" applyAlignment="1">
      <alignment horizontal="center" vertical="center"/>
    </xf>
    <xf numFmtId="177" fontId="24" fillId="0" borderId="1" xfId="0" applyNumberFormat="1" applyFont="1" applyBorder="1" applyAlignment="1">
      <alignment horizontal="right" vertical="center"/>
    </xf>
    <xf numFmtId="169" fontId="12" fillId="0" borderId="1" xfId="0" applyNumberFormat="1" applyFont="1" applyBorder="1" applyAlignment="1">
      <alignment horizontal="right" vertical="center"/>
    </xf>
    <xf numFmtId="10" fontId="47" fillId="0" borderId="1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right" vertical="center"/>
    </xf>
    <xf numFmtId="167" fontId="47" fillId="0" borderId="1" xfId="0" applyNumberFormat="1" applyFont="1" applyBorder="1" applyAlignment="1">
      <alignment horizontal="right" vertical="center"/>
    </xf>
    <xf numFmtId="0" fontId="24" fillId="4" borderId="0" xfId="0" applyFont="1" applyFill="1" applyAlignment="1">
      <alignment horizontal="right" vertical="center"/>
    </xf>
    <xf numFmtId="9" fontId="47" fillId="4" borderId="1" xfId="0" applyNumberFormat="1" applyFont="1" applyFill="1" applyBorder="1" applyAlignment="1">
      <alignment horizontal="right" vertical="center"/>
    </xf>
    <xf numFmtId="171" fontId="47" fillId="4" borderId="1" xfId="5" applyNumberFormat="1" applyFont="1" applyFill="1" applyBorder="1" applyAlignment="1">
      <alignment horizontal="right" vertical="center"/>
    </xf>
    <xf numFmtId="171" fontId="28" fillId="4" borderId="1" xfId="5" applyNumberFormat="1" applyFont="1" applyFill="1" applyBorder="1" applyAlignment="1">
      <alignment horizontal="right" vertical="center"/>
    </xf>
    <xf numFmtId="171" fontId="28" fillId="0" borderId="1" xfId="5" applyNumberFormat="1" applyFont="1" applyBorder="1" applyAlignment="1">
      <alignment horizontal="right" vertical="center"/>
    </xf>
    <xf numFmtId="10" fontId="48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0" fontId="12" fillId="14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40" fillId="3" borderId="1" xfId="0" applyFont="1" applyFill="1" applyBorder="1"/>
    <xf numFmtId="0" fontId="40" fillId="0" borderId="1" xfId="0" applyFont="1" applyBorder="1"/>
    <xf numFmtId="0" fontId="40" fillId="0" borderId="0" xfId="0" applyFont="1" applyBorder="1"/>
    <xf numFmtId="0" fontId="12" fillId="2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0" fontId="30" fillId="0" borderId="1" xfId="7" applyFont="1" applyBorder="1" applyAlignment="1">
      <alignment vertical="center" wrapText="1"/>
    </xf>
    <xf numFmtId="0" fontId="30" fillId="0" borderId="0" xfId="7" applyFont="1" applyBorder="1" applyAlignment="1">
      <alignment vertical="center" wrapText="1"/>
    </xf>
    <xf numFmtId="1" fontId="0" fillId="0" borderId="0" xfId="0" applyNumberFormat="1" applyAlignment="1">
      <alignment wrapText="1"/>
    </xf>
    <xf numFmtId="0" fontId="12" fillId="14" borderId="1" xfId="0" applyFont="1" applyFill="1" applyBorder="1" applyAlignment="1">
      <alignment vertical="center" wrapText="1"/>
    </xf>
    <xf numFmtId="1" fontId="40" fillId="0" borderId="1" xfId="0" applyNumberFormat="1" applyFont="1" applyBorder="1"/>
    <xf numFmtId="0" fontId="7" fillId="0" borderId="1" xfId="3" applyFill="1" applyBorder="1" applyAlignment="1">
      <alignment horizontal="center" vertical="center"/>
    </xf>
    <xf numFmtId="0" fontId="34" fillId="0" borderId="1" xfId="3" applyFont="1" applyFill="1" applyBorder="1">
      <alignment vertical="center"/>
    </xf>
    <xf numFmtId="0" fontId="35" fillId="0" borderId="1" xfId="3" applyFont="1" applyFill="1" applyBorder="1">
      <alignment vertical="center"/>
    </xf>
    <xf numFmtId="0" fontId="7" fillId="0" borderId="1" xfId="3" applyFill="1" applyBorder="1">
      <alignment vertical="center"/>
    </xf>
    <xf numFmtId="0" fontId="4" fillId="0" borderId="1" xfId="3" applyFont="1" applyFill="1" applyBorder="1">
      <alignment vertical="center"/>
    </xf>
    <xf numFmtId="0" fontId="0" fillId="0" borderId="24" xfId="0" applyBorder="1" applyAlignment="1">
      <alignment horizontal="center" vertical="center"/>
    </xf>
    <xf numFmtId="9" fontId="0" fillId="3" borderId="24" xfId="0" applyNumberFormat="1" applyFill="1" applyBorder="1"/>
    <xf numFmtId="0" fontId="4" fillId="0" borderId="1" xfId="3" applyFont="1" applyFill="1" applyBorder="1" applyAlignment="1">
      <alignment horizontal="center" vertical="center"/>
    </xf>
    <xf numFmtId="1" fontId="46" fillId="0" borderId="1" xfId="0" applyNumberFormat="1" applyFont="1" applyBorder="1"/>
    <xf numFmtId="2" fontId="13" fillId="0" borderId="2" xfId="12" applyNumberFormat="1" applyFont="1" applyFill="1" applyBorder="1" applyAlignment="1">
      <alignment horizontal="right" vertical="center"/>
    </xf>
    <xf numFmtId="0" fontId="12" fillId="2" borderId="1" xfId="0" applyFont="1" applyFill="1" applyBorder="1"/>
    <xf numFmtId="175" fontId="30" fillId="2" borderId="1" xfId="0" applyNumberFormat="1" applyFont="1" applyFill="1" applyBorder="1"/>
    <xf numFmtId="1" fontId="30" fillId="2" borderId="1" xfId="0" applyNumberFormat="1" applyFont="1" applyFill="1" applyBorder="1"/>
    <xf numFmtId="175" fontId="30" fillId="2" borderId="1" xfId="1" applyNumberFormat="1" applyFont="1" applyFill="1" applyBorder="1" applyAlignment="1"/>
    <xf numFmtId="0" fontId="13" fillId="0" borderId="1" xfId="13" applyFont="1" applyFill="1" applyBorder="1" applyAlignment="1">
      <alignment horizontal="right" vertical="center"/>
    </xf>
    <xf numFmtId="0" fontId="13" fillId="0" borderId="0" xfId="13" applyFont="1" applyFill="1" applyBorder="1" applyAlignment="1">
      <alignment horizontal="left" vertical="center"/>
    </xf>
    <xf numFmtId="0" fontId="49" fillId="2" borderId="1" xfId="0" applyFont="1" applyFill="1" applyBorder="1"/>
    <xf numFmtId="178" fontId="30" fillId="2" borderId="1" xfId="0" applyNumberFormat="1" applyFont="1" applyFill="1" applyBorder="1" applyAlignment="1">
      <alignment horizontal="right"/>
    </xf>
    <xf numFmtId="0" fontId="13" fillId="0" borderId="1" xfId="12" applyFont="1" applyFill="1" applyBorder="1" applyAlignment="1">
      <alignment horizontal="right" vertical="center"/>
    </xf>
    <xf numFmtId="0" fontId="13" fillId="0" borderId="0" xfId="12" applyFont="1" applyFill="1" applyBorder="1" applyAlignment="1">
      <alignment horizontal="left" vertical="center"/>
    </xf>
    <xf numFmtId="0" fontId="50" fillId="15" borderId="1" xfId="0" applyFont="1" applyFill="1" applyBorder="1"/>
    <xf numFmtId="0" fontId="30" fillId="15" borderId="1" xfId="0" applyFont="1" applyFill="1" applyBorder="1"/>
    <xf numFmtId="0" fontId="0" fillId="15" borderId="1" xfId="0" applyFill="1" applyBorder="1"/>
    <xf numFmtId="178" fontId="12" fillId="2" borderId="1" xfId="0" applyNumberFormat="1" applyFont="1" applyFill="1" applyBorder="1"/>
    <xf numFmtId="3" fontId="13" fillId="0" borderId="0" xfId="13" applyNumberFormat="1" applyFont="1" applyFill="1" applyBorder="1" applyAlignment="1">
      <alignment horizontal="left" vertical="center"/>
    </xf>
    <xf numFmtId="167" fontId="12" fillId="0" borderId="0" xfId="0" applyNumberFormat="1" applyFont="1" applyBorder="1"/>
    <xf numFmtId="0" fontId="12" fillId="0" borderId="0" xfId="0" applyFont="1" applyBorder="1"/>
    <xf numFmtId="9" fontId="12" fillId="0" borderId="0" xfId="0" applyNumberFormat="1" applyFont="1" applyBorder="1"/>
    <xf numFmtId="0" fontId="15" fillId="0" borderId="0" xfId="13" applyFont="1" applyFill="1" applyBorder="1" applyAlignment="1">
      <alignment horizontal="left" vertical="center"/>
    </xf>
    <xf numFmtId="0" fontId="13" fillId="0" borderId="1" xfId="13" applyFont="1" applyFill="1" applyBorder="1" applyAlignment="1">
      <alignment vertical="center"/>
    </xf>
    <xf numFmtId="0" fontId="12" fillId="16" borderId="1" xfId="0" applyFont="1" applyFill="1" applyBorder="1"/>
    <xf numFmtId="0" fontId="13" fillId="16" borderId="1" xfId="13" applyFont="1" applyFill="1" applyBorder="1" applyAlignment="1">
      <alignment vertical="center"/>
    </xf>
    <xf numFmtId="0" fontId="13" fillId="0" borderId="2" xfId="13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51" fillId="0" borderId="1" xfId="0" applyFont="1" applyBorder="1" applyAlignment="1">
      <alignment horizontal="right" vertical="center"/>
    </xf>
    <xf numFmtId="10" fontId="51" fillId="0" borderId="1" xfId="0" applyNumberFormat="1" applyFont="1" applyBorder="1" applyAlignment="1">
      <alignment horizontal="right" vertical="center"/>
    </xf>
    <xf numFmtId="10" fontId="51" fillId="0" borderId="1" xfId="1" applyNumberFormat="1" applyFont="1" applyBorder="1" applyAlignment="1">
      <alignment horizontal="right" vertical="center"/>
    </xf>
    <xf numFmtId="3" fontId="12" fillId="2" borderId="0" xfId="0" applyNumberFormat="1" applyFont="1" applyFill="1" applyBorder="1" applyAlignment="1">
      <alignment horizontal="left" vertical="center"/>
    </xf>
    <xf numFmtId="9" fontId="51" fillId="0" borderId="1" xfId="0" applyNumberFormat="1" applyFont="1" applyBorder="1" applyAlignment="1">
      <alignment horizontal="right" vertical="center"/>
    </xf>
    <xf numFmtId="2" fontId="5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51" fillId="4" borderId="1" xfId="0" applyNumberFormat="1" applyFont="1" applyFill="1" applyBorder="1" applyAlignment="1">
      <alignment horizontal="right" vertical="center"/>
    </xf>
    <xf numFmtId="0" fontId="0" fillId="14" borderId="1" xfId="0" applyFill="1" applyBorder="1"/>
    <xf numFmtId="1" fontId="0" fillId="14" borderId="1" xfId="0" applyNumberFormat="1" applyFill="1" applyBorder="1"/>
    <xf numFmtId="0" fontId="0" fillId="14" borderId="0" xfId="0" applyFill="1"/>
    <xf numFmtId="0" fontId="40" fillId="4" borderId="1" xfId="0" applyFont="1" applyFill="1" applyBorder="1"/>
    <xf numFmtId="0" fontId="12" fillId="4" borderId="1" xfId="0" applyFont="1" applyFill="1" applyBorder="1" applyAlignment="1">
      <alignment vertical="center" wrapText="1"/>
    </xf>
    <xf numFmtId="0" fontId="40" fillId="14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40" fillId="3" borderId="1" xfId="0" applyNumberFormat="1" applyFont="1" applyFill="1" applyBorder="1"/>
    <xf numFmtId="1" fontId="0" fillId="12" borderId="1" xfId="0" applyNumberFormat="1" applyFill="1" applyBorder="1"/>
    <xf numFmtId="0" fontId="12" fillId="2" borderId="2" xfId="0" applyFont="1" applyFill="1" applyBorder="1" applyAlignment="1">
      <alignment horizontal="center" vertical="center"/>
    </xf>
    <xf numFmtId="1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32" fillId="0" borderId="1" xfId="0" applyFont="1" applyBorder="1" applyAlignment="1">
      <alignment wrapText="1"/>
    </xf>
    <xf numFmtId="9" fontId="6" fillId="4" borderId="24" xfId="6" applyNumberFormat="1" applyFill="1" applyBorder="1" applyAlignment="1">
      <alignment horizontal="right" vertical="center"/>
    </xf>
    <xf numFmtId="179" fontId="0" fillId="0" borderId="1" xfId="0" applyNumberFormat="1" applyBorder="1" applyProtection="1"/>
    <xf numFmtId="0" fontId="2" fillId="0" borderId="1" xfId="3" applyFont="1" applyFill="1" applyBorder="1">
      <alignment vertical="center"/>
    </xf>
    <xf numFmtId="2" fontId="1" fillId="3" borderId="1" xfId="6" applyNumberFormat="1" applyFont="1" applyFill="1" applyBorder="1" applyAlignment="1">
      <alignment horizontal="right" vertical="center"/>
    </xf>
    <xf numFmtId="180" fontId="12" fillId="0" borderId="0" xfId="1" applyNumberFormat="1" applyFont="1" applyBorder="1" applyAlignment="1">
      <alignment horizontal="left" vertical="center"/>
    </xf>
    <xf numFmtId="0" fontId="12" fillId="15" borderId="1" xfId="0" applyFont="1" applyFill="1" applyBorder="1" applyAlignment="1">
      <alignment vertical="center"/>
    </xf>
    <xf numFmtId="173" fontId="0" fillId="0" borderId="1" xfId="0" applyNumberFormat="1" applyBorder="1"/>
    <xf numFmtId="0" fontId="12" fillId="2" borderId="1" xfId="1" applyNumberFormat="1" applyFont="1" applyFill="1" applyBorder="1" applyAlignment="1">
      <alignment horizontal="right" vertical="center"/>
    </xf>
    <xf numFmtId="9" fontId="12" fillId="2" borderId="1" xfId="1" applyFont="1" applyFill="1" applyBorder="1" applyAlignment="1">
      <alignment horizontal="right" vertical="center"/>
    </xf>
    <xf numFmtId="165" fontId="53" fillId="2" borderId="0" xfId="0" applyNumberFormat="1" applyFont="1" applyFill="1" applyBorder="1" applyAlignment="1">
      <alignment horizontal="left" vertical="center"/>
    </xf>
    <xf numFmtId="0" fontId="24" fillId="2" borderId="1" xfId="1" applyNumberFormat="1" applyFont="1" applyFill="1" applyBorder="1" applyAlignment="1">
      <alignment horizontal="right" vertical="center"/>
    </xf>
    <xf numFmtId="9" fontId="24" fillId="2" borderId="1" xfId="1" applyNumberFormat="1" applyFont="1" applyFill="1" applyBorder="1" applyAlignment="1">
      <alignment horizontal="right" vertical="center"/>
    </xf>
    <xf numFmtId="166" fontId="24" fillId="0" borderId="1" xfId="5" applyNumberFormat="1" applyFont="1" applyBorder="1" applyAlignment="1">
      <alignment horizontal="right" vertical="center"/>
    </xf>
    <xf numFmtId="167" fontId="30" fillId="2" borderId="1" xfId="1" applyNumberFormat="1" applyFont="1" applyFill="1" applyBorder="1" applyAlignment="1"/>
    <xf numFmtId="182" fontId="12" fillId="2" borderId="1" xfId="1" applyNumberFormat="1" applyFont="1" applyFill="1" applyBorder="1" applyAlignment="1">
      <alignment horizontal="right" vertical="center"/>
    </xf>
    <xf numFmtId="182" fontId="9" fillId="0" borderId="4" xfId="1" applyNumberFormat="1" applyFont="1" applyFill="1" applyBorder="1" applyAlignment="1" applyProtection="1">
      <alignment horizontal="right" vertical="center" wrapText="1"/>
      <protection hidden="1"/>
    </xf>
    <xf numFmtId="181" fontId="24" fillId="2" borderId="1" xfId="1" applyNumberFormat="1" applyFont="1" applyFill="1" applyBorder="1" applyAlignment="1">
      <alignment horizontal="right" vertical="center"/>
    </xf>
    <xf numFmtId="183" fontId="12" fillId="2" borderId="1" xfId="1" applyNumberFormat="1" applyFont="1" applyFill="1" applyBorder="1" applyAlignment="1">
      <alignment horizontal="right" vertical="center"/>
    </xf>
    <xf numFmtId="182" fontId="30" fillId="2" borderId="1" xfId="1" applyNumberFormat="1" applyFont="1" applyFill="1" applyBorder="1" applyAlignment="1"/>
    <xf numFmtId="0" fontId="52" fillId="12" borderId="24" xfId="0" applyFont="1" applyFill="1" applyBorder="1" applyAlignment="1">
      <alignment horizontal="center" vertical="center"/>
    </xf>
    <xf numFmtId="0" fontId="52" fillId="12" borderId="29" xfId="0" applyFont="1" applyFill="1" applyBorder="1" applyAlignment="1">
      <alignment horizontal="center" vertical="center"/>
    </xf>
    <xf numFmtId="0" fontId="52" fillId="12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2" borderId="32" xfId="0" applyFill="1" applyBorder="1" applyAlignment="1">
      <alignment horizontal="center" wrapText="1"/>
    </xf>
    <xf numFmtId="0" fontId="0" fillId="12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2" fillId="2" borderId="1" xfId="0" applyFont="1" applyFill="1" applyBorder="1" applyAlignment="1">
      <alignment horizontal="center"/>
    </xf>
    <xf numFmtId="0" fontId="32" fillId="12" borderId="1" xfId="3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9" fillId="0" borderId="3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3" fillId="0" borderId="3" xfId="2" applyFont="1" applyFill="1" applyBorder="1" applyAlignment="1">
      <alignment horizontal="center" vertical="center"/>
    </xf>
    <xf numFmtId="0" fontId="13" fillId="0" borderId="4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9" fillId="0" borderId="13" xfId="0" applyFont="1" applyFill="1" applyBorder="1" applyAlignment="1" applyProtection="1">
      <alignment horizontal="center" vertical="center" wrapText="1"/>
    </xf>
    <xf numFmtId="0" fontId="9" fillId="0" borderId="18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20" fillId="0" borderId="10" xfId="0" applyFont="1" applyFill="1" applyBorder="1" applyAlignment="1" applyProtection="1">
      <alignment horizontal="center"/>
      <protection hidden="1"/>
    </xf>
    <xf numFmtId="0" fontId="20" fillId="0" borderId="11" xfId="0" applyFont="1" applyFill="1" applyBorder="1" applyAlignment="1" applyProtection="1">
      <alignment horizontal="center"/>
      <protection hidden="1"/>
    </xf>
    <xf numFmtId="0" fontId="20" fillId="0" borderId="5" xfId="0" applyFont="1" applyFill="1" applyBorder="1" applyAlignment="1" applyProtection="1">
      <alignment horizontal="center"/>
      <protection hidden="1"/>
    </xf>
    <xf numFmtId="0" fontId="20" fillId="0" borderId="12" xfId="0" applyFont="1" applyFill="1" applyBorder="1" applyAlignment="1" applyProtection="1">
      <alignment horizontal="center"/>
      <protection hidden="1"/>
    </xf>
    <xf numFmtId="0" fontId="21" fillId="0" borderId="1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30" fillId="0" borderId="0" xfId="7" applyFont="1" applyAlignment="1">
      <alignment horizontal="center" vertical="center"/>
    </xf>
    <xf numFmtId="0" fontId="30" fillId="0" borderId="1" xfId="7" applyFont="1" applyBorder="1" applyAlignment="1">
      <alignment horizontal="center" vertical="center"/>
    </xf>
    <xf numFmtId="0" fontId="32" fillId="12" borderId="1" xfId="6" applyFont="1" applyFill="1" applyBorder="1" applyAlignment="1">
      <alignment horizontal="center" vertical="center"/>
    </xf>
    <xf numFmtId="0" fontId="6" fillId="4" borderId="24" xfId="6" applyFont="1" applyFill="1" applyBorder="1" applyAlignment="1">
      <alignment horizontal="center" vertical="center"/>
    </xf>
    <xf numFmtId="0" fontId="6" fillId="4" borderId="29" xfId="6" applyFont="1" applyFill="1" applyBorder="1" applyAlignment="1">
      <alignment horizontal="center" vertical="center"/>
    </xf>
    <xf numFmtId="0" fontId="6" fillId="4" borderId="27" xfId="6" applyFont="1" applyFill="1" applyBorder="1" applyAlignment="1">
      <alignment horizontal="center" vertical="center"/>
    </xf>
    <xf numFmtId="0" fontId="30" fillId="0" borderId="1" xfId="7" applyFont="1" applyBorder="1" applyAlignment="1">
      <alignment horizontal="center" vertical="center" wrapText="1"/>
    </xf>
    <xf numFmtId="0" fontId="30" fillId="2" borderId="1" xfId="7" applyFont="1" applyFill="1" applyBorder="1" applyAlignment="1">
      <alignment horizontal="center" vertical="center"/>
    </xf>
    <xf numFmtId="0" fontId="6" fillId="2" borderId="1" xfId="6" applyFill="1" applyBorder="1" applyAlignment="1">
      <alignment horizontal="center" vertical="center" wrapText="1"/>
    </xf>
    <xf numFmtId="0" fontId="6" fillId="2" borderId="30" xfId="6" applyFill="1" applyBorder="1" applyAlignment="1">
      <alignment horizontal="center" vertical="center" wrapText="1"/>
    </xf>
    <xf numFmtId="0" fontId="6" fillId="2" borderId="26" xfId="6" applyFill="1" applyBorder="1" applyAlignment="1">
      <alignment horizontal="center" vertical="center" wrapText="1"/>
    </xf>
    <xf numFmtId="0" fontId="6" fillId="2" borderId="28" xfId="6" applyFill="1" applyBorder="1" applyAlignment="1">
      <alignment horizontal="center" vertical="center" wrapText="1"/>
    </xf>
    <xf numFmtId="0" fontId="6" fillId="9" borderId="24" xfId="6" applyFont="1" applyFill="1" applyBorder="1" applyAlignment="1">
      <alignment horizontal="center" vertical="center"/>
    </xf>
    <xf numFmtId="0" fontId="6" fillId="9" borderId="29" xfId="6" applyFont="1" applyFill="1" applyBorder="1" applyAlignment="1">
      <alignment horizontal="center" vertical="center"/>
    </xf>
    <xf numFmtId="0" fontId="6" fillId="9" borderId="27" xfId="6" applyFont="1" applyFill="1" applyBorder="1" applyAlignment="1">
      <alignment horizontal="center" vertical="center"/>
    </xf>
    <xf numFmtId="0" fontId="6" fillId="0" borderId="32" xfId="6" applyFon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0" fontId="6" fillId="0" borderId="3" xfId="6" applyFill="1" applyBorder="1" applyAlignment="1">
      <alignment horizontal="center" vertical="center"/>
    </xf>
    <xf numFmtId="0" fontId="6" fillId="0" borderId="4" xfId="6" applyFill="1" applyBorder="1" applyAlignment="1">
      <alignment horizontal="center" vertical="center"/>
    </xf>
    <xf numFmtId="0" fontId="6" fillId="0" borderId="2" xfId="6" applyFill="1" applyBorder="1" applyAlignment="1">
      <alignment horizontal="center" vertical="center"/>
    </xf>
    <xf numFmtId="0" fontId="6" fillId="0" borderId="1" xfId="6" applyFill="1" applyBorder="1" applyAlignment="1">
      <alignment horizontal="center" vertical="center" wrapText="1"/>
    </xf>
    <xf numFmtId="0" fontId="6" fillId="4" borderId="31" xfId="6" applyFill="1" applyBorder="1" applyAlignment="1">
      <alignment horizontal="center" vertical="center"/>
    </xf>
    <xf numFmtId="0" fontId="6" fillId="4" borderId="30" xfId="6" applyFill="1" applyBorder="1" applyAlignment="1">
      <alignment horizontal="center" vertical="center"/>
    </xf>
    <xf numFmtId="0" fontId="6" fillId="4" borderId="32" xfId="6" applyFill="1" applyBorder="1" applyAlignment="1">
      <alignment horizontal="center" vertical="center"/>
    </xf>
    <xf numFmtId="0" fontId="6" fillId="4" borderId="26" xfId="6" applyFill="1" applyBorder="1" applyAlignment="1">
      <alignment horizontal="center" vertical="center"/>
    </xf>
    <xf numFmtId="0" fontId="6" fillId="4" borderId="23" xfId="6" applyFill="1" applyBorder="1" applyAlignment="1">
      <alignment horizontal="center" vertical="center"/>
    </xf>
    <xf numFmtId="0" fontId="6" fillId="4" borderId="28" xfId="6" applyFill="1" applyBorder="1" applyAlignment="1">
      <alignment horizontal="center" vertical="center"/>
    </xf>
    <xf numFmtId="0" fontId="32" fillId="12" borderId="27" xfId="6" applyFont="1" applyFill="1" applyBorder="1" applyAlignment="1">
      <alignment horizontal="center" vertical="top"/>
    </xf>
    <xf numFmtId="0" fontId="32" fillId="12" borderId="1" xfId="6" applyFont="1" applyFill="1" applyBorder="1" applyAlignment="1">
      <alignment horizontal="center" vertical="top"/>
    </xf>
    <xf numFmtId="0" fontId="32" fillId="0" borderId="1" xfId="6" applyFont="1" applyFill="1" applyBorder="1" applyAlignment="1">
      <alignment horizontal="center" vertical="top"/>
    </xf>
    <xf numFmtId="0" fontId="6" fillId="2" borderId="3" xfId="6" applyFill="1" applyBorder="1" applyAlignment="1">
      <alignment horizontal="center" vertical="center" wrapText="1"/>
    </xf>
    <xf numFmtId="0" fontId="6" fillId="2" borderId="4" xfId="6" applyFill="1" applyBorder="1" applyAlignment="1">
      <alignment horizontal="center" vertical="center" wrapText="1"/>
    </xf>
    <xf numFmtId="0" fontId="6" fillId="2" borderId="2" xfId="6" applyFill="1" applyBorder="1" applyAlignment="1">
      <alignment horizontal="center" vertical="center" wrapText="1"/>
    </xf>
    <xf numFmtId="0" fontId="6" fillId="0" borderId="30" xfId="6" applyFill="1" applyBorder="1" applyAlignment="1">
      <alignment horizontal="center" vertical="center" wrapText="1"/>
    </xf>
    <xf numFmtId="0" fontId="6" fillId="0" borderId="26" xfId="6" applyFill="1" applyBorder="1" applyAlignment="1">
      <alignment horizontal="center" vertical="center" wrapText="1"/>
    </xf>
    <xf numFmtId="0" fontId="6" fillId="0" borderId="28" xfId="6" applyFill="1" applyBorder="1" applyAlignment="1">
      <alignment horizontal="center" vertical="center" wrapText="1"/>
    </xf>
    <xf numFmtId="0" fontId="43" fillId="2" borderId="1" xfId="6" applyFont="1" applyFill="1" applyBorder="1" applyAlignment="1">
      <alignment horizontal="center" vertical="center" wrapText="1"/>
    </xf>
    <xf numFmtId="0" fontId="26" fillId="0" borderId="3" xfId="11" applyFont="1" applyFill="1" applyBorder="1" applyAlignment="1">
      <alignment horizontal="center" vertical="center"/>
    </xf>
    <xf numFmtId="0" fontId="26" fillId="0" borderId="4" xfId="11" applyFont="1" applyFill="1" applyBorder="1" applyAlignment="1">
      <alignment horizontal="center" vertical="center"/>
    </xf>
    <xf numFmtId="0" fontId="26" fillId="0" borderId="2" xfId="11" applyFont="1" applyFill="1" applyBorder="1" applyAlignment="1">
      <alignment horizontal="center" vertical="center"/>
    </xf>
    <xf numFmtId="0" fontId="23" fillId="4" borderId="26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6" fillId="0" borderId="3" xfId="0" applyFont="1" applyFill="1" applyBorder="1" applyAlignment="1" applyProtection="1">
      <alignment horizontal="center" vertical="center" wrapText="1"/>
    </xf>
    <xf numFmtId="0" fontId="26" fillId="0" borderId="4" xfId="0" applyFont="1" applyFill="1" applyBorder="1" applyAlignment="1" applyProtection="1">
      <alignment horizontal="center" vertical="center" wrapText="1"/>
    </xf>
    <xf numFmtId="0" fontId="26" fillId="0" borderId="2" xfId="0" applyFont="1" applyFill="1" applyBorder="1" applyAlignment="1" applyProtection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3" xfId="13" applyFont="1" applyFill="1" applyBorder="1" applyAlignment="1">
      <alignment horizontal="center" vertical="center"/>
    </xf>
    <xf numFmtId="0" fontId="13" fillId="0" borderId="4" xfId="13" applyFont="1" applyFill="1" applyBorder="1" applyAlignment="1">
      <alignment horizontal="center" vertical="center"/>
    </xf>
    <xf numFmtId="0" fontId="13" fillId="0" borderId="2" xfId="13" applyFont="1" applyFill="1" applyBorder="1" applyAlignment="1">
      <alignment horizontal="center" vertical="center"/>
    </xf>
  </cellXfs>
  <cellStyles count="14">
    <cellStyle name="Comma" xfId="5" builtinId="3"/>
    <cellStyle name="Hyperlink" xfId="8" builtinId="8"/>
    <cellStyle name="Normal" xfId="0" builtinId="0"/>
    <cellStyle name="Percent" xfId="1" builtinId="5"/>
    <cellStyle name="常规 6 2" xfId="3"/>
    <cellStyle name="常规 6 2 2" xfId="4"/>
    <cellStyle name="常规 6 2 2 2" xfId="6"/>
    <cellStyle name="常规 6 2 2 2 2" xfId="10"/>
    <cellStyle name="常规 6 2 2 3" xfId="12"/>
    <cellStyle name="常规 7" xfId="2"/>
    <cellStyle name="常规 7 2" xfId="7"/>
    <cellStyle name="常规 7 2 2" xfId="11"/>
    <cellStyle name="常规 7 3" xfId="13"/>
    <cellStyle name="百分比 5 2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opLeftCell="A17" workbookViewId="0">
      <selection activeCell="C42" sqref="C42"/>
    </sheetView>
  </sheetViews>
  <sheetFormatPr baseColWidth="10" defaultColWidth="8.83203125" defaultRowHeight="15" x14ac:dyDescent="0.2"/>
  <cols>
    <col min="2" max="2" width="40.5" bestFit="1" customWidth="1"/>
    <col min="3" max="3" width="12.6640625" bestFit="1" customWidth="1"/>
    <col min="4" max="4" width="20" customWidth="1"/>
    <col min="5" max="5" width="29.83203125" bestFit="1" customWidth="1"/>
    <col min="6" max="6" width="21.6640625" bestFit="1" customWidth="1"/>
    <col min="7" max="7" width="20.33203125" style="399" customWidth="1"/>
    <col min="8" max="8" width="40.5" bestFit="1" customWidth="1"/>
    <col min="9" max="9" width="11.83203125" bestFit="1" customWidth="1"/>
    <col min="10" max="10" width="20.33203125" style="399" bestFit="1" customWidth="1"/>
    <col min="11" max="11" width="11.5" customWidth="1"/>
  </cols>
  <sheetData>
    <row r="1" spans="1:8" x14ac:dyDescent="0.2">
      <c r="A1" s="491" t="s">
        <v>477</v>
      </c>
      <c r="B1" s="318" t="s">
        <v>478</v>
      </c>
      <c r="C1" s="308">
        <v>200000</v>
      </c>
    </row>
    <row r="2" spans="1:8" x14ac:dyDescent="0.2">
      <c r="A2" s="491"/>
      <c r="B2" s="307" t="s">
        <v>479</v>
      </c>
      <c r="C2" s="317"/>
    </row>
    <row r="3" spans="1:8" x14ac:dyDescent="0.2">
      <c r="A3" s="491"/>
      <c r="B3" s="307"/>
      <c r="C3" s="307"/>
    </row>
    <row r="4" spans="1:8" x14ac:dyDescent="0.2">
      <c r="A4" s="307"/>
      <c r="B4" s="311"/>
      <c r="C4" s="311" t="s">
        <v>474</v>
      </c>
      <c r="D4" s="310" t="s">
        <v>492</v>
      </c>
      <c r="E4" s="410" t="s">
        <v>543</v>
      </c>
      <c r="F4" s="307" t="s">
        <v>637</v>
      </c>
    </row>
    <row r="5" spans="1:8" x14ac:dyDescent="0.2">
      <c r="A5" s="492" t="s">
        <v>473</v>
      </c>
      <c r="B5" s="307" t="s">
        <v>475</v>
      </c>
      <c r="C5" s="309">
        <v>0.4</v>
      </c>
      <c r="D5" s="309">
        <v>0.4</v>
      </c>
      <c r="E5" s="411">
        <v>0.1</v>
      </c>
      <c r="F5" s="309">
        <v>0.3</v>
      </c>
    </row>
    <row r="6" spans="1:8" x14ac:dyDescent="0.2">
      <c r="A6" s="493"/>
      <c r="B6" s="307" t="s">
        <v>476</v>
      </c>
      <c r="C6" s="308">
        <v>200000</v>
      </c>
      <c r="D6" s="308">
        <v>100000</v>
      </c>
      <c r="F6" s="308">
        <v>300000</v>
      </c>
    </row>
    <row r="7" spans="1:8" x14ac:dyDescent="0.2">
      <c r="A7" s="493"/>
      <c r="B7" s="312" t="s">
        <v>493</v>
      </c>
      <c r="C7" s="317"/>
      <c r="D7" s="232" t="s">
        <v>531</v>
      </c>
    </row>
    <row r="8" spans="1:8" x14ac:dyDescent="0.2">
      <c r="A8" s="493"/>
      <c r="B8" s="312"/>
      <c r="C8" s="317"/>
      <c r="D8" s="223" t="s">
        <v>687</v>
      </c>
    </row>
    <row r="9" spans="1:8" x14ac:dyDescent="0.2">
      <c r="A9" s="493"/>
      <c r="B9" s="318" t="s">
        <v>497</v>
      </c>
      <c r="C9" s="315">
        <v>370</v>
      </c>
      <c r="D9" s="331"/>
    </row>
    <row r="10" spans="1:8" x14ac:dyDescent="0.2">
      <c r="A10" s="494"/>
      <c r="B10" s="318" t="s">
        <v>514</v>
      </c>
      <c r="C10" s="308">
        <v>3</v>
      </c>
    </row>
    <row r="11" spans="1:8" x14ac:dyDescent="0.2">
      <c r="A11" s="495" t="s">
        <v>481</v>
      </c>
      <c r="B11" s="318" t="s">
        <v>480</v>
      </c>
      <c r="C11" s="313" t="s">
        <v>696</v>
      </c>
      <c r="D11" t="s">
        <v>692</v>
      </c>
    </row>
    <row r="12" spans="1:8" x14ac:dyDescent="0.2">
      <c r="A12" s="496"/>
      <c r="B12" s="307" t="s">
        <v>494</v>
      </c>
      <c r="C12" s="237" t="s">
        <v>331</v>
      </c>
    </row>
    <row r="13" spans="1:8" x14ac:dyDescent="0.2">
      <c r="A13" s="496"/>
      <c r="B13" s="307"/>
      <c r="C13" s="237"/>
      <c r="D13" s="307"/>
      <c r="E13" s="320" t="s">
        <v>517</v>
      </c>
      <c r="F13" s="498" t="s">
        <v>616</v>
      </c>
      <c r="G13" s="498"/>
      <c r="H13" s="498"/>
    </row>
    <row r="14" spans="1:8" x14ac:dyDescent="0.2">
      <c r="A14" s="496"/>
      <c r="B14" s="307" t="s">
        <v>482</v>
      </c>
      <c r="C14" s="317">
        <f>IF(C1&gt;80000,1800,1000)</f>
        <v>1800</v>
      </c>
      <c r="D14" s="308" t="s">
        <v>536</v>
      </c>
      <c r="E14" s="321" t="s">
        <v>634</v>
      </c>
      <c r="F14" s="498"/>
      <c r="G14" s="498"/>
      <c r="H14" s="498"/>
    </row>
    <row r="15" spans="1:8" x14ac:dyDescent="0.2">
      <c r="A15" s="496"/>
      <c r="B15" s="307" t="s">
        <v>483</v>
      </c>
      <c r="C15" s="308">
        <v>3500</v>
      </c>
      <c r="D15" s="308" t="s">
        <v>536</v>
      </c>
      <c r="E15" s="320">
        <f>5300-C14</f>
        <v>3500</v>
      </c>
      <c r="F15" s="405" t="s">
        <v>617</v>
      </c>
      <c r="G15" s="405" t="s">
        <v>618</v>
      </c>
      <c r="H15" s="405" t="s">
        <v>619</v>
      </c>
    </row>
    <row r="16" spans="1:8" x14ac:dyDescent="0.2">
      <c r="A16" s="496"/>
      <c r="B16" s="307" t="s">
        <v>484</v>
      </c>
      <c r="C16" s="308">
        <v>0</v>
      </c>
      <c r="D16" s="308" t="s">
        <v>536</v>
      </c>
      <c r="E16" s="320">
        <f>5300-C14-C15</f>
        <v>0</v>
      </c>
      <c r="F16" s="412" t="s">
        <v>631</v>
      </c>
      <c r="G16" s="408" t="s">
        <v>622</v>
      </c>
      <c r="H16" s="408" t="s">
        <v>621</v>
      </c>
    </row>
    <row r="17" spans="1:9" x14ac:dyDescent="0.2">
      <c r="A17" s="496"/>
      <c r="B17" s="307" t="s">
        <v>485</v>
      </c>
      <c r="C17" s="308">
        <v>0</v>
      </c>
      <c r="D17" s="308" t="s">
        <v>536</v>
      </c>
      <c r="E17" s="320">
        <f>5300-C14-C15-C16</f>
        <v>0</v>
      </c>
      <c r="F17" s="412" t="s">
        <v>630</v>
      </c>
      <c r="G17" s="408" t="s">
        <v>620</v>
      </c>
      <c r="H17" s="408" t="s">
        <v>621</v>
      </c>
    </row>
    <row r="18" spans="1:9" x14ac:dyDescent="0.2">
      <c r="A18" s="496"/>
      <c r="B18" s="307" t="s">
        <v>486</v>
      </c>
      <c r="C18" s="317">
        <f>C10</f>
        <v>3</v>
      </c>
      <c r="D18" s="317" t="s">
        <v>511</v>
      </c>
      <c r="E18" s="307"/>
      <c r="F18" s="412" t="s">
        <v>629</v>
      </c>
      <c r="G18" s="408" t="s">
        <v>623</v>
      </c>
      <c r="H18" s="408" t="s">
        <v>624</v>
      </c>
    </row>
    <row r="19" spans="1:9" x14ac:dyDescent="0.2">
      <c r="A19" s="496"/>
      <c r="B19" s="307" t="s">
        <v>487</v>
      </c>
      <c r="C19" s="317">
        <f>ROUNDDOWN(C1*0.4%*C18,0)</f>
        <v>2400</v>
      </c>
      <c r="D19" s="308" t="s">
        <v>536</v>
      </c>
      <c r="E19" s="320">
        <f>ROUND(C1*0.4%*C18,0)</f>
        <v>2400</v>
      </c>
      <c r="F19" s="412" t="s">
        <v>628</v>
      </c>
      <c r="G19" s="408" t="s">
        <v>625</v>
      </c>
      <c r="H19" s="466" t="s">
        <v>686</v>
      </c>
    </row>
    <row r="20" spans="1:9" x14ac:dyDescent="0.2">
      <c r="A20" s="496"/>
      <c r="B20" s="307" t="s">
        <v>515</v>
      </c>
      <c r="C20" s="308">
        <v>18000</v>
      </c>
      <c r="D20" s="307"/>
      <c r="E20" s="320">
        <f>ROUND(MAX(4000,C1*6%),0)</f>
        <v>12000</v>
      </c>
      <c r="F20" s="405" t="s">
        <v>626</v>
      </c>
      <c r="G20" s="409" t="s">
        <v>627</v>
      </c>
      <c r="H20" s="408" t="s">
        <v>624</v>
      </c>
    </row>
    <row r="21" spans="1:9" x14ac:dyDescent="0.2">
      <c r="A21" s="496"/>
      <c r="B21" s="307" t="s">
        <v>516</v>
      </c>
      <c r="C21" s="317">
        <f>IF(C11="全国直购C",0,C20)</f>
        <v>0</v>
      </c>
      <c r="D21" s="307" t="s">
        <v>508</v>
      </c>
      <c r="E21" s="307"/>
      <c r="F21" s="405"/>
      <c r="G21" s="406"/>
      <c r="H21" s="407"/>
    </row>
    <row r="22" spans="1:9" x14ac:dyDescent="0.2">
      <c r="A22" s="496"/>
      <c r="B22" s="307" t="s">
        <v>506</v>
      </c>
      <c r="C22" s="316" t="s">
        <v>23</v>
      </c>
      <c r="D22" s="307"/>
      <c r="E22" s="307"/>
      <c r="F22" s="405"/>
      <c r="G22" s="408"/>
      <c r="H22" s="408"/>
    </row>
    <row r="23" spans="1:9" x14ac:dyDescent="0.2">
      <c r="A23" s="496"/>
      <c r="B23" s="307" t="s">
        <v>488</v>
      </c>
      <c r="C23" s="189">
        <v>1</v>
      </c>
      <c r="D23" s="307" t="s">
        <v>510</v>
      </c>
      <c r="E23" s="307"/>
      <c r="F23" s="412"/>
      <c r="G23" s="408"/>
      <c r="H23" s="408"/>
    </row>
    <row r="24" spans="1:9" x14ac:dyDescent="0.2">
      <c r="A24" s="496"/>
      <c r="B24" s="307" t="s">
        <v>507</v>
      </c>
      <c r="C24" s="317">
        <f>IF(OR(C22="非精准",C23=1),1,1.15)</f>
        <v>1</v>
      </c>
      <c r="D24" s="307"/>
      <c r="E24" s="317"/>
      <c r="F24" s="319" t="s">
        <v>334</v>
      </c>
      <c r="G24" s="400" t="s">
        <v>335</v>
      </c>
    </row>
    <row r="25" spans="1:9" x14ac:dyDescent="0.2">
      <c r="A25" s="496"/>
      <c r="B25" s="307" t="s">
        <v>489</v>
      </c>
      <c r="C25" s="308">
        <v>0</v>
      </c>
      <c r="D25" s="307" t="s">
        <v>508</v>
      </c>
      <c r="E25" s="320">
        <f>IF(C1&lt;=100000,F25,G25)</f>
        <v>14000</v>
      </c>
      <c r="F25" s="319">
        <f>IF(C22="精准",IF(C23=1,ROUND(C1*7%,0),IF(C23=2,ROUND(C1*14%,0),IF(C23=3,ROUND(C1*22%,0),0))),ROUND(MIN(C1*5%,7000),0))</f>
        <v>14000</v>
      </c>
      <c r="G25" s="400">
        <f>IF(C22="精准",IF(C23=1,ROUND(C1*7%,0),IF(C23=2,MAX(ROUND(C1*12%,0),14000),IF(C23=3,MAX(ROUND(C1*18%,0),22000),0))),ROUND(MIN(C1*5%,7000),0))</f>
        <v>14000</v>
      </c>
    </row>
    <row r="26" spans="1:9" x14ac:dyDescent="0.2">
      <c r="A26" s="496"/>
      <c r="B26" s="307" t="s">
        <v>518</v>
      </c>
      <c r="C26" s="467" t="s">
        <v>693</v>
      </c>
      <c r="D26" s="307"/>
      <c r="E26" s="320"/>
      <c r="F26" s="322"/>
      <c r="G26" s="401"/>
    </row>
    <row r="27" spans="1:9" x14ac:dyDescent="0.2">
      <c r="A27" s="496"/>
      <c r="B27" s="307" t="s">
        <v>490</v>
      </c>
      <c r="C27" s="317">
        <f>IF(OR(C26="回租私户",C26="回租小公户"),0,120)</f>
        <v>0</v>
      </c>
      <c r="D27" s="307" t="s">
        <v>509</v>
      </c>
      <c r="E27" s="320">
        <v>120</v>
      </c>
    </row>
    <row r="28" spans="1:9" x14ac:dyDescent="0.2">
      <c r="A28" s="496"/>
      <c r="B28" s="307" t="s">
        <v>491</v>
      </c>
      <c r="C28" s="308">
        <v>0</v>
      </c>
      <c r="D28" s="307" t="s">
        <v>509</v>
      </c>
      <c r="E28" s="320" t="s">
        <v>521</v>
      </c>
    </row>
    <row r="29" spans="1:9" x14ac:dyDescent="0.2">
      <c r="A29" s="496"/>
      <c r="B29" s="318" t="s">
        <v>520</v>
      </c>
      <c r="C29" s="307">
        <f>IF(D14="超融收取",C14,0)+IF(D15="超融收取",C15,0)+IF(D16="超融收取",C16,0)+IF(D17="超融收取",C17,0)+IF(D19="超融收取",C19,0)+C21+C25</f>
        <v>7700</v>
      </c>
      <c r="D29" s="307"/>
      <c r="E29" s="307"/>
    </row>
    <row r="30" spans="1:9" x14ac:dyDescent="0.2">
      <c r="A30" s="496"/>
      <c r="B30" s="317" t="s">
        <v>519</v>
      </c>
      <c r="C30" s="307">
        <f>IF(D14="超融收取",0,C14)+IF(D15="超融收取",0,C15)+IF(D16="超融收取",0,C16)+IF(D17="超融收取",0,C17)+IF(D19="超融收取",0,C19)+C27+C28</f>
        <v>0</v>
      </c>
      <c r="D30" s="307"/>
      <c r="E30" s="307"/>
    </row>
    <row r="32" spans="1:9" x14ac:dyDescent="0.2">
      <c r="B32" s="497" t="s">
        <v>546</v>
      </c>
      <c r="C32" s="497"/>
      <c r="E32" s="497" t="s">
        <v>547</v>
      </c>
      <c r="F32" s="497"/>
      <c r="H32" s="497" t="s">
        <v>582</v>
      </c>
      <c r="I32" s="497"/>
    </row>
    <row r="33" spans="2:9" x14ac:dyDescent="0.2">
      <c r="B33" s="317" t="s">
        <v>498</v>
      </c>
      <c r="C33" s="56">
        <f>C9</f>
        <v>370</v>
      </c>
      <c r="E33" s="317" t="s">
        <v>498</v>
      </c>
      <c r="F33" s="56">
        <f>C9</f>
        <v>370</v>
      </c>
      <c r="H33" s="317" t="s">
        <v>498</v>
      </c>
      <c r="I33" s="307">
        <v>190</v>
      </c>
    </row>
    <row r="34" spans="2:9" x14ac:dyDescent="0.2">
      <c r="B34" s="307" t="s">
        <v>499</v>
      </c>
      <c r="C34" s="317">
        <f>C10</f>
        <v>3</v>
      </c>
      <c r="E34" s="307" t="s">
        <v>499</v>
      </c>
      <c r="F34" s="317">
        <f>C10</f>
        <v>3</v>
      </c>
      <c r="H34" s="307" t="s">
        <v>496</v>
      </c>
      <c r="I34" s="317">
        <f>C10</f>
        <v>3</v>
      </c>
    </row>
    <row r="35" spans="2:9" x14ac:dyDescent="0.2">
      <c r="B35" s="307" t="s">
        <v>500</v>
      </c>
      <c r="C35" s="307" t="str">
        <f>IF(AND(C1&lt;=120000,C5&gt;0.3,C9=370),"是","否")</f>
        <v>否</v>
      </c>
      <c r="E35" s="307" t="s">
        <v>500</v>
      </c>
      <c r="F35" s="307" t="str">
        <f>IF(AND(D8="非资金饥渴",C1&lt;=120000,D5&gt;0.3,C9=370,OR(D7="微众A3",D7="微众白户")),"是","否")</f>
        <v>否</v>
      </c>
      <c r="H35" s="307" t="s">
        <v>500</v>
      </c>
      <c r="I35" s="307" t="s">
        <v>541</v>
      </c>
    </row>
    <row r="36" spans="2:9" x14ac:dyDescent="0.2">
      <c r="B36" s="307" t="s">
        <v>501</v>
      </c>
      <c r="C36" s="314">
        <f>IF(C35="是",0.3,MAX(C5,0.3))</f>
        <v>0.4</v>
      </c>
      <c r="E36" s="307" t="s">
        <v>501</v>
      </c>
      <c r="F36" s="314">
        <f>IF(F35="是",0.3,MAX(D5,0.3))</f>
        <v>0.4</v>
      </c>
      <c r="H36" s="307" t="s">
        <v>501</v>
      </c>
      <c r="I36" s="314">
        <f>F5</f>
        <v>0.3</v>
      </c>
    </row>
    <row r="37" spans="2:9" x14ac:dyDescent="0.2">
      <c r="B37" s="318" t="s">
        <v>502</v>
      </c>
      <c r="C37" s="237">
        <f>IF(C33=550,MAX(C36,0.5),C36)</f>
        <v>0.4</v>
      </c>
      <c r="E37" s="318" t="s">
        <v>502</v>
      </c>
      <c r="F37" s="237">
        <f>IF(F33=550,MAX(F36,0.5),F36)</f>
        <v>0.4</v>
      </c>
      <c r="H37" s="318" t="s">
        <v>502</v>
      </c>
      <c r="I37" s="237">
        <f>I36</f>
        <v>0.3</v>
      </c>
    </row>
    <row r="38" spans="2:9" x14ac:dyDescent="0.2">
      <c r="B38" s="318" t="s">
        <v>503</v>
      </c>
      <c r="C38" s="307">
        <f>MIN(IF(C25&gt;0,C6*C24,C6),500000)</f>
        <v>200000</v>
      </c>
      <c r="E38" s="318" t="s">
        <v>503</v>
      </c>
      <c r="F38" s="307">
        <f>D6</f>
        <v>100000</v>
      </c>
      <c r="H38" s="318" t="s">
        <v>503</v>
      </c>
      <c r="I38" s="346">
        <f>MIN(IF(C25&gt;0,F6*C24,F6),300000)</f>
        <v>300000</v>
      </c>
    </row>
    <row r="39" spans="2:9" x14ac:dyDescent="0.2">
      <c r="B39" s="318" t="s">
        <v>504</v>
      </c>
      <c r="C39" s="17">
        <f>IF(C11="全国直购C",8.99%,7.99%)</f>
        <v>8.9900000000000008E-2</v>
      </c>
      <c r="E39" s="318" t="s">
        <v>504</v>
      </c>
      <c r="F39" s="17">
        <f>IF(C11="全国直购C",8.99%,7.99%)</f>
        <v>8.9900000000000008E-2</v>
      </c>
      <c r="H39" s="318" t="s">
        <v>504</v>
      </c>
      <c r="I39" s="17">
        <f>IF(I11="全国直购C",7.99%,7.99%)</f>
        <v>7.9899999999999999E-2</v>
      </c>
    </row>
    <row r="40" spans="2:9" x14ac:dyDescent="0.2">
      <c r="B40" s="318" t="s">
        <v>505</v>
      </c>
      <c r="C40" s="18">
        <v>8.3000000000000004E-2</v>
      </c>
      <c r="E40" s="318" t="s">
        <v>505</v>
      </c>
      <c r="F40" s="18">
        <v>0.08</v>
      </c>
      <c r="H40" s="318" t="s">
        <v>505</v>
      </c>
      <c r="I40" s="382">
        <v>7.1249999999999994E-2</v>
      </c>
    </row>
    <row r="41" spans="2:9" ht="18.75" customHeight="1" x14ac:dyDescent="0.2">
      <c r="B41" s="324" t="s">
        <v>522</v>
      </c>
      <c r="C41" s="323">
        <f>新网二手车回租1108!C32</f>
        <v>80000</v>
      </c>
      <c r="E41" s="324" t="s">
        <v>522</v>
      </c>
      <c r="F41" s="323">
        <f>微众二手车回租1108!C33</f>
        <v>118852</v>
      </c>
      <c r="H41" s="324" t="s">
        <v>522</v>
      </c>
      <c r="I41" s="323">
        <f>'民生银行190-1108'!C33</f>
        <v>60000</v>
      </c>
    </row>
    <row r="42" spans="2:9" x14ac:dyDescent="0.2">
      <c r="B42" s="324" t="s">
        <v>523</v>
      </c>
      <c r="C42" s="307">
        <f>新网二手车回租1108!C33</f>
        <v>152331</v>
      </c>
      <c r="E42" s="324" t="s">
        <v>523</v>
      </c>
      <c r="F42" s="323">
        <f>微众二手车回租1108!C34</f>
        <v>154391</v>
      </c>
      <c r="H42" s="324" t="s">
        <v>131</v>
      </c>
      <c r="I42" s="307">
        <f>'民生银行190-1108'!C34</f>
        <v>153801</v>
      </c>
    </row>
    <row r="43" spans="2:9" x14ac:dyDescent="0.2">
      <c r="B43" s="317" t="s">
        <v>638</v>
      </c>
      <c r="C43" s="370" t="str">
        <f>IF(C29&gt;ROUND(0.88*C6,0),"不允许购车","允许购车")</f>
        <v>允许购车</v>
      </c>
      <c r="E43" s="317" t="s">
        <v>638</v>
      </c>
      <c r="F43" s="413" t="str">
        <f>IF(C29&gt;ROUND(0.88*D6,0),"不允许购车","允许购车")</f>
        <v>允许购车</v>
      </c>
      <c r="H43" s="317" t="s">
        <v>638</v>
      </c>
      <c r="I43" s="413" t="str">
        <f>IF(C29&gt;ROUND(0.88*F6,0),"不允许购车","允许购车")</f>
        <v>允许购车</v>
      </c>
    </row>
    <row r="44" spans="2:9" x14ac:dyDescent="0.2">
      <c r="B44" s="317" t="s">
        <v>668</v>
      </c>
      <c r="C44" s="370" t="str">
        <f>IF(C41&gt;C42,"不允许购车","允许购车")</f>
        <v>允许购车</v>
      </c>
      <c r="E44" s="317" t="s">
        <v>584</v>
      </c>
      <c r="F44" s="370" t="str">
        <f>IF(F41&gt;F42,"不允许购车","允许购车")</f>
        <v>允许购车</v>
      </c>
      <c r="H44" s="317" t="s">
        <v>584</v>
      </c>
      <c r="I44" s="370" t="str">
        <f>IF(I41&gt;I42,"不允许购车","允许购车")</f>
        <v>允许购车</v>
      </c>
    </row>
    <row r="45" spans="2:9" x14ac:dyDescent="0.2">
      <c r="B45" s="307" t="s">
        <v>697</v>
      </c>
      <c r="C45" s="370" t="str">
        <f>IF(新网二手车回租1108!C38="NO","不允许购车","允许购车")</f>
        <v>允许购车</v>
      </c>
      <c r="E45" s="307" t="s">
        <v>684</v>
      </c>
      <c r="F45" s="370" t="str">
        <f>IF(F54&gt;F56,"不允许购车","允许购车")</f>
        <v>允许购车</v>
      </c>
      <c r="H45" s="318" t="s">
        <v>524</v>
      </c>
      <c r="I45" s="308">
        <v>67039</v>
      </c>
    </row>
    <row r="46" spans="2:9" x14ac:dyDescent="0.2">
      <c r="B46" s="318" t="s">
        <v>524</v>
      </c>
      <c r="C46" s="308">
        <v>80000</v>
      </c>
      <c r="D46" s="464"/>
      <c r="E46" s="307" t="s">
        <v>685</v>
      </c>
      <c r="F46" s="370" t="str">
        <f>IF(F55&gt;F57,"不允许购车","允许购车")</f>
        <v>允许购车</v>
      </c>
      <c r="H46" s="325" t="s">
        <v>68</v>
      </c>
      <c r="I46" s="307">
        <f>'民生银行190-1108'!C37</f>
        <v>156584</v>
      </c>
    </row>
    <row r="47" spans="2:9" x14ac:dyDescent="0.2">
      <c r="B47" s="325" t="s">
        <v>68</v>
      </c>
      <c r="C47" s="307">
        <f>新网二手车回租1108!C37</f>
        <v>138380</v>
      </c>
      <c r="E47" s="318" t="s">
        <v>524</v>
      </c>
      <c r="F47" s="308">
        <v>118852</v>
      </c>
      <c r="H47" s="329" t="s">
        <v>528</v>
      </c>
      <c r="I47" s="307">
        <f>C1-I45</f>
        <v>132961</v>
      </c>
    </row>
    <row r="48" spans="2:9" x14ac:dyDescent="0.2">
      <c r="B48" s="329" t="s">
        <v>528</v>
      </c>
      <c r="C48" s="307">
        <f>C1-C46</f>
        <v>120000</v>
      </c>
      <c r="E48" s="325" t="s">
        <v>68</v>
      </c>
      <c r="F48" s="323">
        <f>微众二手车回租1108!C38</f>
        <v>99999</v>
      </c>
      <c r="H48" s="329" t="s">
        <v>529</v>
      </c>
      <c r="I48" s="307">
        <f>I46-I47</f>
        <v>23623</v>
      </c>
    </row>
    <row r="49" spans="2:11" x14ac:dyDescent="0.2">
      <c r="B49" s="329" t="s">
        <v>529</v>
      </c>
      <c r="C49" s="307">
        <f>C47-C48</f>
        <v>18380</v>
      </c>
      <c r="D49" s="392"/>
      <c r="E49" s="329" t="s">
        <v>528</v>
      </c>
      <c r="F49" s="307">
        <f>C1-F47</f>
        <v>81148</v>
      </c>
      <c r="G49" s="399" t="s">
        <v>585</v>
      </c>
      <c r="H49" s="329"/>
      <c r="I49" s="307"/>
    </row>
    <row r="50" spans="2:11" x14ac:dyDescent="0.2">
      <c r="B50" s="329" t="s">
        <v>532</v>
      </c>
      <c r="C50" s="307">
        <f>C47+0</f>
        <v>138380</v>
      </c>
      <c r="D50">
        <f>C49-C29</f>
        <v>10680</v>
      </c>
      <c r="E50" s="329" t="s">
        <v>529</v>
      </c>
      <c r="F50" s="323">
        <f>F48-F49</f>
        <v>18851</v>
      </c>
      <c r="G50" s="402">
        <f>F50-C29</f>
        <v>11151</v>
      </c>
      <c r="H50" s="325" t="s">
        <v>527</v>
      </c>
      <c r="I50" s="307">
        <f>'民生银行190-1108'!C39</f>
        <v>15923</v>
      </c>
      <c r="J50" s="399">
        <f>I48-C29</f>
        <v>15923</v>
      </c>
    </row>
    <row r="51" spans="2:11" x14ac:dyDescent="0.2">
      <c r="B51" s="325" t="s">
        <v>527</v>
      </c>
      <c r="C51" s="307">
        <f>新网二手车回租1108!C39</f>
        <v>10680</v>
      </c>
      <c r="D51" s="392">
        <f>C52*12*C34</f>
        <v>225990</v>
      </c>
      <c r="E51" s="329" t="s">
        <v>533</v>
      </c>
      <c r="F51" s="323">
        <f>F48+100</f>
        <v>100099</v>
      </c>
      <c r="H51" s="325" t="s">
        <v>39</v>
      </c>
      <c r="I51" s="326">
        <f>'民生银行190-1108'!C40</f>
        <v>4843.8100000000004</v>
      </c>
    </row>
    <row r="52" spans="2:11" x14ac:dyDescent="0.2">
      <c r="B52" s="325" t="s">
        <v>39</v>
      </c>
      <c r="C52" s="326">
        <f>新网二手车回租1108!C40</f>
        <v>6277.5</v>
      </c>
      <c r="E52" s="325" t="s">
        <v>527</v>
      </c>
      <c r="F52" s="323">
        <f>微众二手车回租1108!C40</f>
        <v>11151</v>
      </c>
      <c r="G52" s="402">
        <f>C29+F52</f>
        <v>18851</v>
      </c>
      <c r="H52" s="22" t="s">
        <v>64</v>
      </c>
      <c r="I52" s="307">
        <f>I50</f>
        <v>15923</v>
      </c>
    </row>
    <row r="53" spans="2:11" x14ac:dyDescent="0.2">
      <c r="B53" s="469" t="s">
        <v>64</v>
      </c>
      <c r="C53" s="307">
        <f>IF(C11&lt;&gt;"全国直购C",C51,新网二手车回租1108!C42)</f>
        <v>8477</v>
      </c>
      <c r="E53" s="325" t="s">
        <v>39</v>
      </c>
      <c r="F53" s="326">
        <f>微众二手车回租1108!C39</f>
        <v>3133.61</v>
      </c>
      <c r="H53" s="394" t="s">
        <v>579</v>
      </c>
      <c r="I53" s="307">
        <f>'民生银行190-1108'!C41</f>
        <v>187623</v>
      </c>
    </row>
    <row r="54" spans="2:11" x14ac:dyDescent="0.2">
      <c r="B54" s="330" t="s">
        <v>63</v>
      </c>
      <c r="C54" s="307">
        <f>C51-C53</f>
        <v>2203</v>
      </c>
      <c r="E54" s="469" t="s">
        <v>64</v>
      </c>
      <c r="F54" s="346">
        <f>IF(C11&lt;&gt;"全国直购C",F52,微众二手车回租1108!C41)</f>
        <v>9001</v>
      </c>
      <c r="H54" s="394" t="s">
        <v>530</v>
      </c>
      <c r="I54" s="307">
        <f>I45+C30</f>
        <v>67039</v>
      </c>
    </row>
    <row r="55" spans="2:11" x14ac:dyDescent="0.2">
      <c r="B55" s="330" t="s">
        <v>530</v>
      </c>
      <c r="C55" s="307">
        <f>C46+C30</f>
        <v>80000</v>
      </c>
      <c r="E55" s="330" t="s">
        <v>63</v>
      </c>
      <c r="F55" s="470">
        <f>F52-F54</f>
        <v>2150</v>
      </c>
      <c r="H55" s="394"/>
      <c r="I55" s="307"/>
    </row>
    <row r="56" spans="2:11" x14ac:dyDescent="0.2">
      <c r="E56" s="330" t="s">
        <v>548</v>
      </c>
      <c r="F56" s="465">
        <f>ROUND((F48-F54)*3.58%*C10,0)</f>
        <v>9773</v>
      </c>
      <c r="H56" s="330" t="s">
        <v>580</v>
      </c>
      <c r="I56" s="391">
        <f>'民生银行190-1108'!C42</f>
        <v>0.35730699999999999</v>
      </c>
    </row>
    <row r="57" spans="2:11" x14ac:dyDescent="0.2">
      <c r="E57" s="330" t="s">
        <v>633</v>
      </c>
      <c r="F57" s="323">
        <f>IF(C11="全国直购C",ROUND(MAX(C1*6%,4000),0),0)</f>
        <v>12000</v>
      </c>
      <c r="H57" s="330"/>
      <c r="I57" s="391"/>
    </row>
    <row r="58" spans="2:11" x14ac:dyDescent="0.2">
      <c r="E58" s="330" t="s">
        <v>530</v>
      </c>
      <c r="F58" s="307">
        <f>F47+C30</f>
        <v>118852</v>
      </c>
      <c r="H58" s="330" t="s">
        <v>581</v>
      </c>
      <c r="I58" s="391">
        <f>'民生银行190-1108'!C43</f>
        <v>0.83456699999999995</v>
      </c>
    </row>
    <row r="59" spans="2:11" x14ac:dyDescent="0.2">
      <c r="E59" s="330"/>
      <c r="F59" s="307"/>
      <c r="H59" s="89"/>
      <c r="I59" s="397"/>
    </row>
    <row r="60" spans="2:11" x14ac:dyDescent="0.2">
      <c r="H60" s="89"/>
      <c r="I60" s="397"/>
    </row>
    <row r="62" spans="2:11" x14ac:dyDescent="0.2">
      <c r="B62" s="497" t="s">
        <v>544</v>
      </c>
      <c r="C62" s="497"/>
      <c r="E62" s="497" t="s">
        <v>545</v>
      </c>
      <c r="F62" s="497"/>
      <c r="H62" s="497" t="s">
        <v>662</v>
      </c>
      <c r="I62" s="497"/>
      <c r="J62" s="489" t="s">
        <v>671</v>
      </c>
      <c r="K62" s="490"/>
    </row>
    <row r="63" spans="2:11" x14ac:dyDescent="0.2">
      <c r="B63" s="317" t="s">
        <v>498</v>
      </c>
      <c r="C63" s="56">
        <f>C9</f>
        <v>370</v>
      </c>
      <c r="E63" s="317" t="s">
        <v>498</v>
      </c>
      <c r="F63" s="307">
        <v>190</v>
      </c>
      <c r="H63" s="317" t="s">
        <v>498</v>
      </c>
      <c r="I63" s="307">
        <f>C9</f>
        <v>370</v>
      </c>
      <c r="J63" s="462" t="s">
        <v>667</v>
      </c>
      <c r="K63" s="307" t="str">
        <f>IF(C1&gt;40000,"是","否")</f>
        <v>是</v>
      </c>
    </row>
    <row r="64" spans="2:11" x14ac:dyDescent="0.2">
      <c r="B64" s="307" t="s">
        <v>496</v>
      </c>
      <c r="C64" s="317">
        <f>C10</f>
        <v>3</v>
      </c>
      <c r="E64" s="307" t="s">
        <v>496</v>
      </c>
      <c r="F64" s="317">
        <f>C10</f>
        <v>3</v>
      </c>
      <c r="H64" s="307" t="s">
        <v>496</v>
      </c>
      <c r="I64" s="317">
        <f>C10</f>
        <v>3</v>
      </c>
      <c r="J64" s="462" t="s">
        <v>669</v>
      </c>
      <c r="K64" s="307" t="str">
        <f>IF(C41&gt;=I71,"是","否")</f>
        <v>是</v>
      </c>
    </row>
    <row r="65" spans="2:11" x14ac:dyDescent="0.2">
      <c r="B65" s="307" t="s">
        <v>500</v>
      </c>
      <c r="C65" s="307" t="str">
        <f>IF(AND(C1&lt;=120000,C5&gt;0.3,C9=370),"是","否")</f>
        <v>否</v>
      </c>
      <c r="E65" s="307" t="s">
        <v>500</v>
      </c>
      <c r="F65" s="307" t="s">
        <v>541</v>
      </c>
      <c r="H65" s="307" t="s">
        <v>500</v>
      </c>
      <c r="I65" s="307" t="s">
        <v>541</v>
      </c>
      <c r="J65" s="462" t="s">
        <v>680</v>
      </c>
      <c r="K65" s="307" t="str">
        <f>IF(I78&lt;=I85,"是","否")</f>
        <v>是</v>
      </c>
    </row>
    <row r="66" spans="2:11" ht="30" x14ac:dyDescent="0.2">
      <c r="B66" s="307" t="s">
        <v>501</v>
      </c>
      <c r="C66" s="314">
        <f>IF(C65="是",0.3,MAX(C5,0.3))</f>
        <v>0.4</v>
      </c>
      <c r="E66" s="317" t="s">
        <v>542</v>
      </c>
      <c r="F66" s="314">
        <f>E5</f>
        <v>0.1</v>
      </c>
      <c r="H66" s="307" t="s">
        <v>501</v>
      </c>
      <c r="I66" s="314">
        <f>C37</f>
        <v>0.4</v>
      </c>
      <c r="J66" s="462" t="s">
        <v>682</v>
      </c>
      <c r="K66" s="307" t="str">
        <f>IF(F5&lt;=C37,"是","否")</f>
        <v>是</v>
      </c>
    </row>
    <row r="67" spans="2:11" x14ac:dyDescent="0.2">
      <c r="B67" s="318" t="s">
        <v>502</v>
      </c>
      <c r="C67" s="237">
        <f>IF(C63=550,MAX(C66,0.5),C66)</f>
        <v>0.4</v>
      </c>
      <c r="E67" s="318" t="s">
        <v>502</v>
      </c>
      <c r="F67" s="237">
        <f>F66</f>
        <v>0.1</v>
      </c>
      <c r="H67" s="318" t="s">
        <v>502</v>
      </c>
      <c r="I67" s="237">
        <f>IF(I63=550,MAX(I66,0.5),I66)</f>
        <v>0.4</v>
      </c>
      <c r="J67" s="462" t="s">
        <v>683</v>
      </c>
      <c r="K67" s="307" t="str">
        <f>IF(C26="回租大公户","否","是")</f>
        <v>是</v>
      </c>
    </row>
    <row r="68" spans="2:11" ht="30" x14ac:dyDescent="0.2">
      <c r="B68" s="318" t="s">
        <v>503</v>
      </c>
      <c r="C68" s="307">
        <f>IF(C25&gt;0,C6*C24,C6)</f>
        <v>200000</v>
      </c>
      <c r="E68" s="318" t="s">
        <v>503</v>
      </c>
      <c r="F68" s="307">
        <f>IF(C25&gt;0,MAX(C6,D6)*C24,MAX(C6,D6))</f>
        <v>200000</v>
      </c>
      <c r="H68" s="318" t="s">
        <v>503</v>
      </c>
      <c r="I68" s="346">
        <f>MIN(IF(C25&gt;0,F6*C24,F6),300000)</f>
        <v>300000</v>
      </c>
      <c r="J68" s="463" t="s">
        <v>681</v>
      </c>
      <c r="K68" s="370" t="str">
        <f>IF(AND(K63="是",K64="是",K65="是",K66="是",K67="是"),"是","否")</f>
        <v>是</v>
      </c>
    </row>
    <row r="69" spans="2:11" x14ac:dyDescent="0.2">
      <c r="B69" s="318" t="s">
        <v>504</v>
      </c>
      <c r="C69" s="345" t="s">
        <v>537</v>
      </c>
      <c r="E69" s="318" t="s">
        <v>504</v>
      </c>
      <c r="F69" s="345" t="s">
        <v>537</v>
      </c>
      <c r="H69" s="318" t="s">
        <v>495</v>
      </c>
      <c r="I69" s="17">
        <f>IF(C11="全国直购C",7.99%,7.99%)</f>
        <v>7.9899999999999999E-2</v>
      </c>
    </row>
    <row r="70" spans="2:11" x14ac:dyDescent="0.2">
      <c r="B70" s="318" t="s">
        <v>505</v>
      </c>
      <c r="C70" s="18">
        <f>IF(C64=2,7%,7.3%)</f>
        <v>7.2999999999999995E-2</v>
      </c>
      <c r="E70" s="318" t="s">
        <v>505</v>
      </c>
      <c r="F70" s="18">
        <f>IF(F64=2,7%,7.3%)</f>
        <v>7.2999999999999995E-2</v>
      </c>
      <c r="H70" s="318" t="s">
        <v>505</v>
      </c>
      <c r="I70" s="382">
        <v>7.1249999999999994E-2</v>
      </c>
    </row>
    <row r="71" spans="2:11" x14ac:dyDescent="0.2">
      <c r="B71" s="324" t="s">
        <v>522</v>
      </c>
      <c r="C71" s="323">
        <f>民生金租1108!C52</f>
        <v>85474</v>
      </c>
      <c r="E71" s="324" t="s">
        <v>522</v>
      </c>
      <c r="F71" s="323">
        <f>'民生金租190-1108'!C30</f>
        <v>29840</v>
      </c>
      <c r="H71" s="324" t="s">
        <v>672</v>
      </c>
      <c r="I71" s="323">
        <f>'人保民生回租370-550'!C32</f>
        <v>80000</v>
      </c>
    </row>
    <row r="72" spans="2:11" x14ac:dyDescent="0.2">
      <c r="B72" s="448"/>
      <c r="C72" s="449"/>
      <c r="D72" s="450"/>
      <c r="E72" s="448"/>
      <c r="F72" s="449"/>
      <c r="H72" s="324" t="s">
        <v>670</v>
      </c>
      <c r="I72" s="460">
        <f>MAX(I71,C41)</f>
        <v>80000</v>
      </c>
      <c r="J72" s="402">
        <f>C41</f>
        <v>80000</v>
      </c>
    </row>
    <row r="73" spans="2:11" x14ac:dyDescent="0.2">
      <c r="B73" s="324" t="s">
        <v>523</v>
      </c>
      <c r="C73" s="346">
        <f>民生金租1108!C53</f>
        <v>153860</v>
      </c>
      <c r="E73" s="324" t="s">
        <v>523</v>
      </c>
      <c r="F73" s="346">
        <f>'民生金租190-1108'!C33</f>
        <v>154342</v>
      </c>
      <c r="H73" s="324" t="s">
        <v>131</v>
      </c>
      <c r="I73" s="461">
        <f>'人保民生回租370-550'!C33</f>
        <v>152859</v>
      </c>
    </row>
    <row r="74" spans="2:11" x14ac:dyDescent="0.2">
      <c r="B74" s="318" t="s">
        <v>524</v>
      </c>
      <c r="C74" s="308">
        <v>63967</v>
      </c>
      <c r="E74" s="318" t="s">
        <v>524</v>
      </c>
      <c r="F74" s="308">
        <v>64870</v>
      </c>
      <c r="H74" s="317" t="s">
        <v>638</v>
      </c>
      <c r="I74" s="413" t="str">
        <f>IF(C29&gt;ROUND(0.88*F6,0),"不允许购车","允许购车")</f>
        <v>允许购车</v>
      </c>
    </row>
    <row r="75" spans="2:11" x14ac:dyDescent="0.2">
      <c r="B75" s="325" t="s">
        <v>68</v>
      </c>
      <c r="C75" s="346">
        <f>民生金租1108!C56</f>
        <v>160177</v>
      </c>
      <c r="E75" s="325" t="s">
        <v>68</v>
      </c>
      <c r="F75" s="346">
        <f>'民生金租190-1108'!C38</f>
        <v>160609</v>
      </c>
      <c r="H75" s="317" t="s">
        <v>584</v>
      </c>
      <c r="I75" s="370" t="str">
        <f>IF(I71&gt;I73,"不允许购车","允许购车")</f>
        <v>允许购车</v>
      </c>
    </row>
    <row r="76" spans="2:11" x14ac:dyDescent="0.2">
      <c r="B76" s="325" t="s">
        <v>528</v>
      </c>
      <c r="C76" s="346">
        <f>民生金租1108!C57</f>
        <v>152477</v>
      </c>
      <c r="E76" s="329" t="s">
        <v>528</v>
      </c>
      <c r="F76" s="346">
        <f>F75-F77</f>
        <v>152909</v>
      </c>
      <c r="H76" s="307" t="s">
        <v>666</v>
      </c>
      <c r="I76" s="370" t="str">
        <f>IF('人保民生回租370-550'!C38="NO","不允许购车","允许购车")</f>
        <v>允许购车</v>
      </c>
    </row>
    <row r="77" spans="2:11" x14ac:dyDescent="0.2">
      <c r="B77" s="329" t="s">
        <v>538</v>
      </c>
      <c r="C77" s="346">
        <f>C29</f>
        <v>7700</v>
      </c>
      <c r="E77" s="329" t="s">
        <v>538</v>
      </c>
      <c r="F77" s="346">
        <f>C29</f>
        <v>7700</v>
      </c>
      <c r="H77" s="318" t="s">
        <v>524</v>
      </c>
      <c r="I77" s="308">
        <v>50338</v>
      </c>
    </row>
    <row r="78" spans="2:11" x14ac:dyDescent="0.2">
      <c r="B78" s="325" t="s">
        <v>677</v>
      </c>
      <c r="C78" s="346">
        <f>民生金租1108!C58</f>
        <v>16444</v>
      </c>
      <c r="E78" s="325" t="s">
        <v>677</v>
      </c>
      <c r="F78" s="346">
        <f>'民生金租190-1108'!C39</f>
        <v>17779</v>
      </c>
      <c r="H78" s="325" t="s">
        <v>68</v>
      </c>
      <c r="I78" s="307">
        <f>'人保民生回租370-550'!G13</f>
        <v>175175</v>
      </c>
    </row>
    <row r="79" spans="2:11" x14ac:dyDescent="0.2">
      <c r="B79" s="325" t="s">
        <v>39</v>
      </c>
      <c r="C79" s="326" t="b">
        <f>民生金租1108!C59</f>
        <v>0</v>
      </c>
      <c r="E79" s="325" t="s">
        <v>39</v>
      </c>
      <c r="F79" s="326">
        <f>'民生金租190-1108'!C42</f>
        <v>4981.2</v>
      </c>
      <c r="H79" s="329" t="s">
        <v>528</v>
      </c>
      <c r="I79" s="307">
        <f>C1-I77</f>
        <v>149662</v>
      </c>
    </row>
    <row r="80" spans="2:11" x14ac:dyDescent="0.2">
      <c r="B80" s="328" t="s">
        <v>539</v>
      </c>
      <c r="C80" s="326">
        <f>民生金租1108!C60</f>
        <v>216444</v>
      </c>
      <c r="E80" s="328" t="s">
        <v>539</v>
      </c>
      <c r="F80" s="326">
        <f>'民生金租190-1108'!C40</f>
        <v>217779</v>
      </c>
      <c r="H80" s="329" t="s">
        <v>529</v>
      </c>
      <c r="I80" s="307">
        <f>I78-I79</f>
        <v>25513</v>
      </c>
    </row>
    <row r="81" spans="2:10" x14ac:dyDescent="0.2">
      <c r="B81" s="330" t="s">
        <v>530</v>
      </c>
      <c r="C81" s="307">
        <f>C74+C30</f>
        <v>63967</v>
      </c>
      <c r="E81" s="330" t="s">
        <v>530</v>
      </c>
      <c r="F81" s="307">
        <f>F74+C30</f>
        <v>64870</v>
      </c>
      <c r="H81" s="329"/>
      <c r="I81" s="307"/>
    </row>
    <row r="82" spans="2:10" x14ac:dyDescent="0.2">
      <c r="H82" s="325" t="s">
        <v>675</v>
      </c>
      <c r="I82" s="307">
        <f>'人保民生回租370-550'!G17</f>
        <v>17813</v>
      </c>
      <c r="J82" s="399">
        <f>I80-C29</f>
        <v>17813</v>
      </c>
    </row>
    <row r="83" spans="2:10" x14ac:dyDescent="0.2">
      <c r="B83" s="393"/>
      <c r="C83" s="453"/>
      <c r="D83" s="403"/>
      <c r="E83" s="330"/>
      <c r="F83" s="451"/>
      <c r="G83" s="452"/>
      <c r="H83" s="325" t="s">
        <v>39</v>
      </c>
      <c r="I83" s="326">
        <f>'人保民生回租370-550'!G9</f>
        <v>5418.92</v>
      </c>
    </row>
    <row r="84" spans="2:10" x14ac:dyDescent="0.2">
      <c r="B84" s="393"/>
      <c r="C84" s="453"/>
      <c r="D84" s="403"/>
      <c r="E84" s="330"/>
      <c r="F84" s="451"/>
      <c r="G84" s="452"/>
      <c r="H84" s="22" t="s">
        <v>676</v>
      </c>
      <c r="I84" s="307">
        <f>I82</f>
        <v>17813</v>
      </c>
    </row>
    <row r="85" spans="2:10" x14ac:dyDescent="0.2">
      <c r="B85" s="393"/>
      <c r="C85" s="453"/>
      <c r="D85" s="403"/>
      <c r="E85" s="330"/>
      <c r="F85" s="451"/>
      <c r="G85" s="452"/>
      <c r="H85" s="394" t="s">
        <v>579</v>
      </c>
      <c r="I85" s="307">
        <f>C1</f>
        <v>200000</v>
      </c>
    </row>
    <row r="86" spans="2:10" x14ac:dyDescent="0.2">
      <c r="B86" s="483" t="s">
        <v>673</v>
      </c>
      <c r="C86" s="484"/>
      <c r="D86" s="485"/>
      <c r="E86" s="330"/>
      <c r="F86" s="451"/>
      <c r="G86" s="452"/>
      <c r="H86" s="394" t="s">
        <v>530</v>
      </c>
      <c r="I86" s="307">
        <f>I77+C30</f>
        <v>50338</v>
      </c>
    </row>
    <row r="87" spans="2:10" x14ac:dyDescent="0.2">
      <c r="B87" s="454" t="s">
        <v>586</v>
      </c>
      <c r="C87" s="395">
        <v>50340</v>
      </c>
      <c r="D87" s="403"/>
    </row>
    <row r="88" spans="2:10" x14ac:dyDescent="0.2">
      <c r="B88" s="454" t="s">
        <v>591</v>
      </c>
      <c r="C88" s="395">
        <v>0</v>
      </c>
      <c r="D88" s="403" t="s">
        <v>601</v>
      </c>
    </row>
    <row r="89" spans="2:10" x14ac:dyDescent="0.2">
      <c r="B89" s="454" t="s">
        <v>592</v>
      </c>
      <c r="C89" s="395">
        <v>0</v>
      </c>
      <c r="D89" s="403" t="s">
        <v>597</v>
      </c>
    </row>
    <row r="90" spans="2:10" x14ac:dyDescent="0.2">
      <c r="B90" s="394" t="s">
        <v>587</v>
      </c>
      <c r="C90" s="396">
        <f>IF(D14="首付收取",C14,0)</f>
        <v>0</v>
      </c>
      <c r="D90" s="403" t="s">
        <v>251</v>
      </c>
    </row>
    <row r="91" spans="2:10" x14ac:dyDescent="0.2">
      <c r="B91" s="394" t="s">
        <v>588</v>
      </c>
      <c r="C91" s="396">
        <f>IF(D28="首付收取",C28,0)</f>
        <v>0</v>
      </c>
      <c r="D91" s="403" t="s">
        <v>598</v>
      </c>
    </row>
    <row r="92" spans="2:10" x14ac:dyDescent="0.2">
      <c r="B92" s="394" t="s">
        <v>589</v>
      </c>
      <c r="C92" s="396">
        <f>IF(D27="首付收取",C27,0)</f>
        <v>0</v>
      </c>
      <c r="D92" s="403" t="s">
        <v>446</v>
      </c>
    </row>
    <row r="93" spans="2:10" x14ac:dyDescent="0.2">
      <c r="B93" s="394" t="s">
        <v>590</v>
      </c>
      <c r="C93" s="396">
        <f>IF(D19="首付收取",C19,0)</f>
        <v>0</v>
      </c>
      <c r="D93" s="403" t="s">
        <v>599</v>
      </c>
    </row>
    <row r="94" spans="2:10" x14ac:dyDescent="0.2">
      <c r="B94" s="394" t="s">
        <v>593</v>
      </c>
      <c r="C94" s="396">
        <f>IF(D15="首付收取",C15,0)</f>
        <v>0</v>
      </c>
      <c r="D94" s="403" t="s">
        <v>259</v>
      </c>
    </row>
    <row r="95" spans="2:10" x14ac:dyDescent="0.2">
      <c r="B95" s="394" t="s">
        <v>594</v>
      </c>
      <c r="C95" s="396">
        <f>IF(D16="首付收取",C16,0)</f>
        <v>0</v>
      </c>
      <c r="D95" s="403" t="s">
        <v>600</v>
      </c>
    </row>
    <row r="96" spans="2:10" x14ac:dyDescent="0.2">
      <c r="B96" s="394" t="s">
        <v>595</v>
      </c>
      <c r="C96" s="396">
        <f>IF(D17="首付收取",C17,0)</f>
        <v>0</v>
      </c>
      <c r="D96" s="403" t="s">
        <v>263</v>
      </c>
    </row>
    <row r="97" spans="2:4" ht="24" x14ac:dyDescent="0.2">
      <c r="B97" s="394" t="s">
        <v>596</v>
      </c>
      <c r="C97" s="396">
        <f>C87-C88-C89-C90-C91-C92-C93-C94-C95-C96</f>
        <v>50340</v>
      </c>
      <c r="D97" s="403" t="s">
        <v>694</v>
      </c>
    </row>
    <row r="98" spans="2:4" x14ac:dyDescent="0.2">
      <c r="B98" s="486"/>
      <c r="C98" s="487"/>
      <c r="D98" s="488"/>
    </row>
    <row r="99" spans="2:4" x14ac:dyDescent="0.2">
      <c r="B99" s="455" t="s">
        <v>678</v>
      </c>
      <c r="C99" s="456">
        <v>100000</v>
      </c>
      <c r="D99" s="446"/>
    </row>
    <row r="100" spans="2:4" x14ac:dyDescent="0.2">
      <c r="B100" s="454" t="s">
        <v>674</v>
      </c>
      <c r="C100" s="457">
        <v>8598</v>
      </c>
      <c r="D100" s="403" t="s">
        <v>688</v>
      </c>
    </row>
    <row r="101" spans="2:4" x14ac:dyDescent="0.2">
      <c r="B101" s="459" t="s">
        <v>691</v>
      </c>
      <c r="C101" s="457">
        <v>0</v>
      </c>
      <c r="D101" s="403" t="s">
        <v>689</v>
      </c>
    </row>
    <row r="102" spans="2:4" x14ac:dyDescent="0.2">
      <c r="B102" s="398" t="s">
        <v>603</v>
      </c>
      <c r="C102" s="396">
        <f>IF(C11="全国直购C",0,C21)</f>
        <v>0</v>
      </c>
      <c r="D102" s="403" t="s">
        <v>690</v>
      </c>
    </row>
    <row r="103" spans="2:4" ht="24" x14ac:dyDescent="0.2">
      <c r="B103" s="394" t="s">
        <v>604</v>
      </c>
      <c r="C103" s="404">
        <f>C99-C100-C102-C104-C105-C106-C107-C108-C109-C101</f>
        <v>83702</v>
      </c>
      <c r="D103" s="403" t="s">
        <v>695</v>
      </c>
    </row>
    <row r="104" spans="2:4" x14ac:dyDescent="0.2">
      <c r="B104" s="394" t="s">
        <v>605</v>
      </c>
      <c r="C104" s="396">
        <f>C14-C90</f>
        <v>1800</v>
      </c>
      <c r="D104" s="403" t="s">
        <v>614</v>
      </c>
    </row>
    <row r="105" spans="2:4" x14ac:dyDescent="0.2">
      <c r="B105" s="394" t="s">
        <v>606</v>
      </c>
      <c r="C105" s="396">
        <f>C25</f>
        <v>0</v>
      </c>
      <c r="D105" s="403" t="s">
        <v>610</v>
      </c>
    </row>
    <row r="106" spans="2:4" x14ac:dyDescent="0.2">
      <c r="B106" s="394" t="s">
        <v>607</v>
      </c>
      <c r="C106" s="396">
        <f>C15-C94</f>
        <v>3500</v>
      </c>
      <c r="D106" s="403" t="s">
        <v>615</v>
      </c>
    </row>
    <row r="107" spans="2:4" x14ac:dyDescent="0.2">
      <c r="B107" s="394" t="s">
        <v>608</v>
      </c>
      <c r="C107" s="396">
        <f>C16-C95</f>
        <v>0</v>
      </c>
      <c r="D107" s="403" t="s">
        <v>615</v>
      </c>
    </row>
    <row r="108" spans="2:4" x14ac:dyDescent="0.2">
      <c r="B108" s="394" t="s">
        <v>609</v>
      </c>
      <c r="C108" s="396">
        <f>C17-C96</f>
        <v>0</v>
      </c>
      <c r="D108" s="403" t="s">
        <v>615</v>
      </c>
    </row>
    <row r="109" spans="2:4" x14ac:dyDescent="0.2">
      <c r="B109" s="394" t="s">
        <v>602</v>
      </c>
      <c r="C109" s="396">
        <f>C19-C93</f>
        <v>2400</v>
      </c>
      <c r="D109" s="403" t="s">
        <v>612</v>
      </c>
    </row>
    <row r="110" spans="2:4" x14ac:dyDescent="0.2">
      <c r="B110" s="320" t="s">
        <v>679</v>
      </c>
      <c r="C110" s="458">
        <f>C97+C103</f>
        <v>134042</v>
      </c>
      <c r="D110" s="320">
        <f>C1</f>
        <v>200000</v>
      </c>
    </row>
    <row r="111" spans="2:4" x14ac:dyDescent="0.2">
      <c r="B111" s="393" t="s">
        <v>611</v>
      </c>
      <c r="C111" s="396">
        <f>IF(C18&lt;4,ROUND(C1*0.05%,2),ROUND(C1*0.08%,2))</f>
        <v>100</v>
      </c>
      <c r="D111" s="403" t="s">
        <v>613</v>
      </c>
    </row>
  </sheetData>
  <protectedRanges>
    <protectedRange algorithmName="SHA-512" hashValue="GdA60ZKSSyPa6GDdStUpEMI/UOROKazrZFwqElx5Z2K/3qLq615wE1yCq3vzOQ3jFdhsd0zBdu5UAWyk6oY/Vg==" saltValue="85V/RDINpJlUGwS4DawZaA==" spinCount="100000" sqref="C11:C13" name="贴息_1_3"/>
  </protectedRanges>
  <mergeCells count="13">
    <mergeCell ref="B86:D86"/>
    <mergeCell ref="B98:D98"/>
    <mergeCell ref="J62:K62"/>
    <mergeCell ref="A1:A3"/>
    <mergeCell ref="A5:A10"/>
    <mergeCell ref="A11:A30"/>
    <mergeCell ref="H32:I32"/>
    <mergeCell ref="B62:C62"/>
    <mergeCell ref="E62:F62"/>
    <mergeCell ref="B32:C32"/>
    <mergeCell ref="E32:F32"/>
    <mergeCell ref="F13:H14"/>
    <mergeCell ref="H62:I62"/>
  </mergeCells>
  <phoneticPr fontId="17" type="noConversion"/>
  <dataValidations count="18">
    <dataValidation type="list" allowBlank="1" showInputMessage="1" showErrorMessage="1" sqref="C11">
      <formula1>"自主到店B,优信带看C,全国直购C"</formula1>
    </dataValidation>
    <dataValidation type="list" allowBlank="1" showInputMessage="1" showErrorMessage="1" sqref="D7 D9">
      <formula1>"微众白户,微众A3,其他"</formula1>
    </dataValidation>
    <dataValidation type="list" allowBlank="1" showInputMessage="1" showErrorMessage="1" sqref="C12:C13">
      <formula1>"新网差异化8%,新网差异化9.8%,非差异化"</formula1>
    </dataValidation>
    <dataValidation type="list" allowBlank="1" showInputMessage="1" showErrorMessage="1" sqref="C33 C9 F33 C63">
      <formula1>"370,550"</formula1>
    </dataValidation>
    <dataValidation type="list" allowBlank="1" showInputMessage="1" showErrorMessage="1" sqref="C22">
      <formula1>"精准,非精准"</formula1>
    </dataValidation>
    <dataValidation type="list" allowBlank="1" showInputMessage="1" showErrorMessage="1" sqref="D19 D14:D17">
      <formula1>"超融收取,首付收取"</formula1>
    </dataValidation>
    <dataValidation type="list" allowBlank="1" showInputMessage="1" showErrorMessage="1" sqref="C23">
      <formula1>"1,2,3"</formula1>
    </dataValidation>
    <dataValidation type="list" allowBlank="1" showInputMessage="1" showErrorMessage="1" sqref="C10">
      <formula1>"2,3"</formula1>
    </dataValidation>
    <dataValidation type="whole" allowBlank="1" showInputMessage="1" showErrorMessage="1" sqref="C19:C20 C25">
      <formula1>0</formula1>
      <formula2>E19</formula2>
    </dataValidation>
    <dataValidation type="list" allowBlank="1" showInputMessage="1" showErrorMessage="1" sqref="C26">
      <formula1>"回租大公户,回租小公户,回租私户"</formula1>
    </dataValidation>
    <dataValidation operator="greaterThanOrEqual" allowBlank="1" showInputMessage="1" showErrorMessage="1" sqref="C28"/>
    <dataValidation type="whole" allowBlank="1" showInputMessage="1" showErrorMessage="1" sqref="C74 F74">
      <formula1>C71</formula1>
      <formula2>C73</formula2>
    </dataValidation>
    <dataValidation type="whole" operator="lessThanOrEqual" allowBlank="1" showInputMessage="1" showErrorMessage="1" sqref="C15:C17">
      <formula1>E15</formula1>
    </dataValidation>
    <dataValidation type="whole" allowBlank="1" showInputMessage="1" showErrorMessage="1" sqref="I45">
      <formula1>I41</formula1>
      <formula2>I42</formula2>
    </dataValidation>
    <dataValidation type="whole" allowBlank="1" showInputMessage="1" showErrorMessage="1" sqref="C46">
      <formula1>C41</formula1>
      <formula2>C42</formula2>
    </dataValidation>
    <dataValidation type="whole" allowBlank="1" showInputMessage="1" showErrorMessage="1" sqref="I77">
      <formula1>I71</formula1>
      <formula2>I73</formula2>
    </dataValidation>
    <dataValidation type="whole" allowBlank="1" showInputMessage="1" showErrorMessage="1" sqref="F47">
      <formula1>F41</formula1>
      <formula2>F42</formula2>
    </dataValidation>
    <dataValidation type="list" allowBlank="1" showInputMessage="1" showErrorMessage="1" sqref="D8">
      <formula1>"资金饥渴,非资金饥渴"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4" workbookViewId="0">
      <selection activeCell="D27" sqref="D27"/>
    </sheetView>
  </sheetViews>
  <sheetFormatPr baseColWidth="10" defaultColWidth="9.1640625" defaultRowHeight="12" x14ac:dyDescent="0.15"/>
  <cols>
    <col min="1" max="1" width="17.33203125" style="21" bestFit="1" customWidth="1"/>
    <col min="2" max="2" width="27.1640625" style="21" customWidth="1"/>
    <col min="3" max="3" width="14.6640625" style="19" customWidth="1"/>
    <col min="4" max="4" width="39.1640625" style="26" customWidth="1"/>
    <col min="5" max="5" width="5.1640625" style="5" bestFit="1" customWidth="1"/>
    <col min="6" max="6" width="14.1640625" style="4" customWidth="1"/>
    <col min="7" max="7" width="9.1640625" style="4"/>
    <col min="8" max="8" width="10.6640625" style="4" customWidth="1"/>
    <col min="9" max="10" width="9.6640625" style="4" bestFit="1" customWidth="1"/>
    <col min="11" max="11" width="11.1640625" style="4" bestFit="1" customWidth="1"/>
    <col min="12" max="16384" width="9.1640625" style="4"/>
  </cols>
  <sheetData>
    <row r="1" spans="1:11" ht="14" x14ac:dyDescent="0.15">
      <c r="A1" s="11" t="s">
        <v>40</v>
      </c>
      <c r="B1" s="3" t="s">
        <v>4</v>
      </c>
      <c r="C1" s="15" t="s">
        <v>0</v>
      </c>
      <c r="D1" s="26" t="s">
        <v>53</v>
      </c>
      <c r="F1" s="500" t="s">
        <v>55</v>
      </c>
      <c r="G1" s="500"/>
      <c r="J1" s="48"/>
      <c r="K1" s="48"/>
    </row>
    <row r="2" spans="1:11" ht="14" x14ac:dyDescent="0.15">
      <c r="A2" s="11"/>
      <c r="B2" s="2" t="s">
        <v>1</v>
      </c>
      <c r="C2" s="16">
        <f>控制台!C9</f>
        <v>370</v>
      </c>
      <c r="D2" s="25" t="s">
        <v>54</v>
      </c>
      <c r="F2" s="14" t="s">
        <v>45</v>
      </c>
      <c r="G2" s="14">
        <f>C12</f>
        <v>200000</v>
      </c>
    </row>
    <row r="3" spans="1:11" ht="14" x14ac:dyDescent="0.15">
      <c r="A3" s="11"/>
      <c r="B3" s="2" t="s">
        <v>2</v>
      </c>
      <c r="C3" s="16" t="s">
        <v>3</v>
      </c>
      <c r="D3" s="25"/>
      <c r="F3" s="14" t="s">
        <v>46</v>
      </c>
      <c r="G3" s="14">
        <f>C13</f>
        <v>7700</v>
      </c>
    </row>
    <row r="4" spans="1:11" ht="14" x14ac:dyDescent="0.15">
      <c r="A4" s="11"/>
      <c r="B4" s="2" t="s">
        <v>41</v>
      </c>
      <c r="C4" s="16" t="s">
        <v>67</v>
      </c>
      <c r="D4" s="25" t="s">
        <v>67</v>
      </c>
      <c r="F4" s="14" t="s">
        <v>38</v>
      </c>
      <c r="G4" s="14">
        <f>C37</f>
        <v>138380</v>
      </c>
    </row>
    <row r="5" spans="1:11" ht="14" x14ac:dyDescent="0.15">
      <c r="A5" s="11"/>
      <c r="B5" s="2" t="s">
        <v>15</v>
      </c>
      <c r="C5" s="12" t="str">
        <f>控制台!C11</f>
        <v>全国直购C</v>
      </c>
      <c r="D5" s="25"/>
      <c r="F5" s="14" t="s">
        <v>56</v>
      </c>
      <c r="G5" s="14">
        <f>C7*12</f>
        <v>24</v>
      </c>
    </row>
    <row r="6" spans="1:11" ht="14" x14ac:dyDescent="0.15">
      <c r="A6" s="504" t="s">
        <v>8</v>
      </c>
      <c r="B6" s="2" t="s">
        <v>495</v>
      </c>
      <c r="C6" s="17">
        <f>控制台!C39</f>
        <v>8.9900000000000008E-2</v>
      </c>
      <c r="D6" s="25" t="s">
        <v>42</v>
      </c>
      <c r="F6" s="14" t="s">
        <v>57</v>
      </c>
      <c r="G6" s="53">
        <f>C40</f>
        <v>6277.5</v>
      </c>
      <c r="J6" s="48"/>
      <c r="K6" s="48"/>
    </row>
    <row r="7" spans="1:11" ht="14" x14ac:dyDescent="0.15">
      <c r="A7" s="505"/>
      <c r="B7" s="2" t="s">
        <v>496</v>
      </c>
      <c r="C7" s="16">
        <v>2</v>
      </c>
      <c r="D7" s="25" t="s">
        <v>7</v>
      </c>
      <c r="F7" s="14" t="s">
        <v>60</v>
      </c>
      <c r="G7" s="14">
        <f>C35</f>
        <v>80000</v>
      </c>
    </row>
    <row r="8" spans="1:11" ht="14" x14ac:dyDescent="0.15">
      <c r="A8" s="505"/>
      <c r="B8" s="2" t="s">
        <v>9</v>
      </c>
      <c r="C8" s="18">
        <f>控制台!C40</f>
        <v>8.3000000000000004E-2</v>
      </c>
      <c r="D8" s="25" t="s">
        <v>42</v>
      </c>
    </row>
    <row r="9" spans="1:11" ht="14" x14ac:dyDescent="0.15">
      <c r="A9" s="505"/>
      <c r="B9" s="2" t="s">
        <v>5</v>
      </c>
      <c r="C9" s="20">
        <f>控制台!C37</f>
        <v>0.4</v>
      </c>
      <c r="D9" s="25" t="s">
        <v>59</v>
      </c>
    </row>
    <row r="10" spans="1:11" ht="14" x14ac:dyDescent="0.15">
      <c r="A10" s="506"/>
      <c r="B10" s="2" t="s">
        <v>6</v>
      </c>
      <c r="C10" s="16">
        <f>控制台!C38</f>
        <v>200000</v>
      </c>
      <c r="D10" s="25" t="s">
        <v>43</v>
      </c>
    </row>
    <row r="11" spans="1:11" ht="14" x14ac:dyDescent="0.15">
      <c r="A11" s="11"/>
      <c r="B11" s="13"/>
      <c r="D11" s="25"/>
    </row>
    <row r="12" spans="1:11" ht="14" x14ac:dyDescent="0.15">
      <c r="A12" s="1" t="s">
        <v>45</v>
      </c>
      <c r="B12" s="2" t="s">
        <v>10</v>
      </c>
      <c r="C12" s="16">
        <f>控制台!C1</f>
        <v>200000</v>
      </c>
      <c r="E12" s="33"/>
    </row>
    <row r="13" spans="1:11" ht="14" x14ac:dyDescent="0.15">
      <c r="A13" s="501" t="s">
        <v>46</v>
      </c>
      <c r="B13" s="2" t="s">
        <v>47</v>
      </c>
      <c r="C13" s="16">
        <f>控制台!C29</f>
        <v>7700</v>
      </c>
      <c r="E13" s="10"/>
      <c r="H13" s="47"/>
      <c r="I13" s="47"/>
    </row>
    <row r="14" spans="1:11" ht="14" x14ac:dyDescent="0.15">
      <c r="A14" s="502"/>
      <c r="B14" s="23" t="s">
        <v>16</v>
      </c>
      <c r="C14" s="7" t="s">
        <v>23</v>
      </c>
      <c r="D14" s="27" t="s">
        <v>24</v>
      </c>
      <c r="E14" s="10"/>
    </row>
    <row r="15" spans="1:11" ht="14" x14ac:dyDescent="0.15">
      <c r="A15" s="502"/>
      <c r="B15" s="23" t="s">
        <v>12</v>
      </c>
      <c r="C15" s="9" t="s">
        <v>25</v>
      </c>
      <c r="D15" s="28" t="s">
        <v>26</v>
      </c>
      <c r="E15" s="10"/>
      <c r="F15" s="50"/>
      <c r="G15" s="51"/>
    </row>
    <row r="16" spans="1:11" ht="14" x14ac:dyDescent="0.15">
      <c r="A16" s="502"/>
      <c r="B16" s="23" t="s">
        <v>13</v>
      </c>
      <c r="C16" s="9">
        <v>3</v>
      </c>
      <c r="D16" s="28" t="s">
        <v>11</v>
      </c>
      <c r="E16" s="10"/>
      <c r="G16" s="44"/>
      <c r="H16" s="45"/>
      <c r="I16" s="45"/>
    </row>
    <row r="17" spans="1:11" ht="14" x14ac:dyDescent="0.15">
      <c r="A17" s="502"/>
      <c r="B17" s="23" t="s">
        <v>14</v>
      </c>
      <c r="C17" s="9">
        <v>0</v>
      </c>
      <c r="D17" s="28" t="s">
        <v>27</v>
      </c>
      <c r="E17" s="10">
        <f>IF(C14="非精准",ROUND(MIN(C12*5%,7000),0),
IF(AND(C14="精准",C16=1),C12*7%,
IF(AND(C14="精准",C16=2,C12&lt;=100000),C12*14%,
IF(AND(C14="精准",C16=2,C12&gt;100000),MAX(C12*12%,14000),
IF(AND(C14="精准",C16=3,C12&lt;=100000),C12*22%,
IF(AND(C14="精准",C16=3,C12&gt;100000),MAX(C12*18%,22000),
0))))))</f>
        <v>36000</v>
      </c>
      <c r="F17" s="8"/>
      <c r="G17" s="43"/>
      <c r="H17" s="43"/>
      <c r="I17" s="43"/>
      <c r="J17" s="46"/>
      <c r="K17" s="46"/>
    </row>
    <row r="18" spans="1:11" ht="14" x14ac:dyDescent="0.15">
      <c r="A18" s="502"/>
      <c r="B18" s="23" t="s">
        <v>17</v>
      </c>
      <c r="C18" s="7">
        <v>0</v>
      </c>
      <c r="D18" s="29" t="s">
        <v>512</v>
      </c>
      <c r="E18" s="10"/>
      <c r="F18" s="8"/>
      <c r="G18" s="43"/>
      <c r="H18" s="43"/>
      <c r="I18" s="43"/>
      <c r="J18" s="46"/>
      <c r="K18" s="46"/>
    </row>
    <row r="19" spans="1:11" ht="14" x14ac:dyDescent="0.15">
      <c r="A19" s="502"/>
      <c r="B19" s="23" t="s">
        <v>18</v>
      </c>
      <c r="C19" s="7">
        <f>C7</f>
        <v>2</v>
      </c>
      <c r="D19" s="27" t="s">
        <v>28</v>
      </c>
      <c r="E19" s="10"/>
      <c r="F19" s="8"/>
    </row>
    <row r="20" spans="1:11" ht="14" x14ac:dyDescent="0.15">
      <c r="A20" s="502"/>
      <c r="B20" s="23" t="s">
        <v>19</v>
      </c>
      <c r="C20" s="16">
        <v>0</v>
      </c>
      <c r="D20" s="27" t="s">
        <v>513</v>
      </c>
      <c r="E20" s="5">
        <f>C12*0.4%*C19</f>
        <v>1600</v>
      </c>
      <c r="G20" s="42"/>
      <c r="H20" s="42"/>
      <c r="I20" s="42"/>
    </row>
    <row r="21" spans="1:11" ht="14" x14ac:dyDescent="0.15">
      <c r="A21" s="502"/>
      <c r="B21" s="23" t="s">
        <v>20</v>
      </c>
      <c r="C21" s="16">
        <v>0</v>
      </c>
      <c r="D21" s="30" t="s">
        <v>44</v>
      </c>
      <c r="G21" s="43"/>
      <c r="H21" s="43"/>
      <c r="I21" s="43"/>
    </row>
    <row r="22" spans="1:11" ht="14" x14ac:dyDescent="0.15">
      <c r="A22" s="502"/>
      <c r="B22" s="23" t="s">
        <v>21</v>
      </c>
      <c r="C22" s="16">
        <v>0</v>
      </c>
      <c r="D22" s="30" t="s">
        <v>29</v>
      </c>
      <c r="F22" s="8"/>
      <c r="J22" s="43"/>
    </row>
    <row r="23" spans="1:11" ht="14" x14ac:dyDescent="0.15">
      <c r="A23" s="502"/>
      <c r="B23" s="23" t="s">
        <v>22</v>
      </c>
      <c r="C23" s="16">
        <v>0</v>
      </c>
      <c r="D23" s="30" t="s">
        <v>29</v>
      </c>
      <c r="F23" s="41"/>
    </row>
    <row r="24" spans="1:11" ht="14" x14ac:dyDescent="0.15">
      <c r="A24" s="502"/>
      <c r="B24" s="23" t="s">
        <v>49</v>
      </c>
      <c r="C24" s="16">
        <v>0</v>
      </c>
      <c r="D24" s="30" t="s">
        <v>51</v>
      </c>
      <c r="E24" s="5">
        <f>MAX(4000,C12*6%)</f>
        <v>12000</v>
      </c>
    </row>
    <row r="25" spans="1:11" ht="24" x14ac:dyDescent="0.15">
      <c r="A25" s="503"/>
      <c r="B25" s="23" t="s">
        <v>50</v>
      </c>
      <c r="C25" s="16">
        <f>IF(C5="全国直购C",0,C24)</f>
        <v>0</v>
      </c>
      <c r="D25" s="31" t="s">
        <v>65</v>
      </c>
      <c r="E25" s="6"/>
    </row>
    <row r="27" spans="1:11" x14ac:dyDescent="0.15">
      <c r="A27" s="499" t="s">
        <v>30</v>
      </c>
      <c r="B27" s="22" t="s">
        <v>52</v>
      </c>
      <c r="C27" s="478">
        <f>ROUND(PMT(C8/12,C7*12,-1),10)</f>
        <v>4.5364239399999999E-2</v>
      </c>
      <c r="D27" s="181" t="s">
        <v>699</v>
      </c>
      <c r="E27" s="32"/>
    </row>
    <row r="28" spans="1:11" x14ac:dyDescent="0.15">
      <c r="A28" s="499"/>
      <c r="B28" s="22" t="s">
        <v>700</v>
      </c>
      <c r="C28" s="472">
        <v>1.1000000000000001</v>
      </c>
      <c r="D28" s="473" t="s">
        <v>701</v>
      </c>
      <c r="E28" s="32"/>
    </row>
    <row r="29" spans="1:11" x14ac:dyDescent="0.15">
      <c r="A29" s="499"/>
      <c r="B29" s="22" t="s">
        <v>698</v>
      </c>
      <c r="C29" s="471">
        <f>ROUNDUP(C12*C9,0)</f>
        <v>80000</v>
      </c>
      <c r="D29" s="181" t="s">
        <v>701</v>
      </c>
      <c r="E29" s="32"/>
    </row>
    <row r="30" spans="1:11" x14ac:dyDescent="0.15">
      <c r="A30" s="499"/>
      <c r="B30" s="24" t="s">
        <v>31</v>
      </c>
      <c r="C30" s="54">
        <f>ROUND(MIN(C10,C12*C28,(C12*0.3-C13)*(1+C6*C7)/(1+C6*C7-C27*C7*12)),0)</f>
        <v>200000</v>
      </c>
      <c r="D30" s="57" t="s">
        <v>708</v>
      </c>
      <c r="E30" s="40"/>
    </row>
    <row r="31" spans="1:11" x14ac:dyDescent="0.15">
      <c r="A31" s="499"/>
      <c r="B31" s="24" t="s">
        <v>33</v>
      </c>
      <c r="C31" s="54">
        <f>MAX(12500,ROUND(C12*0.3,0))</f>
        <v>60000</v>
      </c>
      <c r="D31" s="57"/>
      <c r="E31" s="40"/>
    </row>
    <row r="32" spans="1:11" x14ac:dyDescent="0.15">
      <c r="A32" s="499"/>
      <c r="B32" s="14" t="s">
        <v>32</v>
      </c>
      <c r="C32" s="55">
        <f>ROUND(MAX(C29,C12+C13-C7*C27*12*C30/(C6*C7+1)),0)</f>
        <v>80000</v>
      </c>
      <c r="D32" s="26" t="s">
        <v>702</v>
      </c>
      <c r="E32" s="40"/>
    </row>
    <row r="33" spans="1:5" x14ac:dyDescent="0.15">
      <c r="A33" s="499"/>
      <c r="B33" s="24" t="s">
        <v>34</v>
      </c>
      <c r="C33" s="56">
        <f>ROUND(C12+C13-C7*C27*12*C31/(C6*C7+1),0)</f>
        <v>152331</v>
      </c>
      <c r="D33" s="26" t="s">
        <v>703</v>
      </c>
      <c r="E33" s="40"/>
    </row>
    <row r="34" spans="1:5" x14ac:dyDescent="0.15">
      <c r="A34" s="34"/>
      <c r="B34" s="38"/>
      <c r="C34" s="39"/>
      <c r="E34" s="40"/>
    </row>
    <row r="35" spans="1:5" x14ac:dyDescent="0.15">
      <c r="A35" s="507" t="s">
        <v>37</v>
      </c>
      <c r="B35" s="24" t="s">
        <v>35</v>
      </c>
      <c r="C35" s="55">
        <f>控制台!C46</f>
        <v>80000</v>
      </c>
    </row>
    <row r="36" spans="1:5" x14ac:dyDescent="0.15">
      <c r="A36" s="508"/>
      <c r="B36" s="24" t="s">
        <v>36</v>
      </c>
      <c r="C36" s="35" t="str">
        <f>IF(AND(C35&lt;=C33,C35&gt;=C32),"是","否")</f>
        <v>是</v>
      </c>
    </row>
    <row r="37" spans="1:5" x14ac:dyDescent="0.15">
      <c r="A37" s="508"/>
      <c r="B37" s="24" t="s">
        <v>68</v>
      </c>
      <c r="C37" s="16">
        <f>ROUNDDOWN((C6*C7+1)*(C12+C13-C35)/(C27*C7*12),0)</f>
        <v>138380</v>
      </c>
    </row>
    <row r="38" spans="1:5" x14ac:dyDescent="0.15">
      <c r="A38" s="508"/>
      <c r="B38" s="24" t="s">
        <v>66</v>
      </c>
      <c r="C38" s="52" t="str">
        <f>IF((C35+C37)&gt;(1.3*C12),"NO","YES")</f>
        <v>YES</v>
      </c>
      <c r="D38" s="37"/>
    </row>
    <row r="39" spans="1:5" x14ac:dyDescent="0.15">
      <c r="A39" s="508"/>
      <c r="B39" s="24" t="s">
        <v>58</v>
      </c>
      <c r="C39" s="16">
        <f>IF(C38="NO",FALSE,C35+C37-C12-C13)</f>
        <v>10680</v>
      </c>
      <c r="D39" s="36"/>
    </row>
    <row r="40" spans="1:5" x14ac:dyDescent="0.15">
      <c r="A40" s="509"/>
      <c r="B40" s="24" t="s">
        <v>39</v>
      </c>
      <c r="C40" s="327">
        <f>IF(C38="NO",FALSE,ROUND(-PMT(C8/12,C7*12,C37),2))</f>
        <v>6277.5</v>
      </c>
      <c r="D40" s="181" t="s">
        <v>525</v>
      </c>
    </row>
    <row r="42" spans="1:5" x14ac:dyDescent="0.15">
      <c r="A42" s="499" t="s">
        <v>61</v>
      </c>
      <c r="B42" s="22" t="s">
        <v>64</v>
      </c>
      <c r="C42" s="16">
        <f>IF(C38="NO",FALSE,IF(C7=2,ROUND(C37*3.063%*C7,0),
IF(C7=3,ROUND(C37*2.866%*C7,0),
FALSE)))</f>
        <v>8477</v>
      </c>
      <c r="D42" s="49"/>
    </row>
    <row r="43" spans="1:5" x14ac:dyDescent="0.15">
      <c r="A43" s="499"/>
      <c r="B43" s="22" t="s">
        <v>63</v>
      </c>
      <c r="C43" s="16">
        <f>IF(C38="NO",FALSE,C39-C42)</f>
        <v>2203</v>
      </c>
    </row>
  </sheetData>
  <protectedRanges>
    <protectedRange algorithmName="SHA-512" hashValue="GdA60ZKSSyPa6GDdStUpEMI/UOROKazrZFwqElx5Z2K/3qLq615wE1yCq3vzOQ3jFdhsd0zBdu5UAWyk6oY/Vg==" saltValue="85V/RDINpJlUGwS4DawZaA==" spinCount="100000" sqref="C17:C19" name="贴息_1"/>
    <protectedRange algorithmName="SHA-512" hashValue="GdA60ZKSSyPa6GDdStUpEMI/UOROKazrZFwqElx5Z2K/3qLq615wE1yCq3vzOQ3jFdhsd0zBdu5UAWyk6oY/Vg==" saltValue="85V/RDINpJlUGwS4DawZaA==" spinCount="100000" sqref="C21" name="贴息_1_2"/>
    <protectedRange algorithmName="SHA-512" hashValue="GdA60ZKSSyPa6GDdStUpEMI/UOROKazrZFwqElx5Z2K/3qLq615wE1yCq3vzOQ3jFdhsd0zBdu5UAWyk6oY/Vg==" saltValue="85V/RDINpJlUGwS4DawZaA==" spinCount="100000" sqref="C5" name="贴息_1_3"/>
  </protectedRanges>
  <dataConsolidate/>
  <mergeCells count="6">
    <mergeCell ref="A42:A43"/>
    <mergeCell ref="F1:G1"/>
    <mergeCell ref="A13:A25"/>
    <mergeCell ref="A27:A33"/>
    <mergeCell ref="A6:A10"/>
    <mergeCell ref="A35:A40"/>
  </mergeCells>
  <phoneticPr fontId="17" type="noConversion"/>
  <dataValidations count="10">
    <dataValidation type="list" allowBlank="1" showInputMessage="1" showErrorMessage="1" sqref="C14">
      <formula1>"精准,非精准"</formula1>
    </dataValidation>
    <dataValidation type="list" allowBlank="1" showInputMessage="1" showErrorMessage="1" sqref="C15">
      <formula1>"国寿,人保,其他"</formula1>
    </dataValidation>
    <dataValidation type="list" allowBlank="1" showInputMessage="1" showErrorMessage="1" sqref="C16">
      <formula1>"1,2,3"</formula1>
    </dataValidation>
    <dataValidation type="list" allowBlank="1" showInputMessage="1" showErrorMessage="1" sqref="C7">
      <formula1>"2,3"</formula1>
    </dataValidation>
    <dataValidation type="list" allowBlank="1" showInputMessage="1" showErrorMessage="1" sqref="C4">
      <formula1>"All"</formula1>
    </dataValidation>
    <dataValidation type="list" allowBlank="1" showInputMessage="1" showErrorMessage="1" sqref="C2">
      <formula1>"190,370,550"</formula1>
    </dataValidation>
    <dataValidation type="list" allowBlank="1" showInputMessage="1" showErrorMessage="1" sqref="C18">
      <formula1>"0,1000,1800"</formula1>
    </dataValidation>
    <dataValidation type="list" allowBlank="1" showInputMessage="1" showErrorMessage="1" sqref="C21">
      <formula1>"0,600,700,800"</formula1>
    </dataValidation>
    <dataValidation type="list" allowBlank="1" showInputMessage="1" showErrorMessage="1" sqref="C5">
      <formula1>"自主到店B,优信带看C,全国直购C"</formula1>
    </dataValidation>
    <dataValidation type="list" allowBlank="1" showInputMessage="1" showErrorMessage="1" sqref="C1">
      <formula1>"二手车回租,二手车直租-3年"</formula1>
    </dataValidation>
  </dataValidations>
  <pageMargins left="0.7" right="0.7" top="0.75" bottom="0.75" header="0.3" footer="0.3"/>
  <pageSetup paperSize="9"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2" workbookViewId="0">
      <selection activeCell="C27" sqref="C27"/>
    </sheetView>
  </sheetViews>
  <sheetFormatPr baseColWidth="10" defaultColWidth="8.83203125" defaultRowHeight="15" x14ac:dyDescent="0.2"/>
  <cols>
    <col min="1" max="1" width="10.5" bestFit="1" customWidth="1"/>
    <col min="2" max="2" width="30.6640625" bestFit="1" customWidth="1"/>
    <col min="3" max="3" width="22.6640625" customWidth="1"/>
    <col min="4" max="4" width="53.1640625" style="135" bestFit="1" customWidth="1"/>
    <col min="5" max="5" width="9" bestFit="1" customWidth="1"/>
    <col min="6" max="6" width="9.6640625" bestFit="1" customWidth="1"/>
    <col min="7" max="7" width="10.5" customWidth="1"/>
    <col min="8" max="8" width="11.6640625" customWidth="1"/>
    <col min="9" max="9" width="2.1640625" customWidth="1"/>
    <col min="10" max="10" width="10.5" bestFit="1" customWidth="1"/>
  </cols>
  <sheetData>
    <row r="1" spans="1:12" ht="19" thickBot="1" x14ac:dyDescent="0.3">
      <c r="A1" s="58"/>
      <c r="B1" s="59" t="s">
        <v>70</v>
      </c>
      <c r="C1" s="60" t="s">
        <v>71</v>
      </c>
      <c r="D1" s="60"/>
      <c r="E1" s="512"/>
      <c r="F1" s="513"/>
      <c r="G1" s="514" t="s">
        <v>72</v>
      </c>
      <c r="H1" s="515"/>
      <c r="J1" s="516" t="s">
        <v>73</v>
      </c>
      <c r="K1" s="517"/>
    </row>
    <row r="2" spans="1:12" ht="14.25" customHeight="1" x14ac:dyDescent="0.2">
      <c r="A2" s="518"/>
      <c r="B2" s="61" t="s">
        <v>74</v>
      </c>
      <c r="C2" s="62">
        <f>控制台!C9</f>
        <v>370</v>
      </c>
      <c r="D2" s="63"/>
      <c r="E2" s="64"/>
      <c r="F2" s="65"/>
      <c r="G2" s="66" t="s">
        <v>75</v>
      </c>
      <c r="H2" s="67">
        <f>C14</f>
        <v>200000</v>
      </c>
      <c r="I2" s="68"/>
      <c r="J2" s="69" t="s">
        <v>76</v>
      </c>
      <c r="K2" s="70">
        <f>C40/(C14+C26-C37)/C6</f>
        <v>4.1835494327390595E-2</v>
      </c>
    </row>
    <row r="3" spans="1:12" ht="14.25" customHeight="1" x14ac:dyDescent="0.2">
      <c r="A3" s="519"/>
      <c r="B3" s="71" t="s">
        <v>77</v>
      </c>
      <c r="C3" s="72" t="s">
        <v>78</v>
      </c>
      <c r="D3" s="71"/>
      <c r="E3" s="64"/>
      <c r="F3" s="65"/>
      <c r="G3" s="69" t="s">
        <v>79</v>
      </c>
      <c r="H3" s="73">
        <f>C26</f>
        <v>7700</v>
      </c>
      <c r="I3" s="68"/>
      <c r="J3" s="69" t="s">
        <v>80</v>
      </c>
      <c r="K3" s="70">
        <f>C41/C38/C6</f>
        <v>3.0003633369667031E-2</v>
      </c>
    </row>
    <row r="4" spans="1:12" ht="14.25" customHeight="1" x14ac:dyDescent="0.2">
      <c r="A4" s="519"/>
      <c r="B4" s="74" t="s">
        <v>81</v>
      </c>
      <c r="C4" s="75" t="str">
        <f>控制台!D7</f>
        <v>微众A3</v>
      </c>
      <c r="D4" s="76"/>
      <c r="E4" s="64"/>
      <c r="F4" s="65"/>
      <c r="G4" s="69" t="s">
        <v>83</v>
      </c>
      <c r="H4" s="73">
        <f>C37</f>
        <v>118852</v>
      </c>
      <c r="I4" s="68"/>
      <c r="J4" s="69" t="s">
        <v>84</v>
      </c>
      <c r="K4" s="70">
        <f>C42/(C38-C41-C42)/C6</f>
        <v>8.0662104568101321E-3</v>
      </c>
    </row>
    <row r="5" spans="1:12" ht="14.25" customHeight="1" thickBot="1" x14ac:dyDescent="0.25">
      <c r="A5" s="519"/>
      <c r="B5" s="74" t="s">
        <v>85</v>
      </c>
      <c r="C5" s="71">
        <f>控制台!F40</f>
        <v>0.08</v>
      </c>
      <c r="D5" s="76"/>
      <c r="E5" s="64"/>
      <c r="F5" s="65"/>
      <c r="G5" s="69" t="s">
        <v>86</v>
      </c>
      <c r="H5" s="77">
        <f>C6*12</f>
        <v>36</v>
      </c>
      <c r="I5" s="68"/>
      <c r="J5" s="69" t="s">
        <v>87</v>
      </c>
      <c r="K5" s="70">
        <f>(H7*H5+H4-H2-H3)/(H2+H3-H4)/C6</f>
        <v>8.9898703403565719E-2</v>
      </c>
    </row>
    <row r="6" spans="1:12" ht="14.25" customHeight="1" thickBot="1" x14ac:dyDescent="0.25">
      <c r="A6" s="519"/>
      <c r="B6" s="74" t="s">
        <v>88</v>
      </c>
      <c r="C6" s="78">
        <f>控制台!C10</f>
        <v>3</v>
      </c>
      <c r="D6" s="76"/>
      <c r="E6" s="64"/>
      <c r="F6" s="65"/>
      <c r="G6" s="66" t="s">
        <v>89</v>
      </c>
      <c r="H6" s="67">
        <f>C38</f>
        <v>99999</v>
      </c>
      <c r="J6" s="79" t="s">
        <v>90</v>
      </c>
      <c r="K6" s="80">
        <f>(H7*H5+H4-H2-H3-C42)/(H2+H3-H4+C42)/C6</f>
        <v>7.9899045400265281E-2</v>
      </c>
    </row>
    <row r="7" spans="1:12" ht="14.25" customHeight="1" x14ac:dyDescent="0.2">
      <c r="A7" s="519"/>
      <c r="B7" s="74" t="s">
        <v>91</v>
      </c>
      <c r="C7" s="333" t="str">
        <f>控制台!C11</f>
        <v>全国直购C</v>
      </c>
      <c r="D7" s="76"/>
      <c r="E7" s="64"/>
      <c r="F7" s="65"/>
      <c r="G7" s="69" t="s">
        <v>92</v>
      </c>
      <c r="H7" s="81">
        <f>C39</f>
        <v>3133.61</v>
      </c>
    </row>
    <row r="8" spans="1:12" ht="14.25" customHeight="1" x14ac:dyDescent="0.2">
      <c r="A8" s="519"/>
      <c r="B8" s="82" t="s">
        <v>93</v>
      </c>
      <c r="C8" s="83"/>
      <c r="D8" s="84"/>
      <c r="E8" s="64"/>
      <c r="F8" s="65"/>
      <c r="G8" s="69" t="s">
        <v>94</v>
      </c>
      <c r="H8" s="81">
        <f>H7*H5</f>
        <v>112809.96</v>
      </c>
    </row>
    <row r="9" spans="1:12" ht="14.25" customHeight="1" thickBot="1" x14ac:dyDescent="0.25">
      <c r="A9" s="520"/>
      <c r="B9" s="85" t="s">
        <v>87</v>
      </c>
      <c r="C9" s="86">
        <f>控制台!F39</f>
        <v>8.9900000000000008E-2</v>
      </c>
      <c r="D9" s="85" t="s">
        <v>95</v>
      </c>
      <c r="E9" s="64"/>
      <c r="F9" s="65"/>
      <c r="G9" s="79" t="s">
        <v>87</v>
      </c>
      <c r="H9" s="87">
        <f>(H8+H4-H2-H3)/(H2+H3-H4)/H5*12</f>
        <v>8.9898703403565733E-2</v>
      </c>
    </row>
    <row r="10" spans="1:12" ht="15" customHeight="1" x14ac:dyDescent="0.2">
      <c r="A10" s="506" t="s">
        <v>96</v>
      </c>
      <c r="B10" s="61" t="s">
        <v>97</v>
      </c>
      <c r="C10" s="88">
        <f>控制台!F37</f>
        <v>0.4</v>
      </c>
      <c r="D10" s="61"/>
      <c r="E10" s="64"/>
      <c r="F10" s="64"/>
      <c r="G10" s="89"/>
    </row>
    <row r="11" spans="1:12" ht="18" x14ac:dyDescent="0.2">
      <c r="A11" s="521"/>
      <c r="B11" s="74" t="s">
        <v>98</v>
      </c>
      <c r="C11" s="75" t="str">
        <f>IF(AND(C4&lt;&gt;"其他",C14&lt;=120000,C10&gt;30%,C2=370),"是","否")</f>
        <v>否</v>
      </c>
      <c r="D11" s="74"/>
      <c r="E11" s="64"/>
      <c r="F11" s="64"/>
    </row>
    <row r="12" spans="1:12" ht="15" customHeight="1" x14ac:dyDescent="0.2">
      <c r="A12" s="504"/>
      <c r="B12" s="82" t="s">
        <v>99</v>
      </c>
      <c r="C12" s="90">
        <v>0.3</v>
      </c>
      <c r="D12" s="74"/>
      <c r="E12" s="64"/>
      <c r="F12" s="64"/>
    </row>
    <row r="13" spans="1:12" ht="15" customHeight="1" thickBot="1" x14ac:dyDescent="0.25">
      <c r="A13" s="522"/>
      <c r="B13" s="85" t="s">
        <v>100</v>
      </c>
      <c r="C13" s="91">
        <f>C10</f>
        <v>0.4</v>
      </c>
      <c r="D13" s="85"/>
      <c r="E13" s="64"/>
      <c r="F13" s="64"/>
    </row>
    <row r="14" spans="1:12" ht="16" thickBot="1" x14ac:dyDescent="0.25">
      <c r="A14" s="92" t="s">
        <v>101</v>
      </c>
      <c r="B14" s="93" t="s">
        <v>102</v>
      </c>
      <c r="C14" s="332">
        <f>控制台!C1</f>
        <v>200000</v>
      </c>
      <c r="D14" s="94"/>
      <c r="E14" s="95" t="s">
        <v>103</v>
      </c>
      <c r="F14" s="96" t="s">
        <v>104</v>
      </c>
      <c r="K14" s="97"/>
      <c r="L14" s="97"/>
    </row>
    <row r="15" spans="1:12" x14ac:dyDescent="0.2">
      <c r="A15" s="502" t="s">
        <v>105</v>
      </c>
      <c r="B15" s="98" t="s">
        <v>106</v>
      </c>
      <c r="C15" s="99" t="s">
        <v>107</v>
      </c>
      <c r="D15" s="100"/>
      <c r="E15" s="101"/>
      <c r="F15" s="101"/>
      <c r="L15" s="97"/>
    </row>
    <row r="16" spans="1:12" x14ac:dyDescent="0.2">
      <c r="A16" s="502"/>
      <c r="B16" s="98" t="s">
        <v>108</v>
      </c>
      <c r="C16" s="102">
        <v>0</v>
      </c>
      <c r="D16" s="100"/>
      <c r="E16" s="101">
        <v>2000</v>
      </c>
      <c r="F16" s="101" t="s">
        <v>109</v>
      </c>
    </row>
    <row r="17" spans="1:13" x14ac:dyDescent="0.2">
      <c r="A17" s="502"/>
      <c r="B17" s="103" t="s">
        <v>110</v>
      </c>
      <c r="C17" s="104">
        <v>0</v>
      </c>
      <c r="D17" s="105" t="s">
        <v>111</v>
      </c>
      <c r="E17" s="101" t="s">
        <v>112</v>
      </c>
      <c r="F17" s="101" t="s">
        <v>109</v>
      </c>
    </row>
    <row r="18" spans="1:13" x14ac:dyDescent="0.2">
      <c r="A18" s="502"/>
      <c r="B18" s="103" t="s">
        <v>113</v>
      </c>
      <c r="C18" s="106">
        <v>0</v>
      </c>
      <c r="D18" s="105" t="s">
        <v>114</v>
      </c>
      <c r="E18" s="101"/>
      <c r="F18" s="101" t="s">
        <v>109</v>
      </c>
      <c r="G18" s="69"/>
      <c r="H18" s="69"/>
      <c r="I18" s="69"/>
      <c r="J18" s="69"/>
      <c r="K18" s="89"/>
      <c r="L18" s="69"/>
      <c r="M18" s="69"/>
    </row>
    <row r="19" spans="1:13" x14ac:dyDescent="0.2">
      <c r="A19" s="502"/>
      <c r="B19" s="103" t="s">
        <v>115</v>
      </c>
      <c r="C19" s="106">
        <v>0</v>
      </c>
      <c r="D19" s="105" t="s">
        <v>114</v>
      </c>
      <c r="E19" s="101"/>
      <c r="F19" s="101" t="s">
        <v>109</v>
      </c>
      <c r="G19" s="69"/>
      <c r="H19" s="107"/>
      <c r="I19" s="108"/>
      <c r="J19" s="108"/>
      <c r="K19" s="89"/>
      <c r="L19" s="69"/>
      <c r="M19" s="69"/>
    </row>
    <row r="20" spans="1:13" x14ac:dyDescent="0.2">
      <c r="A20" s="502"/>
      <c r="B20" s="103" t="s">
        <v>116</v>
      </c>
      <c r="C20" s="106">
        <f>SUM(C16:C19)</f>
        <v>0</v>
      </c>
      <c r="D20" s="109" t="s">
        <v>583</v>
      </c>
      <c r="E20" s="101">
        <v>5300</v>
      </c>
      <c r="F20" s="101"/>
      <c r="G20" s="69"/>
      <c r="H20" s="107"/>
      <c r="I20" s="108"/>
      <c r="J20" s="108"/>
      <c r="K20" s="89"/>
      <c r="L20" s="69"/>
      <c r="M20" s="69"/>
    </row>
    <row r="21" spans="1:13" x14ac:dyDescent="0.2">
      <c r="A21" s="502"/>
      <c r="B21" s="103" t="s">
        <v>117</v>
      </c>
      <c r="C21" s="104">
        <v>0</v>
      </c>
      <c r="D21" s="105" t="s">
        <v>118</v>
      </c>
      <c r="E21" s="101">
        <f>ROUND(C14*C6*0.4%,0)</f>
        <v>2400</v>
      </c>
      <c r="F21" s="101" t="s">
        <v>109</v>
      </c>
      <c r="G21" s="89"/>
      <c r="H21" s="89"/>
      <c r="I21" s="89"/>
      <c r="J21" s="89"/>
      <c r="K21" s="89"/>
      <c r="L21" s="89"/>
      <c r="M21" s="89"/>
    </row>
    <row r="22" spans="1:13" x14ac:dyDescent="0.2">
      <c r="A22" s="502"/>
      <c r="B22" s="103" t="s">
        <v>119</v>
      </c>
      <c r="C22" s="106" t="s">
        <v>23</v>
      </c>
      <c r="D22" s="110"/>
      <c r="E22" s="101"/>
      <c r="F22" s="101"/>
      <c r="G22" s="89"/>
      <c r="H22" s="89"/>
      <c r="I22" s="89"/>
      <c r="J22" s="89"/>
      <c r="K22" s="89"/>
      <c r="L22" s="89"/>
      <c r="M22" s="89"/>
    </row>
    <row r="23" spans="1:13" x14ac:dyDescent="0.2">
      <c r="A23" s="502"/>
      <c r="B23" s="103" t="s">
        <v>120</v>
      </c>
      <c r="C23" s="111">
        <v>1</v>
      </c>
      <c r="D23" s="105"/>
      <c r="E23" s="101"/>
      <c r="F23" s="101"/>
      <c r="G23" s="89"/>
      <c r="H23" s="89"/>
      <c r="I23" s="89"/>
      <c r="J23" s="89"/>
      <c r="K23" s="89"/>
      <c r="L23" s="89"/>
      <c r="M23" s="89"/>
    </row>
    <row r="24" spans="1:13" x14ac:dyDescent="0.2">
      <c r="A24" s="502"/>
      <c r="B24" s="103" t="s">
        <v>121</v>
      </c>
      <c r="C24" s="104">
        <v>0</v>
      </c>
      <c r="D24" s="105"/>
      <c r="E24" s="101">
        <f>IF(C22="精准",ROUND(IF(C23=1,C14*7%,IF(C23=2,IF(C14&gt;100000,MAX(C14*12%,14000),C14*14%),IF(C23=3,IF(C14&gt;100000,MAX(C14*18%,22000),C14*22%)))),0),MIN(C14*5%,7000))</f>
        <v>14000</v>
      </c>
      <c r="F24" s="101" t="s">
        <v>109</v>
      </c>
      <c r="G24" s="89"/>
      <c r="H24" s="89"/>
      <c r="I24" s="89"/>
      <c r="J24" s="89"/>
      <c r="K24" s="89"/>
      <c r="L24" s="89"/>
      <c r="M24" s="89"/>
    </row>
    <row r="25" spans="1:13" x14ac:dyDescent="0.2">
      <c r="A25" s="502"/>
      <c r="B25" s="103" t="s">
        <v>122</v>
      </c>
      <c r="C25" s="104">
        <f>E25</f>
        <v>0</v>
      </c>
      <c r="D25" s="105" t="s">
        <v>123</v>
      </c>
      <c r="E25" s="101">
        <f>IF(C7="全国直购C",0,MAX(ROUND(C14*6%,0),4000))</f>
        <v>0</v>
      </c>
      <c r="F25" s="101" t="s">
        <v>109</v>
      </c>
    </row>
    <row r="26" spans="1:13" ht="16" thickBot="1" x14ac:dyDescent="0.25">
      <c r="A26" s="502"/>
      <c r="B26" s="112" t="s">
        <v>79</v>
      </c>
      <c r="C26" s="113">
        <f>控制台!C29</f>
        <v>7700</v>
      </c>
      <c r="D26" s="114" t="s">
        <v>124</v>
      </c>
      <c r="E26" s="115"/>
      <c r="F26" s="115"/>
    </row>
    <row r="27" spans="1:13" ht="14.25" customHeight="1" x14ac:dyDescent="0.2">
      <c r="A27" s="510" t="s">
        <v>125</v>
      </c>
      <c r="B27" s="116" t="s">
        <v>126</v>
      </c>
      <c r="C27" s="479">
        <f>ROUND(PMT(C5/12,C6*12,-1),10)</f>
        <v>3.1336365499999998E-2</v>
      </c>
      <c r="D27" s="136" t="s">
        <v>704</v>
      </c>
      <c r="E27" s="118"/>
      <c r="F27" s="118"/>
      <c r="G27" s="119"/>
      <c r="H27" s="120"/>
    </row>
    <row r="28" spans="1:13" s="4" customFormat="1" ht="12" x14ac:dyDescent="0.15">
      <c r="A28" s="502"/>
      <c r="B28" s="22" t="s">
        <v>700</v>
      </c>
      <c r="C28" s="472">
        <v>3</v>
      </c>
      <c r="D28" s="473" t="s">
        <v>705</v>
      </c>
      <c r="E28" s="32"/>
    </row>
    <row r="29" spans="1:13" s="4" customFormat="1" ht="12" x14ac:dyDescent="0.15">
      <c r="A29" s="502"/>
      <c r="B29" s="22" t="s">
        <v>698</v>
      </c>
      <c r="C29" s="471">
        <f>ROUNDUP(C14*C13,0)</f>
        <v>80000</v>
      </c>
      <c r="D29" s="181" t="s">
        <v>701</v>
      </c>
      <c r="E29" s="32"/>
    </row>
    <row r="30" spans="1:13" ht="14.25" customHeight="1" x14ac:dyDescent="0.2">
      <c r="A30" s="502"/>
      <c r="B30" s="103" t="s">
        <v>127</v>
      </c>
      <c r="C30" s="121">
        <f>控制台!F38</f>
        <v>100000</v>
      </c>
      <c r="D30" s="103"/>
      <c r="E30" s="118"/>
    </row>
    <row r="31" spans="1:13" ht="14.25" customHeight="1" x14ac:dyDescent="0.2">
      <c r="A31" s="502"/>
      <c r="B31" s="103" t="s">
        <v>128</v>
      </c>
      <c r="C31" s="122">
        <f>ROUND(MIN(C30,C14*C28),0)</f>
        <v>100000</v>
      </c>
      <c r="D31" s="136" t="s">
        <v>706</v>
      </c>
      <c r="E31" s="118"/>
      <c r="F31" s="118"/>
      <c r="G31" s="119"/>
      <c r="H31" s="120"/>
    </row>
    <row r="32" spans="1:13" ht="14.25" customHeight="1" x14ac:dyDescent="0.2">
      <c r="A32" s="502"/>
      <c r="B32" s="103" t="s">
        <v>129</v>
      </c>
      <c r="C32" s="122">
        <f>MAX(12500,ROUND(C14*0.3,0))</f>
        <v>60000</v>
      </c>
      <c r="D32" s="57" t="s">
        <v>526</v>
      </c>
      <c r="E32" s="118"/>
      <c r="F32" s="118"/>
      <c r="G32" s="119"/>
      <c r="H32" s="120"/>
    </row>
    <row r="33" spans="1:8" ht="14.25" customHeight="1" x14ac:dyDescent="0.2">
      <c r="A33" s="502"/>
      <c r="B33" s="103" t="s">
        <v>130</v>
      </c>
      <c r="C33" s="122">
        <f>ROUND(MAX(C29,C14+C26-C6*C27*12*C31/(C9*C6+1)),0)</f>
        <v>118852</v>
      </c>
      <c r="D33" s="103" t="s">
        <v>707</v>
      </c>
      <c r="E33" s="118"/>
      <c r="F33" s="118"/>
      <c r="G33" s="119"/>
      <c r="H33" s="120"/>
    </row>
    <row r="34" spans="1:8" ht="14.25" customHeight="1" x14ac:dyDescent="0.2">
      <c r="A34" s="502"/>
      <c r="B34" s="103" t="s">
        <v>131</v>
      </c>
      <c r="C34" s="122">
        <f>ROUND(C14+C26-C6*C27*12*C32/(C9*C6+1),0)</f>
        <v>154391</v>
      </c>
      <c r="D34" s="103"/>
      <c r="E34" s="118"/>
      <c r="F34" s="118"/>
      <c r="G34" s="119"/>
      <c r="H34" s="120"/>
    </row>
    <row r="35" spans="1:8" ht="14.25" customHeight="1" x14ac:dyDescent="0.2">
      <c r="A35" s="502"/>
      <c r="B35" s="103" t="s">
        <v>132</v>
      </c>
      <c r="C35" s="111">
        <f>控制台!F47</f>
        <v>118852</v>
      </c>
      <c r="D35" s="103"/>
      <c r="E35" s="118"/>
      <c r="F35" s="118"/>
      <c r="G35" s="119"/>
      <c r="H35" s="120"/>
    </row>
    <row r="36" spans="1:8" ht="14.25" customHeight="1" thickBot="1" x14ac:dyDescent="0.25">
      <c r="A36" s="511"/>
      <c r="B36" s="123" t="s">
        <v>133</v>
      </c>
      <c r="C36" s="124" t="str">
        <f>IF(C35&gt;C34,"否",IF(C35&lt;C33,"否","是"))</f>
        <v>是</v>
      </c>
      <c r="D36" s="125"/>
      <c r="E36" s="118"/>
      <c r="F36" s="118"/>
      <c r="G36" s="119"/>
      <c r="H36" s="120"/>
    </row>
    <row r="37" spans="1:8" ht="14.25" customHeight="1" x14ac:dyDescent="0.2">
      <c r="A37" s="502" t="s">
        <v>134</v>
      </c>
      <c r="B37" s="126" t="s">
        <v>135</v>
      </c>
      <c r="C37" s="127">
        <f>IF(C36="是",C35,"FLASE")</f>
        <v>118852</v>
      </c>
      <c r="D37" s="117"/>
      <c r="E37" s="118"/>
      <c r="F37" s="118"/>
      <c r="G37" s="119"/>
      <c r="H37" s="120"/>
    </row>
    <row r="38" spans="1:8" ht="14.25" customHeight="1" x14ac:dyDescent="0.2">
      <c r="A38" s="502"/>
      <c r="B38" s="128" t="s">
        <v>136</v>
      </c>
      <c r="C38" s="129">
        <f>ROUNDDOWN((C9*C6+1)*(C14+C26-C37)/(C27*C6*12),0)</f>
        <v>99999</v>
      </c>
      <c r="D38" s="103"/>
      <c r="E38" s="118"/>
      <c r="F38" s="118"/>
      <c r="G38" s="119"/>
      <c r="H38" s="120"/>
    </row>
    <row r="39" spans="1:8" ht="14.25" customHeight="1" x14ac:dyDescent="0.2">
      <c r="A39" s="502"/>
      <c r="B39" s="103" t="s">
        <v>137</v>
      </c>
      <c r="C39" s="130">
        <f>ROUND(-PMT(C5/12,C6*12,C38),2)</f>
        <v>3133.61</v>
      </c>
      <c r="D39" s="103"/>
      <c r="E39" s="118"/>
      <c r="F39" s="118"/>
      <c r="G39" s="119"/>
      <c r="H39" s="120"/>
    </row>
    <row r="40" spans="1:8" ht="14.25" customHeight="1" x14ac:dyDescent="0.2">
      <c r="A40" s="502"/>
      <c r="B40" s="128" t="s">
        <v>138</v>
      </c>
      <c r="C40" s="129">
        <f>C37+C38-C14-C26</f>
        <v>11151</v>
      </c>
      <c r="D40" s="103" t="s">
        <v>139</v>
      </c>
      <c r="E40" s="95" t="s">
        <v>103</v>
      </c>
      <c r="F40" s="96" t="s">
        <v>104</v>
      </c>
      <c r="G40" s="119"/>
      <c r="H40" s="120"/>
    </row>
    <row r="41" spans="1:8" ht="14.25" customHeight="1" x14ac:dyDescent="0.2">
      <c r="A41" s="502"/>
      <c r="B41" s="128" t="s">
        <v>140</v>
      </c>
      <c r="C41" s="129">
        <f>IF(C6=2,ROUND(C38*3.2048%*C6,0),IF(C6=3,ROUND(C38*3.0004%*C6,0),FALSE))</f>
        <v>9001</v>
      </c>
      <c r="D41" s="103" t="s">
        <v>632</v>
      </c>
      <c r="E41" s="101">
        <f>ROUND((C38-C41)*3.58%*C6,0)</f>
        <v>9773</v>
      </c>
      <c r="F41" s="101" t="s">
        <v>636</v>
      </c>
      <c r="G41" s="119"/>
      <c r="H41" s="120"/>
    </row>
    <row r="42" spans="1:8" ht="14.25" customHeight="1" x14ac:dyDescent="0.2">
      <c r="A42" s="502"/>
      <c r="B42" s="103" t="s">
        <v>141</v>
      </c>
      <c r="C42" s="131">
        <f>IF(C40-C41&lt;0,0,C40-C41)</f>
        <v>2150</v>
      </c>
      <c r="D42" s="103" t="s">
        <v>635</v>
      </c>
      <c r="E42" s="101">
        <f>IF(C7="全国直购C",ROUND(MAX(C14*6%,4000),0),0)</f>
        <v>12000</v>
      </c>
      <c r="F42" s="101" t="s">
        <v>636</v>
      </c>
      <c r="G42" s="119"/>
      <c r="H42" s="120"/>
    </row>
    <row r="43" spans="1:8" x14ac:dyDescent="0.2">
      <c r="A43" s="502"/>
      <c r="B43" s="2" t="s">
        <v>142</v>
      </c>
      <c r="C43" s="132">
        <f>C37/C14</f>
        <v>0.59426000000000001</v>
      </c>
      <c r="D43" s="128"/>
      <c r="E43" s="133"/>
      <c r="F43" s="133"/>
      <c r="G43" s="133"/>
      <c r="H43" s="134"/>
    </row>
  </sheetData>
  <protectedRanges>
    <protectedRange algorithmName="SHA-512" hashValue="1dBehODuA4cO9trCJOcVgHFBtaX6aOD+GTjLuA9YvkGxhMJPPa8fZs4JnVm5dA6dVhj9UWnxS+SPqqkIPvllNA==" saltValue="07aq4mwwHKfrO0N/oTtQ3A==" spinCount="100000" sqref="C36:C38 C40" name="客户首付款_2_1"/>
  </protectedRanges>
  <mergeCells count="8">
    <mergeCell ref="A27:A36"/>
    <mergeCell ref="A37:A43"/>
    <mergeCell ref="E1:F1"/>
    <mergeCell ref="G1:H1"/>
    <mergeCell ref="J1:K1"/>
    <mergeCell ref="A2:A9"/>
    <mergeCell ref="A10:A13"/>
    <mergeCell ref="A15:A26"/>
  </mergeCells>
  <phoneticPr fontId="17" type="noConversion"/>
  <dataValidations count="10">
    <dataValidation type="list" allowBlank="1" showInputMessage="1" showErrorMessage="1" sqref="C2">
      <formula1>"370,550"</formula1>
    </dataValidation>
    <dataValidation type="list" allowBlank="1" showInputMessage="1" showErrorMessage="1" sqref="C4">
      <formula1>"微众白户,微众A3,其他"</formula1>
    </dataValidation>
    <dataValidation type="list" allowBlank="1" showInputMessage="1" showErrorMessage="1" sqref="C6">
      <formula1>"2,3"</formula1>
    </dataValidation>
    <dataValidation type="list" allowBlank="1" showInputMessage="1" showErrorMessage="1" sqref="C22">
      <formula1>"精准,非精准"</formula1>
    </dataValidation>
    <dataValidation type="list" allowBlank="1" showInputMessage="1" showErrorMessage="1" sqref="C23">
      <formula1>"1,2,3"</formula1>
    </dataValidation>
    <dataValidation showInputMessage="1" showErrorMessage="1" sqref="C40 C36:C38"/>
    <dataValidation type="list" allowBlank="1" showInputMessage="1" showErrorMessage="1" sqref="C7">
      <formula1>"全国直购C,优信带看C,自主到店B"</formula1>
    </dataValidation>
    <dataValidation type="list" allowBlank="1" showInputMessage="1" showErrorMessage="1" sqref="C10">
      <formula1>"30%,50%"</formula1>
    </dataValidation>
    <dataValidation type="list" allowBlank="1" showInputMessage="1" showErrorMessage="1" sqref="C15">
      <formula1>"是,否"</formula1>
    </dataValidation>
    <dataValidation type="list" allowBlank="1" showInputMessage="1" showErrorMessage="1" sqref="C8">
      <formula1>"回租私户,回租公户"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C34" sqref="C34"/>
    </sheetView>
  </sheetViews>
  <sheetFormatPr baseColWidth="10" defaultColWidth="6.1640625" defaultRowHeight="13" x14ac:dyDescent="0.2"/>
  <cols>
    <col min="1" max="1" width="10.1640625" style="183" bestFit="1" customWidth="1"/>
    <col min="2" max="2" width="29.33203125" style="183" bestFit="1" customWidth="1"/>
    <col min="3" max="3" width="12.6640625" style="230" bestFit="1" customWidth="1"/>
    <col min="4" max="4" width="15" style="183" customWidth="1"/>
    <col min="5" max="5" width="12.1640625" style="183" customWidth="1"/>
    <col min="6" max="6" width="30" style="183" bestFit="1" customWidth="1"/>
    <col min="7" max="7" width="11" style="183" bestFit="1" customWidth="1"/>
    <col min="8" max="8" width="17.1640625" style="183" bestFit="1" customWidth="1"/>
    <col min="9" max="9" width="17.6640625" style="183" bestFit="1" customWidth="1"/>
    <col min="10" max="10" width="22.5" style="183" bestFit="1" customWidth="1"/>
    <col min="11" max="11" width="8.33203125" style="183" bestFit="1" customWidth="1"/>
    <col min="12" max="13" width="14.6640625" style="183" bestFit="1" customWidth="1"/>
    <col min="14" max="14" width="8.33203125" style="183" bestFit="1" customWidth="1"/>
    <col min="15" max="16384" width="6.1640625" style="183"/>
  </cols>
  <sheetData>
    <row r="1" spans="1:10" ht="15" x14ac:dyDescent="0.2">
      <c r="A1" s="182" t="s">
        <v>144</v>
      </c>
      <c r="F1" s="535" t="s">
        <v>145</v>
      </c>
      <c r="G1" s="536"/>
      <c r="H1" s="537"/>
    </row>
    <row r="2" spans="1:10" ht="15" x14ac:dyDescent="0.2">
      <c r="A2" s="524" t="s">
        <v>8</v>
      </c>
      <c r="B2" s="184" t="s">
        <v>146</v>
      </c>
      <c r="C2" s="356">
        <f>控制台!C10</f>
        <v>3</v>
      </c>
      <c r="D2" s="185" t="s">
        <v>147</v>
      </c>
      <c r="E2" s="186" t="s">
        <v>148</v>
      </c>
      <c r="F2" s="187" t="s">
        <v>149</v>
      </c>
      <c r="G2" s="187" t="s">
        <v>150</v>
      </c>
      <c r="H2" s="187" t="s">
        <v>151</v>
      </c>
      <c r="I2" s="523" t="s">
        <v>55</v>
      </c>
      <c r="J2" s="523"/>
    </row>
    <row r="3" spans="1:10" ht="15" x14ac:dyDescent="0.2">
      <c r="A3" s="524"/>
      <c r="B3" s="184" t="s">
        <v>152</v>
      </c>
      <c r="C3" s="200">
        <v>190</v>
      </c>
      <c r="D3" s="184"/>
      <c r="E3" s="184"/>
      <c r="F3" s="188" t="s">
        <v>153</v>
      </c>
      <c r="G3" s="189" t="s">
        <v>540</v>
      </c>
      <c r="H3" s="190"/>
      <c r="I3" s="183" t="s">
        <v>154</v>
      </c>
      <c r="J3" s="191">
        <f>C40</f>
        <v>217779</v>
      </c>
    </row>
    <row r="4" spans="1:10" ht="15" x14ac:dyDescent="0.2">
      <c r="A4" s="524"/>
      <c r="B4" s="192" t="s">
        <v>155</v>
      </c>
      <c r="C4" s="200" t="s">
        <v>156</v>
      </c>
      <c r="D4" s="184"/>
      <c r="E4" s="184"/>
      <c r="F4" s="188" t="s">
        <v>157</v>
      </c>
      <c r="G4" s="189" t="s">
        <v>23</v>
      </c>
      <c r="H4" s="193"/>
      <c r="I4" s="183" t="s">
        <v>158</v>
      </c>
      <c r="J4" s="183">
        <f>C9</f>
        <v>7700</v>
      </c>
    </row>
    <row r="5" spans="1:10" ht="15" x14ac:dyDescent="0.2">
      <c r="A5" s="524"/>
      <c r="B5" s="184" t="s">
        <v>5</v>
      </c>
      <c r="C5" s="357">
        <f>控制台!F67</f>
        <v>0.1</v>
      </c>
      <c r="D5" s="184"/>
      <c r="E5" s="184"/>
      <c r="F5" s="188" t="s">
        <v>159</v>
      </c>
      <c r="G5" s="189">
        <v>3</v>
      </c>
      <c r="H5" s="194" t="s">
        <v>160</v>
      </c>
      <c r="I5" s="183" t="s">
        <v>60</v>
      </c>
      <c r="J5" s="191">
        <f>C37</f>
        <v>64870</v>
      </c>
    </row>
    <row r="6" spans="1:10" ht="15" x14ac:dyDescent="0.2">
      <c r="A6" s="524"/>
      <c r="B6" s="183" t="s">
        <v>161</v>
      </c>
      <c r="C6" s="358">
        <f>控制台!F68</f>
        <v>200000</v>
      </c>
      <c r="D6" s="184" t="s">
        <v>162</v>
      </c>
      <c r="E6" s="184"/>
      <c r="F6" s="188" t="s">
        <v>163</v>
      </c>
      <c r="G6" s="189">
        <v>3</v>
      </c>
      <c r="H6" s="194" t="s">
        <v>160</v>
      </c>
      <c r="I6" s="183" t="s">
        <v>164</v>
      </c>
      <c r="J6" s="183">
        <f>C2</f>
        <v>3</v>
      </c>
    </row>
    <row r="7" spans="1:10" ht="15" x14ac:dyDescent="0.2">
      <c r="A7" s="184"/>
      <c r="B7" s="195" t="s">
        <v>165</v>
      </c>
      <c r="C7" s="359">
        <f>控制台!F68</f>
        <v>200000</v>
      </c>
      <c r="E7" s="184"/>
      <c r="F7" s="188" t="s">
        <v>166</v>
      </c>
      <c r="G7" s="196">
        <f>IF(OR(G4="非精准",G6=1,G3="否"),1,1.15)</f>
        <v>1</v>
      </c>
      <c r="H7" s="193"/>
      <c r="I7" s="183" t="s">
        <v>38</v>
      </c>
      <c r="J7" s="191">
        <f>C38</f>
        <v>160609</v>
      </c>
    </row>
    <row r="8" spans="1:10" ht="15" x14ac:dyDescent="0.2">
      <c r="A8" s="524" t="s">
        <v>11</v>
      </c>
      <c r="B8" s="184" t="s">
        <v>167</v>
      </c>
      <c r="C8" s="356">
        <f>控制台!C1</f>
        <v>200000</v>
      </c>
      <c r="D8" s="184"/>
      <c r="E8" s="184"/>
      <c r="F8" s="188" t="s">
        <v>168</v>
      </c>
      <c r="G8" s="197" t="s">
        <v>169</v>
      </c>
      <c r="H8" s="193"/>
      <c r="I8" s="183" t="s">
        <v>57</v>
      </c>
      <c r="J8" s="198">
        <f>C42</f>
        <v>4981.2</v>
      </c>
    </row>
    <row r="9" spans="1:10" ht="15" x14ac:dyDescent="0.2">
      <c r="A9" s="524"/>
      <c r="B9" s="195" t="s">
        <v>158</v>
      </c>
      <c r="C9" s="356">
        <f>控制台!C29</f>
        <v>7700</v>
      </c>
      <c r="D9" s="184"/>
      <c r="E9" s="184"/>
      <c r="F9" s="188" t="s">
        <v>170</v>
      </c>
      <c r="G9" s="189">
        <v>0</v>
      </c>
      <c r="H9" s="193">
        <f>IF(C8&gt;80000,1800,1000)</f>
        <v>1800</v>
      </c>
    </row>
    <row r="10" spans="1:10" ht="15" x14ac:dyDescent="0.2">
      <c r="A10" s="524"/>
      <c r="B10" s="195" t="s">
        <v>171</v>
      </c>
      <c r="C10" s="200" t="str">
        <f>G4</f>
        <v>精准</v>
      </c>
      <c r="D10" s="184"/>
      <c r="E10" s="184"/>
      <c r="F10" s="188" t="s">
        <v>172</v>
      </c>
      <c r="G10" s="189">
        <v>0</v>
      </c>
      <c r="H10" s="194" t="s">
        <v>173</v>
      </c>
    </row>
    <row r="11" spans="1:10" ht="15" x14ac:dyDescent="0.2">
      <c r="A11" s="524"/>
      <c r="B11" s="195" t="s">
        <v>174</v>
      </c>
      <c r="C11" s="201">
        <f>IF(G3="是",G16,0)</f>
        <v>0</v>
      </c>
      <c r="D11" s="184"/>
      <c r="E11" s="202"/>
      <c r="F11" s="188" t="s">
        <v>175</v>
      </c>
      <c r="G11" s="189">
        <v>0</v>
      </c>
      <c r="H11" s="194" t="s">
        <v>176</v>
      </c>
    </row>
    <row r="12" spans="1:10" ht="15" x14ac:dyDescent="0.2">
      <c r="A12" s="524"/>
      <c r="B12" s="195" t="s">
        <v>177</v>
      </c>
      <c r="C12" s="201">
        <f>IF(G3="是",G9,0)</f>
        <v>0</v>
      </c>
      <c r="D12" s="184"/>
      <c r="E12" s="202"/>
      <c r="F12" s="188" t="s">
        <v>178</v>
      </c>
      <c r="G12" s="189">
        <v>0</v>
      </c>
      <c r="H12" s="194" t="s">
        <v>176</v>
      </c>
    </row>
    <row r="13" spans="1:10" ht="15" x14ac:dyDescent="0.2">
      <c r="A13" s="524"/>
      <c r="B13" s="187" t="s">
        <v>179</v>
      </c>
      <c r="C13" s="203">
        <f>IF(G3="是",G5,0)</f>
        <v>0</v>
      </c>
      <c r="D13" s="184"/>
      <c r="E13" s="202"/>
      <c r="F13" s="188" t="s">
        <v>180</v>
      </c>
      <c r="G13" s="196">
        <v>0</v>
      </c>
      <c r="H13" s="193"/>
    </row>
    <row r="14" spans="1:10" ht="15" x14ac:dyDescent="0.2">
      <c r="A14" s="524"/>
      <c r="B14" s="187" t="s">
        <v>181</v>
      </c>
      <c r="C14" s="201">
        <f>IF(G3="是",G13,0)</f>
        <v>0</v>
      </c>
      <c r="D14" s="184"/>
      <c r="E14" s="202"/>
      <c r="F14" s="188" t="s">
        <v>182</v>
      </c>
      <c r="G14" s="189">
        <v>0</v>
      </c>
      <c r="H14" s="193">
        <f>IF(C20="自主到店B",ROUND(C8*0.7*C19,0),ROUND((C8+C8*(1-C5)*C25*C2)*(1-C5)*0.01*C2,0))</f>
        <v>9100</v>
      </c>
    </row>
    <row r="15" spans="1:10" ht="15" x14ac:dyDescent="0.2">
      <c r="A15" s="524"/>
      <c r="B15" s="187" t="s">
        <v>183</v>
      </c>
      <c r="C15" s="201">
        <f>IF(G3="是",G10,0)</f>
        <v>0</v>
      </c>
      <c r="D15" s="184"/>
      <c r="E15" s="202"/>
      <c r="F15" s="188" t="s">
        <v>184</v>
      </c>
      <c r="G15" s="189">
        <v>0</v>
      </c>
      <c r="H15" s="193">
        <f>IF(G3="是",MIN(ROUND(C8*4.55%,0),10000-G9-G10-G11-G12-G13),0)</f>
        <v>0</v>
      </c>
      <c r="I15" s="183" t="s">
        <v>185</v>
      </c>
      <c r="J15" s="183" t="s">
        <v>186</v>
      </c>
    </row>
    <row r="16" spans="1:10" ht="15" x14ac:dyDescent="0.2">
      <c r="A16" s="524"/>
      <c r="B16" s="187" t="s">
        <v>187</v>
      </c>
      <c r="C16" s="201">
        <f>IF(G3="是",G11,0)</f>
        <v>0</v>
      </c>
      <c r="D16" s="184"/>
      <c r="E16" s="202"/>
      <c r="F16" s="188" t="s">
        <v>188</v>
      </c>
      <c r="G16" s="189">
        <v>0</v>
      </c>
      <c r="H16" s="193">
        <f>IF(C8&lt;=100000,I16,J16)</f>
        <v>36000</v>
      </c>
      <c r="I16" s="183">
        <f>IF(G4="精准",IF(G6=1,ROUND(C8*7%,0),IF(G6=2,ROUND(C8*14%,0),IF(G6=3,ROUND(C8*22%,0),0))),ROUND(MIN(C8*5%,7000),0))</f>
        <v>44000</v>
      </c>
      <c r="J16" s="183">
        <f>IF(G4="精准",IF(G6=1,ROUND(C8*7%,0),IF(G6=2,MAX(ROUND(C8*12%,0),14000),IF(G6=3,MAX(ROUND(C8*18%,0),22000),0))),ROUND(MIN(C8*5%,7000),0))</f>
        <v>36000</v>
      </c>
    </row>
    <row r="17" spans="1:11" ht="15" x14ac:dyDescent="0.2">
      <c r="A17" s="524"/>
      <c r="B17" s="187" t="s">
        <v>189</v>
      </c>
      <c r="C17" s="201">
        <f>IF(G3="是",G12,0)</f>
        <v>0</v>
      </c>
      <c r="D17" s="184"/>
      <c r="E17" s="202"/>
      <c r="F17" s="188" t="s">
        <v>190</v>
      </c>
      <c r="G17" s="196">
        <v>0</v>
      </c>
      <c r="H17" s="193"/>
    </row>
    <row r="18" spans="1:11" ht="15" x14ac:dyDescent="0.2">
      <c r="A18" s="524"/>
      <c r="B18" s="187" t="s">
        <v>191</v>
      </c>
      <c r="C18" s="201">
        <f>IF(G3="是",G15,0)</f>
        <v>0</v>
      </c>
      <c r="D18" s="184"/>
      <c r="E18" s="202"/>
      <c r="F18" s="188" t="s">
        <v>192</v>
      </c>
      <c r="G18" s="189">
        <v>0</v>
      </c>
      <c r="H18" s="194" t="str">
        <f>IF(OR(G8="回租私户",G8="回租小公户"),0,"最低1500")</f>
        <v>最低1500</v>
      </c>
    </row>
    <row r="19" spans="1:11" ht="15" x14ac:dyDescent="0.2">
      <c r="A19" s="524"/>
      <c r="B19" s="184" t="s">
        <v>193</v>
      </c>
      <c r="C19" s="348">
        <v>6.5000000000000002E-2</v>
      </c>
      <c r="D19" s="184"/>
      <c r="E19" s="184"/>
      <c r="F19" s="204" t="s">
        <v>194</v>
      </c>
      <c r="G19" s="205">
        <f>IF(G3="是",G10+G11+G12+G13+G15,0)</f>
        <v>0</v>
      </c>
      <c r="H19" s="205"/>
      <c r="I19" s="525" t="s">
        <v>195</v>
      </c>
      <c r="J19" s="525"/>
      <c r="K19" s="525"/>
    </row>
    <row r="20" spans="1:11" ht="15" x14ac:dyDescent="0.2">
      <c r="A20" s="524"/>
      <c r="B20" s="184" t="s">
        <v>196</v>
      </c>
      <c r="C20" s="360" t="s">
        <v>69</v>
      </c>
      <c r="D20" s="184"/>
      <c r="E20" s="184"/>
      <c r="F20" s="205"/>
      <c r="G20" s="205"/>
      <c r="H20" s="205"/>
      <c r="I20" s="525"/>
      <c r="J20" s="525"/>
      <c r="K20" s="525"/>
    </row>
    <row r="21" spans="1:11" ht="15" x14ac:dyDescent="0.2">
      <c r="A21" s="524"/>
      <c r="B21" s="201" t="s">
        <v>197</v>
      </c>
      <c r="C21" s="201">
        <f>G14</f>
        <v>0</v>
      </c>
      <c r="D21" s="184"/>
      <c r="E21" s="202"/>
      <c r="F21" s="205"/>
      <c r="G21" s="205"/>
      <c r="H21" s="205"/>
      <c r="I21" s="206"/>
      <c r="J21" s="206"/>
      <c r="K21" s="206"/>
    </row>
    <row r="22" spans="1:11" ht="15" x14ac:dyDescent="0.2">
      <c r="A22" s="524"/>
      <c r="B22" s="201" t="s">
        <v>198</v>
      </c>
      <c r="C22" s="201">
        <v>0</v>
      </c>
      <c r="D22" s="184"/>
      <c r="E22" s="184"/>
      <c r="F22" s="526"/>
      <c r="G22" s="527"/>
      <c r="H22" s="528"/>
      <c r="I22" s="206"/>
      <c r="J22" s="206"/>
      <c r="K22" s="206"/>
    </row>
    <row r="23" spans="1:11" ht="15" x14ac:dyDescent="0.2">
      <c r="A23" s="524"/>
      <c r="B23" s="201" t="s">
        <v>199</v>
      </c>
      <c r="C23" s="201">
        <v>0</v>
      </c>
      <c r="D23" s="184"/>
      <c r="E23" s="184"/>
      <c r="F23" s="207"/>
      <c r="G23" s="208"/>
      <c r="H23" s="196"/>
      <c r="I23" s="206"/>
      <c r="J23" s="206"/>
      <c r="K23" s="206"/>
    </row>
    <row r="24" spans="1:11" ht="15" x14ac:dyDescent="0.2">
      <c r="A24" s="524"/>
      <c r="B24" s="187" t="s">
        <v>200</v>
      </c>
      <c r="C24" s="209">
        <f>C21+C22+C23</f>
        <v>0</v>
      </c>
      <c r="D24" s="184"/>
      <c r="F24" s="207"/>
      <c r="G24" s="208"/>
      <c r="H24" s="196"/>
      <c r="I24" s="210" t="s">
        <v>201</v>
      </c>
      <c r="J24" s="210" t="s">
        <v>202</v>
      </c>
      <c r="K24" s="210" t="s">
        <v>203</v>
      </c>
    </row>
    <row r="25" spans="1:11" ht="15" x14ac:dyDescent="0.2">
      <c r="A25" s="184"/>
      <c r="B25" s="201" t="s">
        <v>204</v>
      </c>
      <c r="C25" s="349">
        <v>3.6900000000000002E-2</v>
      </c>
      <c r="D25" s="184" t="s">
        <v>205</v>
      </c>
      <c r="E25" s="184"/>
      <c r="I25" s="211">
        <v>505</v>
      </c>
      <c r="J25" s="212" t="s">
        <v>206</v>
      </c>
      <c r="K25" s="213"/>
    </row>
    <row r="26" spans="1:11" ht="15" x14ac:dyDescent="0.2">
      <c r="A26" s="184"/>
      <c r="B26" s="201"/>
      <c r="C26" s="201"/>
      <c r="D26" s="184"/>
      <c r="E26" s="184"/>
      <c r="I26" s="210">
        <v>550</v>
      </c>
      <c r="J26" s="205" t="s">
        <v>207</v>
      </c>
      <c r="K26" s="205" t="s">
        <v>208</v>
      </c>
    </row>
    <row r="27" spans="1:11" ht="15" x14ac:dyDescent="0.2">
      <c r="A27" s="529" t="s">
        <v>30</v>
      </c>
      <c r="B27" s="201" t="s">
        <v>209</v>
      </c>
      <c r="C27" s="217">
        <f>ROUNDDOWN((C8+C9+C24)/(1/(1-C5)-C2*C25),0)</f>
        <v>207614</v>
      </c>
      <c r="D27" s="184" t="s">
        <v>210</v>
      </c>
      <c r="E27" s="184"/>
      <c r="I27" s="211">
        <v>325</v>
      </c>
      <c r="J27" s="212" t="s">
        <v>211</v>
      </c>
      <c r="K27" s="213"/>
    </row>
    <row r="28" spans="1:11" ht="15" x14ac:dyDescent="0.2">
      <c r="A28" s="529"/>
      <c r="B28" s="201" t="s">
        <v>31</v>
      </c>
      <c r="C28" s="217">
        <f>MIN(C27,C7)</f>
        <v>200000</v>
      </c>
      <c r="D28" s="184"/>
      <c r="E28" s="184"/>
      <c r="I28" s="210" t="s">
        <v>212</v>
      </c>
      <c r="J28" s="205" t="s">
        <v>213</v>
      </c>
      <c r="K28" s="205" t="s">
        <v>208</v>
      </c>
    </row>
    <row r="29" spans="1:11" ht="15" x14ac:dyDescent="0.2">
      <c r="A29" s="529"/>
      <c r="B29" s="201" t="s">
        <v>214</v>
      </c>
      <c r="C29" s="217">
        <f>ROUND(C28*C2*C25,0)</f>
        <v>22140</v>
      </c>
      <c r="D29" s="184" t="s">
        <v>215</v>
      </c>
      <c r="E29" s="184"/>
      <c r="I29" s="215" t="s">
        <v>216</v>
      </c>
      <c r="J29" s="204" t="s">
        <v>217</v>
      </c>
      <c r="K29" s="205" t="s">
        <v>218</v>
      </c>
    </row>
    <row r="30" spans="1:11" ht="15" x14ac:dyDescent="0.2">
      <c r="A30" s="529"/>
      <c r="B30" s="201" t="s">
        <v>32</v>
      </c>
      <c r="C30" s="217">
        <f>ROUNDUP(C8+C9+C24-C28*(1-C25*C2),0)</f>
        <v>29840</v>
      </c>
      <c r="D30" s="184"/>
      <c r="E30" s="216">
        <f>C8+C9+C24+C29-C28</f>
        <v>29840</v>
      </c>
      <c r="I30" s="210" t="s">
        <v>219</v>
      </c>
      <c r="J30" s="205" t="s">
        <v>220</v>
      </c>
      <c r="K30" s="205" t="s">
        <v>218</v>
      </c>
    </row>
    <row r="31" spans="1:11" ht="15" x14ac:dyDescent="0.2">
      <c r="A31" s="529"/>
      <c r="B31" s="201" t="s">
        <v>33</v>
      </c>
      <c r="C31" s="217">
        <f>MIN(MAX(12500,ROUND(C8*0.3,0)),C28)</f>
        <v>60000</v>
      </c>
      <c r="D31" s="184" t="s">
        <v>221</v>
      </c>
      <c r="E31" s="184"/>
      <c r="I31" s="210" t="s">
        <v>222</v>
      </c>
      <c r="J31" s="218" t="s">
        <v>223</v>
      </c>
      <c r="K31" s="205" t="s">
        <v>218</v>
      </c>
    </row>
    <row r="32" spans="1:11" x14ac:dyDescent="0.2">
      <c r="A32" s="529"/>
      <c r="B32" s="201" t="s">
        <v>224</v>
      </c>
      <c r="C32" s="217">
        <f>ROUND(C31*C2*C25,0)</f>
        <v>6642</v>
      </c>
      <c r="D32" s="184"/>
      <c r="E32" s="184"/>
    </row>
    <row r="33" spans="1:6" x14ac:dyDescent="0.2">
      <c r="A33" s="529"/>
      <c r="B33" s="201" t="s">
        <v>34</v>
      </c>
      <c r="C33" s="217">
        <f>ROUNDUP(C8+C9+C24-C31*(1-C25*C2),0)</f>
        <v>154342</v>
      </c>
      <c r="D33" s="214"/>
      <c r="E33" s="216">
        <f>C8+C9+C24+C32-C31</f>
        <v>154342</v>
      </c>
      <c r="F33" s="191"/>
    </row>
    <row r="34" spans="1:6" x14ac:dyDescent="0.2">
      <c r="A34" s="529"/>
      <c r="B34" s="201" t="s">
        <v>35</v>
      </c>
      <c r="C34" s="361">
        <f>控制台!F74</f>
        <v>64870</v>
      </c>
      <c r="D34" s="184" t="s">
        <v>225</v>
      </c>
      <c r="E34" s="184"/>
    </row>
    <row r="35" spans="1:6" x14ac:dyDescent="0.2">
      <c r="A35" s="529"/>
      <c r="B35" s="201" t="s">
        <v>36</v>
      </c>
      <c r="C35" s="350" t="str">
        <f>IF(AND(C34&gt;=C30,C34&lt;=C33),"是","否")</f>
        <v>是</v>
      </c>
      <c r="D35" s="184"/>
      <c r="E35" s="184"/>
    </row>
    <row r="36" spans="1:6" x14ac:dyDescent="0.2">
      <c r="C36" s="351"/>
    </row>
    <row r="37" spans="1:6" x14ac:dyDescent="0.2">
      <c r="A37" s="530" t="s">
        <v>37</v>
      </c>
      <c r="B37" s="199" t="s">
        <v>226</v>
      </c>
      <c r="C37" s="217">
        <f>C34</f>
        <v>64870</v>
      </c>
      <c r="E37" s="183" t="s">
        <v>227</v>
      </c>
    </row>
    <row r="38" spans="1:6" x14ac:dyDescent="0.2">
      <c r="A38" s="530"/>
      <c r="B38" s="201" t="s">
        <v>38</v>
      </c>
      <c r="C38" s="217">
        <f>ROUNDDOWN((C8+C9+C24-C37)/(1-C2*C25),0)</f>
        <v>160609</v>
      </c>
      <c r="D38" s="183" t="s">
        <v>210</v>
      </c>
      <c r="E38" s="183" t="s">
        <v>228</v>
      </c>
    </row>
    <row r="39" spans="1:6" x14ac:dyDescent="0.2">
      <c r="A39" s="530"/>
      <c r="B39" s="201" t="s">
        <v>229</v>
      </c>
      <c r="C39" s="217">
        <f>C37+C38-C8-C9-C24</f>
        <v>17779</v>
      </c>
    </row>
    <row r="40" spans="1:6" x14ac:dyDescent="0.2">
      <c r="A40" s="530"/>
      <c r="B40" s="201" t="s">
        <v>230</v>
      </c>
      <c r="C40" s="217">
        <f>C8+C24+C39</f>
        <v>217779</v>
      </c>
      <c r="E40" s="219">
        <f>C37+C38</f>
        <v>225479</v>
      </c>
    </row>
    <row r="41" spans="1:6" x14ac:dyDescent="0.2">
      <c r="A41" s="530"/>
      <c r="B41" s="199" t="s">
        <v>231</v>
      </c>
      <c r="C41" s="348">
        <f>IF(C2=2,7%,IF(C2=3,7.3%,FALSE))</f>
        <v>7.2999999999999995E-2</v>
      </c>
    </row>
    <row r="42" spans="1:6" x14ac:dyDescent="0.2">
      <c r="A42" s="530"/>
      <c r="B42" s="199" t="s">
        <v>232</v>
      </c>
      <c r="C42" s="352">
        <f>ROUND(-PMT(C41/12,C2*12,C38),2)</f>
        <v>4981.2</v>
      </c>
    </row>
    <row r="43" spans="1:6" ht="15" x14ac:dyDescent="0.2">
      <c r="A43" s="530"/>
      <c r="B43" s="207" t="s">
        <v>168</v>
      </c>
      <c r="C43" s="220" t="str">
        <f>G8</f>
        <v>回租大公户</v>
      </c>
    </row>
    <row r="44" spans="1:6" x14ac:dyDescent="0.2">
      <c r="A44" s="530"/>
      <c r="B44" s="195" t="s">
        <v>233</v>
      </c>
      <c r="C44" s="201">
        <f>G17</f>
        <v>0</v>
      </c>
    </row>
    <row r="45" spans="1:6" x14ac:dyDescent="0.2">
      <c r="A45" s="530"/>
      <c r="B45" s="195" t="s">
        <v>234</v>
      </c>
      <c r="C45" s="201">
        <f>G18</f>
        <v>0</v>
      </c>
    </row>
    <row r="46" spans="1:6" x14ac:dyDescent="0.2">
      <c r="A46" s="530"/>
      <c r="B46" s="199" t="s">
        <v>235</v>
      </c>
      <c r="C46" s="201" t="s">
        <v>236</v>
      </c>
    </row>
    <row r="47" spans="1:6" x14ac:dyDescent="0.2">
      <c r="A47" s="530"/>
      <c r="B47" s="199" t="s">
        <v>237</v>
      </c>
      <c r="C47" s="348">
        <f>ROUND(C37/C40,6)</f>
        <v>0.297871</v>
      </c>
    </row>
    <row r="48" spans="1:6" x14ac:dyDescent="0.2">
      <c r="A48" s="530"/>
      <c r="B48" s="195" t="s">
        <v>238</v>
      </c>
      <c r="C48" s="201">
        <f>G9-C12</f>
        <v>0</v>
      </c>
    </row>
    <row r="49" spans="1:4" x14ac:dyDescent="0.2">
      <c r="A49" s="530"/>
      <c r="B49" s="195" t="s">
        <v>239</v>
      </c>
      <c r="C49" s="201">
        <f>G13-C14</f>
        <v>0</v>
      </c>
    </row>
    <row r="50" spans="1:4" x14ac:dyDescent="0.2">
      <c r="A50" s="530"/>
      <c r="B50" s="195" t="s">
        <v>240</v>
      </c>
      <c r="C50" s="201">
        <f>G10-C15</f>
        <v>0</v>
      </c>
    </row>
    <row r="51" spans="1:4" x14ac:dyDescent="0.2">
      <c r="A51" s="530"/>
      <c r="B51" s="195" t="s">
        <v>241</v>
      </c>
      <c r="C51" s="201">
        <f>G11-C16</f>
        <v>0</v>
      </c>
    </row>
    <row r="52" spans="1:4" x14ac:dyDescent="0.2">
      <c r="A52" s="530"/>
      <c r="B52" s="195" t="s">
        <v>242</v>
      </c>
      <c r="C52" s="201">
        <f>G12-C17</f>
        <v>0</v>
      </c>
    </row>
    <row r="53" spans="1:4" x14ac:dyDescent="0.2">
      <c r="A53" s="530"/>
      <c r="B53" s="199" t="s">
        <v>243</v>
      </c>
      <c r="C53" s="209">
        <f>C37+C44+C45+C48+C49+C50+C51+C52</f>
        <v>64870</v>
      </c>
    </row>
    <row r="55" spans="1:4" ht="15" x14ac:dyDescent="0.2">
      <c r="A55" s="531" t="s">
        <v>244</v>
      </c>
      <c r="B55" s="221" t="s">
        <v>245</v>
      </c>
      <c r="C55" s="353">
        <v>26002</v>
      </c>
    </row>
    <row r="56" spans="1:4" ht="15" x14ac:dyDescent="0.2">
      <c r="A56" s="531"/>
      <c r="B56" s="221" t="s">
        <v>246</v>
      </c>
      <c r="C56" s="203">
        <v>0</v>
      </c>
      <c r="D56" s="218" t="s">
        <v>247</v>
      </c>
    </row>
    <row r="57" spans="1:4" ht="15" x14ac:dyDescent="0.2">
      <c r="A57" s="531"/>
      <c r="B57" s="221" t="s">
        <v>248</v>
      </c>
      <c r="C57" s="203">
        <v>0</v>
      </c>
      <c r="D57" s="218" t="s">
        <v>249</v>
      </c>
    </row>
    <row r="58" spans="1:4" ht="15" x14ac:dyDescent="0.2">
      <c r="A58" s="531"/>
      <c r="B58" s="221" t="s">
        <v>250</v>
      </c>
      <c r="C58" s="203">
        <f>C48</f>
        <v>0</v>
      </c>
      <c r="D58" s="218" t="s">
        <v>251</v>
      </c>
    </row>
    <row r="59" spans="1:4" ht="15" x14ac:dyDescent="0.2">
      <c r="A59" s="531"/>
      <c r="B59" s="201" t="s">
        <v>252</v>
      </c>
      <c r="C59" s="203">
        <f>C49</f>
        <v>0</v>
      </c>
      <c r="D59" s="218" t="s">
        <v>253</v>
      </c>
    </row>
    <row r="60" spans="1:4" ht="15" x14ac:dyDescent="0.2">
      <c r="A60" s="531"/>
      <c r="B60" s="221" t="s">
        <v>254</v>
      </c>
      <c r="C60" s="220">
        <f>C45</f>
        <v>0</v>
      </c>
      <c r="D60" s="218" t="s">
        <v>255</v>
      </c>
    </row>
    <row r="61" spans="1:4" ht="15" x14ac:dyDescent="0.2">
      <c r="A61" s="531"/>
      <c r="B61" s="221" t="s">
        <v>256</v>
      </c>
      <c r="C61" s="220">
        <f>C44</f>
        <v>0</v>
      </c>
      <c r="D61" s="218" t="s">
        <v>257</v>
      </c>
    </row>
    <row r="62" spans="1:4" ht="15" x14ac:dyDescent="0.2">
      <c r="A62" s="531"/>
      <c r="B62" s="226" t="s">
        <v>258</v>
      </c>
      <c r="C62" s="220">
        <f>C50</f>
        <v>0</v>
      </c>
      <c r="D62" s="218" t="s">
        <v>259</v>
      </c>
    </row>
    <row r="63" spans="1:4" ht="15" x14ac:dyDescent="0.2">
      <c r="A63" s="531"/>
      <c r="B63" s="226" t="s">
        <v>260</v>
      </c>
      <c r="C63" s="220">
        <f>C51</f>
        <v>0</v>
      </c>
      <c r="D63" s="218" t="s">
        <v>261</v>
      </c>
    </row>
    <row r="64" spans="1:4" ht="15" x14ac:dyDescent="0.2">
      <c r="A64" s="531"/>
      <c r="B64" s="226" t="s">
        <v>262</v>
      </c>
      <c r="C64" s="220">
        <f>C52</f>
        <v>0</v>
      </c>
      <c r="D64" s="218" t="s">
        <v>263</v>
      </c>
    </row>
    <row r="65" spans="1:5" ht="15" x14ac:dyDescent="0.2">
      <c r="A65" s="531"/>
      <c r="B65" s="221" t="s">
        <v>264</v>
      </c>
      <c r="C65" s="353">
        <f>C55-C56-C57-C58-C60-C61-C59-C62-C63-C64</f>
        <v>26002</v>
      </c>
      <c r="D65" s="218" t="s">
        <v>265</v>
      </c>
    </row>
    <row r="66" spans="1:5" ht="15" x14ac:dyDescent="0.2">
      <c r="A66" s="532" t="s">
        <v>266</v>
      </c>
      <c r="B66" s="221" t="s">
        <v>267</v>
      </c>
      <c r="C66" s="353">
        <f>C8-C37</f>
        <v>135130</v>
      </c>
    </row>
    <row r="67" spans="1:5" ht="15" x14ac:dyDescent="0.2">
      <c r="A67" s="533"/>
      <c r="B67" s="221" t="s">
        <v>268</v>
      </c>
      <c r="C67" s="354">
        <f>G14</f>
        <v>0</v>
      </c>
    </row>
    <row r="68" spans="1:5" ht="15" x14ac:dyDescent="0.2">
      <c r="A68" s="533"/>
      <c r="B68" s="221" t="s">
        <v>269</v>
      </c>
      <c r="C68" s="354">
        <f>C18</f>
        <v>0</v>
      </c>
    </row>
    <row r="69" spans="1:5" ht="15" x14ac:dyDescent="0.2">
      <c r="A69" s="533"/>
      <c r="B69" s="226" t="s">
        <v>270</v>
      </c>
      <c r="C69" s="354">
        <f>C16</f>
        <v>0</v>
      </c>
    </row>
    <row r="70" spans="1:5" ht="15" x14ac:dyDescent="0.2">
      <c r="A70" s="533"/>
      <c r="B70" s="221" t="s">
        <v>271</v>
      </c>
      <c r="C70" s="355">
        <f>C15</f>
        <v>0</v>
      </c>
    </row>
    <row r="71" spans="1:5" ht="15" x14ac:dyDescent="0.2">
      <c r="A71" s="533"/>
      <c r="B71" s="221" t="s">
        <v>272</v>
      </c>
      <c r="C71" s="353">
        <f>C11</f>
        <v>0</v>
      </c>
    </row>
    <row r="72" spans="1:5" ht="15" x14ac:dyDescent="0.2">
      <c r="A72" s="533"/>
      <c r="B72" s="221" t="s">
        <v>273</v>
      </c>
      <c r="C72" s="353">
        <f>C12</f>
        <v>0</v>
      </c>
    </row>
    <row r="73" spans="1:5" ht="15" x14ac:dyDescent="0.2">
      <c r="A73" s="533"/>
      <c r="B73" s="201" t="s">
        <v>274</v>
      </c>
      <c r="C73" s="353">
        <f>C14</f>
        <v>0</v>
      </c>
    </row>
    <row r="74" spans="1:5" ht="15" x14ac:dyDescent="0.2">
      <c r="A74" s="533"/>
      <c r="B74" s="201" t="s">
        <v>275</v>
      </c>
      <c r="C74" s="353">
        <f>C17</f>
        <v>0</v>
      </c>
    </row>
    <row r="75" spans="1:5" ht="15" x14ac:dyDescent="0.2">
      <c r="A75" s="533"/>
      <c r="B75" s="221" t="s">
        <v>276</v>
      </c>
      <c r="C75" s="353">
        <f>C38-C66-C67-C68-C69-C70-C71-C72-C73-C74</f>
        <v>25479</v>
      </c>
      <c r="E75" s="191">
        <f>C39</f>
        <v>17779</v>
      </c>
    </row>
    <row r="76" spans="1:5" ht="15" x14ac:dyDescent="0.2">
      <c r="A76" s="533"/>
      <c r="B76" s="221" t="s">
        <v>277</v>
      </c>
      <c r="C76" s="353">
        <f>C38</f>
        <v>160609</v>
      </c>
    </row>
    <row r="77" spans="1:5" ht="15" x14ac:dyDescent="0.2">
      <c r="A77" s="534"/>
      <c r="B77" s="221" t="s">
        <v>278</v>
      </c>
      <c r="C77" s="353">
        <f>IF(G5&lt;4,ROUND(C8*0.05%,2),ROUND(C8*0.08%,2))</f>
        <v>100</v>
      </c>
    </row>
    <row r="78" spans="1:5" x14ac:dyDescent="0.2">
      <c r="B78" s="230"/>
    </row>
  </sheetData>
  <protectedRanges>
    <protectedRange algorithmName="SHA-512" hashValue="GdA60ZKSSyPa6GDdStUpEMI/UOROKazrZFwqElx5Z2K/3qLq615wE1yCq3vzOQ3jFdhsd0zBdu5UAWyk6oY/Vg==" saltValue="85V/RDINpJlUGwS4DawZaA==" spinCount="100000" sqref="C11:C23" name="贴息_1"/>
    <protectedRange algorithmName="SHA-512" hashValue="1dBehODuA4cO9trCJOcVgHFBtaX6aOD+GTjLuA9YvkGxhMJPPa8fZs4JnVm5dA6dVhj9UWnxS+SPqqkIPvllNA==" saltValue="07aq4mwwHKfrO0N/oTtQ3A==" spinCount="100000" sqref="C36:C37" name="客户首付款_2"/>
  </protectedRanges>
  <dataConsolidate/>
  <mergeCells count="10">
    <mergeCell ref="A37:A53"/>
    <mergeCell ref="A55:A65"/>
    <mergeCell ref="A66:A77"/>
    <mergeCell ref="F1:H1"/>
    <mergeCell ref="A2:A6"/>
    <mergeCell ref="I2:J2"/>
    <mergeCell ref="A8:A24"/>
    <mergeCell ref="I19:K20"/>
    <mergeCell ref="F22:H22"/>
    <mergeCell ref="A27:A35"/>
  </mergeCells>
  <phoneticPr fontId="17" type="noConversion"/>
  <dataValidations count="9">
    <dataValidation type="list" allowBlank="1" showInputMessage="1" showErrorMessage="1" sqref="G8">
      <formula1>"回租大公户,回租小公户,回租私户,直租,公户捞回"</formula1>
    </dataValidation>
    <dataValidation type="list" allowBlank="1" showInputMessage="1" showErrorMessage="1" sqref="G3">
      <formula1>"是,否"</formula1>
    </dataValidation>
    <dataValidation type="list" allowBlank="1" showInputMessage="1" showErrorMessage="1" sqref="G6">
      <formula1>"1,2,3"</formula1>
    </dataValidation>
    <dataValidation type="list" allowBlank="1" showInputMessage="1" showErrorMessage="1" sqref="G5">
      <formula1>"1,2,3,4"</formula1>
    </dataValidation>
    <dataValidation type="list" allowBlank="1" showInputMessage="1" showErrorMessage="1" sqref="C3">
      <formula1>"190"</formula1>
    </dataValidation>
    <dataValidation type="list" allowBlank="1" showInputMessage="1" showErrorMessage="1" sqref="C2">
      <formula1>"2,3"</formula1>
    </dataValidation>
    <dataValidation type="list" allowBlank="1" showInputMessage="1" showErrorMessage="1" sqref="G4">
      <formula1>"精准,非精准"</formula1>
    </dataValidation>
    <dataValidation type="list" allowBlank="1" showInputMessage="1" showErrorMessage="1" sqref="C20">
      <formula1>"自主到店B,优信带看C"</formula1>
    </dataValidation>
    <dataValidation type="whole" allowBlank="1" showInputMessage="1" showErrorMessage="1" sqref="C34">
      <formula1>C30</formula1>
      <formula2>C33</formula2>
    </dataValidation>
  </dataValidations>
  <hyperlinks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37" workbookViewId="0">
      <selection activeCell="C50" sqref="C50"/>
    </sheetView>
  </sheetViews>
  <sheetFormatPr baseColWidth="10" defaultColWidth="8.83203125" defaultRowHeight="15" x14ac:dyDescent="0.2"/>
  <cols>
    <col min="1" max="1" width="15.33203125" style="231" customWidth="1"/>
    <col min="2" max="2" width="32.83203125" style="231" bestFit="1" customWidth="1"/>
    <col min="3" max="3" width="16.6640625" style="306" customWidth="1"/>
    <col min="4" max="4" width="19.1640625" style="231" customWidth="1"/>
    <col min="5" max="5" width="15.1640625" style="231" bestFit="1" customWidth="1"/>
    <col min="6" max="6" width="26.33203125" style="231" customWidth="1"/>
    <col min="7" max="7" width="14" style="231" customWidth="1"/>
    <col min="8" max="8" width="17.1640625" style="231" customWidth="1"/>
    <col min="9" max="9" width="24.5" style="231" customWidth="1"/>
    <col min="10" max="10" width="22.5" style="231" bestFit="1" customWidth="1"/>
    <col min="11" max="16384" width="8.83203125" style="231"/>
  </cols>
  <sheetData>
    <row r="1" spans="1:11" x14ac:dyDescent="0.2">
      <c r="A1" s="182" t="s">
        <v>279</v>
      </c>
      <c r="B1" s="205">
        <v>6.4</v>
      </c>
      <c r="C1" s="224"/>
      <c r="D1" s="193" t="s">
        <v>280</v>
      </c>
      <c r="E1" s="193" t="s">
        <v>281</v>
      </c>
      <c r="F1" s="535" t="s">
        <v>282</v>
      </c>
      <c r="G1" s="536"/>
      <c r="H1" s="537"/>
      <c r="I1" s="525" t="s">
        <v>283</v>
      </c>
      <c r="J1" s="525"/>
      <c r="K1" s="525"/>
    </row>
    <row r="2" spans="1:11" x14ac:dyDescent="0.2">
      <c r="A2" s="540" t="s">
        <v>284</v>
      </c>
      <c r="B2" s="196" t="s">
        <v>285</v>
      </c>
      <c r="C2" s="342">
        <f>控制台!C9</f>
        <v>370</v>
      </c>
      <c r="D2" s="205"/>
      <c r="E2" s="205"/>
      <c r="F2" s="187" t="s">
        <v>286</v>
      </c>
      <c r="G2" s="187" t="s">
        <v>287</v>
      </c>
      <c r="H2" s="187" t="s">
        <v>288</v>
      </c>
      <c r="I2" s="525"/>
      <c r="J2" s="525"/>
      <c r="K2" s="525"/>
    </row>
    <row r="3" spans="1:11" x14ac:dyDescent="0.2">
      <c r="A3" s="541"/>
      <c r="B3" s="196" t="s">
        <v>289</v>
      </c>
      <c r="C3" s="335" t="s">
        <v>534</v>
      </c>
      <c r="D3" s="205"/>
      <c r="E3" s="205"/>
      <c r="F3" s="188" t="s">
        <v>290</v>
      </c>
      <c r="G3" s="189" t="s">
        <v>107</v>
      </c>
      <c r="H3" s="190" t="str">
        <f>C25</f>
        <v>是</v>
      </c>
      <c r="I3" s="233" t="s">
        <v>291</v>
      </c>
      <c r="J3" s="210" t="s">
        <v>292</v>
      </c>
      <c r="K3" s="210" t="s">
        <v>293</v>
      </c>
    </row>
    <row r="4" spans="1:11" x14ac:dyDescent="0.2">
      <c r="A4" s="542"/>
      <c r="B4" s="196" t="s">
        <v>294</v>
      </c>
      <c r="C4" s="334" t="s">
        <v>82</v>
      </c>
      <c r="D4" s="205"/>
      <c r="E4" s="205"/>
      <c r="F4" s="188" t="s">
        <v>295</v>
      </c>
      <c r="G4" s="189" t="s">
        <v>23</v>
      </c>
      <c r="H4" s="193"/>
      <c r="I4" s="234">
        <v>505</v>
      </c>
      <c r="J4" s="212" t="s">
        <v>296</v>
      </c>
      <c r="K4" s="213"/>
    </row>
    <row r="5" spans="1:11" x14ac:dyDescent="0.2">
      <c r="A5" s="543" t="s">
        <v>297</v>
      </c>
      <c r="B5" s="196" t="s">
        <v>298</v>
      </c>
      <c r="C5" s="340">
        <f>控制台!C10</f>
        <v>3</v>
      </c>
      <c r="D5" s="205"/>
      <c r="E5" s="205"/>
      <c r="F5" s="188" t="s">
        <v>299</v>
      </c>
      <c r="G5" s="189">
        <v>3</v>
      </c>
      <c r="H5" s="194" t="s">
        <v>300</v>
      </c>
      <c r="I5" s="233">
        <v>550</v>
      </c>
      <c r="J5" s="205" t="s">
        <v>301</v>
      </c>
      <c r="K5" s="205" t="s">
        <v>302</v>
      </c>
    </row>
    <row r="6" spans="1:11" x14ac:dyDescent="0.2">
      <c r="A6" s="543"/>
      <c r="B6" s="544"/>
      <c r="C6" s="545"/>
      <c r="D6" s="205"/>
      <c r="E6" s="205"/>
      <c r="F6" s="188" t="s">
        <v>303</v>
      </c>
      <c r="G6" s="189">
        <v>3</v>
      </c>
      <c r="H6" s="194" t="s">
        <v>300</v>
      </c>
      <c r="I6" s="233"/>
      <c r="J6" s="205"/>
      <c r="K6" s="205"/>
    </row>
    <row r="7" spans="1:11" x14ac:dyDescent="0.2">
      <c r="A7" s="543"/>
      <c r="B7" s="546"/>
      <c r="C7" s="547"/>
      <c r="D7" s="205"/>
      <c r="E7" s="205"/>
      <c r="F7" s="188" t="s">
        <v>304</v>
      </c>
      <c r="G7" s="196">
        <f>IF(OR(C3="微众",G4="非精准",G6=1,G3="否"),1,1.15)</f>
        <v>1.1499999999999999</v>
      </c>
      <c r="H7" s="193"/>
      <c r="I7" s="233"/>
      <c r="J7" s="205"/>
      <c r="K7" s="205"/>
    </row>
    <row r="8" spans="1:11" x14ac:dyDescent="0.2">
      <c r="A8" s="543"/>
      <c r="B8" s="548"/>
      <c r="C8" s="549"/>
      <c r="D8" s="205"/>
      <c r="E8" s="205"/>
      <c r="F8" s="188" t="s">
        <v>305</v>
      </c>
      <c r="G8" s="197" t="s">
        <v>535</v>
      </c>
      <c r="H8" s="193"/>
      <c r="I8" s="233"/>
      <c r="J8" s="205"/>
      <c r="K8" s="205"/>
    </row>
    <row r="9" spans="1:11" x14ac:dyDescent="0.2">
      <c r="A9" s="543"/>
      <c r="B9" s="336" t="s">
        <v>306</v>
      </c>
      <c r="C9" s="337">
        <v>0.3</v>
      </c>
      <c r="D9" s="205"/>
      <c r="E9" s="205"/>
      <c r="F9" s="188" t="s">
        <v>307</v>
      </c>
      <c r="G9" s="189">
        <v>0</v>
      </c>
      <c r="H9" s="193">
        <f>IF(C14&gt;80000,1800,1000)</f>
        <v>1800</v>
      </c>
      <c r="I9" s="234">
        <v>325</v>
      </c>
      <c r="J9" s="212" t="s">
        <v>308</v>
      </c>
      <c r="K9" s="213"/>
    </row>
    <row r="10" spans="1:11" x14ac:dyDescent="0.2">
      <c r="A10" s="543"/>
      <c r="B10" s="336" t="s">
        <v>309</v>
      </c>
      <c r="C10" s="235" t="str">
        <f>IF(AND(C4&lt;&gt;"其他",C14&lt;=120000,C9&gt;0.3,C3="微众",C2=370,C15="非差异化"),"是","否")</f>
        <v>否</v>
      </c>
      <c r="D10" s="205"/>
      <c r="E10" s="205"/>
      <c r="F10" s="188" t="s">
        <v>310</v>
      </c>
      <c r="G10" s="189">
        <v>0</v>
      </c>
      <c r="H10" s="194" t="s">
        <v>311</v>
      </c>
      <c r="I10" s="233" t="s">
        <v>312</v>
      </c>
      <c r="J10" s="205" t="s">
        <v>313</v>
      </c>
      <c r="K10" s="205" t="s">
        <v>302</v>
      </c>
    </row>
    <row r="11" spans="1:11" x14ac:dyDescent="0.2">
      <c r="A11" s="543"/>
      <c r="B11" s="336" t="s">
        <v>314</v>
      </c>
      <c r="C11" s="235" t="str">
        <f>IF(AND(C14&lt;=120000,C9&gt;0.3,C3&lt;&gt;"微众",C2=370,C15="非差异化"),"是","否")</f>
        <v>否</v>
      </c>
      <c r="D11" s="205"/>
      <c r="E11" s="205"/>
      <c r="F11" s="188" t="s">
        <v>315</v>
      </c>
      <c r="G11" s="189">
        <v>0</v>
      </c>
      <c r="H11" s="194" t="s">
        <v>316</v>
      </c>
      <c r="I11" s="236" t="s">
        <v>317</v>
      </c>
      <c r="J11" s="205" t="s">
        <v>318</v>
      </c>
      <c r="K11" s="205" t="s">
        <v>319</v>
      </c>
    </row>
    <row r="12" spans="1:11" x14ac:dyDescent="0.2">
      <c r="A12" s="543"/>
      <c r="B12" s="336" t="s">
        <v>320</v>
      </c>
      <c r="C12" s="235">
        <f>IF(OR(C10="是",C11="是"),0.3,MAX(C9,0.3))</f>
        <v>0.3</v>
      </c>
      <c r="D12" s="205"/>
      <c r="E12" s="205"/>
      <c r="F12" s="188" t="s">
        <v>321</v>
      </c>
      <c r="G12" s="189">
        <v>0</v>
      </c>
      <c r="H12" s="194" t="s">
        <v>316</v>
      </c>
      <c r="I12" s="233" t="s">
        <v>322</v>
      </c>
      <c r="J12" s="205" t="s">
        <v>323</v>
      </c>
      <c r="K12" s="205" t="s">
        <v>319</v>
      </c>
    </row>
    <row r="13" spans="1:11" x14ac:dyDescent="0.2">
      <c r="A13" s="543"/>
      <c r="B13" s="196" t="s">
        <v>324</v>
      </c>
      <c r="C13" s="341">
        <f>控制台!C67</f>
        <v>0.4</v>
      </c>
      <c r="D13" s="205"/>
      <c r="E13" s="205"/>
      <c r="F13" s="188" t="s">
        <v>325</v>
      </c>
      <c r="G13" s="196">
        <v>0</v>
      </c>
      <c r="H13" s="193"/>
      <c r="I13" s="233" t="s">
        <v>326</v>
      </c>
      <c r="J13" s="218" t="s">
        <v>327</v>
      </c>
      <c r="K13" s="205" t="s">
        <v>319</v>
      </c>
    </row>
    <row r="14" spans="1:11" x14ac:dyDescent="0.2">
      <c r="A14" s="543"/>
      <c r="B14" s="196" t="s">
        <v>328</v>
      </c>
      <c r="C14" s="340">
        <f>控制台!C1</f>
        <v>200000</v>
      </c>
      <c r="D14" s="205"/>
      <c r="E14" s="205"/>
      <c r="F14" s="188" t="s">
        <v>329</v>
      </c>
      <c r="G14" s="189">
        <v>0</v>
      </c>
      <c r="H14" s="193">
        <f>IF(C2="新网直租190",0,IF(C18="自主到店B",ROUND(C14*0.7*C19,0),ROUND((C14+C14*(1-C13)*C16*C5)*(1-C13)*0.01*C5,0)))</f>
        <v>3831</v>
      </c>
      <c r="I14" s="238"/>
      <c r="J14" s="239"/>
      <c r="K14" s="239"/>
    </row>
    <row r="15" spans="1:11" x14ac:dyDescent="0.2">
      <c r="A15" s="543"/>
      <c r="B15" s="207" t="s">
        <v>330</v>
      </c>
      <c r="C15" s="237" t="s">
        <v>331</v>
      </c>
      <c r="D15" s="218" t="s">
        <v>332</v>
      </c>
      <c r="E15" s="205"/>
      <c r="F15" s="188" t="s">
        <v>333</v>
      </c>
      <c r="G15" s="189">
        <v>0</v>
      </c>
      <c r="H15" s="193">
        <f>IF(AND(G3="是",C2&lt;&gt;"新网直租190"),MIN(ROUND(C14*4.55%,0),10000-G9-G10-G11-G12-G13),IF(G3="是",ROUND(C14*4.55%,0),0))</f>
        <v>9100</v>
      </c>
      <c r="I15" s="184" t="s">
        <v>334</v>
      </c>
      <c r="J15" s="184" t="s">
        <v>335</v>
      </c>
      <c r="K15" s="239"/>
    </row>
    <row r="16" spans="1:11" x14ac:dyDescent="0.2">
      <c r="A16" s="543"/>
      <c r="B16" s="196" t="s">
        <v>336</v>
      </c>
      <c r="C16" s="240">
        <f>IF(C15="新网差异化8%",5.29%,IF(C15="新网差异化9.8%",7.67%,ROUND(7.5%/0.7/3,6)))</f>
        <v>3.5714000000000003E-2</v>
      </c>
      <c r="D16" s="205" t="s">
        <v>337</v>
      </c>
      <c r="E16" s="205"/>
      <c r="F16" s="188" t="s">
        <v>338</v>
      </c>
      <c r="G16" s="189">
        <v>0</v>
      </c>
      <c r="H16" s="193">
        <f>IF(C14&lt;=100000,I16,J16)</f>
        <v>36000</v>
      </c>
      <c r="I16" s="184">
        <f>IF(G4="精准",IF(G6=1,ROUND(C14*7%,0),IF(G6=2,ROUND(C14*14%,0),IF(G6=3,ROUND(C14*22%,0),0))),ROUND(MIN(C14*5%,7000),0))</f>
        <v>44000</v>
      </c>
      <c r="J16" s="184">
        <f>IF(G4="精准",IF(G6=1,ROUND(C14*7%,0),IF(G6=2,MAX(ROUND(C14*12%,0),14000),IF(G6=3,MAX(ROUND(C14*18%,0),22000),0))),ROUND(MIN(C14*5%,7000),0))</f>
        <v>36000</v>
      </c>
      <c r="K16" s="239"/>
    </row>
    <row r="17" spans="1:11" ht="16" x14ac:dyDescent="0.2">
      <c r="A17" s="543"/>
      <c r="B17" s="196" t="s">
        <v>339</v>
      </c>
      <c r="C17" s="220">
        <f>ROUNDUP(((C14+C23)*(1-C13)+C35)*C16*C5,0)</f>
        <v>13683</v>
      </c>
      <c r="D17" s="205">
        <f>ROUNDUP((C14+C35+C23)*(1-C13)*C16*C5,0)</f>
        <v>13353</v>
      </c>
      <c r="E17" s="205"/>
      <c r="F17" s="188" t="s">
        <v>340</v>
      </c>
      <c r="G17" s="196">
        <f>IF(OR(G8="回租私户",G8="回租小公户"),0,120)</f>
        <v>0</v>
      </c>
      <c r="H17" s="193"/>
      <c r="I17" s="241" t="s">
        <v>341</v>
      </c>
      <c r="J17" s="242" t="b">
        <f>IF(AND(C10="是",C24&gt;120000),FALSE,TRUE)</f>
        <v>1</v>
      </c>
      <c r="K17" s="239"/>
    </row>
    <row r="18" spans="1:11" ht="16" x14ac:dyDescent="0.2">
      <c r="A18" s="543"/>
      <c r="B18" s="207" t="s">
        <v>342</v>
      </c>
      <c r="C18" s="343" t="str">
        <f>控制台!C11</f>
        <v>全国直购C</v>
      </c>
      <c r="D18" s="205"/>
      <c r="E18" s="205"/>
      <c r="F18" s="188" t="s">
        <v>343</v>
      </c>
      <c r="G18" s="189">
        <v>0</v>
      </c>
      <c r="H18" s="194">
        <f>IF(OR(G8="回租私户",G8="回租小公户"),0,"最低1500")</f>
        <v>0</v>
      </c>
      <c r="I18" s="241"/>
      <c r="J18" s="242"/>
      <c r="K18" s="239"/>
    </row>
    <row r="19" spans="1:11" ht="16" x14ac:dyDescent="0.2">
      <c r="A19" s="543"/>
      <c r="B19" s="205" t="s">
        <v>193</v>
      </c>
      <c r="C19" s="243">
        <v>6.5000000000000002E-2</v>
      </c>
      <c r="D19" s="205"/>
      <c r="E19" s="205"/>
      <c r="F19" s="204" t="s">
        <v>344</v>
      </c>
      <c r="G19" s="205">
        <f>IF(G3="是",G10+G11+G12+G13+G15,0)</f>
        <v>0</v>
      </c>
      <c r="H19" s="205"/>
      <c r="I19" s="244" t="s">
        <v>345</v>
      </c>
      <c r="J19" s="242" t="b">
        <f>IF(AND(C13&gt;=0.5,C2=370),FALSE,TRUE)</f>
        <v>1</v>
      </c>
      <c r="K19" s="239"/>
    </row>
    <row r="20" spans="1:11" ht="16" x14ac:dyDescent="0.2">
      <c r="A20" s="543"/>
      <c r="B20" s="207" t="s">
        <v>346</v>
      </c>
      <c r="C20" s="203">
        <v>0</v>
      </c>
      <c r="D20" s="205"/>
      <c r="E20" s="205"/>
      <c r="F20" s="205"/>
      <c r="G20" s="205"/>
      <c r="H20" s="205"/>
      <c r="I20" s="244"/>
      <c r="J20" s="242"/>
      <c r="K20" s="239"/>
    </row>
    <row r="21" spans="1:11" ht="16" x14ac:dyDescent="0.2">
      <c r="A21" s="543"/>
      <c r="B21" s="188" t="s">
        <v>347</v>
      </c>
      <c r="C21" s="203">
        <f>IF(C18="全国直购C",G10,0)</f>
        <v>0</v>
      </c>
      <c r="D21" s="205"/>
      <c r="E21" s="205"/>
      <c r="F21" s="205"/>
      <c r="G21" s="205"/>
      <c r="H21" s="205"/>
      <c r="I21" s="244"/>
      <c r="J21" s="242"/>
      <c r="K21" s="239"/>
    </row>
    <row r="22" spans="1:11" ht="16" x14ac:dyDescent="0.2">
      <c r="A22" s="543"/>
      <c r="B22" s="188" t="s">
        <v>348</v>
      </c>
      <c r="C22" s="203">
        <f>G14</f>
        <v>0</v>
      </c>
      <c r="D22" s="205"/>
      <c r="E22" s="196"/>
      <c r="F22" s="535" t="s">
        <v>349</v>
      </c>
      <c r="G22" s="536"/>
      <c r="H22" s="537"/>
      <c r="I22" s="244"/>
      <c r="J22" s="242"/>
      <c r="K22" s="239"/>
    </row>
    <row r="23" spans="1:11" ht="16" x14ac:dyDescent="0.2">
      <c r="A23" s="543"/>
      <c r="B23" s="207" t="s">
        <v>350</v>
      </c>
      <c r="C23" s="203">
        <f>C22+C21+C20</f>
        <v>0</v>
      </c>
      <c r="D23" s="245" t="s">
        <v>351</v>
      </c>
      <c r="E23" s="196"/>
      <c r="F23" s="187" t="s">
        <v>352</v>
      </c>
      <c r="G23" s="246">
        <v>100000</v>
      </c>
      <c r="H23" s="193">
        <v>500000</v>
      </c>
      <c r="I23" s="244" t="s">
        <v>353</v>
      </c>
      <c r="J23" s="242" t="b">
        <f>IF(C53&gt;=C52,TRUE,FALSE)</f>
        <v>1</v>
      </c>
      <c r="K23" s="239"/>
    </row>
    <row r="24" spans="1:11" ht="16" x14ac:dyDescent="0.2">
      <c r="A24" s="543"/>
      <c r="B24" s="196" t="s">
        <v>154</v>
      </c>
      <c r="C24" s="247">
        <f>C14+C17+C23</f>
        <v>213683</v>
      </c>
      <c r="D24" s="248"/>
      <c r="E24" s="196"/>
      <c r="F24" s="187" t="s">
        <v>354</v>
      </c>
      <c r="G24" s="246">
        <v>154000</v>
      </c>
      <c r="H24" s="193">
        <v>500000</v>
      </c>
      <c r="I24" s="241" t="s">
        <v>355</v>
      </c>
      <c r="J24" s="242" t="b">
        <f>IF(OR(C23&gt;E23,C27&gt;E27,C32&gt;E32),FALSE,TRUE)</f>
        <v>1</v>
      </c>
      <c r="K24" s="239"/>
    </row>
    <row r="25" spans="1:11" ht="16" x14ac:dyDescent="0.2">
      <c r="A25" s="543"/>
      <c r="B25" s="204" t="s">
        <v>356</v>
      </c>
      <c r="C25" s="249" t="str">
        <f>IF(C46&gt;=C49,"否","是")</f>
        <v>是</v>
      </c>
      <c r="D25" s="204" t="s">
        <v>357</v>
      </c>
      <c r="E25" s="196"/>
      <c r="F25" s="196"/>
      <c r="G25" s="196"/>
      <c r="H25" s="196"/>
      <c r="I25" s="250"/>
      <c r="J25" s="251"/>
      <c r="K25" s="239"/>
    </row>
    <row r="26" spans="1:11" x14ac:dyDescent="0.2">
      <c r="A26" s="543"/>
      <c r="B26" s="205" t="s">
        <v>358</v>
      </c>
      <c r="C26" s="252" t="str">
        <f>G4</f>
        <v>精准</v>
      </c>
      <c r="D26" s="205"/>
      <c r="E26" s="196"/>
      <c r="F26" s="196"/>
      <c r="G26" s="196"/>
      <c r="H26" s="196"/>
      <c r="I26" s="253" t="s">
        <v>359</v>
      </c>
      <c r="J26" s="254" t="b">
        <f>IF(OR(J19=FALSE,J23=FALSE,J17=FALSE,J24=FALSE),FALSE,TRUE)</f>
        <v>1</v>
      </c>
      <c r="K26" s="239"/>
    </row>
    <row r="27" spans="1:11" x14ac:dyDescent="0.2">
      <c r="A27" s="543"/>
      <c r="B27" s="188" t="s">
        <v>360</v>
      </c>
      <c r="C27" s="252">
        <f>IF(G3="是",G9,0)</f>
        <v>0</v>
      </c>
      <c r="D27" s="205"/>
      <c r="E27" s="196"/>
      <c r="F27" s="196"/>
      <c r="G27" s="196"/>
      <c r="H27" s="196"/>
      <c r="I27" s="239"/>
      <c r="J27" s="239"/>
      <c r="K27" s="239"/>
    </row>
    <row r="28" spans="1:11" x14ac:dyDescent="0.2">
      <c r="A28" s="543"/>
      <c r="B28" s="188" t="s">
        <v>361</v>
      </c>
      <c r="C28" s="203">
        <f>IF(G3="是",G5,0)</f>
        <v>3</v>
      </c>
      <c r="D28" s="205"/>
      <c r="E28" s="196"/>
      <c r="F28" s="196"/>
      <c r="G28" s="196"/>
      <c r="H28" s="196"/>
      <c r="I28" s="239"/>
      <c r="J28" s="239"/>
      <c r="K28" s="239"/>
    </row>
    <row r="29" spans="1:11" x14ac:dyDescent="0.2">
      <c r="A29" s="543"/>
      <c r="B29" s="188" t="s">
        <v>362</v>
      </c>
      <c r="C29" s="203">
        <f>IF(G3="是",G13,0)</f>
        <v>0</v>
      </c>
      <c r="D29" s="205"/>
      <c r="E29" s="196"/>
      <c r="F29" s="196"/>
      <c r="G29" s="196"/>
      <c r="H29" s="196"/>
      <c r="I29" s="239"/>
      <c r="J29" s="239"/>
      <c r="K29" s="239"/>
    </row>
    <row r="30" spans="1:11" x14ac:dyDescent="0.2">
      <c r="A30" s="543"/>
      <c r="B30" s="188" t="s">
        <v>363</v>
      </c>
      <c r="C30" s="203">
        <f>IF(AND(G3="是",C18&lt;&gt;"全国直购C"),G10,0)</f>
        <v>0</v>
      </c>
      <c r="D30" s="205"/>
      <c r="E30" s="196"/>
      <c r="F30" s="196"/>
      <c r="G30" s="196"/>
      <c r="H30" s="196"/>
      <c r="I30" s="239"/>
      <c r="J30" s="239"/>
      <c r="K30" s="239"/>
    </row>
    <row r="31" spans="1:11" x14ac:dyDescent="0.2">
      <c r="A31" s="543"/>
      <c r="B31" s="188" t="s">
        <v>364</v>
      </c>
      <c r="C31" s="203">
        <f>IF(G3="是",G11,0)</f>
        <v>0</v>
      </c>
      <c r="D31" s="205"/>
      <c r="E31" s="196"/>
      <c r="F31" s="196"/>
      <c r="G31" s="196"/>
      <c r="H31" s="196"/>
      <c r="I31" s="239"/>
      <c r="J31" s="239"/>
      <c r="K31" s="239"/>
    </row>
    <row r="32" spans="1:11" x14ac:dyDescent="0.2">
      <c r="A32" s="543"/>
      <c r="B32" s="188" t="s">
        <v>365</v>
      </c>
      <c r="C32" s="203">
        <f>IF(G3="是",G16,0)</f>
        <v>0</v>
      </c>
      <c r="D32" s="205"/>
      <c r="E32" s="196"/>
      <c r="F32" s="196"/>
      <c r="G32" s="196"/>
      <c r="H32" s="196"/>
      <c r="I32" s="239"/>
      <c r="J32" s="239"/>
      <c r="K32" s="239"/>
    </row>
    <row r="33" spans="1:11" x14ac:dyDescent="0.2">
      <c r="A33" s="543"/>
      <c r="B33" s="188" t="s">
        <v>366</v>
      </c>
      <c r="C33" s="203">
        <f>IF(G3="是",G12,0)</f>
        <v>0</v>
      </c>
      <c r="D33" s="205"/>
      <c r="E33" s="196"/>
      <c r="F33" s="196"/>
      <c r="G33" s="196"/>
      <c r="H33" s="196"/>
      <c r="I33" s="239"/>
      <c r="J33" s="239"/>
      <c r="K33" s="239"/>
    </row>
    <row r="34" spans="1:11" x14ac:dyDescent="0.2">
      <c r="A34" s="543"/>
      <c r="B34" s="188" t="s">
        <v>367</v>
      </c>
      <c r="C34" s="203">
        <f>IF(G3="是",G15,0)</f>
        <v>0</v>
      </c>
      <c r="D34" s="205"/>
      <c r="E34" s="196"/>
      <c r="F34" s="196"/>
      <c r="G34" s="196"/>
      <c r="H34" s="196"/>
      <c r="I34" s="239"/>
      <c r="J34" s="239"/>
      <c r="K34" s="239"/>
    </row>
    <row r="35" spans="1:11" x14ac:dyDescent="0.2">
      <c r="A35" s="543"/>
      <c r="B35" s="255" t="s">
        <v>158</v>
      </c>
      <c r="C35" s="339">
        <f>控制台!C29</f>
        <v>7700</v>
      </c>
      <c r="D35" s="205"/>
      <c r="E35" s="196"/>
      <c r="F35" s="196"/>
      <c r="G35" s="196"/>
      <c r="H35" s="196"/>
      <c r="I35" s="550" t="s">
        <v>368</v>
      </c>
      <c r="J35" s="551"/>
      <c r="K35" s="552" t="s">
        <v>369</v>
      </c>
    </row>
    <row r="36" spans="1:11" x14ac:dyDescent="0.2">
      <c r="A36" s="543"/>
      <c r="B36" s="205" t="s">
        <v>38</v>
      </c>
      <c r="C36" s="225">
        <f>C24-C43+C35</f>
        <v>135909</v>
      </c>
      <c r="D36" s="248"/>
      <c r="E36" s="196"/>
      <c r="F36" s="205"/>
      <c r="G36" s="205"/>
      <c r="H36" s="205"/>
      <c r="I36" s="551"/>
      <c r="J36" s="551"/>
      <c r="K36" s="552"/>
    </row>
    <row r="37" spans="1:11" x14ac:dyDescent="0.2">
      <c r="A37" s="543"/>
      <c r="B37" s="205" t="s">
        <v>370</v>
      </c>
      <c r="C37" s="256">
        <v>7.4499999999999997E-2</v>
      </c>
      <c r="D37" s="205" t="s">
        <v>205</v>
      </c>
      <c r="E37" s="205"/>
      <c r="F37" s="205"/>
      <c r="G37" s="205"/>
      <c r="H37" s="205"/>
      <c r="I37" s="205" t="s">
        <v>371</v>
      </c>
      <c r="J37" s="257">
        <f>IF(J42=J44,J45,ROUNDDOWN((C14+J47+J46-J42)/(1-C5*J43),0))</f>
        <v>148393</v>
      </c>
      <c r="K37" s="205" t="str">
        <f>C3</f>
        <v>民生金租</v>
      </c>
    </row>
    <row r="38" spans="1:11" x14ac:dyDescent="0.2">
      <c r="A38" s="543"/>
      <c r="B38" s="218" t="s">
        <v>372</v>
      </c>
      <c r="C38" s="227">
        <f>ROUND(-PMT(C37/12,C5*12,C36),2)</f>
        <v>4224.49</v>
      </c>
      <c r="D38" s="205"/>
      <c r="E38" s="205"/>
      <c r="F38" s="205"/>
      <c r="G38" s="205"/>
      <c r="H38" s="205"/>
      <c r="I38" s="205" t="s">
        <v>373</v>
      </c>
      <c r="J38" s="258" t="s">
        <v>374</v>
      </c>
      <c r="K38" s="205"/>
    </row>
    <row r="39" spans="1:11" ht="15" customHeight="1" x14ac:dyDescent="0.2">
      <c r="A39" s="556" t="s">
        <v>375</v>
      </c>
      <c r="B39" s="205" t="s">
        <v>2</v>
      </c>
      <c r="C39" s="259" t="str">
        <f>C3</f>
        <v>民生金租</v>
      </c>
      <c r="D39" s="205"/>
      <c r="E39" s="205"/>
      <c r="F39" s="205"/>
      <c r="G39" s="205"/>
      <c r="H39" s="205"/>
      <c r="I39" s="205"/>
      <c r="J39" s="260">
        <f>IF(C52=C43,C42,ROUNDDOWN((C14+C23+C35-C52)/(1-C5*C45),0))</f>
        <v>136210</v>
      </c>
      <c r="K39" s="239"/>
    </row>
    <row r="40" spans="1:11" x14ac:dyDescent="0.2">
      <c r="A40" s="557"/>
      <c r="B40" s="205" t="s">
        <v>376</v>
      </c>
      <c r="C40" s="261">
        <f>C38</f>
        <v>4224.49</v>
      </c>
      <c r="D40" s="205"/>
      <c r="E40" s="205"/>
      <c r="F40" s="262"/>
      <c r="G40" s="262"/>
      <c r="H40" s="262"/>
      <c r="I40" s="239"/>
      <c r="J40" s="239"/>
      <c r="K40" s="239"/>
    </row>
    <row r="41" spans="1:11" x14ac:dyDescent="0.2">
      <c r="A41" s="557"/>
      <c r="B41" s="263" t="s">
        <v>370</v>
      </c>
      <c r="C41" s="344">
        <f>控制台!C70</f>
        <v>7.2999999999999995E-2</v>
      </c>
      <c r="D41" s="264" t="s">
        <v>377</v>
      </c>
      <c r="E41" s="265"/>
      <c r="F41" s="266"/>
      <c r="G41" s="266"/>
      <c r="H41" s="266"/>
      <c r="I41" s="267" t="s">
        <v>378</v>
      </c>
      <c r="J41" s="268"/>
      <c r="K41" s="239"/>
    </row>
    <row r="42" spans="1:11" x14ac:dyDescent="0.2">
      <c r="A42" s="556" t="s">
        <v>379</v>
      </c>
      <c r="B42" s="218" t="s">
        <v>380</v>
      </c>
      <c r="C42" s="269">
        <f>ROUNDDOWN(C40*((1+C41/12)^(C5*12)-1)/((C41/12)*(1+C41/12)^(C5*12)),0)</f>
        <v>136210</v>
      </c>
      <c r="D42" s="205" t="s">
        <v>381</v>
      </c>
      <c r="E42" s="205"/>
      <c r="F42" s="205"/>
      <c r="G42" s="205"/>
      <c r="H42" s="205"/>
      <c r="I42" s="270" t="s">
        <v>382</v>
      </c>
      <c r="J42" s="270">
        <f>IF(J48=J45,J44,ROUNDUP(C14+J47+J46-J48*(1-J43*C5),0))</f>
        <v>89378</v>
      </c>
      <c r="K42" s="239"/>
    </row>
    <row r="43" spans="1:11" ht="15" customHeight="1" x14ac:dyDescent="0.2">
      <c r="A43" s="557"/>
      <c r="B43" s="218" t="s">
        <v>383</v>
      </c>
      <c r="C43" s="269">
        <f>ROUNDUP(C24*C13,0)</f>
        <v>85474</v>
      </c>
      <c r="D43" s="205">
        <f>ROUNDUP(C24*C13,0)</f>
        <v>85474</v>
      </c>
      <c r="E43" s="258"/>
      <c r="F43" s="258"/>
      <c r="G43" s="258"/>
      <c r="H43" s="258"/>
      <c r="I43" s="270" t="s">
        <v>384</v>
      </c>
      <c r="J43" s="271">
        <f>ROUND(J49/J45/C5,6)</f>
        <v>3.2954999999999998E-2</v>
      </c>
      <c r="K43" s="239"/>
    </row>
    <row r="44" spans="1:11" ht="15" customHeight="1" x14ac:dyDescent="0.2">
      <c r="A44" s="557"/>
      <c r="B44" s="272" t="s">
        <v>229</v>
      </c>
      <c r="C44" s="273">
        <f>C42+C43-C14-C23-C35</f>
        <v>13984</v>
      </c>
      <c r="D44" s="258"/>
      <c r="E44" s="248"/>
      <c r="F44" s="274"/>
      <c r="G44" s="274"/>
      <c r="H44" s="274"/>
      <c r="I44" s="275" t="s">
        <v>385</v>
      </c>
      <c r="J44" s="276">
        <f>ROUNDUP(J50*C13,0)</f>
        <v>89378</v>
      </c>
      <c r="K44" s="239">
        <v>1</v>
      </c>
    </row>
    <row r="45" spans="1:11" ht="30" customHeight="1" x14ac:dyDescent="0.2">
      <c r="A45" s="558"/>
      <c r="B45" s="218" t="s">
        <v>386</v>
      </c>
      <c r="C45" s="277">
        <f>ROUND(C44/C42/C5,6)</f>
        <v>3.4222000000000002E-2</v>
      </c>
      <c r="D45" s="205" t="s">
        <v>387</v>
      </c>
      <c r="E45" s="205"/>
      <c r="F45" s="205"/>
      <c r="G45" s="205"/>
      <c r="H45" s="205"/>
      <c r="I45" s="278" t="s">
        <v>388</v>
      </c>
      <c r="J45" s="276">
        <f>ROUNDDOWN(J51*((1+C41/12)^(C5*12)-1)/((C41/12)*(1+C41/12)^(C5*12)),0)</f>
        <v>148393</v>
      </c>
      <c r="K45" s="239">
        <v>1</v>
      </c>
    </row>
    <row r="46" spans="1:11" x14ac:dyDescent="0.2">
      <c r="A46" s="556" t="s">
        <v>30</v>
      </c>
      <c r="B46" s="205" t="s">
        <v>389</v>
      </c>
      <c r="C46" s="279">
        <f>C42</f>
        <v>136210</v>
      </c>
      <c r="D46" s="205"/>
      <c r="E46" s="205"/>
      <c r="F46" s="205"/>
      <c r="G46" s="205"/>
      <c r="H46" s="205"/>
      <c r="I46" s="280" t="s">
        <v>390</v>
      </c>
      <c r="J46" s="276">
        <f>E27+ROUND(C14*7%,0)</f>
        <v>14000</v>
      </c>
      <c r="K46" s="239"/>
    </row>
    <row r="47" spans="1:11" x14ac:dyDescent="0.2">
      <c r="A47" s="557"/>
      <c r="B47" s="205" t="s">
        <v>391</v>
      </c>
      <c r="C47" s="208">
        <f>G23</f>
        <v>100000</v>
      </c>
      <c r="D47" s="205"/>
      <c r="E47" s="205"/>
      <c r="F47" s="205"/>
      <c r="G47" s="205"/>
      <c r="H47" s="205"/>
      <c r="I47" s="280" t="s">
        <v>392</v>
      </c>
      <c r="J47" s="276">
        <f>ROUND(C14*0.7*C19,0)</f>
        <v>9100</v>
      </c>
      <c r="K47" s="239"/>
    </row>
    <row r="48" spans="1:11" x14ac:dyDescent="0.2">
      <c r="A48" s="557"/>
      <c r="B48" s="205" t="s">
        <v>393</v>
      </c>
      <c r="C48" s="208">
        <f>G24</f>
        <v>154000</v>
      </c>
      <c r="D48" s="205"/>
      <c r="E48" s="205"/>
      <c r="F48" s="205"/>
      <c r="G48" s="205"/>
      <c r="H48" s="205"/>
      <c r="I48" s="281" t="s">
        <v>394</v>
      </c>
      <c r="J48" s="282">
        <f>MIN(C49,J45)</f>
        <v>148393</v>
      </c>
      <c r="K48" s="239"/>
    </row>
    <row r="49" spans="1:11" x14ac:dyDescent="0.2">
      <c r="A49" s="557"/>
      <c r="B49" s="188" t="s">
        <v>395</v>
      </c>
      <c r="C49" s="338">
        <f>控制台!C68</f>
        <v>200000</v>
      </c>
      <c r="D49" s="205"/>
      <c r="E49" s="205"/>
      <c r="F49" s="205"/>
      <c r="G49" s="205"/>
      <c r="H49" s="205"/>
      <c r="I49" s="270" t="s">
        <v>396</v>
      </c>
      <c r="J49" s="283">
        <f>J45+J44-C14-J47-J46</f>
        <v>14671</v>
      </c>
      <c r="K49" s="239"/>
    </row>
    <row r="50" spans="1:11" x14ac:dyDescent="0.2">
      <c r="A50" s="557"/>
      <c r="B50" s="196" t="s">
        <v>31</v>
      </c>
      <c r="C50" s="269">
        <f>IF(C3="新网",MIN(C46,C49,ROUND(1.1*(C14+C23)/(1-1.1*C5*C45),0)),MIN(C46,C49))</f>
        <v>136210</v>
      </c>
      <c r="D50" s="284"/>
      <c r="E50" s="205"/>
      <c r="F50" s="205"/>
      <c r="G50" s="205"/>
      <c r="H50" s="205"/>
      <c r="I50" s="281" t="s">
        <v>397</v>
      </c>
      <c r="J50" s="283">
        <f>C14+J52+J47</f>
        <v>223443</v>
      </c>
      <c r="K50" s="239"/>
    </row>
    <row r="51" spans="1:11" x14ac:dyDescent="0.2">
      <c r="A51" s="557"/>
      <c r="B51" s="196" t="s">
        <v>398</v>
      </c>
      <c r="C51" s="269">
        <f>MIN(IF(C3="新网",MAX(12500,ROUND(C14*0.3,0),ROUND((C35/0.3-C14-C23)/(C5*C45),0)),MAX(12500,ROUND(C14*0.3,0))),C50)</f>
        <v>60000</v>
      </c>
      <c r="D51" s="285"/>
      <c r="E51" s="205" t="s">
        <v>399</v>
      </c>
      <c r="F51" s="205"/>
      <c r="G51" s="205"/>
      <c r="H51" s="205"/>
      <c r="I51" s="281" t="s">
        <v>400</v>
      </c>
      <c r="J51" s="286">
        <f>ROUND(-PMT(C37/12,C5*12,J53),2)</f>
        <v>4602.34</v>
      </c>
      <c r="K51" s="239"/>
    </row>
    <row r="52" spans="1:11" x14ac:dyDescent="0.2">
      <c r="A52" s="557"/>
      <c r="B52" s="287" t="s">
        <v>32</v>
      </c>
      <c r="C52" s="288">
        <f>IF(C50=C42,C43,ROUNDUP(C14+C23+C35-C50*(1-C45*C5),0))</f>
        <v>85474</v>
      </c>
      <c r="D52" s="205" t="s">
        <v>401</v>
      </c>
      <c r="E52" s="205"/>
      <c r="F52" s="205"/>
      <c r="G52" s="205"/>
      <c r="H52" s="205"/>
      <c r="I52" s="281" t="s">
        <v>402</v>
      </c>
      <c r="J52" s="276">
        <f>ROUNDUP((C14+J46+J47)*(1-C13)*C16*C5,0)</f>
        <v>14343</v>
      </c>
      <c r="K52" s="239"/>
    </row>
    <row r="53" spans="1:11" x14ac:dyDescent="0.2">
      <c r="A53" s="557"/>
      <c r="B53" s="287" t="s">
        <v>403</v>
      </c>
      <c r="C53" s="288">
        <f>IF(C51=C42,C43,ROUNDUP(C14+C23+C35-C51*(1-C45*C5),0))</f>
        <v>153860</v>
      </c>
      <c r="D53" s="205" t="s">
        <v>401</v>
      </c>
      <c r="E53" s="205"/>
      <c r="F53" s="205"/>
      <c r="G53" s="205"/>
      <c r="H53" s="205"/>
      <c r="I53" s="281" t="s">
        <v>404</v>
      </c>
      <c r="J53" s="289">
        <f>J50-J44+J46</f>
        <v>148065</v>
      </c>
      <c r="K53" s="239"/>
    </row>
    <row r="54" spans="1:11" x14ac:dyDescent="0.2">
      <c r="A54" s="557"/>
      <c r="B54" s="205" t="s">
        <v>35</v>
      </c>
      <c r="C54" s="347">
        <f>控制台!C74</f>
        <v>63967</v>
      </c>
      <c r="D54" s="205"/>
      <c r="E54" s="205"/>
      <c r="F54" s="205"/>
      <c r="G54" s="205"/>
      <c r="H54" s="205"/>
      <c r="I54" s="290"/>
      <c r="J54" s="289"/>
      <c r="K54" s="239"/>
    </row>
    <row r="55" spans="1:11" x14ac:dyDescent="0.2">
      <c r="A55" s="558"/>
      <c r="B55" s="205" t="s">
        <v>36</v>
      </c>
      <c r="C55" s="291" t="str">
        <f>IF(AND(C54&gt;=MAX(C52,C43),C54&lt;=MAX(C43,C53)),"是","否")</f>
        <v>否</v>
      </c>
      <c r="D55" s="205"/>
      <c r="E55" s="205"/>
      <c r="F55" s="262"/>
      <c r="G55" s="262"/>
      <c r="H55" s="262"/>
      <c r="I55" s="239"/>
      <c r="J55" s="239"/>
      <c r="K55" s="239"/>
    </row>
    <row r="56" spans="1:11" x14ac:dyDescent="0.2">
      <c r="A56" s="559" t="s">
        <v>37</v>
      </c>
      <c r="B56" s="196" t="s">
        <v>405</v>
      </c>
      <c r="C56" s="220">
        <f>IF(C54=C43,C42,ROUNDDOWN((C14+C23+C35-C54)/(1-C5*C45),0))</f>
        <v>160177</v>
      </c>
      <c r="D56" s="258" t="s">
        <v>406</v>
      </c>
      <c r="E56" s="248">
        <f>ROUNDDOWN((C14+C23+C35-C54)/(1-C5*C45),0)</f>
        <v>160177</v>
      </c>
      <c r="F56" s="248"/>
      <c r="G56" s="248"/>
      <c r="H56" s="248"/>
      <c r="I56" s="256">
        <f>C56/C60</f>
        <v>0.74003899391990535</v>
      </c>
      <c r="J56" s="239"/>
      <c r="K56" s="239"/>
    </row>
    <row r="57" spans="1:11" x14ac:dyDescent="0.2">
      <c r="A57" s="559"/>
      <c r="B57" s="218" t="s">
        <v>407</v>
      </c>
      <c r="C57" s="225">
        <f>C56-C35</f>
        <v>152477</v>
      </c>
      <c r="D57" s="258"/>
      <c r="E57" s="248"/>
      <c r="F57" s="248"/>
      <c r="G57" s="248"/>
      <c r="H57" s="248"/>
      <c r="I57" s="256">
        <f>C57/C60</f>
        <v>0.70446397220528179</v>
      </c>
      <c r="J57" s="239"/>
      <c r="K57" s="239"/>
    </row>
    <row r="58" spans="1:11" x14ac:dyDescent="0.2">
      <c r="A58" s="559"/>
      <c r="B58" s="196" t="s">
        <v>408</v>
      </c>
      <c r="C58" s="220">
        <f>C61+C56-C14-C23-C35</f>
        <v>16444</v>
      </c>
      <c r="D58" s="258"/>
      <c r="E58" s="258">
        <f>C60-C14-C23</f>
        <v>16444</v>
      </c>
      <c r="F58" s="292"/>
      <c r="G58" s="292"/>
      <c r="H58" s="292"/>
      <c r="I58" s="239"/>
      <c r="J58" s="239"/>
      <c r="K58" s="239"/>
    </row>
    <row r="59" spans="1:11" x14ac:dyDescent="0.2">
      <c r="A59" s="559"/>
      <c r="B59" s="293" t="s">
        <v>57</v>
      </c>
      <c r="C59" s="227" t="b">
        <f>IF(C55="是",ROUND(-PMT(C41/12,C5*12,C56),2),FALSE)</f>
        <v>0</v>
      </c>
      <c r="D59" s="205"/>
      <c r="E59" s="205"/>
      <c r="F59" s="262"/>
      <c r="G59" s="262"/>
      <c r="H59" s="262"/>
      <c r="I59" s="239"/>
      <c r="J59" s="239"/>
      <c r="K59" s="239"/>
    </row>
    <row r="60" spans="1:11" x14ac:dyDescent="0.2">
      <c r="A60" s="559"/>
      <c r="B60" s="205" t="s">
        <v>409</v>
      </c>
      <c r="C60" s="227">
        <f>C56+C54-C35</f>
        <v>216444</v>
      </c>
      <c r="D60" s="205"/>
      <c r="E60" s="294">
        <f>C24</f>
        <v>213683</v>
      </c>
      <c r="F60" s="295"/>
      <c r="G60" s="295"/>
      <c r="H60" s="295"/>
      <c r="I60" s="239"/>
      <c r="J60" s="239"/>
      <c r="K60" s="239"/>
    </row>
    <row r="61" spans="1:11" x14ac:dyDescent="0.2">
      <c r="A61" s="559"/>
      <c r="B61" s="218" t="s">
        <v>410</v>
      </c>
      <c r="C61" s="225">
        <f>C54</f>
        <v>63967</v>
      </c>
      <c r="D61" s="205"/>
      <c r="E61" s="205"/>
      <c r="F61" s="262"/>
      <c r="G61" s="262"/>
      <c r="H61" s="262"/>
      <c r="I61" s="239"/>
      <c r="J61" s="239"/>
      <c r="K61" s="239"/>
    </row>
    <row r="62" spans="1:11" x14ac:dyDescent="0.2">
      <c r="A62" s="559"/>
      <c r="B62" s="188" t="s">
        <v>411</v>
      </c>
      <c r="C62" s="220" t="str">
        <f>G8</f>
        <v>回租私户</v>
      </c>
      <c r="D62" s="205"/>
      <c r="E62" s="205"/>
      <c r="F62" s="262"/>
      <c r="G62" s="262"/>
      <c r="H62" s="262"/>
      <c r="I62" s="239"/>
      <c r="J62" s="239"/>
      <c r="K62" s="239"/>
    </row>
    <row r="63" spans="1:11" x14ac:dyDescent="0.2">
      <c r="A63" s="559"/>
      <c r="B63" s="188" t="s">
        <v>412</v>
      </c>
      <c r="C63" s="220">
        <f>G18</f>
        <v>0</v>
      </c>
      <c r="D63" s="218"/>
      <c r="E63" s="205"/>
      <c r="G63" s="262"/>
      <c r="H63" s="262"/>
      <c r="I63" s="239"/>
      <c r="J63" s="239"/>
      <c r="K63" s="239"/>
    </row>
    <row r="64" spans="1:11" x14ac:dyDescent="0.2">
      <c r="A64" s="559"/>
      <c r="B64" s="188" t="s">
        <v>413</v>
      </c>
      <c r="C64" s="220">
        <f>G17</f>
        <v>0</v>
      </c>
      <c r="D64" s="218"/>
      <c r="E64" s="205"/>
      <c r="F64" s="296">
        <f>14000/C60</f>
        <v>6.4681857662952078E-2</v>
      </c>
      <c r="G64" s="262"/>
      <c r="H64" s="262"/>
      <c r="I64" s="239"/>
      <c r="J64" s="239"/>
      <c r="K64" s="239"/>
    </row>
    <row r="65" spans="1:11" x14ac:dyDescent="0.2">
      <c r="A65" s="559"/>
      <c r="B65" s="205" t="s">
        <v>414</v>
      </c>
      <c r="C65" s="224" t="str">
        <f>IF(C2="新网直租190",J12,IF(C2="新网限牌190",J11,IF(OR(C66&lt;0.5,C4="微众白户"),J10,J5)))</f>
        <v>PS44/PS54</v>
      </c>
      <c r="D65" s="205"/>
      <c r="E65" s="205"/>
      <c r="F65" s="297">
        <f>C61/(C60+C35)</f>
        <v>0.2853835034620601</v>
      </c>
      <c r="G65" s="262"/>
      <c r="H65" s="262"/>
      <c r="I65" s="239"/>
      <c r="J65" s="239"/>
      <c r="K65" s="239"/>
    </row>
    <row r="66" spans="1:11" x14ac:dyDescent="0.2">
      <c r="A66" s="559"/>
      <c r="B66" s="205" t="s">
        <v>415</v>
      </c>
      <c r="C66" s="256">
        <f>ROUND(C61/C60,6)</f>
        <v>0.29553600000000002</v>
      </c>
      <c r="D66" s="205" t="s">
        <v>416</v>
      </c>
      <c r="E66" s="205"/>
      <c r="F66" s="262"/>
      <c r="G66" s="262"/>
      <c r="H66" s="262"/>
      <c r="I66" s="239"/>
      <c r="J66" s="239"/>
      <c r="K66" s="239"/>
    </row>
    <row r="67" spans="1:11" x14ac:dyDescent="0.2">
      <c r="A67" s="559"/>
      <c r="B67" s="188" t="s">
        <v>417</v>
      </c>
      <c r="C67" s="224">
        <f>G9-C27</f>
        <v>0</v>
      </c>
      <c r="D67" s="205"/>
      <c r="E67" s="205"/>
      <c r="F67" s="262"/>
      <c r="G67" s="262"/>
      <c r="H67" s="262"/>
      <c r="I67" s="239"/>
      <c r="J67" s="239"/>
      <c r="K67" s="239"/>
    </row>
    <row r="68" spans="1:11" x14ac:dyDescent="0.2">
      <c r="A68" s="559"/>
      <c r="B68" s="188" t="s">
        <v>418</v>
      </c>
      <c r="C68" s="224">
        <f>G10-C21-C30</f>
        <v>0</v>
      </c>
      <c r="D68" s="205"/>
      <c r="E68" s="205"/>
      <c r="F68" s="262"/>
      <c r="G68" s="262"/>
      <c r="H68" s="262"/>
      <c r="I68" s="239"/>
      <c r="J68" s="239"/>
      <c r="K68" s="239"/>
    </row>
    <row r="69" spans="1:11" x14ac:dyDescent="0.2">
      <c r="A69" s="559"/>
      <c r="B69" s="188" t="s">
        <v>419</v>
      </c>
      <c r="C69" s="224">
        <f>G11-C31</f>
        <v>0</v>
      </c>
      <c r="D69" s="205"/>
      <c r="E69" s="205"/>
      <c r="F69" s="262"/>
      <c r="G69" s="262"/>
      <c r="H69" s="262"/>
      <c r="I69" s="239"/>
      <c r="J69" s="239"/>
      <c r="K69" s="239"/>
    </row>
    <row r="70" spans="1:11" x14ac:dyDescent="0.2">
      <c r="A70" s="559"/>
      <c r="B70" s="188" t="s">
        <v>420</v>
      </c>
      <c r="C70" s="224">
        <f>G12-C33</f>
        <v>0</v>
      </c>
      <c r="D70" s="205"/>
      <c r="E70" s="205"/>
      <c r="F70" s="262"/>
      <c r="G70" s="262"/>
      <c r="H70" s="262"/>
      <c r="I70" s="239"/>
      <c r="J70" s="239"/>
      <c r="K70" s="239"/>
    </row>
    <row r="71" spans="1:11" x14ac:dyDescent="0.2">
      <c r="A71" s="559"/>
      <c r="B71" s="188" t="s">
        <v>421</v>
      </c>
      <c r="C71" s="224">
        <f>G13-C29</f>
        <v>0</v>
      </c>
      <c r="D71" s="205"/>
      <c r="E71" s="205"/>
      <c r="F71" s="262"/>
      <c r="G71" s="262"/>
      <c r="H71" s="262"/>
      <c r="I71" s="239"/>
      <c r="J71" s="239"/>
      <c r="K71" s="239"/>
    </row>
    <row r="72" spans="1:11" x14ac:dyDescent="0.2">
      <c r="A72" s="559"/>
      <c r="B72" s="196" t="s">
        <v>422</v>
      </c>
      <c r="C72" s="298">
        <f>C61+C63+C64+C67+C68+C69+C70+C71</f>
        <v>63967</v>
      </c>
      <c r="D72" s="205"/>
      <c r="E72" s="205"/>
      <c r="F72" s="262"/>
      <c r="G72" s="262"/>
      <c r="H72" s="262"/>
      <c r="I72" s="239"/>
      <c r="J72" s="239"/>
      <c r="K72" s="239"/>
    </row>
    <row r="74" spans="1:11" x14ac:dyDescent="0.2">
      <c r="A74" s="531" t="s">
        <v>423</v>
      </c>
      <c r="B74" s="226" t="s">
        <v>424</v>
      </c>
      <c r="C74" s="222">
        <v>13393</v>
      </c>
      <c r="D74" s="205"/>
      <c r="E74" s="205"/>
      <c r="F74" s="299"/>
      <c r="G74" s="299"/>
      <c r="H74" s="299"/>
      <c r="I74" s="538"/>
      <c r="J74" s="539"/>
    </row>
    <row r="75" spans="1:11" x14ac:dyDescent="0.2">
      <c r="A75" s="531"/>
      <c r="B75" s="226" t="s">
        <v>425</v>
      </c>
      <c r="C75" s="223">
        <v>0</v>
      </c>
      <c r="D75" s="218" t="s">
        <v>426</v>
      </c>
      <c r="E75" s="205"/>
      <c r="F75" s="262"/>
      <c r="G75" s="262"/>
      <c r="H75" s="262"/>
      <c r="I75" s="300" t="s">
        <v>427</v>
      </c>
      <c r="J75" s="301" t="s">
        <v>428</v>
      </c>
    </row>
    <row r="76" spans="1:11" x14ac:dyDescent="0.2">
      <c r="A76" s="531"/>
      <c r="B76" s="226" t="s">
        <v>429</v>
      </c>
      <c r="C76" s="223">
        <v>0</v>
      </c>
      <c r="D76" s="218" t="s">
        <v>430</v>
      </c>
      <c r="E76" s="205"/>
      <c r="F76" s="262"/>
      <c r="G76" s="262"/>
      <c r="H76" s="262"/>
      <c r="I76" s="300" t="s">
        <v>431</v>
      </c>
      <c r="J76" s="301" t="s">
        <v>432</v>
      </c>
    </row>
    <row r="77" spans="1:11" x14ac:dyDescent="0.2">
      <c r="A77" s="531"/>
      <c r="B77" s="226" t="s">
        <v>433</v>
      </c>
      <c r="C77" s="224">
        <f>C67</f>
        <v>0</v>
      </c>
      <c r="D77" s="218" t="s">
        <v>434</v>
      </c>
      <c r="E77" s="205"/>
      <c r="F77" s="262"/>
      <c r="G77" s="262"/>
      <c r="H77" s="262"/>
      <c r="I77" s="300" t="s">
        <v>435</v>
      </c>
      <c r="J77" s="301" t="s">
        <v>436</v>
      </c>
    </row>
    <row r="78" spans="1:11" x14ac:dyDescent="0.2">
      <c r="A78" s="531"/>
      <c r="B78" s="221" t="s">
        <v>437</v>
      </c>
      <c r="C78" s="224">
        <f>C71</f>
        <v>0</v>
      </c>
      <c r="D78" s="218" t="s">
        <v>438</v>
      </c>
      <c r="E78" s="205"/>
      <c r="F78" s="262"/>
      <c r="G78" s="262"/>
      <c r="H78" s="262"/>
      <c r="I78" s="300" t="s">
        <v>439</v>
      </c>
      <c r="J78" s="301" t="s">
        <v>440</v>
      </c>
    </row>
    <row r="79" spans="1:11" x14ac:dyDescent="0.2">
      <c r="A79" s="531"/>
      <c r="B79" s="226" t="s">
        <v>441</v>
      </c>
      <c r="C79" s="225">
        <f>C63</f>
        <v>0</v>
      </c>
      <c r="D79" s="218" t="s">
        <v>442</v>
      </c>
      <c r="E79" s="205"/>
      <c r="F79" s="262"/>
      <c r="G79" s="262"/>
      <c r="H79" s="262"/>
      <c r="I79" s="300" t="s">
        <v>443</v>
      </c>
      <c r="J79" s="301" t="s">
        <v>444</v>
      </c>
    </row>
    <row r="80" spans="1:11" x14ac:dyDescent="0.2">
      <c r="A80" s="531"/>
      <c r="B80" s="226" t="s">
        <v>445</v>
      </c>
      <c r="C80" s="225">
        <f>C64</f>
        <v>0</v>
      </c>
      <c r="D80" s="218" t="s">
        <v>446</v>
      </c>
      <c r="E80" s="205"/>
      <c r="F80" s="262"/>
      <c r="G80" s="262"/>
      <c r="H80" s="262"/>
      <c r="I80" s="239"/>
    </row>
    <row r="81" spans="1:9" x14ac:dyDescent="0.2">
      <c r="A81" s="531"/>
      <c r="B81" s="226" t="s">
        <v>447</v>
      </c>
      <c r="C81" s="225">
        <f>C68</f>
        <v>0</v>
      </c>
      <c r="D81" s="218" t="s">
        <v>448</v>
      </c>
      <c r="E81" s="205"/>
      <c r="F81" s="262"/>
      <c r="G81" s="262"/>
      <c r="H81" s="262"/>
      <c r="I81" s="239"/>
    </row>
    <row r="82" spans="1:9" x14ac:dyDescent="0.2">
      <c r="A82" s="531"/>
      <c r="B82" s="226" t="s">
        <v>449</v>
      </c>
      <c r="C82" s="225">
        <f>C69</f>
        <v>0</v>
      </c>
      <c r="D82" s="218" t="s">
        <v>450</v>
      </c>
      <c r="E82" s="205"/>
      <c r="F82" s="262"/>
      <c r="G82" s="262"/>
      <c r="H82" s="262"/>
      <c r="I82" s="239"/>
    </row>
    <row r="83" spans="1:9" x14ac:dyDescent="0.2">
      <c r="A83" s="531"/>
      <c r="B83" s="226" t="s">
        <v>262</v>
      </c>
      <c r="C83" s="225">
        <f>C70</f>
        <v>0</v>
      </c>
      <c r="D83" s="218" t="s">
        <v>451</v>
      </c>
      <c r="E83" s="205"/>
      <c r="F83" s="262"/>
      <c r="G83" s="262"/>
      <c r="H83" s="262"/>
      <c r="I83" s="239"/>
    </row>
    <row r="84" spans="1:9" x14ac:dyDescent="0.2">
      <c r="A84" s="531"/>
      <c r="B84" s="221" t="s">
        <v>452</v>
      </c>
      <c r="C84" s="227">
        <f>C74-C75-C76-C77-C79-C80-C78-C81-C82-C83</f>
        <v>13393</v>
      </c>
      <c r="D84" s="218" t="s">
        <v>453</v>
      </c>
      <c r="E84" s="302">
        <f>C84+C85</f>
        <v>149426</v>
      </c>
      <c r="F84" s="297"/>
      <c r="G84" s="297"/>
      <c r="H84" s="297"/>
      <c r="I84" s="239"/>
    </row>
    <row r="85" spans="1:9" x14ac:dyDescent="0.2">
      <c r="A85" s="553" t="s">
        <v>454</v>
      </c>
      <c r="B85" s="226" t="s">
        <v>455</v>
      </c>
      <c r="C85" s="227">
        <f>C14-C61</f>
        <v>136033</v>
      </c>
      <c r="D85" s="194" t="s">
        <v>456</v>
      </c>
      <c r="E85" s="302">
        <f>C85+C84-(C74-C72)+C75+C76</f>
        <v>200000</v>
      </c>
      <c r="F85" s="297"/>
      <c r="G85" s="297"/>
      <c r="H85" s="297"/>
      <c r="I85" s="239"/>
    </row>
    <row r="86" spans="1:9" x14ac:dyDescent="0.2">
      <c r="A86" s="554"/>
      <c r="B86" s="226" t="s">
        <v>457</v>
      </c>
      <c r="C86" s="228">
        <f>G14</f>
        <v>0</v>
      </c>
      <c r="D86" s="205"/>
      <c r="E86" s="205"/>
      <c r="F86" s="262"/>
      <c r="G86" s="262"/>
      <c r="H86" s="262"/>
      <c r="I86" s="239"/>
    </row>
    <row r="87" spans="1:9" x14ac:dyDescent="0.2">
      <c r="A87" s="554"/>
      <c r="B87" s="226" t="s">
        <v>458</v>
      </c>
      <c r="C87" s="228">
        <f>G15</f>
        <v>0</v>
      </c>
      <c r="D87" s="205"/>
      <c r="E87" s="205"/>
      <c r="F87" s="262"/>
      <c r="G87" s="262"/>
      <c r="H87" s="262"/>
      <c r="I87" s="239"/>
    </row>
    <row r="88" spans="1:9" x14ac:dyDescent="0.2">
      <c r="A88" s="554"/>
      <c r="B88" s="226" t="s">
        <v>459</v>
      </c>
      <c r="C88" s="228">
        <f>G10-C81</f>
        <v>0</v>
      </c>
      <c r="D88" s="194" t="s">
        <v>460</v>
      </c>
      <c r="E88" s="205"/>
      <c r="F88" s="262"/>
      <c r="G88" s="262"/>
      <c r="H88" s="262"/>
      <c r="I88" s="239"/>
    </row>
    <row r="89" spans="1:9" x14ac:dyDescent="0.2">
      <c r="A89" s="554"/>
      <c r="B89" s="226" t="s">
        <v>461</v>
      </c>
      <c r="C89" s="229">
        <f>C31</f>
        <v>0</v>
      </c>
      <c r="D89" s="196"/>
      <c r="E89" s="205"/>
      <c r="F89" s="262"/>
      <c r="G89" s="262"/>
      <c r="H89" s="262"/>
      <c r="I89" s="239"/>
    </row>
    <row r="90" spans="1:9" x14ac:dyDescent="0.2">
      <c r="A90" s="554"/>
      <c r="B90" s="226" t="s">
        <v>462</v>
      </c>
      <c r="C90" s="229">
        <f>C33</f>
        <v>0</v>
      </c>
      <c r="D90" s="196"/>
      <c r="E90" s="205"/>
      <c r="F90" s="262"/>
      <c r="G90" s="262"/>
      <c r="H90" s="262"/>
      <c r="I90" s="239"/>
    </row>
    <row r="91" spans="1:9" x14ac:dyDescent="0.2">
      <c r="A91" s="554"/>
      <c r="B91" s="226" t="s">
        <v>463</v>
      </c>
      <c r="C91" s="227">
        <f>C32</f>
        <v>0</v>
      </c>
      <c r="D91" s="196"/>
      <c r="E91" s="205"/>
      <c r="F91" s="262"/>
      <c r="G91" s="262"/>
      <c r="H91" s="262"/>
      <c r="I91" s="239"/>
    </row>
    <row r="92" spans="1:9" x14ac:dyDescent="0.2">
      <c r="A92" s="554"/>
      <c r="B92" s="226" t="s">
        <v>464</v>
      </c>
      <c r="C92" s="227">
        <f>C27</f>
        <v>0</v>
      </c>
      <c r="D92" s="196"/>
      <c r="E92" s="205"/>
      <c r="F92" s="262"/>
      <c r="G92" s="262"/>
      <c r="H92" s="262"/>
      <c r="I92" s="239"/>
    </row>
    <row r="93" spans="1:9" x14ac:dyDescent="0.2">
      <c r="A93" s="554"/>
      <c r="B93" s="221" t="s">
        <v>465</v>
      </c>
      <c r="C93" s="227">
        <f>C29</f>
        <v>0</v>
      </c>
      <c r="D93" s="196"/>
      <c r="E93" s="205"/>
      <c r="F93" s="262"/>
      <c r="G93" s="262"/>
      <c r="H93" s="262"/>
      <c r="I93" s="239"/>
    </row>
    <row r="94" spans="1:9" x14ac:dyDescent="0.2">
      <c r="A94" s="554"/>
      <c r="B94" s="221" t="s">
        <v>466</v>
      </c>
      <c r="C94" s="227">
        <f>C56-C85-C86-C87-C88-C89-C90-C91-C92-C93</f>
        <v>24144</v>
      </c>
      <c r="D94" s="194" t="s">
        <v>467</v>
      </c>
      <c r="E94" s="248">
        <f>C58</f>
        <v>16444</v>
      </c>
      <c r="F94" s="303"/>
      <c r="G94" s="303"/>
      <c r="H94" s="303"/>
      <c r="I94" s="239"/>
    </row>
    <row r="95" spans="1:9" x14ac:dyDescent="0.2">
      <c r="A95" s="554"/>
      <c r="B95" s="221" t="s">
        <v>468</v>
      </c>
      <c r="C95" s="227">
        <f>C56</f>
        <v>160177</v>
      </c>
      <c r="D95" s="196"/>
      <c r="E95" s="205"/>
      <c r="F95" s="262"/>
      <c r="G95" s="262"/>
      <c r="H95" s="262"/>
      <c r="I95" s="239"/>
    </row>
    <row r="96" spans="1:9" x14ac:dyDescent="0.2">
      <c r="A96" s="555"/>
      <c r="B96" s="221" t="s">
        <v>469</v>
      </c>
      <c r="C96" s="227">
        <f>IF(G5&lt;4,ROUND(C14*0.05%,2),ROUND(C14*0.08%,2))</f>
        <v>100</v>
      </c>
      <c r="D96" s="196"/>
      <c r="E96" s="205"/>
      <c r="F96" s="262"/>
      <c r="G96" s="262"/>
      <c r="H96" s="262"/>
      <c r="I96" s="239"/>
    </row>
    <row r="97" spans="1:9" x14ac:dyDescent="0.2">
      <c r="A97" s="304" t="s">
        <v>470</v>
      </c>
      <c r="B97" s="226" t="s">
        <v>471</v>
      </c>
      <c r="C97" s="227">
        <f>C72+C59*C5*12</f>
        <v>63967</v>
      </c>
      <c r="D97" s="196" t="s">
        <v>472</v>
      </c>
      <c r="E97" s="205"/>
      <c r="F97" s="262"/>
      <c r="G97" s="262"/>
      <c r="H97" s="262"/>
      <c r="I97" s="239"/>
    </row>
    <row r="98" spans="1:9" x14ac:dyDescent="0.2">
      <c r="A98" s="239"/>
      <c r="B98" s="239"/>
      <c r="C98" s="305"/>
      <c r="D98" s="239"/>
      <c r="E98" s="239"/>
      <c r="F98" s="239"/>
      <c r="G98" s="239"/>
      <c r="H98" s="239"/>
      <c r="I98" s="239"/>
    </row>
    <row r="99" spans="1:9" x14ac:dyDescent="0.2">
      <c r="A99" s="239"/>
      <c r="B99" s="239"/>
      <c r="C99" s="305"/>
      <c r="D99" s="239"/>
      <c r="E99" s="239"/>
      <c r="F99" s="239"/>
      <c r="G99" s="239"/>
      <c r="H99" s="239"/>
      <c r="I99" s="239"/>
    </row>
    <row r="100" spans="1:9" x14ac:dyDescent="0.2">
      <c r="A100" s="239"/>
      <c r="B100" s="239"/>
      <c r="C100" s="305"/>
      <c r="D100" s="239"/>
      <c r="E100" s="239"/>
      <c r="F100" s="239"/>
      <c r="G100" s="239"/>
      <c r="H100" s="239"/>
      <c r="I100" s="239"/>
    </row>
    <row r="101" spans="1:9" x14ac:dyDescent="0.2">
      <c r="A101" s="239"/>
      <c r="B101" s="239"/>
      <c r="C101" s="305"/>
      <c r="D101" s="239"/>
      <c r="E101" s="239"/>
      <c r="F101" s="239"/>
      <c r="G101" s="239"/>
      <c r="H101" s="239"/>
      <c r="I101" s="239"/>
    </row>
    <row r="102" spans="1:9" x14ac:dyDescent="0.2">
      <c r="A102" s="239"/>
      <c r="B102" s="239"/>
      <c r="C102" s="305"/>
      <c r="D102" s="239"/>
      <c r="E102" s="239"/>
      <c r="F102" s="239"/>
      <c r="G102" s="239"/>
      <c r="H102" s="239"/>
      <c r="I102" s="239"/>
    </row>
  </sheetData>
  <dataConsolidate/>
  <mergeCells count="15">
    <mergeCell ref="A85:A96"/>
    <mergeCell ref="A39:A41"/>
    <mergeCell ref="A42:A45"/>
    <mergeCell ref="A46:A55"/>
    <mergeCell ref="A56:A72"/>
    <mergeCell ref="A74:A84"/>
    <mergeCell ref="I74:J74"/>
    <mergeCell ref="F1:H1"/>
    <mergeCell ref="I1:K2"/>
    <mergeCell ref="A2:A4"/>
    <mergeCell ref="A5:A38"/>
    <mergeCell ref="B6:C8"/>
    <mergeCell ref="F22:H22"/>
    <mergeCell ref="I35:J36"/>
    <mergeCell ref="K35:K36"/>
  </mergeCells>
  <phoneticPr fontId="17" type="noConversion"/>
  <dataValidations count="12">
    <dataValidation type="list" allowBlank="1" showInputMessage="1" showErrorMessage="1" sqref="G6">
      <formula1>"1,2,3"</formula1>
    </dataValidation>
    <dataValidation type="list" allowBlank="1" showInputMessage="1" showErrorMessage="1" sqref="G3">
      <formula1>"是,否"</formula1>
    </dataValidation>
    <dataValidation type="list" allowBlank="1" showInputMessage="1" showErrorMessage="1" sqref="G5">
      <formula1>"1,2,3,4"</formula1>
    </dataValidation>
    <dataValidation type="list" allowBlank="1" showInputMessage="1" showErrorMessage="1" sqref="G8">
      <formula1>"回租大公户,回租小公户,回租私户,直租,公户捞回"</formula1>
    </dataValidation>
    <dataValidation type="list" allowBlank="1" showInputMessage="1" showErrorMessage="1" sqref="C15">
      <formula1>"新网差异化8%,新网差异化9.8%,非差异化"</formula1>
    </dataValidation>
    <dataValidation type="list" allowBlank="1" showInputMessage="1" showErrorMessage="1" sqref="C18">
      <formula1>"自主到店B,优信带看C,全国直购C"</formula1>
    </dataValidation>
    <dataValidation type="list" allowBlank="1" showInputMessage="1" showErrorMessage="1" sqref="C3">
      <formula1>"微众,新网,民生金租"</formula1>
    </dataValidation>
    <dataValidation type="list" allowBlank="1" showInputMessage="1" showErrorMessage="1" sqref="C4">
      <formula1>"微众白户,微众A3,其他"</formula1>
    </dataValidation>
    <dataValidation type="list" allowBlank="1" showInputMessage="1" showErrorMessage="1" sqref="C2">
      <formula1>"新网直租190,370,550"</formula1>
    </dataValidation>
    <dataValidation type="list" allowBlank="1" showInputMessage="1" showErrorMessage="1" sqref="C5">
      <formula1>"2,3,4"</formula1>
    </dataValidation>
    <dataValidation type="list" allowBlank="1" showInputMessage="1" showErrorMessage="1" sqref="G4">
      <formula1>"精准,非精准"</formula1>
    </dataValidation>
    <dataValidation type="whole" allowBlank="1" showInputMessage="1" showErrorMessage="1" sqref="C54">
      <formula1>C52</formula1>
      <formula2>C53</formula2>
    </dataValidation>
  </dataValidations>
  <hyperlinks>
    <hyperlink ref="A1" location="目录!A1" display="返回目录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E18" sqref="E18"/>
    </sheetView>
  </sheetViews>
  <sheetFormatPr baseColWidth="10" defaultColWidth="9.1640625" defaultRowHeight="16" x14ac:dyDescent="0.25"/>
  <cols>
    <col min="1" max="1" width="17.33203125" style="180" bestFit="1" customWidth="1"/>
    <col min="2" max="2" width="26.1640625" style="169" customWidth="1"/>
    <col min="3" max="3" width="24.6640625" style="156" customWidth="1"/>
    <col min="4" max="4" width="62.1640625" style="139" customWidth="1"/>
    <col min="5" max="5" width="10.1640625" style="140" bestFit="1" customWidth="1"/>
    <col min="6" max="6" width="14.1640625" style="140" customWidth="1"/>
    <col min="7" max="7" width="12.1640625" style="140" customWidth="1"/>
    <col min="8" max="8" width="10.6640625" style="140" customWidth="1"/>
    <col min="9" max="9" width="12.1640625" style="140" customWidth="1"/>
    <col min="10" max="10" width="11.33203125" style="140" bestFit="1" customWidth="1"/>
    <col min="11" max="11" width="16.5" style="140" customWidth="1"/>
    <col min="12" max="12" width="9.1640625" style="140"/>
    <col min="13" max="16384" width="9.1640625" style="141"/>
  </cols>
  <sheetData>
    <row r="1" spans="1:12" x14ac:dyDescent="0.25">
      <c r="A1" s="563" t="s">
        <v>549</v>
      </c>
      <c r="B1" s="137" t="s">
        <v>4</v>
      </c>
      <c r="C1" s="138" t="s">
        <v>0</v>
      </c>
      <c r="D1" s="139" t="s">
        <v>550</v>
      </c>
      <c r="F1" s="565" t="s">
        <v>55</v>
      </c>
      <c r="G1" s="565"/>
      <c r="I1" s="566" t="s">
        <v>551</v>
      </c>
      <c r="J1" s="567"/>
      <c r="K1" s="369" t="s">
        <v>552</v>
      </c>
    </row>
    <row r="2" spans="1:12" x14ac:dyDescent="0.25">
      <c r="A2" s="563"/>
      <c r="B2" s="142" t="s">
        <v>1</v>
      </c>
      <c r="C2" s="143">
        <v>190</v>
      </c>
      <c r="D2" s="144" t="s">
        <v>553</v>
      </c>
      <c r="F2" s="369" t="s">
        <v>554</v>
      </c>
      <c r="G2" s="145">
        <f>C13</f>
        <v>200000</v>
      </c>
      <c r="I2" s="369" t="s">
        <v>555</v>
      </c>
      <c r="J2" s="145">
        <f>C13+C14-C18+C39</f>
        <v>187623</v>
      </c>
      <c r="K2" s="146"/>
    </row>
    <row r="3" spans="1:12" x14ac:dyDescent="0.25">
      <c r="A3" s="563"/>
      <c r="B3" s="142" t="s">
        <v>2</v>
      </c>
      <c r="C3" s="143" t="s">
        <v>556</v>
      </c>
      <c r="D3" s="144"/>
      <c r="F3" s="369" t="s">
        <v>46</v>
      </c>
      <c r="G3" s="145">
        <f>C14</f>
        <v>7700</v>
      </c>
      <c r="I3" s="369" t="s">
        <v>38</v>
      </c>
      <c r="J3" s="145">
        <f>C37</f>
        <v>156584</v>
      </c>
      <c r="K3" s="369" t="s">
        <v>557</v>
      </c>
      <c r="L3" s="147">
        <f>J3/J2</f>
        <v>0.83456719058963991</v>
      </c>
    </row>
    <row r="4" spans="1:12" x14ac:dyDescent="0.25">
      <c r="A4" s="563"/>
      <c r="B4" s="142" t="s">
        <v>41</v>
      </c>
      <c r="C4" s="143" t="s">
        <v>67</v>
      </c>
      <c r="D4" s="144" t="s">
        <v>67</v>
      </c>
      <c r="F4" s="148" t="s">
        <v>38</v>
      </c>
      <c r="G4" s="149">
        <f>C37</f>
        <v>156584</v>
      </c>
      <c r="I4" s="369" t="s">
        <v>56</v>
      </c>
      <c r="J4" s="145">
        <f>G5</f>
        <v>36</v>
      </c>
      <c r="K4" s="146"/>
      <c r="L4" s="147"/>
    </row>
    <row r="5" spans="1:12" x14ac:dyDescent="0.25">
      <c r="A5" s="564"/>
      <c r="B5" s="142" t="s">
        <v>15</v>
      </c>
      <c r="C5" s="371" t="s">
        <v>143</v>
      </c>
      <c r="D5" s="144"/>
      <c r="F5" s="369" t="s">
        <v>56</v>
      </c>
      <c r="G5" s="145">
        <f>C7*12</f>
        <v>36</v>
      </c>
      <c r="I5" s="369" t="s">
        <v>57</v>
      </c>
      <c r="J5" s="145">
        <f>G6</f>
        <v>4843.8100000000004</v>
      </c>
      <c r="K5" s="146"/>
      <c r="L5" s="147"/>
    </row>
    <row r="6" spans="1:12" x14ac:dyDescent="0.25">
      <c r="A6" s="568" t="s">
        <v>8</v>
      </c>
      <c r="B6" s="142" t="s">
        <v>62</v>
      </c>
      <c r="C6" s="383">
        <f>控制台!I39</f>
        <v>7.9899999999999999E-2</v>
      </c>
      <c r="D6" s="144" t="s">
        <v>42</v>
      </c>
      <c r="F6" s="150" t="s">
        <v>57</v>
      </c>
      <c r="G6" s="151">
        <f>C40</f>
        <v>4843.8100000000004</v>
      </c>
      <c r="I6" s="369" t="s">
        <v>60</v>
      </c>
      <c r="J6" s="145">
        <f>G7</f>
        <v>67039</v>
      </c>
      <c r="K6" s="152" t="s">
        <v>558</v>
      </c>
      <c r="L6" s="147">
        <f>J6/J2</f>
        <v>0.35730693998070601</v>
      </c>
    </row>
    <row r="7" spans="1:12" x14ac:dyDescent="0.25">
      <c r="A7" s="569"/>
      <c r="B7" s="142" t="s">
        <v>48</v>
      </c>
      <c r="C7" s="384">
        <f>控制台!C10</f>
        <v>3</v>
      </c>
      <c r="D7" s="144" t="s">
        <v>7</v>
      </c>
      <c r="F7" s="369" t="s">
        <v>60</v>
      </c>
      <c r="G7" s="145">
        <f>C36</f>
        <v>67039</v>
      </c>
    </row>
    <row r="8" spans="1:12" x14ac:dyDescent="0.25">
      <c r="A8" s="569"/>
      <c r="B8" s="142" t="s">
        <v>9</v>
      </c>
      <c r="C8" s="385">
        <f>控制台!I40</f>
        <v>7.1249999999999994E-2</v>
      </c>
      <c r="D8" s="144" t="s">
        <v>42</v>
      </c>
    </row>
    <row r="9" spans="1:12" x14ac:dyDescent="0.25">
      <c r="A9" s="569"/>
      <c r="B9" s="142" t="s">
        <v>559</v>
      </c>
      <c r="C9" s="387">
        <f>控制台!I37</f>
        <v>0.3</v>
      </c>
      <c r="D9" s="144" t="s">
        <v>59</v>
      </c>
    </row>
    <row r="10" spans="1:12" x14ac:dyDescent="0.25">
      <c r="A10" s="569"/>
      <c r="B10" s="142" t="s">
        <v>560</v>
      </c>
      <c r="C10" s="363">
        <v>400000</v>
      </c>
      <c r="D10" s="144" t="s">
        <v>43</v>
      </c>
    </row>
    <row r="11" spans="1:12" x14ac:dyDescent="0.25">
      <c r="A11" s="570"/>
      <c r="B11" s="142" t="s">
        <v>6</v>
      </c>
      <c r="C11" s="388">
        <f>控制台!I38</f>
        <v>300000</v>
      </c>
      <c r="D11" s="141" t="s">
        <v>561</v>
      </c>
    </row>
    <row r="12" spans="1:12" x14ac:dyDescent="0.25">
      <c r="A12" s="154"/>
      <c r="B12" s="155"/>
      <c r="C12" s="386"/>
      <c r="D12" s="144"/>
      <c r="G12" s="157"/>
    </row>
    <row r="13" spans="1:12" x14ac:dyDescent="0.25">
      <c r="A13" s="158" t="s">
        <v>45</v>
      </c>
      <c r="B13" s="158" t="s">
        <v>562</v>
      </c>
      <c r="C13" s="389">
        <f>控制台!C1</f>
        <v>200000</v>
      </c>
      <c r="E13" s="159"/>
    </row>
    <row r="14" spans="1:12" x14ac:dyDescent="0.25">
      <c r="A14" s="571" t="s">
        <v>46</v>
      </c>
      <c r="B14" s="158" t="s">
        <v>47</v>
      </c>
      <c r="C14" s="390">
        <f>控制台!C29</f>
        <v>7700</v>
      </c>
      <c r="H14" s="160"/>
      <c r="I14" s="160"/>
    </row>
    <row r="15" spans="1:12" x14ac:dyDescent="0.25">
      <c r="A15" s="572"/>
      <c r="B15" s="161" t="s">
        <v>16</v>
      </c>
      <c r="C15" s="162" t="s">
        <v>23</v>
      </c>
      <c r="D15" s="372" t="s">
        <v>24</v>
      </c>
    </row>
    <row r="16" spans="1:12" x14ac:dyDescent="0.25">
      <c r="A16" s="572"/>
      <c r="B16" s="161" t="s">
        <v>12</v>
      </c>
      <c r="C16" s="162" t="s">
        <v>25</v>
      </c>
      <c r="D16" s="373" t="s">
        <v>26</v>
      </c>
      <c r="F16" s="163"/>
      <c r="G16" s="164"/>
    </row>
    <row r="17" spans="1:11" x14ac:dyDescent="0.25">
      <c r="A17" s="572"/>
      <c r="B17" s="161" t="s">
        <v>13</v>
      </c>
      <c r="C17" s="162">
        <v>3</v>
      </c>
      <c r="D17" s="374" t="s">
        <v>563</v>
      </c>
      <c r="G17" s="165"/>
      <c r="H17" s="165"/>
      <c r="I17" s="165"/>
    </row>
    <row r="18" spans="1:11" x14ac:dyDescent="0.25">
      <c r="A18" s="572"/>
      <c r="B18" s="161" t="s">
        <v>14</v>
      </c>
      <c r="C18" s="162">
        <f>E18</f>
        <v>36000</v>
      </c>
      <c r="D18" s="374" t="s">
        <v>564</v>
      </c>
      <c r="E18" s="140">
        <f>IF(C15="非精准",ROUND(MIN(C13*5%,7000),0),
IF(AND(C15="精准",C17=1),C13*7%,
IF(AND(C15="精准",C17=2,C13&lt;=100000),C13*14%,
IF(AND(C15="精准",C17=2,C13&gt;100000),MAX(C13*12%,14000),
IF(AND(C15="精准",C17=3,C13&lt;=100000),C13*22%,
IF(AND(C15="精准",C17=3,C13&gt;100000),MAX(C13*18%,22000),
0))))))</f>
        <v>36000</v>
      </c>
      <c r="G18" s="166"/>
      <c r="H18" s="166"/>
      <c r="I18" s="166"/>
      <c r="J18" s="167"/>
      <c r="K18" s="167"/>
    </row>
    <row r="19" spans="1:11" x14ac:dyDescent="0.25">
      <c r="A19" s="572"/>
      <c r="B19" s="161" t="s">
        <v>17</v>
      </c>
      <c r="C19" s="162">
        <f>IF(C13&gt;80000,1800,1000)</f>
        <v>1800</v>
      </c>
      <c r="D19" s="375" t="s">
        <v>565</v>
      </c>
      <c r="G19" s="166"/>
      <c r="H19" s="166"/>
      <c r="I19" s="166"/>
      <c r="J19" s="167"/>
      <c r="K19" s="167"/>
    </row>
    <row r="20" spans="1:11" x14ac:dyDescent="0.25">
      <c r="A20" s="572"/>
      <c r="B20" s="161" t="s">
        <v>18</v>
      </c>
      <c r="C20" s="162">
        <f>C7</f>
        <v>3</v>
      </c>
      <c r="D20" s="372" t="s">
        <v>28</v>
      </c>
    </row>
    <row r="21" spans="1:11" x14ac:dyDescent="0.25">
      <c r="A21" s="572"/>
      <c r="B21" s="161" t="s">
        <v>19</v>
      </c>
      <c r="C21" s="153">
        <f>E21</f>
        <v>2400</v>
      </c>
      <c r="D21" s="372" t="s">
        <v>566</v>
      </c>
      <c r="E21" s="140">
        <f>C13*0.4%*C20</f>
        <v>2400</v>
      </c>
      <c r="G21" s="165"/>
      <c r="H21" s="165"/>
      <c r="I21" s="165"/>
    </row>
    <row r="22" spans="1:11" x14ac:dyDescent="0.25">
      <c r="A22" s="572"/>
      <c r="B22" s="161" t="s">
        <v>20</v>
      </c>
      <c r="C22" s="153">
        <v>0</v>
      </c>
      <c r="D22" s="376" t="s">
        <v>567</v>
      </c>
      <c r="G22" s="166"/>
      <c r="H22" s="166"/>
      <c r="I22" s="166"/>
    </row>
    <row r="23" spans="1:11" x14ac:dyDescent="0.25">
      <c r="A23" s="572"/>
      <c r="B23" s="161" t="s">
        <v>21</v>
      </c>
      <c r="C23" s="153">
        <v>0</v>
      </c>
      <c r="D23" s="376" t="s">
        <v>29</v>
      </c>
      <c r="J23" s="166"/>
    </row>
    <row r="24" spans="1:11" x14ac:dyDescent="0.25">
      <c r="A24" s="572"/>
      <c r="B24" s="161" t="s">
        <v>22</v>
      </c>
      <c r="C24" s="153">
        <v>0</v>
      </c>
      <c r="D24" s="376" t="s">
        <v>29</v>
      </c>
      <c r="F24" s="165"/>
    </row>
    <row r="25" spans="1:11" x14ac:dyDescent="0.25">
      <c r="A25" s="572"/>
      <c r="B25" s="161" t="s">
        <v>49</v>
      </c>
      <c r="C25" s="153">
        <f>E25</f>
        <v>12000</v>
      </c>
      <c r="D25" s="376" t="s">
        <v>568</v>
      </c>
      <c r="E25" s="140">
        <f>MAX(4000,C13*6%)</f>
        <v>12000</v>
      </c>
    </row>
    <row r="26" spans="1:11" x14ac:dyDescent="0.25">
      <c r="A26" s="573"/>
      <c r="B26" s="161" t="s">
        <v>50</v>
      </c>
      <c r="C26" s="153">
        <f>C25</f>
        <v>12000</v>
      </c>
      <c r="D26" s="168" t="s">
        <v>569</v>
      </c>
      <c r="E26" s="169"/>
    </row>
    <row r="28" spans="1:11" x14ac:dyDescent="0.25">
      <c r="A28" s="574" t="s">
        <v>30</v>
      </c>
      <c r="B28" s="170" t="s">
        <v>52</v>
      </c>
      <c r="C28" s="480">
        <f>ROUND(PMT(C8/12,C7*12,-1),10)</f>
        <v>3.09342809E-2</v>
      </c>
      <c r="D28" s="362" t="s">
        <v>704</v>
      </c>
      <c r="E28" s="171"/>
    </row>
    <row r="29" spans="1:11" s="4" customFormat="1" x14ac:dyDescent="0.15">
      <c r="A29" s="574"/>
      <c r="B29" s="170" t="s">
        <v>700</v>
      </c>
      <c r="C29" s="475">
        <v>1</v>
      </c>
      <c r="D29" s="362" t="s">
        <v>701</v>
      </c>
      <c r="E29" s="32"/>
    </row>
    <row r="30" spans="1:11" s="4" customFormat="1" x14ac:dyDescent="0.15">
      <c r="A30" s="574"/>
      <c r="B30" s="170" t="s">
        <v>698</v>
      </c>
      <c r="C30" s="474">
        <f>ROUNDUP(C13*C9,0)</f>
        <v>60000</v>
      </c>
      <c r="D30" s="362" t="s">
        <v>701</v>
      </c>
      <c r="E30" s="32"/>
    </row>
    <row r="31" spans="1:11" x14ac:dyDescent="0.25">
      <c r="A31" s="574"/>
      <c r="B31" s="377" t="s">
        <v>31</v>
      </c>
      <c r="C31" s="173">
        <f>ROUND(MIN(C11,C13*C29),0)</f>
        <v>200000</v>
      </c>
      <c r="D31" s="364" t="s">
        <v>570</v>
      </c>
      <c r="E31" s="172"/>
    </row>
    <row r="32" spans="1:11" x14ac:dyDescent="0.25">
      <c r="A32" s="574"/>
      <c r="B32" s="377" t="s">
        <v>33</v>
      </c>
      <c r="C32" s="173">
        <f>MAX(12500,ROUND(C13*0.3,0))</f>
        <v>60000</v>
      </c>
      <c r="D32" s="364" t="s">
        <v>571</v>
      </c>
      <c r="E32" s="172"/>
    </row>
    <row r="33" spans="1:12" x14ac:dyDescent="0.25">
      <c r="A33" s="574"/>
      <c r="B33" s="150" t="s">
        <v>572</v>
      </c>
      <c r="C33" s="363">
        <f>ROUND(MAX(C30,C13+C14-C7*C28*12*C31/(C6*C7+1)),0)</f>
        <v>60000</v>
      </c>
      <c r="D33" s="363"/>
      <c r="E33" s="153"/>
      <c r="F33" s="367"/>
    </row>
    <row r="34" spans="1:12" x14ac:dyDescent="0.25">
      <c r="A34" s="574"/>
      <c r="B34" s="378" t="s">
        <v>573</v>
      </c>
      <c r="C34" s="363">
        <f>ROUND(C13+C14-C7*C28*12*C32/(C6*C7+1),0)</f>
        <v>153801</v>
      </c>
      <c r="E34" s="172"/>
    </row>
    <row r="35" spans="1:12" x14ac:dyDescent="0.25">
      <c r="A35" s="174"/>
      <c r="B35" s="379"/>
      <c r="C35" s="175"/>
      <c r="E35" s="172"/>
      <c r="F35" s="140">
        <v>663416</v>
      </c>
    </row>
    <row r="36" spans="1:12" s="176" customFormat="1" x14ac:dyDescent="0.25">
      <c r="A36" s="560" t="s">
        <v>37</v>
      </c>
      <c r="B36" s="377" t="s">
        <v>35</v>
      </c>
      <c r="C36" s="363">
        <f>控制台!I45</f>
        <v>67039</v>
      </c>
      <c r="D36" s="365"/>
      <c r="E36" s="140"/>
      <c r="F36" s="140"/>
      <c r="G36" s="140"/>
      <c r="H36" s="140"/>
      <c r="I36" s="140"/>
      <c r="J36" s="140"/>
      <c r="K36" s="140"/>
      <c r="L36" s="140"/>
    </row>
    <row r="37" spans="1:12" s="176" customFormat="1" x14ac:dyDescent="0.25">
      <c r="A37" s="561"/>
      <c r="B37" s="380" t="s">
        <v>38</v>
      </c>
      <c r="C37" s="173">
        <f>ROUNDDOWN((C6*C7+1)*(C13+C14-C36)/(C28*C7*12),0)</f>
        <v>156584</v>
      </c>
      <c r="D37" s="139"/>
      <c r="E37" s="140"/>
      <c r="F37" s="140"/>
      <c r="G37" s="140"/>
      <c r="H37" s="140"/>
      <c r="I37" s="140"/>
      <c r="J37" s="140"/>
      <c r="K37" s="140"/>
      <c r="L37" s="140"/>
    </row>
    <row r="38" spans="1:12" s="176" customFormat="1" x14ac:dyDescent="0.25">
      <c r="A38" s="561"/>
      <c r="B38" s="380" t="s">
        <v>574</v>
      </c>
      <c r="C38" s="177" t="b">
        <f>IF(AND(J6/J2&gt;=10%),J3&lt;=J2,"YES")</f>
        <v>1</v>
      </c>
      <c r="D38" s="178"/>
      <c r="E38" s="140"/>
      <c r="F38" s="140"/>
      <c r="G38" s="140"/>
      <c r="H38" s="140"/>
      <c r="I38" s="140"/>
      <c r="J38" s="140"/>
      <c r="K38" s="140"/>
      <c r="L38" s="140"/>
    </row>
    <row r="39" spans="1:12" s="176" customFormat="1" x14ac:dyDescent="0.25">
      <c r="A39" s="561"/>
      <c r="B39" s="377" t="s">
        <v>58</v>
      </c>
      <c r="C39" s="153">
        <f>C36+C37-C13-C14</f>
        <v>15923</v>
      </c>
      <c r="D39" s="366"/>
      <c r="E39" s="140"/>
      <c r="F39" s="140"/>
      <c r="G39" s="140"/>
      <c r="H39" s="140"/>
      <c r="I39" s="140"/>
      <c r="J39" s="140"/>
      <c r="K39" s="140"/>
      <c r="L39" s="140"/>
    </row>
    <row r="40" spans="1:12" s="176" customFormat="1" x14ac:dyDescent="0.25">
      <c r="A40" s="561"/>
      <c r="B40" s="377" t="s">
        <v>575</v>
      </c>
      <c r="C40" s="476">
        <f>ROUND(-PMT(C8/12,C7*12,C37),2)</f>
        <v>4843.8100000000004</v>
      </c>
      <c r="D40" s="179"/>
      <c r="E40" s="140"/>
      <c r="F40" s="140"/>
      <c r="G40" s="140"/>
      <c r="H40" s="140"/>
      <c r="I40" s="140"/>
      <c r="J40" s="140"/>
      <c r="K40" s="140"/>
      <c r="L40" s="140"/>
    </row>
    <row r="41" spans="1:12" x14ac:dyDescent="0.25">
      <c r="A41" s="562"/>
      <c r="B41" s="170" t="s">
        <v>576</v>
      </c>
      <c r="C41" s="368">
        <f>C13+C14+C39-C18</f>
        <v>187623</v>
      </c>
      <c r="D41" s="365">
        <f>ROUND(0.1*C41,0)</f>
        <v>18762</v>
      </c>
    </row>
    <row r="42" spans="1:12" x14ac:dyDescent="0.25">
      <c r="B42" s="170" t="s">
        <v>577</v>
      </c>
      <c r="C42" s="381">
        <f>ROUND(C36/C41,6)</f>
        <v>0.35730699999999999</v>
      </c>
    </row>
    <row r="43" spans="1:12" x14ac:dyDescent="0.25">
      <c r="B43" s="170" t="s">
        <v>578</v>
      </c>
      <c r="C43" s="381">
        <f>ROUND(C37/C41,6)</f>
        <v>0.83456699999999995</v>
      </c>
    </row>
  </sheetData>
  <protectedRanges>
    <protectedRange algorithmName="SHA-512" hashValue="GdA60ZKSSyPa6GDdStUpEMI/UOROKazrZFwqElx5Z2K/3qLq615wE1yCq3vzOQ3jFdhsd0zBdu5UAWyk6oY/Vg==" saltValue="85V/RDINpJlUGwS4DawZaA==" spinCount="100000" sqref="C18:C20" name="贴息_1"/>
    <protectedRange algorithmName="SHA-512" hashValue="GdA60ZKSSyPa6GDdStUpEMI/UOROKazrZFwqElx5Z2K/3qLq615wE1yCq3vzOQ3jFdhsd0zBdu5UAWyk6oY/Vg==" saltValue="85V/RDINpJlUGwS4DawZaA==" spinCount="100000" sqref="C22" name="贴息_1_2"/>
    <protectedRange algorithmName="SHA-512" hashValue="GdA60ZKSSyPa6GDdStUpEMI/UOROKazrZFwqElx5Z2K/3qLq615wE1yCq3vzOQ3jFdhsd0zBdu5UAWyk6oY/Vg==" saltValue="85V/RDINpJlUGwS4DawZaA==" spinCount="100000" sqref="C5" name="贴息_1_3"/>
  </protectedRanges>
  <dataConsolidate/>
  <mergeCells count="7">
    <mergeCell ref="A36:A41"/>
    <mergeCell ref="A1:A5"/>
    <mergeCell ref="F1:G1"/>
    <mergeCell ref="I1:J1"/>
    <mergeCell ref="A6:A11"/>
    <mergeCell ref="A14:A26"/>
    <mergeCell ref="A28:A34"/>
  </mergeCells>
  <phoneticPr fontId="17" type="noConversion"/>
  <dataValidations count="10">
    <dataValidation type="list" allowBlank="1" showInputMessage="1" showErrorMessage="1" sqref="C15">
      <formula1>"精准,非精准"</formula1>
    </dataValidation>
    <dataValidation type="list" allowBlank="1" showInputMessage="1" showErrorMessage="1" sqref="C16">
      <formula1>"非联保,联保"</formula1>
    </dataValidation>
    <dataValidation type="list" allowBlank="1" showInputMessage="1" showErrorMessage="1" sqref="C17">
      <formula1>"1,2,3"</formula1>
    </dataValidation>
    <dataValidation type="list" allowBlank="1" showInputMessage="1" showErrorMessage="1" sqref="C7">
      <formula1>"2,3"</formula1>
    </dataValidation>
    <dataValidation type="list" allowBlank="1" showInputMessage="1" showErrorMessage="1" sqref="C4">
      <formula1>"All"</formula1>
    </dataValidation>
    <dataValidation type="list" allowBlank="1" showInputMessage="1" showErrorMessage="1" sqref="C2">
      <formula1>"190"</formula1>
    </dataValidation>
    <dataValidation type="list" allowBlank="1" showInputMessage="1" showErrorMessage="1" sqref="C19">
      <formula1>"0,1000,1800"</formula1>
    </dataValidation>
    <dataValidation type="list" allowBlank="1" showInputMessage="1" showErrorMessage="1" sqref="C22">
      <formula1>"0,600,700,800"</formula1>
    </dataValidation>
    <dataValidation type="list" allowBlank="1" showInputMessage="1" showErrorMessage="1" sqref="C5">
      <formula1>"自主到店B,优信带看C"</formula1>
    </dataValidation>
    <dataValidation type="list" allowBlank="1" showInputMessage="1" showErrorMessage="1" sqref="C1">
      <formula1>"二手车回租"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H46"/>
  <sheetViews>
    <sheetView topLeftCell="A13" workbookViewId="0">
      <selection activeCell="C27" sqref="C27"/>
    </sheetView>
  </sheetViews>
  <sheetFormatPr baseColWidth="10" defaultColWidth="11" defaultRowHeight="15" x14ac:dyDescent="0.2"/>
  <cols>
    <col min="1" max="1" width="17" customWidth="1"/>
    <col min="2" max="3" width="23.5" customWidth="1"/>
    <col min="4" max="4" width="27.83203125" customWidth="1"/>
    <col min="6" max="6" width="20.83203125" customWidth="1"/>
    <col min="7" max="7" width="26" customWidth="1"/>
    <col min="8" max="8" width="47.6640625" customWidth="1"/>
    <col min="11" max="11" width="12.33203125" bestFit="1" customWidth="1"/>
  </cols>
  <sheetData>
    <row r="1" spans="1:8" x14ac:dyDescent="0.2">
      <c r="A1" s="11" t="s">
        <v>40</v>
      </c>
      <c r="B1" s="3" t="s">
        <v>4</v>
      </c>
      <c r="C1" s="15" t="s">
        <v>0</v>
      </c>
      <c r="D1" s="26" t="s">
        <v>53</v>
      </c>
      <c r="E1" s="5"/>
      <c r="F1" s="500" t="s">
        <v>55</v>
      </c>
      <c r="G1" s="500"/>
    </row>
    <row r="2" spans="1:8" x14ac:dyDescent="0.2">
      <c r="A2" s="11"/>
      <c r="B2" s="2" t="s">
        <v>1</v>
      </c>
      <c r="C2" s="440">
        <f>控制台!I63</f>
        <v>370</v>
      </c>
      <c r="D2" s="25" t="s">
        <v>54</v>
      </c>
      <c r="E2" s="5"/>
      <c r="F2" s="14" t="s">
        <v>45</v>
      </c>
      <c r="G2" s="14">
        <f>C12</f>
        <v>200000</v>
      </c>
    </row>
    <row r="3" spans="1:8" x14ac:dyDescent="0.2">
      <c r="A3" s="11"/>
      <c r="B3" s="2" t="s">
        <v>2</v>
      </c>
      <c r="C3" s="16" t="s">
        <v>663</v>
      </c>
      <c r="D3" s="25"/>
      <c r="E3" s="5"/>
      <c r="F3" s="14" t="s">
        <v>46</v>
      </c>
      <c r="G3" s="14">
        <f>C13</f>
        <v>7700</v>
      </c>
    </row>
    <row r="4" spans="1:8" x14ac:dyDescent="0.2">
      <c r="A4" s="11"/>
      <c r="B4" s="2" t="s">
        <v>41</v>
      </c>
      <c r="C4" s="16" t="s">
        <v>67</v>
      </c>
      <c r="D4" s="25" t="s">
        <v>67</v>
      </c>
      <c r="E4" s="5"/>
      <c r="F4" s="14" t="s">
        <v>38</v>
      </c>
      <c r="G4" s="14">
        <f>C37</f>
        <v>172166</v>
      </c>
    </row>
    <row r="5" spans="1:8" x14ac:dyDescent="0.2">
      <c r="A5" s="11"/>
      <c r="B5" s="2" t="s">
        <v>15</v>
      </c>
      <c r="C5" s="414" t="s">
        <v>664</v>
      </c>
      <c r="D5" s="25"/>
      <c r="E5" s="5"/>
      <c r="F5" s="14" t="s">
        <v>56</v>
      </c>
      <c r="G5" s="14">
        <f>C7*12</f>
        <v>36</v>
      </c>
    </row>
    <row r="6" spans="1:8" x14ac:dyDescent="0.2">
      <c r="A6" s="504" t="s">
        <v>8</v>
      </c>
      <c r="B6" s="2" t="s">
        <v>639</v>
      </c>
      <c r="C6" s="442">
        <f>控制台!I69</f>
        <v>7.9899999999999999E-2</v>
      </c>
      <c r="D6" s="25" t="s">
        <v>42</v>
      </c>
      <c r="E6" s="5"/>
      <c r="F6" s="14" t="s">
        <v>57</v>
      </c>
      <c r="G6" s="53">
        <f>C40</f>
        <v>5418.92</v>
      </c>
    </row>
    <row r="7" spans="1:8" x14ac:dyDescent="0.2">
      <c r="A7" s="505"/>
      <c r="B7" s="2" t="s">
        <v>640</v>
      </c>
      <c r="C7" s="440">
        <f>控制台!I64</f>
        <v>3</v>
      </c>
      <c r="D7" s="25" t="s">
        <v>7</v>
      </c>
      <c r="E7" s="5"/>
      <c r="F7" s="14" t="s">
        <v>60</v>
      </c>
      <c r="G7" s="14">
        <f>C35</f>
        <v>50338</v>
      </c>
    </row>
    <row r="8" spans="1:8" x14ac:dyDescent="0.2">
      <c r="A8" s="505"/>
      <c r="B8" s="2" t="s">
        <v>9</v>
      </c>
      <c r="C8" s="441">
        <f>控制台!C40</f>
        <v>8.3000000000000004E-2</v>
      </c>
      <c r="D8" s="443" t="s">
        <v>665</v>
      </c>
      <c r="E8" s="5"/>
      <c r="F8" s="4"/>
      <c r="G8" s="4"/>
    </row>
    <row r="9" spans="1:8" x14ac:dyDescent="0.2">
      <c r="A9" s="505"/>
      <c r="B9" s="2" t="s">
        <v>5</v>
      </c>
      <c r="C9" s="444">
        <f>控制台!I67</f>
        <v>0.4</v>
      </c>
      <c r="D9" s="25" t="s">
        <v>59</v>
      </c>
      <c r="E9" s="5"/>
      <c r="F9" s="415" t="s">
        <v>641</v>
      </c>
      <c r="G9" s="416">
        <f>G6</f>
        <v>5418.92</v>
      </c>
    </row>
    <row r="10" spans="1:8" x14ac:dyDescent="0.2">
      <c r="A10" s="506"/>
      <c r="B10" s="2" t="s">
        <v>6</v>
      </c>
      <c r="C10" s="445">
        <f>控制台!I68</f>
        <v>300000</v>
      </c>
      <c r="D10" s="25" t="s">
        <v>43</v>
      </c>
      <c r="E10" s="5"/>
      <c r="F10" s="415" t="s">
        <v>642</v>
      </c>
      <c r="G10" s="417">
        <f>C35</f>
        <v>50338</v>
      </c>
    </row>
    <row r="11" spans="1:8" x14ac:dyDescent="0.2">
      <c r="A11" s="11"/>
      <c r="B11" s="13"/>
      <c r="C11" s="19"/>
      <c r="D11" s="25"/>
      <c r="E11" s="5"/>
      <c r="F11" s="415" t="s">
        <v>643</v>
      </c>
      <c r="G11" s="477">
        <f>0.07125</f>
        <v>7.1249999999999994E-2</v>
      </c>
    </row>
    <row r="12" spans="1:8" x14ac:dyDescent="0.2">
      <c r="A12" s="1" t="s">
        <v>45</v>
      </c>
      <c r="B12" s="2" t="s">
        <v>10</v>
      </c>
      <c r="C12" s="440">
        <f>控制台!C1</f>
        <v>200000</v>
      </c>
      <c r="D12" s="26"/>
      <c r="E12" s="33"/>
      <c r="F12" s="415" t="s">
        <v>644</v>
      </c>
      <c r="G12" s="482">
        <f>IF(C5="全国直购C",0,ROUND(PMT(G11/12,C7*12,-1),10))</f>
        <v>3.09342809E-2</v>
      </c>
    </row>
    <row r="13" spans="1:8" x14ac:dyDescent="0.2">
      <c r="A13" s="501" t="s">
        <v>46</v>
      </c>
      <c r="B13" s="2" t="s">
        <v>47</v>
      </c>
      <c r="C13" s="16">
        <f>控制台!C29</f>
        <v>7700</v>
      </c>
      <c r="D13" s="26"/>
      <c r="E13" s="10"/>
      <c r="F13" s="415" t="s">
        <v>645</v>
      </c>
      <c r="G13" s="418">
        <f>ROUNDDOWN(G9/G12,0)</f>
        <v>175175</v>
      </c>
    </row>
    <row r="14" spans="1:8" x14ac:dyDescent="0.2">
      <c r="A14" s="502"/>
      <c r="B14" s="23" t="s">
        <v>16</v>
      </c>
      <c r="C14" s="419" t="s">
        <v>23</v>
      </c>
      <c r="D14" s="420" t="s">
        <v>24</v>
      </c>
      <c r="E14" s="10"/>
      <c r="F14" s="421" t="s">
        <v>646</v>
      </c>
      <c r="G14" s="422">
        <f>G13+G10-C13-C12</f>
        <v>17813</v>
      </c>
    </row>
    <row r="15" spans="1:8" x14ac:dyDescent="0.2">
      <c r="A15" s="502"/>
      <c r="B15" s="23" t="s">
        <v>12</v>
      </c>
      <c r="C15" s="423" t="s">
        <v>25</v>
      </c>
      <c r="D15" s="424" t="s">
        <v>26</v>
      </c>
      <c r="E15" s="10"/>
      <c r="F15" s="425" t="s">
        <v>647</v>
      </c>
      <c r="G15" s="426">
        <f>IF(C38="NO",FALSE,IF(C7=2,ROUND(G13*3.62%*C7,0),
IF(C7=3,ROUND(G13*3.39%*C7,0),
FALSE)))</f>
        <v>17815</v>
      </c>
      <c r="H15" t="s">
        <v>648</v>
      </c>
    </row>
    <row r="16" spans="1:8" x14ac:dyDescent="0.2">
      <c r="A16" s="502"/>
      <c r="B16" s="23" t="s">
        <v>13</v>
      </c>
      <c r="C16" s="423">
        <v>3</v>
      </c>
      <c r="D16" s="424" t="s">
        <v>11</v>
      </c>
      <c r="E16" s="10"/>
      <c r="F16" s="425" t="s">
        <v>649</v>
      </c>
      <c r="G16" s="427">
        <f>IF(C38="NO",FALSE,G14-G15)</f>
        <v>-2</v>
      </c>
      <c r="H16" t="s">
        <v>650</v>
      </c>
    </row>
    <row r="17" spans="1:8" x14ac:dyDescent="0.2">
      <c r="A17" s="502"/>
      <c r="B17" s="23" t="s">
        <v>14</v>
      </c>
      <c r="C17" s="423">
        <v>0</v>
      </c>
      <c r="D17" s="424" t="s">
        <v>27</v>
      </c>
      <c r="E17" s="10">
        <f>IF(C14="非精准",ROUND(MIN(C12*5%,7000),0),
IF(AND(C14="精准",C16=1),C12*7%,
IF(AND(C14="精准",C16=2,C12&lt;=100000),C12*14%,
IF(AND(C14="精准",C16=2,C12&gt;100000),MAX(C12*12%,14000),
IF(AND(C14="精准",C16=3,C12&lt;=100000),C12*22%,
IF(AND(C14="精准",C16=3,C12&gt;100000),MAX(C12*18%,22000),
0))))))</f>
        <v>36000</v>
      </c>
      <c r="F17" s="415" t="s">
        <v>651</v>
      </c>
      <c r="G17" s="428">
        <f>G14</f>
        <v>17813</v>
      </c>
      <c r="H17" t="s">
        <v>652</v>
      </c>
    </row>
    <row r="18" spans="1:8" x14ac:dyDescent="0.2">
      <c r="A18" s="502"/>
      <c r="B18" s="23" t="s">
        <v>17</v>
      </c>
      <c r="C18" s="419">
        <v>0</v>
      </c>
      <c r="D18" s="429" t="s">
        <v>653</v>
      </c>
      <c r="E18" s="10"/>
      <c r="F18" s="50"/>
      <c r="G18" s="430"/>
    </row>
    <row r="19" spans="1:8" x14ac:dyDescent="0.2">
      <c r="A19" s="502"/>
      <c r="B19" s="23" t="s">
        <v>18</v>
      </c>
      <c r="C19" s="419">
        <f>C7</f>
        <v>3</v>
      </c>
      <c r="D19" s="420" t="s">
        <v>28</v>
      </c>
      <c r="E19" s="10"/>
      <c r="F19" s="50"/>
      <c r="G19" s="431"/>
    </row>
    <row r="20" spans="1:8" x14ac:dyDescent="0.2">
      <c r="A20" s="502"/>
      <c r="B20" s="23" t="s">
        <v>19</v>
      </c>
      <c r="C20" s="16">
        <v>0</v>
      </c>
      <c r="D20" s="420" t="s">
        <v>654</v>
      </c>
      <c r="E20" s="5">
        <f>C12*0.4%*C19</f>
        <v>2400</v>
      </c>
      <c r="F20" s="431" t="s">
        <v>655</v>
      </c>
      <c r="G20" s="432"/>
    </row>
    <row r="21" spans="1:8" x14ac:dyDescent="0.2">
      <c r="A21" s="502"/>
      <c r="B21" s="23" t="s">
        <v>20</v>
      </c>
      <c r="C21" s="16">
        <v>0</v>
      </c>
      <c r="D21" s="433" t="s">
        <v>44</v>
      </c>
      <c r="E21" s="5"/>
      <c r="F21" s="431" t="s">
        <v>656</v>
      </c>
      <c r="G21" s="430"/>
    </row>
    <row r="22" spans="1:8" x14ac:dyDescent="0.2">
      <c r="A22" s="502"/>
      <c r="B22" s="23" t="s">
        <v>21</v>
      </c>
      <c r="C22" s="16">
        <v>0</v>
      </c>
      <c r="D22" s="433" t="s">
        <v>29</v>
      </c>
      <c r="E22" s="5"/>
      <c r="F22" s="50"/>
      <c r="G22" s="431"/>
    </row>
    <row r="23" spans="1:8" x14ac:dyDescent="0.2">
      <c r="A23" s="502"/>
      <c r="B23" s="23" t="s">
        <v>22</v>
      </c>
      <c r="C23" s="16">
        <v>0</v>
      </c>
      <c r="D23" s="433" t="s">
        <v>29</v>
      </c>
      <c r="E23" s="5"/>
      <c r="F23" s="41"/>
      <c r="G23" s="4"/>
    </row>
    <row r="24" spans="1:8" x14ac:dyDescent="0.2">
      <c r="A24" s="502"/>
      <c r="B24" s="23" t="s">
        <v>49</v>
      </c>
      <c r="C24" s="16">
        <v>0</v>
      </c>
      <c r="D24" s="433" t="s">
        <v>51</v>
      </c>
      <c r="E24" s="5">
        <f>MAX(4000,C12*6%)</f>
        <v>12000</v>
      </c>
      <c r="F24" s="4"/>
      <c r="G24" s="4"/>
    </row>
    <row r="25" spans="1:8" ht="36" x14ac:dyDescent="0.2">
      <c r="A25" s="503"/>
      <c r="B25" s="23" t="s">
        <v>50</v>
      </c>
      <c r="C25" s="16">
        <f>IF(C5="全国直购C",0,C24)</f>
        <v>0</v>
      </c>
      <c r="D25" s="31" t="s">
        <v>65</v>
      </c>
      <c r="E25" s="6"/>
      <c r="F25" s="4"/>
      <c r="G25" s="4"/>
    </row>
    <row r="26" spans="1:8" x14ac:dyDescent="0.2">
      <c r="A26" s="21"/>
      <c r="B26" s="21"/>
      <c r="C26" s="19"/>
      <c r="D26" s="26"/>
      <c r="E26" s="5"/>
      <c r="F26" s="4"/>
      <c r="G26" s="4"/>
    </row>
    <row r="27" spans="1:8" x14ac:dyDescent="0.2">
      <c r="A27" s="499" t="s">
        <v>30</v>
      </c>
      <c r="B27" s="22" t="s">
        <v>52</v>
      </c>
      <c r="C27" s="481">
        <f>ROUND(PMT(C8/12,C7*12,-1),10)</f>
        <v>3.1474945800000001E-2</v>
      </c>
      <c r="D27" s="181" t="s">
        <v>657</v>
      </c>
      <c r="E27" s="32"/>
      <c r="F27" s="4"/>
      <c r="G27" s="4"/>
    </row>
    <row r="28" spans="1:8" s="4" customFormat="1" ht="12" x14ac:dyDescent="0.15">
      <c r="A28" s="499"/>
      <c r="B28" s="22" t="s">
        <v>700</v>
      </c>
      <c r="C28" s="472">
        <v>1</v>
      </c>
      <c r="D28" s="473" t="s">
        <v>701</v>
      </c>
      <c r="E28" s="32"/>
    </row>
    <row r="29" spans="1:8" s="4" customFormat="1" ht="12" x14ac:dyDescent="0.15">
      <c r="A29" s="499"/>
      <c r="B29" s="22" t="s">
        <v>698</v>
      </c>
      <c r="C29" s="471">
        <f>ROUNDUP(C12*C9,0)</f>
        <v>80000</v>
      </c>
      <c r="D29" s="181" t="s">
        <v>701</v>
      </c>
      <c r="E29" s="32"/>
    </row>
    <row r="30" spans="1:8" x14ac:dyDescent="0.2">
      <c r="A30" s="499"/>
      <c r="B30" s="434" t="s">
        <v>31</v>
      </c>
      <c r="C30" s="54">
        <f>ROUND(MIN(C10*G12/C27,C12*C28*G12/C27),0)</f>
        <v>196564</v>
      </c>
      <c r="D30" s="57" t="s">
        <v>658</v>
      </c>
      <c r="E30" s="4">
        <f>MIN(C10*G12/C27,C12*100%*G12/C27)</f>
        <v>196564.47446527451</v>
      </c>
      <c r="F30" s="4">
        <f>(C6*C7+1)*(C12+C13-C12*C9)/(C7*C27*12)</f>
        <v>139714.02577884309</v>
      </c>
      <c r="G30" s="4"/>
    </row>
    <row r="31" spans="1:8" x14ac:dyDescent="0.2">
      <c r="A31" s="499"/>
      <c r="B31" s="434" t="s">
        <v>33</v>
      </c>
      <c r="C31" s="54">
        <f>MAX(12500,ROUND(C12*0.3,0))</f>
        <v>60000</v>
      </c>
      <c r="D31" s="57"/>
      <c r="E31" s="40"/>
      <c r="F31" s="4"/>
      <c r="G31" s="4"/>
    </row>
    <row r="32" spans="1:8" x14ac:dyDescent="0.2">
      <c r="A32" s="499"/>
      <c r="B32" s="435" t="s">
        <v>32</v>
      </c>
      <c r="C32" s="55">
        <f>ROUND(MAX(C29,C12+C13-C7*C27*12*C30/(C6*C7+1)),0)</f>
        <v>80000</v>
      </c>
      <c r="D32" s="468">
        <f>-PMT(C8/12,G5,1)</f>
        <v>3.1474945767159299E-2</v>
      </c>
      <c r="E32" s="40"/>
      <c r="F32" s="4"/>
      <c r="G32" s="4"/>
    </row>
    <row r="33" spans="1:7" x14ac:dyDescent="0.2">
      <c r="A33" s="499"/>
      <c r="B33" s="436" t="s">
        <v>34</v>
      </c>
      <c r="C33" s="56">
        <f>ROUNDDOWN(C12+C13-C7*C27*12*C31/(C6*C7+1),0)</f>
        <v>152859</v>
      </c>
      <c r="D33" s="26"/>
      <c r="E33" s="40"/>
      <c r="F33" s="4"/>
      <c r="G33" s="4"/>
    </row>
    <row r="34" spans="1:7" x14ac:dyDescent="0.2">
      <c r="A34" s="34"/>
      <c r="B34" s="437"/>
      <c r="C34" s="39"/>
      <c r="D34" s="26"/>
      <c r="E34" s="40"/>
      <c r="F34" s="4"/>
      <c r="G34" s="4"/>
    </row>
    <row r="35" spans="1:7" x14ac:dyDescent="0.2">
      <c r="A35" s="576" t="s">
        <v>37</v>
      </c>
      <c r="B35" s="434" t="s">
        <v>35</v>
      </c>
      <c r="C35" s="447">
        <f>控制台!I77</f>
        <v>50338</v>
      </c>
      <c r="D35" s="26"/>
      <c r="E35" s="5"/>
      <c r="F35" s="4"/>
      <c r="G35" s="4"/>
    </row>
    <row r="36" spans="1:7" x14ac:dyDescent="0.2">
      <c r="A36" s="577"/>
      <c r="B36" s="434" t="s">
        <v>36</v>
      </c>
      <c r="C36" s="35" t="str">
        <f>IF(AND(C35&lt;=C33,C35&gt;=C32),"是","否")</f>
        <v>否</v>
      </c>
      <c r="D36" s="26"/>
      <c r="E36" s="5"/>
      <c r="F36" s="4"/>
      <c r="G36" s="4"/>
    </row>
    <row r="37" spans="1:7" x14ac:dyDescent="0.2">
      <c r="A37" s="577"/>
      <c r="B37" s="434" t="s">
        <v>659</v>
      </c>
      <c r="C37" s="16">
        <f>ROUNDDOWN((C6*C7+1)*(C12+C13-C35)/(C27*C7*12),0)</f>
        <v>172166</v>
      </c>
      <c r="D37" s="26"/>
      <c r="E37" s="5"/>
      <c r="F37" s="4"/>
      <c r="G37" s="4"/>
    </row>
    <row r="38" spans="1:7" x14ac:dyDescent="0.2">
      <c r="A38" s="577"/>
      <c r="B38" s="434" t="s">
        <v>66</v>
      </c>
      <c r="C38" s="52" t="str">
        <f>IF((C35+C37)&gt;(1.3*C12),"NO","YES")</f>
        <v>YES</v>
      </c>
      <c r="D38" s="37"/>
      <c r="E38" s="5"/>
      <c r="F38" s="4"/>
      <c r="G38" s="4"/>
    </row>
    <row r="39" spans="1:7" x14ac:dyDescent="0.2">
      <c r="A39" s="577"/>
      <c r="B39" s="434" t="s">
        <v>58</v>
      </c>
      <c r="C39" s="16">
        <f>IF(C38="NO",FALSE,C35+C37-C12-C13)</f>
        <v>14804</v>
      </c>
      <c r="D39" s="36"/>
      <c r="E39" s="5"/>
      <c r="F39" s="4"/>
      <c r="G39" s="4"/>
    </row>
    <row r="40" spans="1:7" x14ac:dyDescent="0.2">
      <c r="A40" s="578"/>
      <c r="B40" s="434" t="s">
        <v>660</v>
      </c>
      <c r="C40" s="327">
        <f>IF(C38="NO",FALSE,ROUND(-PMT(C8/12,C7*12,C37),2))</f>
        <v>5418.92</v>
      </c>
      <c r="D40" s="181" t="s">
        <v>661</v>
      </c>
      <c r="E40" s="5"/>
      <c r="F40" s="4"/>
      <c r="G40" s="4"/>
    </row>
    <row r="41" spans="1:7" x14ac:dyDescent="0.2">
      <c r="A41" s="21"/>
      <c r="B41" s="21"/>
      <c r="C41" s="19"/>
      <c r="D41" s="26"/>
      <c r="E41" s="5"/>
      <c r="F41" s="4"/>
      <c r="G41" s="4"/>
    </row>
    <row r="42" spans="1:7" x14ac:dyDescent="0.2">
      <c r="A42" s="575"/>
      <c r="B42" s="438"/>
      <c r="C42" s="439"/>
      <c r="D42" s="49"/>
      <c r="E42" s="5"/>
      <c r="F42" s="4"/>
      <c r="G42" s="4"/>
    </row>
    <row r="43" spans="1:7" x14ac:dyDescent="0.2">
      <c r="A43" s="575"/>
      <c r="B43" s="438"/>
      <c r="C43" s="439"/>
      <c r="D43" s="26"/>
      <c r="E43" s="5"/>
      <c r="F43" s="4"/>
      <c r="G43" s="4"/>
    </row>
    <row r="44" spans="1:7" x14ac:dyDescent="0.2">
      <c r="A44" s="89"/>
      <c r="B44" s="89"/>
      <c r="C44" s="89"/>
      <c r="D44" s="89"/>
    </row>
    <row r="45" spans="1:7" x14ac:dyDescent="0.2">
      <c r="A45" s="89"/>
      <c r="B45" s="89"/>
      <c r="C45" s="89"/>
      <c r="D45" s="89"/>
    </row>
    <row r="46" spans="1:7" x14ac:dyDescent="0.2">
      <c r="A46" s="89"/>
      <c r="B46" s="89"/>
      <c r="C46" s="89"/>
      <c r="D46" s="89"/>
    </row>
  </sheetData>
  <mergeCells count="6">
    <mergeCell ref="A42:A43"/>
    <mergeCell ref="F1:G1"/>
    <mergeCell ref="A6:A10"/>
    <mergeCell ref="A13:A25"/>
    <mergeCell ref="A27:A33"/>
    <mergeCell ref="A35:A40"/>
  </mergeCells>
  <phoneticPr fontId="17" type="noConversion"/>
  <dataValidations count="10">
    <dataValidation type="list" allowBlank="1" showInputMessage="1" showErrorMessage="1" sqref="C14">
      <formula1>"精准,非精准"</formula1>
    </dataValidation>
    <dataValidation type="list" allowBlank="1" showInputMessage="1" showErrorMessage="1" sqref="C15">
      <formula1>"国寿,人保,其他"</formula1>
    </dataValidation>
    <dataValidation type="list" allowBlank="1" showInputMessage="1" showErrorMessage="1" sqref="C16">
      <formula1>"1,2,3"</formula1>
    </dataValidation>
    <dataValidation type="list" allowBlank="1" showInputMessage="1" showErrorMessage="1" sqref="C7">
      <formula1>"2,3"</formula1>
    </dataValidation>
    <dataValidation type="list" allowBlank="1" showInputMessage="1" showErrorMessage="1" sqref="C4">
      <formula1>"All"</formula1>
    </dataValidation>
    <dataValidation type="list" allowBlank="1" showInputMessage="1" showErrorMessage="1" sqref="C2">
      <formula1>"190,370,550"</formula1>
    </dataValidation>
    <dataValidation type="list" allowBlank="1" showInputMessage="1" showErrorMessage="1" sqref="C18">
      <formula1>"0,1000,1800"</formula1>
    </dataValidation>
    <dataValidation type="list" allowBlank="1" showInputMessage="1" showErrorMessage="1" sqref="C21">
      <formula1>"0,600,700,800"</formula1>
    </dataValidation>
    <dataValidation type="list" allowBlank="1" showInputMessage="1" showErrorMessage="1" sqref="C5">
      <formula1>"自主到店B,优信带看C,全国直购C"</formula1>
    </dataValidation>
    <dataValidation type="list" allowBlank="1" showInputMessage="1" showErrorMessage="1" sqref="C1">
      <formula1>"二手车回租,二手车直租-3年"</formula1>
    </dataValidation>
  </dataValidations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控制台</vt:lpstr>
      <vt:lpstr>新网二手车回租1108</vt:lpstr>
      <vt:lpstr>微众二手车回租1108</vt:lpstr>
      <vt:lpstr>民生金租190-1108</vt:lpstr>
      <vt:lpstr>民生金租1108</vt:lpstr>
      <vt:lpstr>民生银行190-1108</vt:lpstr>
      <vt:lpstr>人保民生回租370-550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2018-12-27T18:58:01Z</dcterms:modified>
</cp:coreProperties>
</file>