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2024/xlfiles/"/>
    </mc:Choice>
  </mc:AlternateContent>
  <xr:revisionPtr revIDLastSave="0" documentId="13_ncr:1_{32AEDF7F-5462-F64A-805B-0E66CD7F20C3}" xr6:coauthVersionLast="47" xr6:coauthVersionMax="47" xr10:uidLastSave="{00000000-0000-0000-0000-000000000000}"/>
  <bookViews>
    <workbookView xWindow="4340" yWindow="760" windowWidth="28720" windowHeight="21580" activeTab="3" xr2:uid="{065E86FA-80AD-4F4F-B6B7-2E1659088BBF}"/>
  </bookViews>
  <sheets>
    <sheet name="Payment data" sheetId="1" r:id="rId1"/>
    <sheet name="Table 3.1" sheetId="2" r:id="rId2"/>
    <sheet name="Tables 3.2 and 3.3" sheetId="3" r:id="rId3"/>
    <sheet name="Table 3.4 - 3.5 and 3.7 - 3.9" sheetId="5" r:id="rId4"/>
    <sheet name="Table 3.6" sheetId="6" r:id="rId5"/>
    <sheet name="Table 3.10 - 3.12" sheetId="7" r:id="rId6"/>
    <sheet name="Table 3.13-3.17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E3" i="1"/>
  <c r="D3" i="1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B93" i="7"/>
  <c r="M90" i="7"/>
  <c r="C90" i="7"/>
  <c r="D90" i="7"/>
  <c r="E90" i="7"/>
  <c r="F90" i="7"/>
  <c r="G90" i="7"/>
  <c r="H90" i="7"/>
  <c r="I90" i="7"/>
  <c r="J90" i="7"/>
  <c r="K90" i="7"/>
  <c r="L90" i="7"/>
  <c r="B90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B87" i="7"/>
  <c r="B86" i="7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B64" i="5"/>
  <c r="C61" i="5"/>
  <c r="D61" i="5"/>
  <c r="E61" i="5"/>
  <c r="F61" i="5"/>
  <c r="G61" i="5"/>
  <c r="H61" i="5"/>
  <c r="I61" i="5"/>
  <c r="J61" i="5"/>
  <c r="K61" i="5"/>
  <c r="L61" i="5"/>
  <c r="M61" i="5"/>
  <c r="B61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B58" i="5"/>
  <c r="B57" i="5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B40" i="2"/>
  <c r="C36" i="2"/>
  <c r="D36" i="2"/>
  <c r="E36" i="2"/>
  <c r="F36" i="2"/>
  <c r="G36" i="2"/>
  <c r="H36" i="2"/>
  <c r="I36" i="2"/>
  <c r="J36" i="2"/>
  <c r="K36" i="2"/>
  <c r="L36" i="2"/>
  <c r="M36" i="2"/>
  <c r="B36" i="2"/>
  <c r="N32" i="2"/>
  <c r="O32" i="2"/>
  <c r="P32" i="2"/>
  <c r="Q32" i="2"/>
  <c r="R32" i="2"/>
  <c r="C32" i="2"/>
  <c r="D32" i="2"/>
  <c r="E32" i="2"/>
  <c r="F32" i="2"/>
  <c r="G32" i="2"/>
  <c r="H32" i="2"/>
  <c r="I32" i="2"/>
  <c r="J32" i="2"/>
  <c r="K32" i="2"/>
  <c r="L32" i="2"/>
  <c r="M32" i="2"/>
  <c r="B32" i="2"/>
  <c r="E73" i="9"/>
  <c r="E80" i="9"/>
  <c r="B79" i="9" s="1"/>
  <c r="B80" i="9"/>
  <c r="E81" i="9"/>
  <c r="B81" i="9"/>
  <c r="B36" i="9" l="1"/>
  <c r="C35" i="9"/>
  <c r="T127" i="7"/>
  <c r="S127" i="7"/>
  <c r="R127" i="7"/>
  <c r="Q127" i="7"/>
  <c r="B64" i="7"/>
  <c r="D168" i="5"/>
  <c r="I69" i="5"/>
  <c r="I66" i="5"/>
  <c r="J66" i="5"/>
  <c r="J69" i="5"/>
  <c r="B138" i="7" l="1"/>
  <c r="I98" i="7" l="1"/>
  <c r="M60" i="5"/>
  <c r="E106" i="5"/>
  <c r="B30" i="2"/>
  <c r="E64" i="7"/>
  <c r="B139" i="7" l="1"/>
  <c r="B140" i="7"/>
  <c r="B141" i="7"/>
  <c r="B142" i="7"/>
  <c r="B143" i="7"/>
  <c r="B144" i="7"/>
  <c r="B145" i="7"/>
  <c r="B146" i="7"/>
  <c r="B137" i="7"/>
  <c r="B170" i="9"/>
  <c r="B166" i="9"/>
  <c r="B165" i="9"/>
  <c r="B164" i="9"/>
  <c r="B163" i="9"/>
  <c r="B155" i="9"/>
  <c r="A155" i="9"/>
  <c r="D152" i="9"/>
  <c r="E152" i="9" s="1"/>
  <c r="F152" i="9" s="1"/>
  <c r="G152" i="9" s="1"/>
  <c r="H152" i="9" s="1"/>
  <c r="I152" i="9" s="1"/>
  <c r="J152" i="9" s="1"/>
  <c r="K152" i="9" s="1"/>
  <c r="L152" i="9" s="1"/>
  <c r="M152" i="9" s="1"/>
  <c r="N152" i="9" s="1"/>
  <c r="O152" i="9" s="1"/>
  <c r="P152" i="9" s="1"/>
  <c r="Q152" i="9" s="1"/>
  <c r="R152" i="9" s="1"/>
  <c r="S152" i="9" s="1"/>
  <c r="T152" i="9" s="1"/>
  <c r="U96" i="9"/>
  <c r="U97" i="9"/>
  <c r="U98" i="9"/>
  <c r="U99" i="9"/>
  <c r="U100" i="9"/>
  <c r="U101" i="9"/>
  <c r="U102" i="9"/>
  <c r="U103" i="9"/>
  <c r="U104" i="9"/>
  <c r="U105" i="9"/>
  <c r="U106" i="9"/>
  <c r="U107" i="9"/>
  <c r="U108" i="9"/>
  <c r="U109" i="9"/>
  <c r="U110" i="9"/>
  <c r="U111" i="9"/>
  <c r="U112" i="9"/>
  <c r="U95" i="9"/>
  <c r="D116" i="9"/>
  <c r="B125" i="9"/>
  <c r="B157" i="9" s="1"/>
  <c r="B126" i="9"/>
  <c r="B158" i="9" s="1"/>
  <c r="B127" i="9"/>
  <c r="B159" i="9" s="1"/>
  <c r="B128" i="9"/>
  <c r="B160" i="9" s="1"/>
  <c r="B129" i="9"/>
  <c r="B161" i="9" s="1"/>
  <c r="B130" i="9"/>
  <c r="B162" i="9" s="1"/>
  <c r="B131" i="9"/>
  <c r="B132" i="9"/>
  <c r="B133" i="9"/>
  <c r="B134" i="9"/>
  <c r="B135" i="9"/>
  <c r="B167" i="9" s="1"/>
  <c r="B136" i="9"/>
  <c r="B168" i="9" s="1"/>
  <c r="B137" i="9"/>
  <c r="B169" i="9" s="1"/>
  <c r="B138" i="9"/>
  <c r="B139" i="9"/>
  <c r="B171" i="9" s="1"/>
  <c r="B140" i="9"/>
  <c r="B172" i="9" s="1"/>
  <c r="B141" i="9"/>
  <c r="B124" i="9"/>
  <c r="E116" i="9"/>
  <c r="F116" i="9" s="1"/>
  <c r="G116" i="9" s="1"/>
  <c r="H116" i="9" s="1"/>
  <c r="I116" i="9" s="1"/>
  <c r="J116" i="9" s="1"/>
  <c r="K116" i="9" s="1"/>
  <c r="L116" i="9" s="1"/>
  <c r="M116" i="9" s="1"/>
  <c r="N116" i="9" s="1"/>
  <c r="O116" i="9" s="1"/>
  <c r="P116" i="9" s="1"/>
  <c r="Q116" i="9" s="1"/>
  <c r="R116" i="9" s="1"/>
  <c r="S116" i="9" s="1"/>
  <c r="T116" i="9" s="1"/>
  <c r="D92" i="9"/>
  <c r="E92" i="9" s="1"/>
  <c r="F92" i="9" s="1"/>
  <c r="G92" i="9" s="1"/>
  <c r="H92" i="9" s="1"/>
  <c r="I92" i="9" s="1"/>
  <c r="J92" i="9" s="1"/>
  <c r="K92" i="9" s="1"/>
  <c r="L92" i="9" s="1"/>
  <c r="M92" i="9" s="1"/>
  <c r="N92" i="9" s="1"/>
  <c r="O92" i="9" s="1"/>
  <c r="P92" i="9" s="1"/>
  <c r="Q92" i="9" s="1"/>
  <c r="R92" i="9" s="1"/>
  <c r="S92" i="9" s="1"/>
  <c r="T92" i="9" s="1"/>
  <c r="B146" i="9" l="1"/>
  <c r="B156" i="9"/>
  <c r="N18" i="9"/>
  <c r="B143" i="9"/>
  <c r="N19" i="9"/>
  <c r="B144" i="9"/>
  <c r="P7" i="9"/>
  <c r="I35" i="9" s="1"/>
  <c r="N22" i="9"/>
  <c r="P21" i="9"/>
  <c r="D49" i="9" s="1"/>
  <c r="P20" i="9"/>
  <c r="G48" i="9" s="1"/>
  <c r="P22" i="9"/>
  <c r="C50" i="9" s="1"/>
  <c r="N17" i="9"/>
  <c r="P17" i="9"/>
  <c r="P24" i="9"/>
  <c r="C52" i="9" s="1"/>
  <c r="N12" i="9"/>
  <c r="P11" i="9"/>
  <c r="N16" i="9"/>
  <c r="P10" i="9"/>
  <c r="P18" i="9"/>
  <c r="P23" i="9"/>
  <c r="P9" i="9"/>
  <c r="P14" i="9"/>
  <c r="N20" i="9"/>
  <c r="P8" i="9"/>
  <c r="P16" i="9"/>
  <c r="O16" i="9" s="1"/>
  <c r="P15" i="9"/>
  <c r="N9" i="9"/>
  <c r="P13" i="9"/>
  <c r="P19" i="9"/>
  <c r="N21" i="9"/>
  <c r="N15" i="9"/>
  <c r="N14" i="9"/>
  <c r="N11" i="9"/>
  <c r="N13" i="9"/>
  <c r="P12" i="9"/>
  <c r="N24" i="9"/>
  <c r="N7" i="9"/>
  <c r="N23" i="9"/>
  <c r="N10" i="9"/>
  <c r="N8" i="9"/>
  <c r="N35" i="9" l="1"/>
  <c r="P35" i="9"/>
  <c r="E35" i="9"/>
  <c r="Q35" i="9"/>
  <c r="J35" i="9"/>
  <c r="R35" i="9"/>
  <c r="B35" i="9"/>
  <c r="L35" i="9"/>
  <c r="F35" i="9"/>
  <c r="G35" i="9"/>
  <c r="O24" i="9"/>
  <c r="T35" i="9"/>
  <c r="T53" i="9" s="1"/>
  <c r="D35" i="9"/>
  <c r="E49" i="9"/>
  <c r="C49" i="9"/>
  <c r="M35" i="9"/>
  <c r="F49" i="9"/>
  <c r="F48" i="9"/>
  <c r="O20" i="9"/>
  <c r="O35" i="9"/>
  <c r="K35" i="9"/>
  <c r="S35" i="9"/>
  <c r="H35" i="9"/>
  <c r="O23" i="9"/>
  <c r="O7" i="9"/>
  <c r="O22" i="9"/>
  <c r="D50" i="9"/>
  <c r="C48" i="9"/>
  <c r="D48" i="9"/>
  <c r="E50" i="9"/>
  <c r="E48" i="9"/>
  <c r="O11" i="9"/>
  <c r="O21" i="9"/>
  <c r="O38" i="9"/>
  <c r="F38" i="9"/>
  <c r="L38" i="9"/>
  <c r="H38" i="9"/>
  <c r="E38" i="9"/>
  <c r="J38" i="9"/>
  <c r="C38" i="9"/>
  <c r="G38" i="9"/>
  <c r="N38" i="9"/>
  <c r="P38" i="9"/>
  <c r="I38" i="9"/>
  <c r="Q38" i="9"/>
  <c r="K38" i="9"/>
  <c r="D38" i="9"/>
  <c r="M38" i="9"/>
  <c r="O12" i="9"/>
  <c r="D40" i="9"/>
  <c r="M40" i="9"/>
  <c r="E40" i="9"/>
  <c r="C40" i="9"/>
  <c r="O40" i="9"/>
  <c r="G40" i="9"/>
  <c r="F40" i="9"/>
  <c r="L40" i="9"/>
  <c r="N40" i="9"/>
  <c r="J40" i="9"/>
  <c r="I40" i="9"/>
  <c r="H40" i="9"/>
  <c r="K40" i="9"/>
  <c r="E39" i="9"/>
  <c r="C39" i="9"/>
  <c r="F39" i="9"/>
  <c r="M39" i="9"/>
  <c r="D39" i="9"/>
  <c r="O39" i="9"/>
  <c r="P39" i="9"/>
  <c r="I39" i="9"/>
  <c r="L39" i="9"/>
  <c r="N39" i="9"/>
  <c r="J39" i="9"/>
  <c r="G39" i="9"/>
  <c r="H39" i="9"/>
  <c r="K39" i="9"/>
  <c r="F43" i="9"/>
  <c r="J43" i="9"/>
  <c r="I43" i="9"/>
  <c r="D43" i="9"/>
  <c r="L43" i="9"/>
  <c r="E43" i="9"/>
  <c r="C43" i="9"/>
  <c r="G43" i="9"/>
  <c r="H43" i="9"/>
  <c r="K43" i="9"/>
  <c r="O13" i="9"/>
  <c r="O14" i="9"/>
  <c r="I41" i="9"/>
  <c r="G41" i="9"/>
  <c r="D41" i="9"/>
  <c r="E41" i="9"/>
  <c r="C41" i="9"/>
  <c r="F41" i="9"/>
  <c r="J41" i="9"/>
  <c r="L41" i="9"/>
  <c r="M41" i="9"/>
  <c r="N41" i="9"/>
  <c r="K41" i="9"/>
  <c r="H41" i="9"/>
  <c r="D42" i="9"/>
  <c r="E42" i="9"/>
  <c r="K42" i="9"/>
  <c r="I42" i="9"/>
  <c r="M42" i="9"/>
  <c r="L42" i="9"/>
  <c r="H42" i="9"/>
  <c r="C42" i="9"/>
  <c r="G42" i="9"/>
  <c r="F42" i="9"/>
  <c r="J42" i="9"/>
  <c r="O15" i="9"/>
  <c r="O17" i="9"/>
  <c r="C45" i="9"/>
  <c r="F45" i="9"/>
  <c r="I45" i="9"/>
  <c r="E45" i="9"/>
  <c r="D45" i="9"/>
  <c r="H45" i="9"/>
  <c r="J45" i="9"/>
  <c r="G45" i="9"/>
  <c r="C51" i="9"/>
  <c r="D51" i="9"/>
  <c r="K44" i="9"/>
  <c r="F44" i="9"/>
  <c r="I44" i="9"/>
  <c r="D44" i="9"/>
  <c r="E44" i="9"/>
  <c r="C44" i="9"/>
  <c r="J44" i="9"/>
  <c r="H44" i="9"/>
  <c r="G44" i="9"/>
  <c r="L36" i="9"/>
  <c r="Q36" i="9"/>
  <c r="J36" i="9"/>
  <c r="D36" i="9"/>
  <c r="G36" i="9"/>
  <c r="N36" i="9"/>
  <c r="H36" i="9"/>
  <c r="F36" i="9"/>
  <c r="S36" i="9"/>
  <c r="S53" i="9" s="1"/>
  <c r="R36" i="9"/>
  <c r="E36" i="9"/>
  <c r="C36" i="9"/>
  <c r="O36" i="9"/>
  <c r="K36" i="9"/>
  <c r="M36" i="9"/>
  <c r="P36" i="9"/>
  <c r="I36" i="9"/>
  <c r="O9" i="9"/>
  <c r="F37" i="9"/>
  <c r="J37" i="9"/>
  <c r="L37" i="9"/>
  <c r="G37" i="9"/>
  <c r="H37" i="9"/>
  <c r="C37" i="9"/>
  <c r="B37" i="9" s="1"/>
  <c r="N37" i="9"/>
  <c r="R37" i="9"/>
  <c r="D37" i="9"/>
  <c r="I37" i="9"/>
  <c r="Q37" i="9"/>
  <c r="K37" i="9"/>
  <c r="M37" i="9"/>
  <c r="O37" i="9"/>
  <c r="P37" i="9"/>
  <c r="E37" i="9"/>
  <c r="O8" i="9"/>
  <c r="O10" i="9"/>
  <c r="O19" i="9"/>
  <c r="D47" i="9"/>
  <c r="H47" i="9"/>
  <c r="E47" i="9"/>
  <c r="C47" i="9"/>
  <c r="G47" i="9"/>
  <c r="F47" i="9"/>
  <c r="O18" i="9"/>
  <c r="H46" i="9"/>
  <c r="C46" i="9"/>
  <c r="D46" i="9"/>
  <c r="I46" i="9"/>
  <c r="E46" i="9"/>
  <c r="G46" i="9"/>
  <c r="F46" i="9"/>
  <c r="R53" i="9" l="1"/>
  <c r="O53" i="9"/>
  <c r="L53" i="9"/>
  <c r="M53" i="9"/>
  <c r="B48" i="9"/>
  <c r="B49" i="9"/>
  <c r="B52" i="9"/>
  <c r="K53" i="9"/>
  <c r="N53" i="9"/>
  <c r="B50" i="9"/>
  <c r="F53" i="9"/>
  <c r="P53" i="9"/>
  <c r="E53" i="9"/>
  <c r="Q53" i="9"/>
  <c r="D53" i="9"/>
  <c r="J53" i="9"/>
  <c r="O26" i="9"/>
  <c r="B44" i="9"/>
  <c r="G53" i="9"/>
  <c r="B45" i="9"/>
  <c r="B38" i="9"/>
  <c r="C53" i="9"/>
  <c r="B47" i="9"/>
  <c r="H53" i="9"/>
  <c r="B51" i="9"/>
  <c r="B40" i="9"/>
  <c r="B43" i="9"/>
  <c r="B46" i="9"/>
  <c r="B42" i="9"/>
  <c r="B41" i="9"/>
  <c r="I53" i="9"/>
  <c r="B39" i="9"/>
  <c r="J81" i="9" l="1"/>
  <c r="B112" i="9"/>
  <c r="B111" i="9" l="1"/>
  <c r="J80" i="9"/>
  <c r="E79" i="9" l="1"/>
  <c r="B110" i="9"/>
  <c r="B78" i="9" l="1"/>
  <c r="J79" i="9"/>
  <c r="B109" i="9" l="1"/>
  <c r="E78" i="9"/>
  <c r="J78" i="9" l="1"/>
  <c r="B77" i="9"/>
  <c r="E77" i="9" l="1"/>
  <c r="B108" i="9"/>
  <c r="J77" i="9" l="1"/>
  <c r="B76" i="9"/>
  <c r="E76" i="9" l="1"/>
  <c r="B107" i="9"/>
  <c r="J76" i="9" l="1"/>
  <c r="B75" i="9"/>
  <c r="B106" i="9" l="1"/>
  <c r="E75" i="9"/>
  <c r="A52" i="9"/>
  <c r="A81" i="9" s="1"/>
  <c r="A112" i="9" s="1"/>
  <c r="A141" i="9" s="1"/>
  <c r="A51" i="9"/>
  <c r="A80" i="9" s="1"/>
  <c r="A111" i="9" s="1"/>
  <c r="A140" i="9" s="1"/>
  <c r="A172" i="9" s="1"/>
  <c r="A50" i="9"/>
  <c r="A79" i="9" s="1"/>
  <c r="A110" i="9" s="1"/>
  <c r="A139" i="9" s="1"/>
  <c r="A171" i="9" s="1"/>
  <c r="A49" i="9"/>
  <c r="A78" i="9" s="1"/>
  <c r="A109" i="9" s="1"/>
  <c r="A138" i="9" s="1"/>
  <c r="A170" i="9" s="1"/>
  <c r="A48" i="9"/>
  <c r="A77" i="9" s="1"/>
  <c r="A108" i="9" s="1"/>
  <c r="A137" i="9" s="1"/>
  <c r="A169" i="9" s="1"/>
  <c r="A47" i="9"/>
  <c r="A76" i="9" s="1"/>
  <c r="A107" i="9" s="1"/>
  <c r="A136" i="9" s="1"/>
  <c r="A168" i="9" s="1"/>
  <c r="A46" i="9"/>
  <c r="A75" i="9" s="1"/>
  <c r="A106" i="9" s="1"/>
  <c r="A135" i="9" s="1"/>
  <c r="A167" i="9" s="1"/>
  <c r="A45" i="9"/>
  <c r="A74" i="9" s="1"/>
  <c r="A105" i="9" s="1"/>
  <c r="A134" i="9" s="1"/>
  <c r="A166" i="9" s="1"/>
  <c r="A44" i="9"/>
  <c r="A73" i="9" s="1"/>
  <c r="A104" i="9" s="1"/>
  <c r="A133" i="9" s="1"/>
  <c r="A165" i="9" s="1"/>
  <c r="A43" i="9"/>
  <c r="A72" i="9" s="1"/>
  <c r="A103" i="9" s="1"/>
  <c r="A132" i="9" s="1"/>
  <c r="A164" i="9" s="1"/>
  <c r="A42" i="9"/>
  <c r="A71" i="9" s="1"/>
  <c r="A102" i="9" s="1"/>
  <c r="A131" i="9" s="1"/>
  <c r="A163" i="9" s="1"/>
  <c r="A41" i="9"/>
  <c r="A70" i="9" s="1"/>
  <c r="A101" i="9" s="1"/>
  <c r="A130" i="9" s="1"/>
  <c r="A162" i="9" s="1"/>
  <c r="A40" i="9"/>
  <c r="A69" i="9" s="1"/>
  <c r="A100" i="9" s="1"/>
  <c r="A129" i="9" s="1"/>
  <c r="A161" i="9" s="1"/>
  <c r="A39" i="9"/>
  <c r="A68" i="9" s="1"/>
  <c r="A99" i="9" s="1"/>
  <c r="A128" i="9" s="1"/>
  <c r="A160" i="9" s="1"/>
  <c r="A38" i="9"/>
  <c r="A67" i="9" s="1"/>
  <c r="A98" i="9" s="1"/>
  <c r="A127" i="9" s="1"/>
  <c r="A159" i="9" s="1"/>
  <c r="A37" i="9"/>
  <c r="A66" i="9" s="1"/>
  <c r="A97" i="9" s="1"/>
  <c r="A126" i="9" s="1"/>
  <c r="A158" i="9" s="1"/>
  <c r="A36" i="9"/>
  <c r="A65" i="9" s="1"/>
  <c r="A96" i="9" s="1"/>
  <c r="A125" i="9" s="1"/>
  <c r="A157" i="9" s="1"/>
  <c r="A35" i="9"/>
  <c r="A64" i="9" s="1"/>
  <c r="A95" i="9" s="1"/>
  <c r="A124" i="9" s="1"/>
  <c r="A156" i="9" s="1"/>
  <c r="D32" i="9"/>
  <c r="E32" i="9" s="1"/>
  <c r="F32" i="9" s="1"/>
  <c r="G32" i="9" s="1"/>
  <c r="H32" i="9" s="1"/>
  <c r="I32" i="9" s="1"/>
  <c r="J32" i="9" s="1"/>
  <c r="K32" i="9" s="1"/>
  <c r="L32" i="9" s="1"/>
  <c r="M32" i="9" s="1"/>
  <c r="N32" i="9" s="1"/>
  <c r="O32" i="9" s="1"/>
  <c r="P32" i="9" s="1"/>
  <c r="Q32" i="9" s="1"/>
  <c r="R32" i="9" s="1"/>
  <c r="S32" i="9" s="1"/>
  <c r="T32" i="9" s="1"/>
  <c r="J75" i="9" l="1"/>
  <c r="B74" i="9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10" i="7"/>
  <c r="V111" i="7"/>
  <c r="V112" i="7"/>
  <c r="V113" i="7"/>
  <c r="V114" i="7"/>
  <c r="V115" i="7"/>
  <c r="V116" i="7"/>
  <c r="V117" i="7"/>
  <c r="V118" i="7"/>
  <c r="V119" i="7"/>
  <c r="V110" i="7"/>
  <c r="T111" i="7"/>
  <c r="T112" i="7"/>
  <c r="T113" i="7"/>
  <c r="T114" i="7"/>
  <c r="T115" i="7"/>
  <c r="T116" i="7"/>
  <c r="T117" i="7"/>
  <c r="T118" i="7"/>
  <c r="T119" i="7"/>
  <c r="T120" i="7"/>
  <c r="V120" i="7" s="1"/>
  <c r="B147" i="7" s="1"/>
  <c r="T121" i="7"/>
  <c r="V121" i="7" s="1"/>
  <c r="B148" i="7" s="1"/>
  <c r="T122" i="7"/>
  <c r="V122" i="7" s="1"/>
  <c r="B149" i="7" s="1"/>
  <c r="T110" i="7"/>
  <c r="R111" i="7"/>
  <c r="Q111" i="7"/>
  <c r="Q112" i="7"/>
  <c r="P111" i="7"/>
  <c r="P112" i="7"/>
  <c r="P113" i="7"/>
  <c r="O111" i="7"/>
  <c r="O112" i="7"/>
  <c r="O113" i="7"/>
  <c r="O114" i="7"/>
  <c r="N111" i="7"/>
  <c r="N112" i="7"/>
  <c r="N113" i="7"/>
  <c r="N114" i="7"/>
  <c r="N115" i="7"/>
  <c r="M111" i="7"/>
  <c r="M112" i="7"/>
  <c r="M113" i="7"/>
  <c r="M114" i="7"/>
  <c r="M115" i="7"/>
  <c r="M116" i="7"/>
  <c r="L111" i="7"/>
  <c r="L112" i="7"/>
  <c r="L113" i="7"/>
  <c r="L114" i="7"/>
  <c r="L115" i="7"/>
  <c r="L116" i="7"/>
  <c r="L117" i="7"/>
  <c r="M117" i="7" s="1"/>
  <c r="N117" i="7" s="1"/>
  <c r="O117" i="7" s="1"/>
  <c r="P117" i="7" s="1"/>
  <c r="Q117" i="7" s="1"/>
  <c r="R117" i="7" s="1"/>
  <c r="S117" i="7" s="1"/>
  <c r="K111" i="7"/>
  <c r="K112" i="7"/>
  <c r="K113" i="7"/>
  <c r="K114" i="7"/>
  <c r="K115" i="7"/>
  <c r="K116" i="7"/>
  <c r="K117" i="7"/>
  <c r="K118" i="7"/>
  <c r="L118" i="7" s="1"/>
  <c r="M118" i="7" s="1"/>
  <c r="N118" i="7" s="1"/>
  <c r="O118" i="7" s="1"/>
  <c r="P118" i="7" s="1"/>
  <c r="Q118" i="7" s="1"/>
  <c r="R118" i="7" s="1"/>
  <c r="S118" i="7" s="1"/>
  <c r="J111" i="7"/>
  <c r="J112" i="7"/>
  <c r="J113" i="7"/>
  <c r="J114" i="7"/>
  <c r="J115" i="7"/>
  <c r="J116" i="7"/>
  <c r="J117" i="7"/>
  <c r="J118" i="7"/>
  <c r="J119" i="7"/>
  <c r="I111" i="7"/>
  <c r="I112" i="7"/>
  <c r="I113" i="7"/>
  <c r="I114" i="7"/>
  <c r="I115" i="7"/>
  <c r="I116" i="7"/>
  <c r="I117" i="7"/>
  <c r="I118" i="7"/>
  <c r="I119" i="7"/>
  <c r="I120" i="7"/>
  <c r="H111" i="7"/>
  <c r="H112" i="7"/>
  <c r="H113" i="7"/>
  <c r="H114" i="7"/>
  <c r="H115" i="7"/>
  <c r="H116" i="7"/>
  <c r="H117" i="7"/>
  <c r="H118" i="7"/>
  <c r="H119" i="7"/>
  <c r="H120" i="7"/>
  <c r="H121" i="7"/>
  <c r="I121" i="7" s="1"/>
  <c r="J121" i="7" s="1"/>
  <c r="K121" i="7" s="1"/>
  <c r="L121" i="7" s="1"/>
  <c r="M121" i="7" s="1"/>
  <c r="N121" i="7" s="1"/>
  <c r="O121" i="7" s="1"/>
  <c r="P121" i="7" s="1"/>
  <c r="Q121" i="7" s="1"/>
  <c r="R121" i="7" s="1"/>
  <c r="S121" i="7" s="1"/>
  <c r="G111" i="7"/>
  <c r="G112" i="7"/>
  <c r="G113" i="7"/>
  <c r="G114" i="7"/>
  <c r="G115" i="7"/>
  <c r="G116" i="7"/>
  <c r="G117" i="7"/>
  <c r="G118" i="7"/>
  <c r="G119" i="7"/>
  <c r="G120" i="7"/>
  <c r="G121" i="7"/>
  <c r="G122" i="7"/>
  <c r="H122" i="7" s="1"/>
  <c r="I122" i="7" s="1"/>
  <c r="J122" i="7" s="1"/>
  <c r="K122" i="7" s="1"/>
  <c r="L122" i="7" s="1"/>
  <c r="M122" i="7" s="1"/>
  <c r="N122" i="7" s="1"/>
  <c r="O122" i="7" s="1"/>
  <c r="P122" i="7" s="1"/>
  <c r="Q122" i="7" s="1"/>
  <c r="R122" i="7" s="1"/>
  <c r="S122" i="7" s="1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G123" i="7" s="1"/>
  <c r="H123" i="7" s="1"/>
  <c r="I123" i="7" s="1"/>
  <c r="J123" i="7" s="1"/>
  <c r="K123" i="7" s="1"/>
  <c r="L123" i="7" s="1"/>
  <c r="M123" i="7" s="1"/>
  <c r="N123" i="7" s="1"/>
  <c r="O123" i="7" s="1"/>
  <c r="P123" i="7" s="1"/>
  <c r="Q123" i="7" s="1"/>
  <c r="R123" i="7" s="1"/>
  <c r="S123" i="7" s="1"/>
  <c r="T123" i="7" s="1"/>
  <c r="V123" i="7" s="1"/>
  <c r="B150" i="7" s="1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F124" i="7" s="1"/>
  <c r="G124" i="7" s="1"/>
  <c r="H124" i="7" s="1"/>
  <c r="I124" i="7" s="1"/>
  <c r="J124" i="7" s="1"/>
  <c r="K124" i="7" s="1"/>
  <c r="L124" i="7" s="1"/>
  <c r="M124" i="7" s="1"/>
  <c r="N124" i="7" s="1"/>
  <c r="O124" i="7" s="1"/>
  <c r="P124" i="7" s="1"/>
  <c r="Q124" i="7" s="1"/>
  <c r="R124" i="7" s="1"/>
  <c r="S124" i="7" s="1"/>
  <c r="T124" i="7" s="1"/>
  <c r="V124" i="7" s="1"/>
  <c r="B151" i="7" s="1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E125" i="7" s="1"/>
  <c r="F125" i="7" s="1"/>
  <c r="G125" i="7" s="1"/>
  <c r="H125" i="7" s="1"/>
  <c r="I125" i="7" s="1"/>
  <c r="J125" i="7" s="1"/>
  <c r="K125" i="7" s="1"/>
  <c r="L125" i="7" s="1"/>
  <c r="M125" i="7" s="1"/>
  <c r="N125" i="7" s="1"/>
  <c r="O125" i="7" s="1"/>
  <c r="P125" i="7" s="1"/>
  <c r="Q125" i="7" s="1"/>
  <c r="R125" i="7" s="1"/>
  <c r="S125" i="7" s="1"/>
  <c r="T125" i="7" s="1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D126" i="7" s="1"/>
  <c r="E126" i="7" s="1"/>
  <c r="F126" i="7" s="1"/>
  <c r="G126" i="7" s="1"/>
  <c r="H126" i="7" s="1"/>
  <c r="I126" i="7" s="1"/>
  <c r="J126" i="7" s="1"/>
  <c r="K126" i="7" s="1"/>
  <c r="L126" i="7" s="1"/>
  <c r="M126" i="7" s="1"/>
  <c r="N126" i="7" s="1"/>
  <c r="O126" i="7" s="1"/>
  <c r="P126" i="7" s="1"/>
  <c r="Q126" i="7" s="1"/>
  <c r="R126" i="7" s="1"/>
  <c r="S126" i="7" s="1"/>
  <c r="T126" i="7" s="1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S110" i="7"/>
  <c r="S111" i="7"/>
  <c r="S112" i="7"/>
  <c r="Q113" i="7"/>
  <c r="R113" i="7" s="1"/>
  <c r="S113" i="7" s="1"/>
  <c r="P114" i="7"/>
  <c r="Q114" i="7" s="1"/>
  <c r="R114" i="7" s="1"/>
  <c r="S114" i="7" s="1"/>
  <c r="O115" i="7"/>
  <c r="P115" i="7" s="1"/>
  <c r="Q115" i="7" s="1"/>
  <c r="R115" i="7" s="1"/>
  <c r="S115" i="7" s="1"/>
  <c r="N116" i="7"/>
  <c r="O116" i="7" s="1"/>
  <c r="P116" i="7" s="1"/>
  <c r="Q116" i="7" s="1"/>
  <c r="R116" i="7" s="1"/>
  <c r="S116" i="7" s="1"/>
  <c r="K119" i="7"/>
  <c r="L119" i="7" s="1"/>
  <c r="M119" i="7" s="1"/>
  <c r="N119" i="7" s="1"/>
  <c r="O119" i="7" s="1"/>
  <c r="P119" i="7" s="1"/>
  <c r="Q119" i="7" s="1"/>
  <c r="R119" i="7" s="1"/>
  <c r="S119" i="7" s="1"/>
  <c r="J120" i="7"/>
  <c r="K120" i="7" s="1"/>
  <c r="L120" i="7" s="1"/>
  <c r="M120" i="7" s="1"/>
  <c r="N120" i="7" s="1"/>
  <c r="O120" i="7" s="1"/>
  <c r="P120" i="7" s="1"/>
  <c r="Q120" i="7" s="1"/>
  <c r="R120" i="7" s="1"/>
  <c r="S120" i="7" s="1"/>
  <c r="R112" i="7"/>
  <c r="C127" i="7"/>
  <c r="D127" i="7" s="1"/>
  <c r="E127" i="7" s="1"/>
  <c r="F127" i="7" s="1"/>
  <c r="G127" i="7" s="1"/>
  <c r="H127" i="7" s="1"/>
  <c r="I127" i="7" s="1"/>
  <c r="J127" i="7" s="1"/>
  <c r="K127" i="7" s="1"/>
  <c r="L127" i="7" s="1"/>
  <c r="M127" i="7" s="1"/>
  <c r="N127" i="7" s="1"/>
  <c r="O127" i="7" s="1"/>
  <c r="P127" i="7" s="1"/>
  <c r="V127" i="7" s="1"/>
  <c r="B154" i="7" s="1"/>
  <c r="C107" i="7"/>
  <c r="D107" i="7" s="1"/>
  <c r="E107" i="7" s="1"/>
  <c r="F107" i="7" s="1"/>
  <c r="G107" i="7" s="1"/>
  <c r="H107" i="7" s="1"/>
  <c r="I107" i="7" s="1"/>
  <c r="J107" i="7" s="1"/>
  <c r="K107" i="7" s="1"/>
  <c r="L107" i="7" s="1"/>
  <c r="M107" i="7" s="1"/>
  <c r="N107" i="7" s="1"/>
  <c r="O107" i="7" s="1"/>
  <c r="P107" i="7" s="1"/>
  <c r="Q107" i="7" s="1"/>
  <c r="R107" i="7" s="1"/>
  <c r="S107" i="7" s="1"/>
  <c r="Q98" i="7"/>
  <c r="P98" i="7"/>
  <c r="O98" i="7"/>
  <c r="N98" i="7"/>
  <c r="M98" i="7"/>
  <c r="L98" i="7"/>
  <c r="K98" i="7"/>
  <c r="J98" i="7"/>
  <c r="S37" i="7"/>
  <c r="R37" i="7"/>
  <c r="R38" i="7"/>
  <c r="Q37" i="7"/>
  <c r="Q38" i="7"/>
  <c r="Q39" i="7"/>
  <c r="P37" i="7"/>
  <c r="P38" i="7"/>
  <c r="P39" i="7"/>
  <c r="P40" i="7"/>
  <c r="O37" i="7"/>
  <c r="O38" i="7"/>
  <c r="O39" i="7"/>
  <c r="O40" i="7"/>
  <c r="O41" i="7"/>
  <c r="N37" i="7"/>
  <c r="N38" i="7"/>
  <c r="N39" i="7"/>
  <c r="N40" i="7"/>
  <c r="N41" i="7"/>
  <c r="N42" i="7"/>
  <c r="M37" i="7"/>
  <c r="M38" i="7"/>
  <c r="M39" i="7"/>
  <c r="M40" i="7"/>
  <c r="M41" i="7"/>
  <c r="M42" i="7"/>
  <c r="M43" i="7"/>
  <c r="L37" i="7"/>
  <c r="L38" i="7"/>
  <c r="L39" i="7"/>
  <c r="L40" i="7"/>
  <c r="L41" i="7"/>
  <c r="L42" i="7"/>
  <c r="L43" i="7"/>
  <c r="L44" i="7"/>
  <c r="K37" i="7"/>
  <c r="K38" i="7"/>
  <c r="K39" i="7"/>
  <c r="K40" i="7"/>
  <c r="K41" i="7"/>
  <c r="K42" i="7"/>
  <c r="K43" i="7"/>
  <c r="K44" i="7"/>
  <c r="K45" i="7"/>
  <c r="J37" i="7"/>
  <c r="J38" i="7"/>
  <c r="J39" i="7"/>
  <c r="J40" i="7"/>
  <c r="J41" i="7"/>
  <c r="J42" i="7"/>
  <c r="J43" i="7"/>
  <c r="J44" i="7"/>
  <c r="J45" i="7"/>
  <c r="J46" i="7"/>
  <c r="I37" i="7"/>
  <c r="I38" i="7"/>
  <c r="I39" i="7"/>
  <c r="I40" i="7"/>
  <c r="I41" i="7"/>
  <c r="I42" i="7"/>
  <c r="I43" i="7"/>
  <c r="I44" i="7"/>
  <c r="I45" i="7"/>
  <c r="I46" i="7"/>
  <c r="I47" i="7"/>
  <c r="H37" i="7"/>
  <c r="H38" i="7"/>
  <c r="H39" i="7"/>
  <c r="H40" i="7"/>
  <c r="H41" i="7"/>
  <c r="H42" i="7"/>
  <c r="H43" i="7"/>
  <c r="H44" i="7"/>
  <c r="H45" i="7"/>
  <c r="H46" i="7"/>
  <c r="H47" i="7"/>
  <c r="H48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E77" i="7" s="1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D37" i="7"/>
  <c r="D38" i="7"/>
  <c r="F65" i="7" s="1"/>
  <c r="D39" i="7"/>
  <c r="E66" i="7" s="1"/>
  <c r="D40" i="7"/>
  <c r="D41" i="7"/>
  <c r="D42" i="7"/>
  <c r="D43" i="7"/>
  <c r="D44" i="7"/>
  <c r="E71" i="7" s="1"/>
  <c r="D45" i="7"/>
  <c r="C72" i="7" s="1"/>
  <c r="D46" i="7"/>
  <c r="D47" i="7"/>
  <c r="D48" i="7"/>
  <c r="D49" i="7"/>
  <c r="D50" i="7"/>
  <c r="C77" i="7" s="1"/>
  <c r="D51" i="7"/>
  <c r="D78" i="7" s="1"/>
  <c r="D52" i="7"/>
  <c r="C38" i="7"/>
  <c r="C39" i="7"/>
  <c r="C40" i="7"/>
  <c r="C67" i="7" s="1"/>
  <c r="C41" i="7"/>
  <c r="C42" i="7"/>
  <c r="C69" i="7" s="1"/>
  <c r="C43" i="7"/>
  <c r="C44" i="7"/>
  <c r="C45" i="7"/>
  <c r="C46" i="7"/>
  <c r="C47" i="7"/>
  <c r="B74" i="7" s="1"/>
  <c r="C48" i="7"/>
  <c r="B89" i="7" s="1"/>
  <c r="B95" i="7" s="1"/>
  <c r="B98" i="7" s="1"/>
  <c r="C49" i="7"/>
  <c r="B76" i="7" s="1"/>
  <c r="C50" i="7"/>
  <c r="C51" i="7"/>
  <c r="B78" i="7" s="1"/>
  <c r="C52" i="7"/>
  <c r="C53" i="7"/>
  <c r="B80" i="7" s="1"/>
  <c r="C37" i="7"/>
  <c r="R64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A80" i="7"/>
  <c r="C79" i="7"/>
  <c r="B79" i="7"/>
  <c r="A79" i="7"/>
  <c r="A78" i="7"/>
  <c r="B77" i="7"/>
  <c r="A77" i="7"/>
  <c r="A76" i="7"/>
  <c r="A75" i="7"/>
  <c r="A74" i="7"/>
  <c r="A73" i="7"/>
  <c r="B72" i="7"/>
  <c r="A72" i="7"/>
  <c r="A71" i="7"/>
  <c r="F70" i="7"/>
  <c r="A70" i="7"/>
  <c r="A69" i="7"/>
  <c r="A68" i="7"/>
  <c r="B67" i="7"/>
  <c r="A67" i="7"/>
  <c r="B66" i="7"/>
  <c r="A66" i="7"/>
  <c r="B65" i="7"/>
  <c r="A65" i="7"/>
  <c r="C64" i="7"/>
  <c r="A64" i="7"/>
  <c r="C62" i="7"/>
  <c r="D62" i="7" s="1"/>
  <c r="E62" i="7" s="1"/>
  <c r="F62" i="7" s="1"/>
  <c r="G62" i="7" s="1"/>
  <c r="H62" i="7" s="1"/>
  <c r="I62" i="7" s="1"/>
  <c r="J62" i="7" s="1"/>
  <c r="B35" i="5"/>
  <c r="C34" i="7"/>
  <c r="D34" i="7" s="1"/>
  <c r="E34" i="7" s="1"/>
  <c r="F34" i="7" s="1"/>
  <c r="G34" i="7" s="1"/>
  <c r="H34" i="7" s="1"/>
  <c r="I34" i="7" s="1"/>
  <c r="J34" i="7" s="1"/>
  <c r="K34" i="7" s="1"/>
  <c r="L34" i="7" s="1"/>
  <c r="M34" i="7" s="1"/>
  <c r="N34" i="7" s="1"/>
  <c r="O34" i="7" s="1"/>
  <c r="P34" i="7" s="1"/>
  <c r="Q34" i="7" s="1"/>
  <c r="R34" i="7" s="1"/>
  <c r="S34" i="7" s="1"/>
  <c r="U162" i="5"/>
  <c r="U169" i="5"/>
  <c r="U168" i="5"/>
  <c r="U167" i="5"/>
  <c r="U166" i="5"/>
  <c r="U165" i="5"/>
  <c r="U164" i="5"/>
  <c r="U163" i="5"/>
  <c r="U161" i="5"/>
  <c r="U159" i="5"/>
  <c r="U160" i="5"/>
  <c r="U158" i="5"/>
  <c r="U157" i="5"/>
  <c r="U156" i="5"/>
  <c r="U155" i="5"/>
  <c r="U154" i="5"/>
  <c r="U153" i="5"/>
  <c r="U152" i="5"/>
  <c r="C173" i="5"/>
  <c r="D173" i="5" s="1"/>
  <c r="E173" i="5" s="1"/>
  <c r="F173" i="5" s="1"/>
  <c r="G173" i="5" s="1"/>
  <c r="H173" i="5" s="1"/>
  <c r="I173" i="5" s="1"/>
  <c r="J173" i="5" s="1"/>
  <c r="K173" i="5" s="1"/>
  <c r="J161" i="5"/>
  <c r="J160" i="5"/>
  <c r="K160" i="5"/>
  <c r="I160" i="5"/>
  <c r="I161" i="5"/>
  <c r="I162" i="5"/>
  <c r="I159" i="5"/>
  <c r="J159" i="5"/>
  <c r="K159" i="5"/>
  <c r="L159" i="5"/>
  <c r="H159" i="5"/>
  <c r="H160" i="5"/>
  <c r="H161" i="5"/>
  <c r="H162" i="5"/>
  <c r="H163" i="5"/>
  <c r="H158" i="5"/>
  <c r="I158" i="5"/>
  <c r="J158" i="5"/>
  <c r="K158" i="5"/>
  <c r="L158" i="5"/>
  <c r="M158" i="5"/>
  <c r="G158" i="5"/>
  <c r="G159" i="5"/>
  <c r="G160" i="5"/>
  <c r="G161" i="5"/>
  <c r="G162" i="5"/>
  <c r="G163" i="5"/>
  <c r="G164" i="5"/>
  <c r="G157" i="5"/>
  <c r="H157" i="5"/>
  <c r="I157" i="5"/>
  <c r="J157" i="5"/>
  <c r="K157" i="5"/>
  <c r="L157" i="5"/>
  <c r="M157" i="5"/>
  <c r="N157" i="5"/>
  <c r="F157" i="5"/>
  <c r="F158" i="5"/>
  <c r="F159" i="5"/>
  <c r="F160" i="5"/>
  <c r="F161" i="5"/>
  <c r="F162" i="5"/>
  <c r="F163" i="5"/>
  <c r="F164" i="5"/>
  <c r="F165" i="5"/>
  <c r="F156" i="5"/>
  <c r="G156" i="5"/>
  <c r="H156" i="5"/>
  <c r="I156" i="5"/>
  <c r="J156" i="5"/>
  <c r="K156" i="5"/>
  <c r="L156" i="5"/>
  <c r="M156" i="5"/>
  <c r="N156" i="5"/>
  <c r="O156" i="5"/>
  <c r="E156" i="5"/>
  <c r="E157" i="5"/>
  <c r="E158" i="5"/>
  <c r="E159" i="5"/>
  <c r="E160" i="5"/>
  <c r="E161" i="5"/>
  <c r="E162" i="5"/>
  <c r="E163" i="5"/>
  <c r="E164" i="5"/>
  <c r="E165" i="5"/>
  <c r="E166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B152" i="5"/>
  <c r="C149" i="5"/>
  <c r="D149" i="5" s="1"/>
  <c r="E149" i="5" s="1"/>
  <c r="F149" i="5" s="1"/>
  <c r="G149" i="5" s="1"/>
  <c r="H149" i="5" s="1"/>
  <c r="I149" i="5" s="1"/>
  <c r="J149" i="5" s="1"/>
  <c r="K149" i="5" s="1"/>
  <c r="L149" i="5" s="1"/>
  <c r="M149" i="5" s="1"/>
  <c r="N149" i="5" s="1"/>
  <c r="O149" i="5" s="1"/>
  <c r="P149" i="5" s="1"/>
  <c r="Q149" i="5" s="1"/>
  <c r="R149" i="5" s="1"/>
  <c r="S149" i="5" s="1"/>
  <c r="C39" i="6"/>
  <c r="C41" i="6"/>
  <c r="C40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15" i="6"/>
  <c r="A14" i="6"/>
  <c r="C25" i="5"/>
  <c r="D30" i="2"/>
  <c r="C117" i="5"/>
  <c r="D117" i="5" s="1"/>
  <c r="E117" i="5" s="1"/>
  <c r="F117" i="5" s="1"/>
  <c r="G117" i="5" s="1"/>
  <c r="H117" i="5" s="1"/>
  <c r="I117" i="5" s="1"/>
  <c r="J117" i="5" s="1"/>
  <c r="K117" i="5" s="1"/>
  <c r="L117" i="5" s="1"/>
  <c r="M117" i="5" s="1"/>
  <c r="N117" i="5" s="1"/>
  <c r="O117" i="5" s="1"/>
  <c r="P117" i="5" s="1"/>
  <c r="Q117" i="5" s="1"/>
  <c r="R117" i="5" s="1"/>
  <c r="S117" i="5" s="1"/>
  <c r="C86" i="5"/>
  <c r="D86" i="5" s="1"/>
  <c r="E86" i="5" s="1"/>
  <c r="F86" i="5" s="1"/>
  <c r="G86" i="5" s="1"/>
  <c r="H86" i="5" s="1"/>
  <c r="I86" i="5" s="1"/>
  <c r="J86" i="5" s="1"/>
  <c r="K86" i="5" s="1"/>
  <c r="L86" i="5" s="1"/>
  <c r="M86" i="5" s="1"/>
  <c r="N86" i="5" s="1"/>
  <c r="O86" i="5" s="1"/>
  <c r="P86" i="5" s="1"/>
  <c r="Q86" i="5" s="1"/>
  <c r="R86" i="5" s="1"/>
  <c r="S86" i="5" s="1"/>
  <c r="V126" i="7" l="1"/>
  <c r="B153" i="7" s="1"/>
  <c r="V125" i="7"/>
  <c r="B152" i="7" s="1"/>
  <c r="B105" i="9"/>
  <c r="E74" i="9"/>
  <c r="V129" i="7"/>
  <c r="B156" i="7" s="1"/>
  <c r="K71" i="7"/>
  <c r="D77" i="7"/>
  <c r="C65" i="7"/>
  <c r="D72" i="7"/>
  <c r="G71" i="7"/>
  <c r="J65" i="7"/>
  <c r="I71" i="7"/>
  <c r="C92" i="7"/>
  <c r="C71" i="7"/>
  <c r="E65" i="7"/>
  <c r="L70" i="7"/>
  <c r="C73" i="7"/>
  <c r="D64" i="7"/>
  <c r="H72" i="7"/>
  <c r="H71" i="7"/>
  <c r="M65" i="7"/>
  <c r="G64" i="7"/>
  <c r="D65" i="7"/>
  <c r="B69" i="7"/>
  <c r="B71" i="7"/>
  <c r="D73" i="7"/>
  <c r="C76" i="7"/>
  <c r="H66" i="7"/>
  <c r="G72" i="7"/>
  <c r="L65" i="7"/>
  <c r="F64" i="7"/>
  <c r="L64" i="7"/>
  <c r="E73" i="7"/>
  <c r="B92" i="7"/>
  <c r="J72" i="7"/>
  <c r="F74" i="7"/>
  <c r="P65" i="7"/>
  <c r="K65" i="7"/>
  <c r="O65" i="7"/>
  <c r="P66" i="7"/>
  <c r="M66" i="7"/>
  <c r="M67" i="7"/>
  <c r="N67" i="7"/>
  <c r="I68" i="7"/>
  <c r="I92" i="7"/>
  <c r="L66" i="7"/>
  <c r="Q86" i="7"/>
  <c r="Q95" i="7" s="1"/>
  <c r="O92" i="7"/>
  <c r="I73" i="7"/>
  <c r="H67" i="7"/>
  <c r="P86" i="7"/>
  <c r="P95" i="7" s="1"/>
  <c r="E72" i="7"/>
  <c r="K66" i="7"/>
  <c r="H89" i="7"/>
  <c r="H95" i="7" s="1"/>
  <c r="H98" i="7" s="1"/>
  <c r="J66" i="7"/>
  <c r="I67" i="7"/>
  <c r="F75" i="7"/>
  <c r="G65" i="7"/>
  <c r="Q65" i="7"/>
  <c r="J71" i="7"/>
  <c r="N65" i="7"/>
  <c r="G74" i="7"/>
  <c r="E68" i="7"/>
  <c r="F67" i="7"/>
  <c r="F73" i="7"/>
  <c r="N92" i="7"/>
  <c r="N66" i="7"/>
  <c r="I72" i="7"/>
  <c r="H74" i="7"/>
  <c r="D68" i="7"/>
  <c r="O67" i="7"/>
  <c r="H92" i="7"/>
  <c r="E75" i="7"/>
  <c r="M69" i="7"/>
  <c r="F66" i="7"/>
  <c r="G67" i="7"/>
  <c r="I65" i="7"/>
  <c r="G66" i="7"/>
  <c r="F71" i="7"/>
  <c r="L67" i="7"/>
  <c r="J68" i="7"/>
  <c r="H69" i="7"/>
  <c r="G89" i="7"/>
  <c r="G95" i="7" s="1"/>
  <c r="G98" i="7" s="1"/>
  <c r="G69" i="7"/>
  <c r="K68" i="7"/>
  <c r="I69" i="7"/>
  <c r="C75" i="7"/>
  <c r="L69" i="7"/>
  <c r="E74" i="7"/>
  <c r="N68" i="7"/>
  <c r="C68" i="7"/>
  <c r="D75" i="7"/>
  <c r="H65" i="7"/>
  <c r="D66" i="7"/>
  <c r="D71" i="7"/>
  <c r="H73" i="7"/>
  <c r="K67" i="7"/>
  <c r="D76" i="7"/>
  <c r="C86" i="7"/>
  <c r="C89" i="7"/>
  <c r="C95" i="7" s="1"/>
  <c r="C98" i="7" s="1"/>
  <c r="I89" i="7"/>
  <c r="I95" i="7" s="1"/>
  <c r="D92" i="7"/>
  <c r="J92" i="7"/>
  <c r="H70" i="7"/>
  <c r="K92" i="7"/>
  <c r="G70" i="7"/>
  <c r="D89" i="7"/>
  <c r="D95" i="7" s="1"/>
  <c r="D98" i="7" s="1"/>
  <c r="B70" i="7"/>
  <c r="E76" i="7"/>
  <c r="E86" i="7"/>
  <c r="J89" i="7"/>
  <c r="J95" i="7" s="1"/>
  <c r="E92" i="7"/>
  <c r="L86" i="7"/>
  <c r="F68" i="7"/>
  <c r="L68" i="7"/>
  <c r="D69" i="7"/>
  <c r="J69" i="7"/>
  <c r="C70" i="7"/>
  <c r="I70" i="7"/>
  <c r="C74" i="7"/>
  <c r="G75" i="7"/>
  <c r="F76" i="7"/>
  <c r="F86" i="7"/>
  <c r="E89" i="7"/>
  <c r="E95" i="7" s="1"/>
  <c r="E98" i="7" s="1"/>
  <c r="K89" i="7"/>
  <c r="K95" i="7" s="1"/>
  <c r="F92" i="7"/>
  <c r="L92" i="7"/>
  <c r="M86" i="7"/>
  <c r="D67" i="7"/>
  <c r="J67" i="7"/>
  <c r="G68" i="7"/>
  <c r="M68" i="7"/>
  <c r="E69" i="7"/>
  <c r="K69" i="7"/>
  <c r="D70" i="7"/>
  <c r="J70" i="7"/>
  <c r="G73" i="7"/>
  <c r="D74" i="7"/>
  <c r="B75" i="7"/>
  <c r="K86" i="7"/>
  <c r="F89" i="7"/>
  <c r="F95" i="7" s="1"/>
  <c r="F98" i="7" s="1"/>
  <c r="L89" i="7"/>
  <c r="L95" i="7" s="1"/>
  <c r="G92" i="7"/>
  <c r="M92" i="7"/>
  <c r="N86" i="7"/>
  <c r="N95" i="7" s="1"/>
  <c r="C66" i="7"/>
  <c r="I66" i="7"/>
  <c r="O66" i="7"/>
  <c r="E67" i="7"/>
  <c r="B68" i="7"/>
  <c r="H68" i="7"/>
  <c r="F69" i="7"/>
  <c r="E70" i="7"/>
  <c r="K70" i="7"/>
  <c r="F72" i="7"/>
  <c r="B73" i="7"/>
  <c r="C78" i="7"/>
  <c r="I86" i="7"/>
  <c r="R86" i="7"/>
  <c r="R95" i="7" s="1"/>
  <c r="M89" i="7"/>
  <c r="M95" i="7" s="1"/>
  <c r="H64" i="7"/>
  <c r="G86" i="7"/>
  <c r="I64" i="7"/>
  <c r="J64" i="7"/>
  <c r="O86" i="7"/>
  <c r="O95" i="7" s="1"/>
  <c r="P92" i="7"/>
  <c r="M64" i="7"/>
  <c r="N64" i="7"/>
  <c r="O64" i="7"/>
  <c r="H86" i="7"/>
  <c r="P64" i="7"/>
  <c r="K64" i="7"/>
  <c r="Q64" i="7"/>
  <c r="D86" i="7"/>
  <c r="J86" i="7"/>
  <c r="K62" i="7"/>
  <c r="I163" i="5"/>
  <c r="G165" i="5"/>
  <c r="E167" i="5"/>
  <c r="G166" i="5"/>
  <c r="H168" i="5"/>
  <c r="H165" i="5"/>
  <c r="F166" i="5"/>
  <c r="H164" i="5"/>
  <c r="F168" i="5"/>
  <c r="I167" i="5"/>
  <c r="G168" i="5"/>
  <c r="E168" i="5"/>
  <c r="H167" i="5"/>
  <c r="G167" i="5"/>
  <c r="I166" i="5"/>
  <c r="I168" i="5"/>
  <c r="F167" i="5"/>
  <c r="H166" i="5"/>
  <c r="I165" i="5"/>
  <c r="I164" i="5"/>
  <c r="L173" i="5"/>
  <c r="J74" i="9" l="1"/>
  <c r="B73" i="9"/>
  <c r="L62" i="7"/>
  <c r="M173" i="5"/>
  <c r="C33" i="5"/>
  <c r="D33" i="5" s="1"/>
  <c r="E33" i="5" s="1"/>
  <c r="F33" i="5" s="1"/>
  <c r="G33" i="5" s="1"/>
  <c r="H33" i="5" s="1"/>
  <c r="I33" i="5" s="1"/>
  <c r="J33" i="5" s="1"/>
  <c r="K33" i="5" s="1"/>
  <c r="L33" i="5" s="1"/>
  <c r="M33" i="5" s="1"/>
  <c r="N33" i="5" s="1"/>
  <c r="O33" i="5" s="1"/>
  <c r="P33" i="5" s="1"/>
  <c r="Q33" i="5" s="1"/>
  <c r="R33" i="5" s="1"/>
  <c r="S9" i="5"/>
  <c r="R9" i="5"/>
  <c r="R10" i="5"/>
  <c r="Q9" i="5"/>
  <c r="Q10" i="5"/>
  <c r="Q11" i="5"/>
  <c r="P9" i="5"/>
  <c r="P10" i="5"/>
  <c r="P11" i="5"/>
  <c r="P12" i="5"/>
  <c r="O9" i="5"/>
  <c r="O10" i="5"/>
  <c r="O11" i="5"/>
  <c r="O12" i="5"/>
  <c r="O13" i="5"/>
  <c r="N9" i="5"/>
  <c r="N10" i="5"/>
  <c r="N11" i="5"/>
  <c r="N12" i="5"/>
  <c r="N13" i="5"/>
  <c r="N14" i="5"/>
  <c r="M9" i="5"/>
  <c r="M10" i="5"/>
  <c r="M11" i="5"/>
  <c r="M12" i="5"/>
  <c r="M13" i="5"/>
  <c r="M14" i="5"/>
  <c r="M15" i="5"/>
  <c r="L9" i="5"/>
  <c r="L10" i="5"/>
  <c r="L11" i="5"/>
  <c r="L12" i="5"/>
  <c r="L13" i="5"/>
  <c r="L14" i="5"/>
  <c r="L15" i="5"/>
  <c r="L16" i="5"/>
  <c r="K9" i="5"/>
  <c r="K10" i="5"/>
  <c r="K11" i="5"/>
  <c r="K12" i="5"/>
  <c r="K13" i="5"/>
  <c r="K14" i="5"/>
  <c r="K15" i="5"/>
  <c r="K16" i="5"/>
  <c r="K17" i="5"/>
  <c r="J9" i="5"/>
  <c r="J10" i="5"/>
  <c r="J11" i="5"/>
  <c r="J12" i="5"/>
  <c r="J13" i="5"/>
  <c r="J14" i="5"/>
  <c r="J15" i="5"/>
  <c r="J16" i="5"/>
  <c r="J17" i="5"/>
  <c r="J18" i="5"/>
  <c r="I9" i="5"/>
  <c r="I10" i="5"/>
  <c r="I11" i="5"/>
  <c r="I12" i="5"/>
  <c r="I13" i="5"/>
  <c r="I14" i="5"/>
  <c r="I15" i="5"/>
  <c r="I16" i="5"/>
  <c r="I17" i="5"/>
  <c r="I18" i="5"/>
  <c r="I19" i="5"/>
  <c r="H9" i="5"/>
  <c r="H10" i="5"/>
  <c r="H11" i="5"/>
  <c r="H12" i="5"/>
  <c r="H13" i="5"/>
  <c r="H14" i="5"/>
  <c r="H15" i="5"/>
  <c r="H16" i="5"/>
  <c r="H17" i="5"/>
  <c r="H18" i="5"/>
  <c r="H19" i="5"/>
  <c r="H20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8" i="5"/>
  <c r="C9" i="5"/>
  <c r="C10" i="5"/>
  <c r="C11" i="5"/>
  <c r="C12" i="5"/>
  <c r="C13" i="5"/>
  <c r="C14" i="5"/>
  <c r="C15" i="5"/>
  <c r="C16" i="5"/>
  <c r="I43" i="5" s="1"/>
  <c r="C17" i="5"/>
  <c r="C18" i="5"/>
  <c r="C19" i="5"/>
  <c r="C20" i="5"/>
  <c r="C21" i="5"/>
  <c r="C22" i="5"/>
  <c r="C49" i="5" s="1"/>
  <c r="C23" i="5"/>
  <c r="C24" i="5"/>
  <c r="B106" i="5"/>
  <c r="U137" i="5" s="1"/>
  <c r="C8" i="5"/>
  <c r="A9" i="5"/>
  <c r="A90" i="5" s="1"/>
  <c r="A121" i="5" s="1"/>
  <c r="A153" i="5" s="1"/>
  <c r="A10" i="5"/>
  <c r="A91" i="5" s="1"/>
  <c r="A122" i="5" s="1"/>
  <c r="A154" i="5" s="1"/>
  <c r="A11" i="5"/>
  <c r="A92" i="5" s="1"/>
  <c r="A123" i="5" s="1"/>
  <c r="A155" i="5" s="1"/>
  <c r="A12" i="5"/>
  <c r="A93" i="5" s="1"/>
  <c r="A124" i="5" s="1"/>
  <c r="A156" i="5" s="1"/>
  <c r="A13" i="5"/>
  <c r="A94" i="5" s="1"/>
  <c r="A125" i="5" s="1"/>
  <c r="A157" i="5" s="1"/>
  <c r="A14" i="5"/>
  <c r="A95" i="5" s="1"/>
  <c r="A126" i="5" s="1"/>
  <c r="A158" i="5" s="1"/>
  <c r="A15" i="5"/>
  <c r="A96" i="5" s="1"/>
  <c r="A127" i="5" s="1"/>
  <c r="A159" i="5" s="1"/>
  <c r="A16" i="5"/>
  <c r="A97" i="5" s="1"/>
  <c r="A128" i="5" s="1"/>
  <c r="A160" i="5" s="1"/>
  <c r="A17" i="5"/>
  <c r="A98" i="5" s="1"/>
  <c r="A129" i="5" s="1"/>
  <c r="A161" i="5" s="1"/>
  <c r="A18" i="5"/>
  <c r="A99" i="5" s="1"/>
  <c r="A130" i="5" s="1"/>
  <c r="A162" i="5" s="1"/>
  <c r="A19" i="5"/>
  <c r="A100" i="5" s="1"/>
  <c r="A131" i="5" s="1"/>
  <c r="A163" i="5" s="1"/>
  <c r="A20" i="5"/>
  <c r="A101" i="5" s="1"/>
  <c r="A132" i="5" s="1"/>
  <c r="A164" i="5" s="1"/>
  <c r="A21" i="5"/>
  <c r="A102" i="5" s="1"/>
  <c r="A133" i="5" s="1"/>
  <c r="A165" i="5" s="1"/>
  <c r="A22" i="5"/>
  <c r="A103" i="5" s="1"/>
  <c r="A134" i="5" s="1"/>
  <c r="A166" i="5" s="1"/>
  <c r="A23" i="5"/>
  <c r="A104" i="5" s="1"/>
  <c r="A135" i="5" s="1"/>
  <c r="A167" i="5" s="1"/>
  <c r="A24" i="5"/>
  <c r="A105" i="5" s="1"/>
  <c r="A136" i="5" s="1"/>
  <c r="A168" i="5" s="1"/>
  <c r="A25" i="5"/>
  <c r="A106" i="5" s="1"/>
  <c r="A137" i="5" s="1"/>
  <c r="A169" i="5" s="1"/>
  <c r="A8" i="5"/>
  <c r="A89" i="5" s="1"/>
  <c r="A120" i="5" s="1"/>
  <c r="A152" i="5" s="1"/>
  <c r="D5" i="5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B104" i="9" l="1"/>
  <c r="M62" i="7"/>
  <c r="K60" i="5"/>
  <c r="K66" i="5" s="1"/>
  <c r="K72" i="5" s="1"/>
  <c r="K73" i="5" s="1"/>
  <c r="N173" i="5"/>
  <c r="C48" i="5"/>
  <c r="R57" i="5"/>
  <c r="R66" i="5" s="1"/>
  <c r="R72" i="5" s="1"/>
  <c r="R73" i="5" s="1"/>
  <c r="D89" i="5"/>
  <c r="K63" i="5"/>
  <c r="I35" i="5"/>
  <c r="L60" i="5"/>
  <c r="C47" i="5"/>
  <c r="F47" i="5"/>
  <c r="F41" i="5"/>
  <c r="F60" i="5"/>
  <c r="G60" i="5"/>
  <c r="C50" i="5"/>
  <c r="I44" i="5"/>
  <c r="J60" i="5"/>
  <c r="D100" i="5"/>
  <c r="B100" i="5"/>
  <c r="B131" i="5" s="1"/>
  <c r="E100" i="5"/>
  <c r="G100" i="5"/>
  <c r="F100" i="5"/>
  <c r="C100" i="5"/>
  <c r="H100" i="5"/>
  <c r="B50" i="5"/>
  <c r="B44" i="5"/>
  <c r="B38" i="5"/>
  <c r="O35" i="5"/>
  <c r="C44" i="5"/>
  <c r="C38" i="5"/>
  <c r="D46" i="5"/>
  <c r="D40" i="5"/>
  <c r="E47" i="5"/>
  <c r="E41" i="5"/>
  <c r="G46" i="5"/>
  <c r="G40" i="5"/>
  <c r="H44" i="5"/>
  <c r="H38" i="5"/>
  <c r="I41" i="5"/>
  <c r="J43" i="5"/>
  <c r="J37" i="5"/>
  <c r="K38" i="5"/>
  <c r="L38" i="5"/>
  <c r="M37" i="5"/>
  <c r="O38" i="5"/>
  <c r="A35" i="5"/>
  <c r="A46" i="5"/>
  <c r="A40" i="5"/>
  <c r="D60" i="5"/>
  <c r="C63" i="5"/>
  <c r="C66" i="5" s="1"/>
  <c r="C69" i="5" s="1"/>
  <c r="I63" i="5"/>
  <c r="O63" i="5"/>
  <c r="H57" i="5"/>
  <c r="N57" i="5"/>
  <c r="N66" i="5" s="1"/>
  <c r="N72" i="5" s="1"/>
  <c r="N73" i="5" s="1"/>
  <c r="B137" i="5"/>
  <c r="C105" i="5"/>
  <c r="U136" i="5" s="1"/>
  <c r="B105" i="5"/>
  <c r="B136" i="5" s="1"/>
  <c r="B99" i="5"/>
  <c r="B130" i="5" s="1"/>
  <c r="G99" i="5"/>
  <c r="F99" i="5"/>
  <c r="F130" i="5" s="1"/>
  <c r="C99" i="5"/>
  <c r="C130" i="5" s="1"/>
  <c r="D99" i="5"/>
  <c r="H99" i="5"/>
  <c r="E99" i="5"/>
  <c r="I99" i="5"/>
  <c r="O93" i="5"/>
  <c r="J93" i="5"/>
  <c r="I93" i="5"/>
  <c r="C93" i="5"/>
  <c r="B93" i="5"/>
  <c r="B124" i="5" s="1"/>
  <c r="L93" i="5"/>
  <c r="N93" i="5"/>
  <c r="N124" i="5" s="1"/>
  <c r="K93" i="5"/>
  <c r="G93" i="5"/>
  <c r="F93" i="5"/>
  <c r="M93" i="5"/>
  <c r="H93" i="5"/>
  <c r="E93" i="5"/>
  <c r="D93" i="5"/>
  <c r="B49" i="5"/>
  <c r="B43" i="5"/>
  <c r="B37" i="5"/>
  <c r="N35" i="5"/>
  <c r="H35" i="5"/>
  <c r="C43" i="5"/>
  <c r="C37" i="5"/>
  <c r="D45" i="5"/>
  <c r="D39" i="5"/>
  <c r="E46" i="5"/>
  <c r="E40" i="5"/>
  <c r="F46" i="5"/>
  <c r="F40" i="5"/>
  <c r="G45" i="5"/>
  <c r="G39" i="5"/>
  <c r="H43" i="5"/>
  <c r="H37" i="5"/>
  <c r="I40" i="5"/>
  <c r="J42" i="5"/>
  <c r="J36" i="5"/>
  <c r="K37" i="5"/>
  <c r="L37" i="5"/>
  <c r="M36" i="5"/>
  <c r="O37" i="5"/>
  <c r="A51" i="5"/>
  <c r="A45" i="5"/>
  <c r="A39" i="5"/>
  <c r="E60" i="5"/>
  <c r="D63" i="5"/>
  <c r="D66" i="5" s="1"/>
  <c r="D69" i="5" s="1"/>
  <c r="J63" i="5"/>
  <c r="P63" i="5"/>
  <c r="C57" i="5"/>
  <c r="I57" i="5"/>
  <c r="O57" i="5"/>
  <c r="O66" i="5" s="1"/>
  <c r="O72" i="5" s="1"/>
  <c r="O73" i="5" s="1"/>
  <c r="O92" i="5"/>
  <c r="J92" i="5"/>
  <c r="P92" i="5"/>
  <c r="M92" i="5"/>
  <c r="L92" i="5"/>
  <c r="I92" i="5"/>
  <c r="N92" i="5"/>
  <c r="K92" i="5"/>
  <c r="K123" i="5" s="1"/>
  <c r="G92" i="5"/>
  <c r="F92" i="5"/>
  <c r="C92" i="5"/>
  <c r="D92" i="5"/>
  <c r="D123" i="5" s="1"/>
  <c r="H92" i="5"/>
  <c r="E92" i="5"/>
  <c r="B92" i="5"/>
  <c r="B123" i="5" s="1"/>
  <c r="B48" i="5"/>
  <c r="B42" i="5"/>
  <c r="B36" i="5"/>
  <c r="M35" i="5"/>
  <c r="G35" i="5"/>
  <c r="C42" i="5"/>
  <c r="C36" i="5"/>
  <c r="D44" i="5"/>
  <c r="D38" i="5"/>
  <c r="E45" i="5"/>
  <c r="E39" i="5"/>
  <c r="F45" i="5"/>
  <c r="F39" i="5"/>
  <c r="G44" i="5"/>
  <c r="G38" i="5"/>
  <c r="H42" i="5"/>
  <c r="H36" i="5"/>
  <c r="I39" i="5"/>
  <c r="J41" i="5"/>
  <c r="K42" i="5"/>
  <c r="K36" i="5"/>
  <c r="L36" i="5"/>
  <c r="N39" i="5"/>
  <c r="O36" i="5"/>
  <c r="A50" i="5"/>
  <c r="A44" i="5"/>
  <c r="A38" i="5"/>
  <c r="B60" i="5"/>
  <c r="E63" i="5"/>
  <c r="E66" i="5" s="1"/>
  <c r="E69" i="5" s="1"/>
  <c r="D57" i="5"/>
  <c r="J57" i="5"/>
  <c r="P57" i="5"/>
  <c r="P66" i="5" s="1"/>
  <c r="P72" i="5" s="1"/>
  <c r="P73" i="5" s="1"/>
  <c r="N94" i="5"/>
  <c r="K94" i="5"/>
  <c r="J94" i="5"/>
  <c r="L94" i="5"/>
  <c r="D94" i="5"/>
  <c r="I94" i="5"/>
  <c r="G94" i="5"/>
  <c r="F94" i="5"/>
  <c r="C94" i="5"/>
  <c r="B94" i="5"/>
  <c r="B125" i="5" s="1"/>
  <c r="M94" i="5"/>
  <c r="M125" i="5" s="1"/>
  <c r="H94" i="5"/>
  <c r="E94" i="5"/>
  <c r="C104" i="5"/>
  <c r="B104" i="5"/>
  <c r="B135" i="5" s="1"/>
  <c r="D104" i="5"/>
  <c r="C103" i="5"/>
  <c r="E103" i="5"/>
  <c r="B103" i="5"/>
  <c r="B134" i="5" s="1"/>
  <c r="D103" i="5"/>
  <c r="Q91" i="5"/>
  <c r="P91" i="5"/>
  <c r="M91" i="5"/>
  <c r="L91" i="5"/>
  <c r="I91" i="5"/>
  <c r="N91" i="5"/>
  <c r="K91" i="5"/>
  <c r="O91" i="5"/>
  <c r="G91" i="5"/>
  <c r="F91" i="5"/>
  <c r="C91" i="5"/>
  <c r="H91" i="5"/>
  <c r="E91" i="5"/>
  <c r="B91" i="5"/>
  <c r="B122" i="5" s="1"/>
  <c r="D91" i="5"/>
  <c r="J91" i="5"/>
  <c r="C35" i="5"/>
  <c r="B47" i="5"/>
  <c r="B41" i="5"/>
  <c r="R35" i="5"/>
  <c r="L35" i="5"/>
  <c r="F35" i="5"/>
  <c r="C41" i="5"/>
  <c r="D49" i="5"/>
  <c r="D43" i="5"/>
  <c r="D37" i="5"/>
  <c r="E44" i="5"/>
  <c r="E38" i="5"/>
  <c r="F44" i="5"/>
  <c r="F38" i="5"/>
  <c r="G43" i="5"/>
  <c r="G37" i="5"/>
  <c r="H41" i="5"/>
  <c r="I38" i="5"/>
  <c r="J40" i="5"/>
  <c r="K41" i="5"/>
  <c r="L41" i="5"/>
  <c r="M40" i="5"/>
  <c r="N38" i="5"/>
  <c r="P37" i="5"/>
  <c r="A49" i="5"/>
  <c r="A43" i="5"/>
  <c r="A37" i="5"/>
  <c r="F63" i="5"/>
  <c r="F66" i="5" s="1"/>
  <c r="F69" i="5" s="1"/>
  <c r="L63" i="5"/>
  <c r="E57" i="5"/>
  <c r="K57" i="5"/>
  <c r="Q57" i="5"/>
  <c r="Q66" i="5" s="1"/>
  <c r="Q72" i="5" s="1"/>
  <c r="Q73" i="5" s="1"/>
  <c r="J98" i="5"/>
  <c r="I98" i="5"/>
  <c r="G98" i="5"/>
  <c r="F98" i="5"/>
  <c r="C98" i="5"/>
  <c r="H98" i="5"/>
  <c r="E98" i="5"/>
  <c r="B98" i="5"/>
  <c r="B129" i="5" s="1"/>
  <c r="D98" i="5"/>
  <c r="E102" i="5"/>
  <c r="B102" i="5"/>
  <c r="B133" i="5" s="1"/>
  <c r="F102" i="5"/>
  <c r="D102" i="5"/>
  <c r="C102" i="5"/>
  <c r="L96" i="5"/>
  <c r="K96" i="5"/>
  <c r="H96" i="5"/>
  <c r="E96" i="5"/>
  <c r="D96" i="5"/>
  <c r="B96" i="5"/>
  <c r="B127" i="5" s="1"/>
  <c r="C96" i="5"/>
  <c r="F96" i="5"/>
  <c r="I96" i="5"/>
  <c r="I127" i="5" s="1"/>
  <c r="J96" i="5"/>
  <c r="G96" i="5"/>
  <c r="P90" i="5"/>
  <c r="M90" i="5"/>
  <c r="L90" i="5"/>
  <c r="I90" i="5"/>
  <c r="N90" i="5"/>
  <c r="N121" i="5" s="1"/>
  <c r="K90" i="5"/>
  <c r="H90" i="5"/>
  <c r="E90" i="5"/>
  <c r="G90" i="5"/>
  <c r="B90" i="5"/>
  <c r="B121" i="5" s="1"/>
  <c r="D90" i="5"/>
  <c r="R90" i="5"/>
  <c r="J90" i="5"/>
  <c r="O90" i="5"/>
  <c r="F90" i="5"/>
  <c r="F121" i="5" s="1"/>
  <c r="Q90" i="5"/>
  <c r="C90" i="5"/>
  <c r="B46" i="5"/>
  <c r="B40" i="5"/>
  <c r="Q35" i="5"/>
  <c r="K35" i="5"/>
  <c r="E35" i="5"/>
  <c r="C46" i="5"/>
  <c r="C40" i="5"/>
  <c r="D48" i="5"/>
  <c r="D42" i="5"/>
  <c r="D36" i="5"/>
  <c r="E43" i="5"/>
  <c r="E37" i="5"/>
  <c r="F43" i="5"/>
  <c r="F37" i="5"/>
  <c r="G42" i="5"/>
  <c r="G36" i="5"/>
  <c r="H40" i="5"/>
  <c r="I37" i="5"/>
  <c r="J39" i="5"/>
  <c r="K40" i="5"/>
  <c r="L40" i="5"/>
  <c r="M39" i="5"/>
  <c r="N37" i="5"/>
  <c r="P36" i="5"/>
  <c r="A48" i="5"/>
  <c r="A42" i="5"/>
  <c r="A36" i="5"/>
  <c r="H60" i="5"/>
  <c r="B63" i="5"/>
  <c r="B66" i="5" s="1"/>
  <c r="B69" i="5" s="1"/>
  <c r="C106" i="5" s="1"/>
  <c r="G63" i="5"/>
  <c r="G66" i="5" s="1"/>
  <c r="G69" i="5" s="1"/>
  <c r="M63" i="5"/>
  <c r="F57" i="5"/>
  <c r="L57" i="5"/>
  <c r="L66" i="5" s="1"/>
  <c r="L72" i="5" s="1"/>
  <c r="L73" i="5" s="1"/>
  <c r="K97" i="5"/>
  <c r="J97" i="5"/>
  <c r="J128" i="5" s="1"/>
  <c r="G97" i="5"/>
  <c r="G128" i="5" s="1"/>
  <c r="F97" i="5"/>
  <c r="C97" i="5"/>
  <c r="B97" i="5"/>
  <c r="B128" i="5" s="1"/>
  <c r="H97" i="5"/>
  <c r="E97" i="5"/>
  <c r="D97" i="5"/>
  <c r="I97" i="5"/>
  <c r="G89" i="5"/>
  <c r="G120" i="5" s="1"/>
  <c r="M89" i="5"/>
  <c r="S89" i="5"/>
  <c r="B89" i="5"/>
  <c r="B120" i="5" s="1"/>
  <c r="C89" i="5"/>
  <c r="F89" i="5"/>
  <c r="H89" i="5"/>
  <c r="H120" i="5" s="1"/>
  <c r="N89" i="5"/>
  <c r="N120" i="5" s="1"/>
  <c r="J89" i="5"/>
  <c r="I89" i="5"/>
  <c r="O89" i="5"/>
  <c r="E89" i="5"/>
  <c r="E120" i="5" s="1"/>
  <c r="L89" i="5"/>
  <c r="P89" i="5"/>
  <c r="K89" i="5"/>
  <c r="K120" i="5" s="1"/>
  <c r="Q89" i="5"/>
  <c r="R89" i="5"/>
  <c r="R120" i="5" s="1"/>
  <c r="B101" i="5"/>
  <c r="B132" i="5" s="1"/>
  <c r="E101" i="5"/>
  <c r="D101" i="5"/>
  <c r="C101" i="5"/>
  <c r="C132" i="5" s="1"/>
  <c r="G101" i="5"/>
  <c r="F101" i="5"/>
  <c r="M95" i="5"/>
  <c r="L95" i="5"/>
  <c r="I95" i="5"/>
  <c r="K95" i="5"/>
  <c r="J95" i="5"/>
  <c r="B95" i="5"/>
  <c r="B126" i="5" s="1"/>
  <c r="C95" i="5"/>
  <c r="D95" i="5"/>
  <c r="D126" i="5" s="1"/>
  <c r="F95" i="5"/>
  <c r="H95" i="5"/>
  <c r="G95" i="5"/>
  <c r="E95" i="5"/>
  <c r="B51" i="5"/>
  <c r="B45" i="5"/>
  <c r="B39" i="5"/>
  <c r="P35" i="5"/>
  <c r="J35" i="5"/>
  <c r="D35" i="5"/>
  <c r="C45" i="5"/>
  <c r="C39" i="5"/>
  <c r="D47" i="5"/>
  <c r="D41" i="5"/>
  <c r="E48" i="5"/>
  <c r="E42" i="5"/>
  <c r="E36" i="5"/>
  <c r="F42" i="5"/>
  <c r="F36" i="5"/>
  <c r="G41" i="5"/>
  <c r="H45" i="5"/>
  <c r="H39" i="5"/>
  <c r="I42" i="5"/>
  <c r="I36" i="5"/>
  <c r="J38" i="5"/>
  <c r="K39" i="5"/>
  <c r="L39" i="5"/>
  <c r="M38" i="5"/>
  <c r="N36" i="5"/>
  <c r="Q36" i="5"/>
  <c r="A47" i="5"/>
  <c r="A41" i="5"/>
  <c r="C60" i="5"/>
  <c r="I60" i="5"/>
  <c r="H63" i="5"/>
  <c r="H66" i="5" s="1"/>
  <c r="H69" i="5" s="1"/>
  <c r="N63" i="5"/>
  <c r="G57" i="5"/>
  <c r="M57" i="5"/>
  <c r="M66" i="5" s="1"/>
  <c r="M72" i="5" s="1"/>
  <c r="M73" i="5" s="1"/>
  <c r="J72" i="5"/>
  <c r="J73" i="5" s="1"/>
  <c r="B72" i="9" l="1"/>
  <c r="J73" i="9"/>
  <c r="N62" i="7"/>
  <c r="M120" i="5"/>
  <c r="F125" i="5"/>
  <c r="D131" i="5"/>
  <c r="E126" i="5"/>
  <c r="F132" i="5"/>
  <c r="O120" i="5"/>
  <c r="D128" i="5"/>
  <c r="J121" i="5"/>
  <c r="H121" i="5"/>
  <c r="P121" i="5"/>
  <c r="C133" i="5"/>
  <c r="I129" i="5"/>
  <c r="D122" i="5"/>
  <c r="G122" i="5"/>
  <c r="M122" i="5"/>
  <c r="C134" i="5"/>
  <c r="D125" i="5"/>
  <c r="F123" i="5"/>
  <c r="M123" i="5"/>
  <c r="F124" i="5"/>
  <c r="C124" i="5"/>
  <c r="H130" i="5"/>
  <c r="G131" i="5"/>
  <c r="G126" i="5"/>
  <c r="J126" i="5"/>
  <c r="Q120" i="5"/>
  <c r="I120" i="5"/>
  <c r="G127" i="5"/>
  <c r="D127" i="5"/>
  <c r="E129" i="5"/>
  <c r="O122" i="5"/>
  <c r="P122" i="5"/>
  <c r="L125" i="5"/>
  <c r="I124" i="5"/>
  <c r="D130" i="5"/>
  <c r="E131" i="5"/>
  <c r="C121" i="5"/>
  <c r="D121" i="5"/>
  <c r="J127" i="5"/>
  <c r="H129" i="5"/>
  <c r="K122" i="5"/>
  <c r="J125" i="5"/>
  <c r="E123" i="5"/>
  <c r="J123" i="5"/>
  <c r="O173" i="5"/>
  <c r="K121" i="5"/>
  <c r="D133" i="5"/>
  <c r="U129" i="5"/>
  <c r="J129" i="5"/>
  <c r="U135" i="5"/>
  <c r="D135" i="5"/>
  <c r="G123" i="5"/>
  <c r="U123" i="5"/>
  <c r="P123" i="5"/>
  <c r="G124" i="5"/>
  <c r="U133" i="5"/>
  <c r="F133" i="5"/>
  <c r="Q122" i="5"/>
  <c r="U122" i="5"/>
  <c r="D124" i="5"/>
  <c r="K124" i="5"/>
  <c r="U132" i="5"/>
  <c r="G132" i="5"/>
  <c r="K126" i="5"/>
  <c r="J120" i="5"/>
  <c r="H128" i="5"/>
  <c r="E127" i="5"/>
  <c r="E122" i="5"/>
  <c r="J124" i="5"/>
  <c r="F126" i="5"/>
  <c r="I126" i="5"/>
  <c r="D132" i="5"/>
  <c r="P120" i="5"/>
  <c r="Q121" i="5"/>
  <c r="I121" i="5"/>
  <c r="H127" i="5"/>
  <c r="H122" i="5"/>
  <c r="N122" i="5"/>
  <c r="D134" i="5"/>
  <c r="C135" i="5"/>
  <c r="K125" i="5"/>
  <c r="H123" i="5"/>
  <c r="N123" i="5"/>
  <c r="O123" i="5"/>
  <c r="E124" i="5"/>
  <c r="U124" i="5"/>
  <c r="O124" i="5"/>
  <c r="H131" i="5"/>
  <c r="U131" i="5"/>
  <c r="D120" i="5"/>
  <c r="E128" i="5"/>
  <c r="U121" i="5"/>
  <c r="R121" i="5"/>
  <c r="H126" i="5"/>
  <c r="U120" i="5"/>
  <c r="S120" i="5"/>
  <c r="K128" i="5"/>
  <c r="U128" i="5"/>
  <c r="L126" i="5"/>
  <c r="E132" i="5"/>
  <c r="L120" i="5"/>
  <c r="G121" i="5"/>
  <c r="L121" i="5"/>
  <c r="F127" i="5"/>
  <c r="K127" i="5"/>
  <c r="E133" i="5"/>
  <c r="F129" i="5"/>
  <c r="I122" i="5"/>
  <c r="E125" i="5"/>
  <c r="G125" i="5"/>
  <c r="N125" i="5"/>
  <c r="U125" i="5"/>
  <c r="I123" i="5"/>
  <c r="H124" i="5"/>
  <c r="L124" i="5"/>
  <c r="U130" i="5"/>
  <c r="I130" i="5"/>
  <c r="G130" i="5"/>
  <c r="C131" i="5"/>
  <c r="C126" i="5"/>
  <c r="U126" i="5"/>
  <c r="M126" i="5"/>
  <c r="F120" i="5"/>
  <c r="I128" i="5"/>
  <c r="F128" i="5"/>
  <c r="O121" i="5"/>
  <c r="E121" i="5"/>
  <c r="M121" i="5"/>
  <c r="U127" i="5"/>
  <c r="L127" i="5"/>
  <c r="D129" i="5"/>
  <c r="G129" i="5"/>
  <c r="J122" i="5"/>
  <c r="F122" i="5"/>
  <c r="L122" i="5"/>
  <c r="E134" i="5"/>
  <c r="U134" i="5"/>
  <c r="H125" i="5"/>
  <c r="I125" i="5"/>
  <c r="L123" i="5"/>
  <c r="M124" i="5"/>
  <c r="E130" i="5"/>
  <c r="F131" i="5"/>
  <c r="D106" i="5"/>
  <c r="D137" i="5" s="1"/>
  <c r="D169" i="5" s="1"/>
  <c r="C137" i="5"/>
  <c r="C169" i="5" s="1"/>
  <c r="H101" i="5"/>
  <c r="H132" i="5" s="1"/>
  <c r="C120" i="5"/>
  <c r="K98" i="5"/>
  <c r="K129" i="5" s="1"/>
  <c r="K161" i="5" s="1"/>
  <c r="E104" i="5"/>
  <c r="E135" i="5" s="1"/>
  <c r="C136" i="5"/>
  <c r="D105" i="5"/>
  <c r="D136" i="5" s="1"/>
  <c r="G102" i="5"/>
  <c r="G133" i="5" s="1"/>
  <c r="C125" i="5"/>
  <c r="C129" i="5"/>
  <c r="C128" i="5"/>
  <c r="C122" i="5"/>
  <c r="J99" i="5"/>
  <c r="J130" i="5" s="1"/>
  <c r="J162" i="5" s="1"/>
  <c r="C127" i="5"/>
  <c r="F103" i="5"/>
  <c r="F134" i="5" s="1"/>
  <c r="C123" i="5"/>
  <c r="I100" i="5"/>
  <c r="I131" i="5" s="1"/>
  <c r="R74" i="5"/>
  <c r="R75" i="5" s="1"/>
  <c r="R76" i="5" s="1"/>
  <c r="L74" i="5"/>
  <c r="L75" i="5" s="1"/>
  <c r="L76" i="5" s="1"/>
  <c r="L69" i="5" s="1"/>
  <c r="M96" i="5" s="1"/>
  <c r="M127" i="5" s="1"/>
  <c r="M159" i="5" s="1"/>
  <c r="J74" i="5"/>
  <c r="J75" i="5" s="1"/>
  <c r="J76" i="5" s="1"/>
  <c r="O74" i="5"/>
  <c r="O75" i="5" s="1"/>
  <c r="O76" i="5" s="1"/>
  <c r="O69" i="5" s="1"/>
  <c r="P93" i="5" s="1"/>
  <c r="P124" i="5" s="1"/>
  <c r="P156" i="5" s="1"/>
  <c r="B74" i="5"/>
  <c r="C74" i="5" s="1"/>
  <c r="N74" i="5"/>
  <c r="N75" i="5" s="1"/>
  <c r="N76" i="5" s="1"/>
  <c r="N69" i="5" s="1"/>
  <c r="O94" i="5" s="1"/>
  <c r="O125" i="5" s="1"/>
  <c r="O157" i="5" s="1"/>
  <c r="M74" i="5"/>
  <c r="M75" i="5" s="1"/>
  <c r="M76" i="5" s="1"/>
  <c r="M69" i="5" s="1"/>
  <c r="N95" i="5" s="1"/>
  <c r="N126" i="5" s="1"/>
  <c r="N158" i="5" s="1"/>
  <c r="Q74" i="5"/>
  <c r="Q75" i="5" s="1"/>
  <c r="Q76" i="5" s="1"/>
  <c r="Q69" i="5" s="1"/>
  <c r="R91" i="5" s="1"/>
  <c r="R122" i="5" s="1"/>
  <c r="R154" i="5" s="1"/>
  <c r="K74" i="5"/>
  <c r="K75" i="5" s="1"/>
  <c r="K76" i="5" s="1"/>
  <c r="K69" i="5" s="1"/>
  <c r="L97" i="5" s="1"/>
  <c r="L128" i="5" s="1"/>
  <c r="L160" i="5" s="1"/>
  <c r="B73" i="5"/>
  <c r="C73" i="5" s="1"/>
  <c r="T152" i="5" s="1"/>
  <c r="W152" i="5" s="1"/>
  <c r="V152" i="5" s="1"/>
  <c r="P74" i="5"/>
  <c r="P75" i="5" s="1"/>
  <c r="P76" i="5" s="1"/>
  <c r="P69" i="5" s="1"/>
  <c r="Q92" i="5" s="1"/>
  <c r="Q123" i="5" s="1"/>
  <c r="Q155" i="5" s="1"/>
  <c r="K17" i="3"/>
  <c r="B26" i="3"/>
  <c r="B25" i="3"/>
  <c r="B56" i="3" s="1"/>
  <c r="C25" i="3"/>
  <c r="B24" i="3"/>
  <c r="C24" i="3"/>
  <c r="D24" i="3"/>
  <c r="B23" i="3"/>
  <c r="C23" i="3"/>
  <c r="D23" i="3"/>
  <c r="E23" i="3"/>
  <c r="B22" i="3"/>
  <c r="B53" i="3" s="1"/>
  <c r="C22" i="3"/>
  <c r="D22" i="3"/>
  <c r="E22" i="3"/>
  <c r="F22" i="3"/>
  <c r="B21" i="3"/>
  <c r="B52" i="3" s="1"/>
  <c r="C21" i="3"/>
  <c r="D21" i="3"/>
  <c r="E21" i="3"/>
  <c r="F21" i="3"/>
  <c r="G21" i="3"/>
  <c r="B20" i="3"/>
  <c r="C20" i="3"/>
  <c r="D20" i="3"/>
  <c r="E20" i="3"/>
  <c r="F20" i="3"/>
  <c r="G20" i="3"/>
  <c r="H20" i="3"/>
  <c r="B19" i="3"/>
  <c r="C19" i="3"/>
  <c r="D19" i="3"/>
  <c r="E19" i="3"/>
  <c r="F19" i="3"/>
  <c r="G19" i="3"/>
  <c r="H19" i="3"/>
  <c r="I19" i="3"/>
  <c r="B18" i="3"/>
  <c r="C18" i="3"/>
  <c r="D18" i="3"/>
  <c r="E18" i="3"/>
  <c r="F18" i="3"/>
  <c r="G18" i="3"/>
  <c r="H18" i="3"/>
  <c r="I18" i="3"/>
  <c r="J18" i="3"/>
  <c r="B17" i="3"/>
  <c r="C17" i="3"/>
  <c r="D17" i="3"/>
  <c r="E17" i="3"/>
  <c r="F17" i="3"/>
  <c r="G17" i="3"/>
  <c r="H17" i="3"/>
  <c r="I17" i="3"/>
  <c r="J17" i="3"/>
  <c r="B16" i="3"/>
  <c r="C16" i="3"/>
  <c r="D16" i="3"/>
  <c r="E16" i="3"/>
  <c r="F16" i="3"/>
  <c r="G16" i="3"/>
  <c r="H16" i="3"/>
  <c r="I16" i="3"/>
  <c r="J16" i="3"/>
  <c r="K16" i="3"/>
  <c r="L16" i="3"/>
  <c r="B15" i="3"/>
  <c r="C15" i="3"/>
  <c r="D15" i="3"/>
  <c r="E15" i="3"/>
  <c r="F15" i="3"/>
  <c r="G15" i="3"/>
  <c r="H15" i="3"/>
  <c r="I15" i="3"/>
  <c r="J15" i="3"/>
  <c r="K15" i="3"/>
  <c r="L15" i="3"/>
  <c r="M15" i="3"/>
  <c r="B14" i="3"/>
  <c r="C14" i="3"/>
  <c r="C45" i="3" s="1"/>
  <c r="D14" i="3"/>
  <c r="E14" i="3"/>
  <c r="F14" i="3"/>
  <c r="G14" i="3"/>
  <c r="H14" i="3"/>
  <c r="I14" i="3"/>
  <c r="J14" i="3"/>
  <c r="K14" i="3"/>
  <c r="L14" i="3"/>
  <c r="M14" i="3"/>
  <c r="N14" i="3"/>
  <c r="B13" i="3"/>
  <c r="B44" i="3" s="1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B10" i="3"/>
  <c r="C10" i="3"/>
  <c r="C41" i="3" s="1"/>
  <c r="D10" i="3"/>
  <c r="D41" i="3" s="1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B9" i="3"/>
  <c r="C9" i="3"/>
  <c r="U57" i="3"/>
  <c r="B57" i="3"/>
  <c r="B48" i="3"/>
  <c r="B47" i="3"/>
  <c r="B46" i="3"/>
  <c r="B45" i="3"/>
  <c r="B41" i="3"/>
  <c r="C37" i="3"/>
  <c r="D37" i="3" s="1"/>
  <c r="E37" i="3" s="1"/>
  <c r="F37" i="3" s="1"/>
  <c r="G37" i="3" s="1"/>
  <c r="H37" i="3" s="1"/>
  <c r="I37" i="3" s="1"/>
  <c r="J37" i="3" s="1"/>
  <c r="K37" i="3" s="1"/>
  <c r="L37" i="3" s="1"/>
  <c r="M37" i="3" s="1"/>
  <c r="N37" i="3" s="1"/>
  <c r="O37" i="3" s="1"/>
  <c r="P37" i="3" s="1"/>
  <c r="Q37" i="3" s="1"/>
  <c r="R37" i="3" s="1"/>
  <c r="S37" i="3" s="1"/>
  <c r="B55" i="3"/>
  <c r="B54" i="3"/>
  <c r="D53" i="3"/>
  <c r="C53" i="3"/>
  <c r="B51" i="3"/>
  <c r="C43" i="3"/>
  <c r="B43" i="3"/>
  <c r="C40" i="3"/>
  <c r="B40" i="3"/>
  <c r="C6" i="3"/>
  <c r="D6" i="3" s="1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P38" i="2"/>
  <c r="P39" i="2" s="1"/>
  <c r="O38" i="2"/>
  <c r="O39" i="2" s="1"/>
  <c r="N38" i="2"/>
  <c r="M38" i="2"/>
  <c r="L38" i="2"/>
  <c r="F38" i="2"/>
  <c r="K38" i="2"/>
  <c r="J38" i="2"/>
  <c r="I38" i="2"/>
  <c r="H38" i="2"/>
  <c r="H42" i="2" s="1"/>
  <c r="H45" i="2" s="1"/>
  <c r="G38" i="2"/>
  <c r="G42" i="2" s="1"/>
  <c r="G45" i="2" s="1"/>
  <c r="E38" i="2"/>
  <c r="E42" i="2" s="1"/>
  <c r="E45" i="2" s="1"/>
  <c r="D38" i="2"/>
  <c r="C38" i="2"/>
  <c r="B38" i="2"/>
  <c r="M34" i="2"/>
  <c r="M35" i="2" s="1"/>
  <c r="L34" i="2"/>
  <c r="L35" i="2" s="1"/>
  <c r="K34" i="2"/>
  <c r="J34" i="2"/>
  <c r="I34" i="2"/>
  <c r="H34" i="2"/>
  <c r="G34" i="2"/>
  <c r="F34" i="2"/>
  <c r="E34" i="2"/>
  <c r="D34" i="2"/>
  <c r="C34" i="2"/>
  <c r="B34" i="2"/>
  <c r="R30" i="2"/>
  <c r="R31" i="2" s="1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C30" i="2"/>
  <c r="O42" i="2"/>
  <c r="O48" i="2" s="1"/>
  <c r="O49" i="2" s="1"/>
  <c r="Q8" i="2"/>
  <c r="Q9" i="2"/>
  <c r="P8" i="2"/>
  <c r="P9" i="2"/>
  <c r="P10" i="2"/>
  <c r="O8" i="2"/>
  <c r="O9" i="2"/>
  <c r="O10" i="2"/>
  <c r="O11" i="2"/>
  <c r="N8" i="2"/>
  <c r="N9" i="2"/>
  <c r="N10" i="2"/>
  <c r="N11" i="2"/>
  <c r="N12" i="2"/>
  <c r="M8" i="2"/>
  <c r="M9" i="2"/>
  <c r="M10" i="2"/>
  <c r="M11" i="2"/>
  <c r="M12" i="2"/>
  <c r="M13" i="2"/>
  <c r="L8" i="2"/>
  <c r="L9" i="2"/>
  <c r="L10" i="2"/>
  <c r="L11" i="2"/>
  <c r="L12" i="2"/>
  <c r="L13" i="2"/>
  <c r="L14" i="2"/>
  <c r="K8" i="2"/>
  <c r="K9" i="2"/>
  <c r="K10" i="2"/>
  <c r="K11" i="2"/>
  <c r="K12" i="2"/>
  <c r="K13" i="2"/>
  <c r="K14" i="2"/>
  <c r="K15" i="2"/>
  <c r="J8" i="2"/>
  <c r="J9" i="2"/>
  <c r="J10" i="2"/>
  <c r="J11" i="2"/>
  <c r="J12" i="2"/>
  <c r="J13" i="2"/>
  <c r="J14" i="2"/>
  <c r="J15" i="2"/>
  <c r="J16" i="2"/>
  <c r="I8" i="2"/>
  <c r="I9" i="2"/>
  <c r="I10" i="2"/>
  <c r="I11" i="2"/>
  <c r="I12" i="2"/>
  <c r="I13" i="2"/>
  <c r="I14" i="2"/>
  <c r="I15" i="2"/>
  <c r="I16" i="2"/>
  <c r="I17" i="2"/>
  <c r="H8" i="2"/>
  <c r="H9" i="2"/>
  <c r="H10" i="2"/>
  <c r="H11" i="2"/>
  <c r="H12" i="2"/>
  <c r="H13" i="2"/>
  <c r="H14" i="2"/>
  <c r="H15" i="2"/>
  <c r="H16" i="2"/>
  <c r="H17" i="2"/>
  <c r="H18" i="2"/>
  <c r="G8" i="2"/>
  <c r="G9" i="2"/>
  <c r="G10" i="2"/>
  <c r="G11" i="2"/>
  <c r="G12" i="2"/>
  <c r="G13" i="2"/>
  <c r="G14" i="2"/>
  <c r="G15" i="2"/>
  <c r="G16" i="2"/>
  <c r="G17" i="2"/>
  <c r="G18" i="2"/>
  <c r="G19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C23" i="2"/>
  <c r="B24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B23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R8" i="2"/>
  <c r="B8" i="2"/>
  <c r="D42" i="2"/>
  <c r="D45" i="2" s="1"/>
  <c r="C42" i="2"/>
  <c r="C45" i="2" s="1"/>
  <c r="B42" i="2"/>
  <c r="B45" i="2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26" i="3" s="1"/>
  <c r="A57" i="3" s="1"/>
  <c r="R42" i="2" l="1"/>
  <c r="R48" i="2" s="1"/>
  <c r="R49" i="2" s="1"/>
  <c r="K31" i="2"/>
  <c r="J35" i="2"/>
  <c r="N39" i="2"/>
  <c r="D45" i="3"/>
  <c r="E31" i="2"/>
  <c r="D31" i="2"/>
  <c r="M42" i="2"/>
  <c r="M48" i="2" s="1"/>
  <c r="M49" i="2" s="1"/>
  <c r="M31" i="2"/>
  <c r="D35" i="2"/>
  <c r="I39" i="2"/>
  <c r="E24" i="3"/>
  <c r="F24" i="3" s="1"/>
  <c r="F31" i="2"/>
  <c r="N42" i="2"/>
  <c r="N48" i="2" s="1"/>
  <c r="N49" i="2" s="1"/>
  <c r="N31" i="2"/>
  <c r="E35" i="2"/>
  <c r="J39" i="2"/>
  <c r="H21" i="3"/>
  <c r="I21" i="3" s="1"/>
  <c r="B35" i="2"/>
  <c r="L42" i="2"/>
  <c r="L48" i="2" s="1"/>
  <c r="L49" i="2" s="1"/>
  <c r="L31" i="2"/>
  <c r="G31" i="2"/>
  <c r="O31" i="2"/>
  <c r="F35" i="2"/>
  <c r="B39" i="2"/>
  <c r="K39" i="2"/>
  <c r="I20" i="3"/>
  <c r="K42" i="2"/>
  <c r="K48" i="2" s="1"/>
  <c r="K49" i="2" s="1"/>
  <c r="K35" i="2"/>
  <c r="H31" i="2"/>
  <c r="P42" i="2"/>
  <c r="P48" i="2" s="1"/>
  <c r="P49" i="2" s="1"/>
  <c r="P31" i="2"/>
  <c r="G35" i="2"/>
  <c r="C39" i="2"/>
  <c r="F42" i="2"/>
  <c r="F45" i="2" s="1"/>
  <c r="F39" i="2"/>
  <c r="D25" i="3"/>
  <c r="E25" i="3" s="1"/>
  <c r="F25" i="3" s="1"/>
  <c r="H39" i="2"/>
  <c r="J42" i="2"/>
  <c r="J45" i="2" s="1"/>
  <c r="K18" i="3" s="1"/>
  <c r="I31" i="2"/>
  <c r="Q42" i="2"/>
  <c r="Q48" i="2" s="1"/>
  <c r="Q49" i="2" s="1"/>
  <c r="Q31" i="2"/>
  <c r="H35" i="2"/>
  <c r="D39" i="2"/>
  <c r="L39" i="2"/>
  <c r="F23" i="3"/>
  <c r="G39" i="2"/>
  <c r="C31" i="2"/>
  <c r="B31" i="2"/>
  <c r="C35" i="2"/>
  <c r="G22" i="3"/>
  <c r="H22" i="3" s="1"/>
  <c r="I22" i="3" s="1"/>
  <c r="J31" i="2"/>
  <c r="I42" i="2"/>
  <c r="I45" i="2" s="1"/>
  <c r="J19" i="3" s="1"/>
  <c r="I35" i="2"/>
  <c r="E39" i="2"/>
  <c r="M39" i="2"/>
  <c r="C26" i="3"/>
  <c r="D26" i="3" s="1"/>
  <c r="E26" i="3" s="1"/>
  <c r="F26" i="3" s="1"/>
  <c r="C49" i="3"/>
  <c r="R69" i="5"/>
  <c r="S90" i="5" s="1"/>
  <c r="S121" i="5" s="1"/>
  <c r="S153" i="5" s="1"/>
  <c r="S69" i="5"/>
  <c r="T89" i="5" s="1"/>
  <c r="B103" i="9"/>
  <c r="E72" i="9"/>
  <c r="O62" i="7"/>
  <c r="P173" i="5"/>
  <c r="W120" i="5"/>
  <c r="V120" i="5" s="1"/>
  <c r="T120" i="5"/>
  <c r="T90" i="5"/>
  <c r="P94" i="5"/>
  <c r="P125" i="5" s="1"/>
  <c r="P157" i="5" s="1"/>
  <c r="Q93" i="5"/>
  <c r="Q124" i="5" s="1"/>
  <c r="Q156" i="5" s="1"/>
  <c r="M97" i="5"/>
  <c r="M128" i="5" s="1"/>
  <c r="M160" i="5" s="1"/>
  <c r="O95" i="5"/>
  <c r="O126" i="5" s="1"/>
  <c r="O158" i="5" s="1"/>
  <c r="S91" i="5"/>
  <c r="S122" i="5" s="1"/>
  <c r="S154" i="5" s="1"/>
  <c r="E105" i="5"/>
  <c r="E136" i="5" s="1"/>
  <c r="I101" i="5"/>
  <c r="I132" i="5" s="1"/>
  <c r="J100" i="5"/>
  <c r="J131" i="5" s="1"/>
  <c r="J163" i="5" s="1"/>
  <c r="H102" i="5"/>
  <c r="H133" i="5" s="1"/>
  <c r="N96" i="5"/>
  <c r="N127" i="5" s="1"/>
  <c r="N159" i="5" s="1"/>
  <c r="K99" i="5"/>
  <c r="K130" i="5" s="1"/>
  <c r="K162" i="5" s="1"/>
  <c r="F104" i="5"/>
  <c r="F135" i="5" s="1"/>
  <c r="R92" i="5"/>
  <c r="R123" i="5" s="1"/>
  <c r="R155" i="5" s="1"/>
  <c r="G103" i="5"/>
  <c r="G134" i="5" s="1"/>
  <c r="L98" i="5"/>
  <c r="L129" i="5" s="1"/>
  <c r="L161" i="5" s="1"/>
  <c r="E137" i="5"/>
  <c r="E169" i="5" s="1"/>
  <c r="C57" i="3"/>
  <c r="A19" i="2"/>
  <c r="B49" i="3"/>
  <c r="A10" i="3"/>
  <c r="A41" i="3" s="1"/>
  <c r="A17" i="3"/>
  <c r="A48" i="3" s="1"/>
  <c r="A24" i="2"/>
  <c r="A9" i="3"/>
  <c r="A40" i="3" s="1"/>
  <c r="A14" i="3"/>
  <c r="A45" i="3" s="1"/>
  <c r="A19" i="3"/>
  <c r="A50" i="3" s="1"/>
  <c r="A24" i="3"/>
  <c r="A55" i="3" s="1"/>
  <c r="A13" i="2"/>
  <c r="A18" i="2"/>
  <c r="A11" i="2"/>
  <c r="A12" i="3"/>
  <c r="A43" i="3" s="1"/>
  <c r="A15" i="3"/>
  <c r="A46" i="3" s="1"/>
  <c r="A16" i="3"/>
  <c r="A47" i="3" s="1"/>
  <c r="A16" i="2"/>
  <c r="A20" i="3"/>
  <c r="A51" i="3" s="1"/>
  <c r="A23" i="3"/>
  <c r="A54" i="3" s="1"/>
  <c r="A23" i="2"/>
  <c r="A10" i="2"/>
  <c r="A15" i="2"/>
  <c r="A11" i="3"/>
  <c r="A42" i="3" s="1"/>
  <c r="A18" i="3"/>
  <c r="A49" i="3" s="1"/>
  <c r="A21" i="3"/>
  <c r="A52" i="3" s="1"/>
  <c r="A22" i="3"/>
  <c r="A53" i="3" s="1"/>
  <c r="A25" i="3"/>
  <c r="A56" i="3" s="1"/>
  <c r="A8" i="2"/>
  <c r="A12" i="2"/>
  <c r="A17" i="2"/>
  <c r="A22" i="2"/>
  <c r="A21" i="2"/>
  <c r="A9" i="2"/>
  <c r="A20" i="2"/>
  <c r="A14" i="2"/>
  <c r="A13" i="3"/>
  <c r="A44" i="3" s="1"/>
  <c r="E49" i="3"/>
  <c r="C47" i="3"/>
  <c r="C48" i="3"/>
  <c r="C42" i="3"/>
  <c r="C50" i="3"/>
  <c r="C52" i="3"/>
  <c r="C46" i="3"/>
  <c r="B42" i="3"/>
  <c r="D49" i="3"/>
  <c r="B50" i="3"/>
  <c r="G25" i="3" l="1"/>
  <c r="H25" i="3" s="1"/>
  <c r="I25" i="3" s="1"/>
  <c r="J48" i="2"/>
  <c r="J49" i="2" s="1"/>
  <c r="L50" i="2" s="1"/>
  <c r="L51" i="2" s="1"/>
  <c r="L52" i="2" s="1"/>
  <c r="L45" i="2" s="1"/>
  <c r="G26" i="3"/>
  <c r="H26" i="3" s="1"/>
  <c r="I26" i="3" s="1"/>
  <c r="J26" i="3" s="1"/>
  <c r="K26" i="3" s="1"/>
  <c r="J25" i="3"/>
  <c r="K25" i="3" s="1"/>
  <c r="R50" i="2"/>
  <c r="R51" i="2" s="1"/>
  <c r="R52" i="2" s="1"/>
  <c r="R45" i="2" s="1"/>
  <c r="J22" i="3"/>
  <c r="K22" i="3" s="1"/>
  <c r="J20" i="3"/>
  <c r="K20" i="3" s="1"/>
  <c r="M50" i="2"/>
  <c r="M51" i="2" s="1"/>
  <c r="M52" i="2" s="1"/>
  <c r="M45" i="2" s="1"/>
  <c r="N15" i="3" s="1"/>
  <c r="Q50" i="2"/>
  <c r="Q51" i="2" s="1"/>
  <c r="Q52" i="2" s="1"/>
  <c r="Q45" i="2" s="1"/>
  <c r="R11" i="3" s="1"/>
  <c r="J21" i="3"/>
  <c r="K21" i="3" s="1"/>
  <c r="K50" i="2"/>
  <c r="K51" i="2" s="1"/>
  <c r="K52" i="2" s="1"/>
  <c r="K45" i="2" s="1"/>
  <c r="B49" i="2"/>
  <c r="C49" i="2" s="1"/>
  <c r="K19" i="3"/>
  <c r="G23" i="3"/>
  <c r="H23" i="3" s="1"/>
  <c r="I23" i="3" s="1"/>
  <c r="J23" i="3" s="1"/>
  <c r="K23" i="3" s="1"/>
  <c r="G24" i="3"/>
  <c r="H24" i="3" s="1"/>
  <c r="I24" i="3" s="1"/>
  <c r="J24" i="3" s="1"/>
  <c r="K24" i="3" s="1"/>
  <c r="J72" i="9"/>
  <c r="B71" i="9"/>
  <c r="P62" i="7"/>
  <c r="Q173" i="5"/>
  <c r="W121" i="5"/>
  <c r="V121" i="5" s="1"/>
  <c r="T121" i="5"/>
  <c r="T91" i="5"/>
  <c r="J101" i="5"/>
  <c r="J132" i="5" s="1"/>
  <c r="J164" i="5" s="1"/>
  <c r="H103" i="5"/>
  <c r="H134" i="5" s="1"/>
  <c r="G104" i="5"/>
  <c r="G135" i="5" s="1"/>
  <c r="Q94" i="5"/>
  <c r="Q125" i="5" s="1"/>
  <c r="Q157" i="5" s="1"/>
  <c r="R93" i="5"/>
  <c r="R124" i="5" s="1"/>
  <c r="R156" i="5" s="1"/>
  <c r="F106" i="5"/>
  <c r="F137" i="5" s="1"/>
  <c r="F169" i="5" s="1"/>
  <c r="I102" i="5"/>
  <c r="I133" i="5" s="1"/>
  <c r="F105" i="5"/>
  <c r="F136" i="5" s="1"/>
  <c r="P95" i="5"/>
  <c r="P126" i="5" s="1"/>
  <c r="P158" i="5" s="1"/>
  <c r="L99" i="5"/>
  <c r="L130" i="5" s="1"/>
  <c r="L162" i="5" s="1"/>
  <c r="O96" i="5"/>
  <c r="O127" i="5" s="1"/>
  <c r="O159" i="5" s="1"/>
  <c r="M98" i="5"/>
  <c r="M129" i="5" s="1"/>
  <c r="M161" i="5" s="1"/>
  <c r="S92" i="5"/>
  <c r="S123" i="5" s="1"/>
  <c r="S155" i="5" s="1"/>
  <c r="K100" i="5"/>
  <c r="K131" i="5" s="1"/>
  <c r="K163" i="5" s="1"/>
  <c r="N97" i="5"/>
  <c r="N128" i="5" s="1"/>
  <c r="N160" i="5" s="1"/>
  <c r="E57" i="3"/>
  <c r="D57" i="3"/>
  <c r="D46" i="3"/>
  <c r="D52" i="3"/>
  <c r="C51" i="3"/>
  <c r="E45" i="3"/>
  <c r="D50" i="3"/>
  <c r="C44" i="3"/>
  <c r="D42" i="3"/>
  <c r="E53" i="3"/>
  <c r="C56" i="3"/>
  <c r="U56" i="3"/>
  <c r="D48" i="3"/>
  <c r="D43" i="3"/>
  <c r="E41" i="3"/>
  <c r="F57" i="3"/>
  <c r="D40" i="3"/>
  <c r="D47" i="3"/>
  <c r="C55" i="3"/>
  <c r="C54" i="3"/>
  <c r="F49" i="3"/>
  <c r="L20" i="3" l="1"/>
  <c r="N50" i="2"/>
  <c r="N51" i="2" s="1"/>
  <c r="N52" i="2" s="1"/>
  <c r="N45" i="2" s="1"/>
  <c r="O14" i="3" s="1"/>
  <c r="J50" i="2"/>
  <c r="J51" i="2" s="1"/>
  <c r="J52" i="2" s="1"/>
  <c r="O50" i="2"/>
  <c r="O51" i="2" s="1"/>
  <c r="O52" i="2" s="1"/>
  <c r="O45" i="2" s="1"/>
  <c r="P13" i="3" s="1"/>
  <c r="L25" i="3"/>
  <c r="M25" i="3" s="1"/>
  <c r="N25" i="3" s="1"/>
  <c r="O25" i="3" s="1"/>
  <c r="S45" i="2"/>
  <c r="S46" i="2" s="1"/>
  <c r="L26" i="3"/>
  <c r="M26" i="3" s="1"/>
  <c r="N26" i="3" s="1"/>
  <c r="O26" i="3" s="1"/>
  <c r="S11" i="3"/>
  <c r="T11" i="3" s="1"/>
  <c r="O15" i="3"/>
  <c r="P15" i="3" s="1"/>
  <c r="Q15" i="3" s="1"/>
  <c r="R15" i="3" s="1"/>
  <c r="S15" i="3" s="1"/>
  <c r="T15" i="3" s="1"/>
  <c r="B50" i="2"/>
  <c r="C50" i="2" s="1"/>
  <c r="P50" i="2"/>
  <c r="P51" i="2" s="1"/>
  <c r="P52" i="2" s="1"/>
  <c r="P45" i="2" s="1"/>
  <c r="Q12" i="3" s="1"/>
  <c r="R12" i="3" s="1"/>
  <c r="S12" i="3" s="1"/>
  <c r="T12" i="3" s="1"/>
  <c r="L17" i="3"/>
  <c r="M17" i="3" s="1"/>
  <c r="N17" i="3" s="1"/>
  <c r="O17" i="3" s="1"/>
  <c r="L22" i="3"/>
  <c r="M22" i="3" s="1"/>
  <c r="N22" i="3" s="1"/>
  <c r="O22" i="3" s="1"/>
  <c r="L24" i="3"/>
  <c r="M24" i="3" s="1"/>
  <c r="N24" i="3" s="1"/>
  <c r="O24" i="3" s="1"/>
  <c r="L19" i="3"/>
  <c r="M19" i="3" s="1"/>
  <c r="N19" i="3" s="1"/>
  <c r="O19" i="3" s="1"/>
  <c r="L18" i="3"/>
  <c r="M18" i="3" s="1"/>
  <c r="N18" i="3" s="1"/>
  <c r="O18" i="3" s="1"/>
  <c r="P18" i="3" s="1"/>
  <c r="Q18" i="3" s="1"/>
  <c r="R18" i="3" s="1"/>
  <c r="S18" i="3" s="1"/>
  <c r="T18" i="3" s="1"/>
  <c r="T9" i="3"/>
  <c r="Q46" i="2"/>
  <c r="M16" i="3"/>
  <c r="N16" i="3" s="1"/>
  <c r="O16" i="3" s="1"/>
  <c r="G46" i="2"/>
  <c r="M20" i="3"/>
  <c r="N20" i="3" s="1"/>
  <c r="O20" i="3" s="1"/>
  <c r="L23" i="3"/>
  <c r="M23" i="3" s="1"/>
  <c r="N23" i="3" s="1"/>
  <c r="O23" i="3" s="1"/>
  <c r="S10" i="3"/>
  <c r="T10" i="3" s="1"/>
  <c r="R46" i="2"/>
  <c r="L21" i="3"/>
  <c r="M21" i="3" s="1"/>
  <c r="N21" i="3" s="1"/>
  <c r="O21" i="3" s="1"/>
  <c r="P21" i="3" s="1"/>
  <c r="Q21" i="3" s="1"/>
  <c r="R21" i="3" s="1"/>
  <c r="S21" i="3" s="1"/>
  <c r="T21" i="3" s="1"/>
  <c r="E71" i="9"/>
  <c r="B102" i="9"/>
  <c r="Q62" i="7"/>
  <c r="R173" i="5"/>
  <c r="W122" i="5"/>
  <c r="V122" i="5" s="1"/>
  <c r="T122" i="5"/>
  <c r="P96" i="5"/>
  <c r="P127" i="5" s="1"/>
  <c r="P159" i="5" s="1"/>
  <c r="I103" i="5"/>
  <c r="I134" i="5" s="1"/>
  <c r="K101" i="5"/>
  <c r="K132" i="5" s="1"/>
  <c r="K164" i="5" s="1"/>
  <c r="L100" i="5"/>
  <c r="L131" i="5" s="1"/>
  <c r="L163" i="5" s="1"/>
  <c r="G105" i="5"/>
  <c r="G136" i="5" s="1"/>
  <c r="T92" i="5"/>
  <c r="M99" i="5"/>
  <c r="M130" i="5" s="1"/>
  <c r="M162" i="5" s="1"/>
  <c r="J102" i="5"/>
  <c r="J133" i="5" s="1"/>
  <c r="J165" i="5" s="1"/>
  <c r="R94" i="5"/>
  <c r="R125" i="5" s="1"/>
  <c r="R157" i="5" s="1"/>
  <c r="S93" i="5"/>
  <c r="S124" i="5" s="1"/>
  <c r="S156" i="5" s="1"/>
  <c r="O97" i="5"/>
  <c r="O128" i="5" s="1"/>
  <c r="O160" i="5" s="1"/>
  <c r="N98" i="5"/>
  <c r="N129" i="5" s="1"/>
  <c r="N161" i="5" s="1"/>
  <c r="Q95" i="5"/>
  <c r="Q126" i="5" s="1"/>
  <c r="Q158" i="5" s="1"/>
  <c r="G106" i="5"/>
  <c r="G137" i="5" s="1"/>
  <c r="G169" i="5" s="1"/>
  <c r="H104" i="5"/>
  <c r="H135" i="5" s="1"/>
  <c r="F53" i="3"/>
  <c r="U53" i="3"/>
  <c r="E47" i="3"/>
  <c r="E42" i="3"/>
  <c r="E40" i="3"/>
  <c r="D44" i="3"/>
  <c r="G57" i="3"/>
  <c r="E50" i="3"/>
  <c r="F41" i="3"/>
  <c r="E43" i="3"/>
  <c r="F45" i="3"/>
  <c r="D51" i="3"/>
  <c r="G49" i="3"/>
  <c r="E48" i="3"/>
  <c r="D56" i="3"/>
  <c r="E52" i="3"/>
  <c r="D54" i="3"/>
  <c r="E46" i="3"/>
  <c r="U55" i="3"/>
  <c r="D55" i="3"/>
  <c r="P19" i="3" l="1"/>
  <c r="Q19" i="3" s="1"/>
  <c r="R19" i="3" s="1"/>
  <c r="S19" i="3" s="1"/>
  <c r="T19" i="3" s="1"/>
  <c r="P16" i="3"/>
  <c r="P14" i="3"/>
  <c r="P24" i="3"/>
  <c r="Q24" i="3" s="1"/>
  <c r="R24" i="3" s="1"/>
  <c r="S24" i="3" s="1"/>
  <c r="T24" i="3" s="1"/>
  <c r="L46" i="2"/>
  <c r="P26" i="3"/>
  <c r="Q26" i="3" s="1"/>
  <c r="R26" i="3" s="1"/>
  <c r="S26" i="3" s="1"/>
  <c r="T26" i="3" s="1"/>
  <c r="B46" i="2"/>
  <c r="B55" i="2" s="1"/>
  <c r="K46" i="2"/>
  <c r="F46" i="2"/>
  <c r="P22" i="3"/>
  <c r="Q22" i="3" s="1"/>
  <c r="R22" i="3" s="1"/>
  <c r="S22" i="3" s="1"/>
  <c r="T22" i="3" s="1"/>
  <c r="P25" i="3"/>
  <c r="Q25" i="3" s="1"/>
  <c r="R25" i="3" s="1"/>
  <c r="S25" i="3" s="1"/>
  <c r="T25" i="3" s="1"/>
  <c r="N46" i="2"/>
  <c r="P23" i="3"/>
  <c r="Q23" i="3" s="1"/>
  <c r="R23" i="3" s="1"/>
  <c r="S23" i="3" s="1"/>
  <c r="P17" i="3"/>
  <c r="Q17" i="3" s="1"/>
  <c r="R17" i="3" s="1"/>
  <c r="S17" i="3" s="1"/>
  <c r="T17" i="3" s="1"/>
  <c r="C46" i="2"/>
  <c r="C55" i="2" s="1"/>
  <c r="P20" i="3"/>
  <c r="Q20" i="3" s="1"/>
  <c r="R20" i="3" s="1"/>
  <c r="S20" i="3" s="1"/>
  <c r="T20" i="3" s="1"/>
  <c r="I46" i="2"/>
  <c r="D46" i="2"/>
  <c r="Q16" i="3"/>
  <c r="R16" i="3" s="1"/>
  <c r="S16" i="3" s="1"/>
  <c r="T16" i="3" s="1"/>
  <c r="M46" i="2"/>
  <c r="M55" i="2" s="1"/>
  <c r="Q14" i="3"/>
  <c r="R14" i="3" s="1"/>
  <c r="S14" i="3" s="1"/>
  <c r="T14" i="3" s="1"/>
  <c r="E46" i="2"/>
  <c r="E55" i="2" s="1"/>
  <c r="Q55" i="2"/>
  <c r="Q13" i="3"/>
  <c r="R13" i="3" s="1"/>
  <c r="S13" i="3" s="1"/>
  <c r="T13" i="3" s="1"/>
  <c r="P46" i="2"/>
  <c r="O46" i="2"/>
  <c r="O55" i="2" s="1"/>
  <c r="J46" i="2"/>
  <c r="J55" i="2" s="1"/>
  <c r="H46" i="2"/>
  <c r="H55" i="2" s="1"/>
  <c r="R55" i="2"/>
  <c r="P55" i="2"/>
  <c r="N55" i="2"/>
  <c r="D57" i="2"/>
  <c r="G55" i="2"/>
  <c r="S55" i="2"/>
  <c r="B70" i="9"/>
  <c r="J71" i="9"/>
  <c r="R62" i="7"/>
  <c r="S173" i="5"/>
  <c r="W123" i="5"/>
  <c r="V123" i="5" s="1"/>
  <c r="T123" i="5"/>
  <c r="I104" i="5"/>
  <c r="I135" i="5" s="1"/>
  <c r="S94" i="5"/>
  <c r="S125" i="5" s="1"/>
  <c r="S157" i="5" s="1"/>
  <c r="K102" i="5"/>
  <c r="K133" i="5" s="1"/>
  <c r="K165" i="5" s="1"/>
  <c r="J103" i="5"/>
  <c r="J134" i="5" s="1"/>
  <c r="J166" i="5" s="1"/>
  <c r="P97" i="5"/>
  <c r="P128" i="5" s="1"/>
  <c r="P160" i="5" s="1"/>
  <c r="H105" i="5"/>
  <c r="H136" i="5" s="1"/>
  <c r="R95" i="5"/>
  <c r="R126" i="5" s="1"/>
  <c r="R158" i="5" s="1"/>
  <c r="T93" i="5"/>
  <c r="N99" i="5"/>
  <c r="N130" i="5" s="1"/>
  <c r="N162" i="5" s="1"/>
  <c r="M100" i="5"/>
  <c r="M131" i="5" s="1"/>
  <c r="M163" i="5" s="1"/>
  <c r="Q96" i="5"/>
  <c r="Q127" i="5" s="1"/>
  <c r="Q159" i="5" s="1"/>
  <c r="H106" i="5"/>
  <c r="H137" i="5" s="1"/>
  <c r="H169" i="5" s="1"/>
  <c r="O98" i="5"/>
  <c r="O129" i="5" s="1"/>
  <c r="O161" i="5" s="1"/>
  <c r="L101" i="5"/>
  <c r="L132" i="5" s="1"/>
  <c r="L164" i="5" s="1"/>
  <c r="F50" i="3"/>
  <c r="F52" i="3"/>
  <c r="H57" i="3"/>
  <c r="E56" i="3"/>
  <c r="F48" i="3"/>
  <c r="E44" i="3"/>
  <c r="H49" i="3"/>
  <c r="F40" i="3"/>
  <c r="E51" i="3"/>
  <c r="E55" i="3"/>
  <c r="F42" i="3"/>
  <c r="G45" i="3"/>
  <c r="F47" i="3"/>
  <c r="F46" i="3"/>
  <c r="F43" i="3"/>
  <c r="G53" i="3"/>
  <c r="E54" i="3"/>
  <c r="U54" i="3"/>
  <c r="G41" i="3"/>
  <c r="T23" i="3" l="1"/>
  <c r="S54" i="3"/>
  <c r="B57" i="2"/>
  <c r="L55" i="2"/>
  <c r="K55" i="2"/>
  <c r="D55" i="2"/>
  <c r="C57" i="2"/>
  <c r="I55" i="2"/>
  <c r="F55" i="2"/>
  <c r="B101" i="9"/>
  <c r="E70" i="9"/>
  <c r="T157" i="5"/>
  <c r="T124" i="5"/>
  <c r="W124" i="5"/>
  <c r="V124" i="5" s="1"/>
  <c r="I106" i="5"/>
  <c r="I137" i="5" s="1"/>
  <c r="I169" i="5" s="1"/>
  <c r="T94" i="5"/>
  <c r="L102" i="5"/>
  <c r="L133" i="5" s="1"/>
  <c r="L165" i="5" s="1"/>
  <c r="R96" i="5"/>
  <c r="R127" i="5" s="1"/>
  <c r="R159" i="5" s="1"/>
  <c r="Q97" i="5"/>
  <c r="Q128" i="5" s="1"/>
  <c r="Q160" i="5" s="1"/>
  <c r="I105" i="5"/>
  <c r="I136" i="5" s="1"/>
  <c r="P98" i="5"/>
  <c r="P129" i="5" s="1"/>
  <c r="P161" i="5" s="1"/>
  <c r="N100" i="5"/>
  <c r="N131" i="5" s="1"/>
  <c r="N163" i="5" s="1"/>
  <c r="S95" i="5"/>
  <c r="S126" i="5" s="1"/>
  <c r="S158" i="5" s="1"/>
  <c r="T158" i="5" s="1"/>
  <c r="K103" i="5"/>
  <c r="K134" i="5" s="1"/>
  <c r="K166" i="5" s="1"/>
  <c r="J104" i="5"/>
  <c r="J135" i="5" s="1"/>
  <c r="J167" i="5" s="1"/>
  <c r="M101" i="5"/>
  <c r="M132" i="5" s="1"/>
  <c r="M164" i="5" s="1"/>
  <c r="O99" i="5"/>
  <c r="O130" i="5" s="1"/>
  <c r="O162" i="5" s="1"/>
  <c r="H53" i="3"/>
  <c r="G40" i="3"/>
  <c r="G43" i="3"/>
  <c r="I49" i="3"/>
  <c r="G46" i="3"/>
  <c r="F44" i="3"/>
  <c r="G47" i="3"/>
  <c r="G48" i="3"/>
  <c r="H45" i="3"/>
  <c r="F56" i="3"/>
  <c r="I57" i="3"/>
  <c r="H41" i="3"/>
  <c r="G42" i="3"/>
  <c r="F55" i="3"/>
  <c r="F54" i="3"/>
  <c r="U52" i="3"/>
  <c r="G52" i="3"/>
  <c r="F51" i="3"/>
  <c r="G50" i="3"/>
  <c r="J70" i="9" l="1"/>
  <c r="B69" i="9"/>
  <c r="W158" i="5"/>
  <c r="V158" i="5" s="1"/>
  <c r="T156" i="5"/>
  <c r="W156" i="5" s="1"/>
  <c r="V156" i="5" s="1"/>
  <c r="T153" i="5"/>
  <c r="W153" i="5" s="1"/>
  <c r="V153" i="5" s="1"/>
  <c r="T155" i="5"/>
  <c r="W155" i="5" s="1"/>
  <c r="V155" i="5" s="1"/>
  <c r="T154" i="5"/>
  <c r="W154" i="5" s="1"/>
  <c r="V154" i="5" s="1"/>
  <c r="W157" i="5"/>
  <c r="V157" i="5" s="1"/>
  <c r="W125" i="5"/>
  <c r="V125" i="5" s="1"/>
  <c r="T125" i="5"/>
  <c r="O100" i="5"/>
  <c r="O131" i="5" s="1"/>
  <c r="O163" i="5" s="1"/>
  <c r="K104" i="5"/>
  <c r="K135" i="5" s="1"/>
  <c r="K167" i="5" s="1"/>
  <c r="P99" i="5"/>
  <c r="P130" i="5" s="1"/>
  <c r="P162" i="5" s="1"/>
  <c r="R97" i="5"/>
  <c r="R128" i="5" s="1"/>
  <c r="R160" i="5" s="1"/>
  <c r="Q98" i="5"/>
  <c r="Q129" i="5" s="1"/>
  <c r="Q161" i="5" s="1"/>
  <c r="L103" i="5"/>
  <c r="L134" i="5" s="1"/>
  <c r="L166" i="5" s="1"/>
  <c r="S96" i="5"/>
  <c r="S127" i="5" s="1"/>
  <c r="N101" i="5"/>
  <c r="N132" i="5" s="1"/>
  <c r="N164" i="5" s="1"/>
  <c r="T95" i="5"/>
  <c r="J105" i="5"/>
  <c r="J136" i="5" s="1"/>
  <c r="J168" i="5" s="1"/>
  <c r="M102" i="5"/>
  <c r="M133" i="5" s="1"/>
  <c r="M165" i="5" s="1"/>
  <c r="J106" i="5"/>
  <c r="J137" i="5" s="1"/>
  <c r="J169" i="5" s="1"/>
  <c r="H52" i="3"/>
  <c r="H48" i="3"/>
  <c r="G54" i="3"/>
  <c r="H47" i="3"/>
  <c r="G55" i="3"/>
  <c r="G44" i="3"/>
  <c r="H42" i="3"/>
  <c r="H46" i="3"/>
  <c r="I41" i="3"/>
  <c r="J49" i="3"/>
  <c r="U49" i="3"/>
  <c r="H43" i="3"/>
  <c r="H50" i="3"/>
  <c r="J57" i="3"/>
  <c r="G51" i="3"/>
  <c r="G56" i="3"/>
  <c r="H40" i="3"/>
  <c r="I45" i="3"/>
  <c r="I53" i="3"/>
  <c r="S159" i="5" l="1"/>
  <c r="T159" i="5" s="1"/>
  <c r="B100" i="9"/>
  <c r="E69" i="9"/>
  <c r="T126" i="5"/>
  <c r="W126" i="5"/>
  <c r="V126" i="5" s="1"/>
  <c r="T96" i="5"/>
  <c r="L104" i="5"/>
  <c r="L135" i="5" s="1"/>
  <c r="L167" i="5" s="1"/>
  <c r="N102" i="5"/>
  <c r="N133" i="5" s="1"/>
  <c r="N165" i="5" s="1"/>
  <c r="R98" i="5"/>
  <c r="R129" i="5" s="1"/>
  <c r="R161" i="5" s="1"/>
  <c r="K105" i="5"/>
  <c r="K136" i="5" s="1"/>
  <c r="K168" i="5" s="1"/>
  <c r="O101" i="5"/>
  <c r="O132" i="5" s="1"/>
  <c r="O164" i="5" s="1"/>
  <c r="S97" i="5"/>
  <c r="S128" i="5" s="1"/>
  <c r="K106" i="5"/>
  <c r="K137" i="5" s="1"/>
  <c r="K169" i="5" s="1"/>
  <c r="M103" i="5"/>
  <c r="M134" i="5" s="1"/>
  <c r="M166" i="5" s="1"/>
  <c r="Q99" i="5"/>
  <c r="Q130" i="5" s="1"/>
  <c r="Q162" i="5" s="1"/>
  <c r="P100" i="5"/>
  <c r="P131" i="5" s="1"/>
  <c r="P163" i="5" s="1"/>
  <c r="H56" i="3"/>
  <c r="I46" i="3"/>
  <c r="U51" i="3"/>
  <c r="H51" i="3"/>
  <c r="I42" i="3"/>
  <c r="H44" i="3"/>
  <c r="K57" i="3"/>
  <c r="H55" i="3"/>
  <c r="I50" i="3"/>
  <c r="U50" i="3"/>
  <c r="I43" i="3"/>
  <c r="I47" i="3"/>
  <c r="H54" i="3"/>
  <c r="J53" i="3"/>
  <c r="K49" i="3"/>
  <c r="I48" i="3"/>
  <c r="J45" i="3"/>
  <c r="I52" i="3"/>
  <c r="I40" i="3"/>
  <c r="J41" i="3"/>
  <c r="S160" i="5" l="1"/>
  <c r="T160" i="5" s="1"/>
  <c r="W159" i="5"/>
  <c r="V159" i="5" s="1"/>
  <c r="J69" i="9"/>
  <c r="B68" i="9"/>
  <c r="T127" i="5"/>
  <c r="W127" i="5"/>
  <c r="V127" i="5" s="1"/>
  <c r="Q100" i="5"/>
  <c r="Q131" i="5" s="1"/>
  <c r="Q163" i="5" s="1"/>
  <c r="P101" i="5"/>
  <c r="P132" i="5" s="1"/>
  <c r="P164" i="5" s="1"/>
  <c r="M104" i="5"/>
  <c r="M135" i="5" s="1"/>
  <c r="M167" i="5" s="1"/>
  <c r="L106" i="5"/>
  <c r="L137" i="5" s="1"/>
  <c r="L169" i="5" s="1"/>
  <c r="O102" i="5"/>
  <c r="O133" i="5" s="1"/>
  <c r="O165" i="5" s="1"/>
  <c r="R99" i="5"/>
  <c r="R130" i="5" s="1"/>
  <c r="R162" i="5" s="1"/>
  <c r="L105" i="5"/>
  <c r="L136" i="5" s="1"/>
  <c r="L168" i="5" s="1"/>
  <c r="N103" i="5"/>
  <c r="N134" i="5" s="1"/>
  <c r="N166" i="5" s="1"/>
  <c r="T97" i="5"/>
  <c r="S98" i="5"/>
  <c r="S129" i="5" s="1"/>
  <c r="K45" i="3"/>
  <c r="J48" i="3"/>
  <c r="L57" i="3"/>
  <c r="K53" i="3"/>
  <c r="J42" i="3"/>
  <c r="K41" i="3"/>
  <c r="J40" i="3"/>
  <c r="J46" i="3"/>
  <c r="I55" i="3"/>
  <c r="L49" i="3"/>
  <c r="I54" i="3"/>
  <c r="I51" i="3"/>
  <c r="J52" i="3"/>
  <c r="J50" i="3"/>
  <c r="I56" i="3"/>
  <c r="I44" i="3"/>
  <c r="J47" i="3"/>
  <c r="J43" i="3"/>
  <c r="S161" i="5" l="1"/>
  <c r="T161" i="5" s="1"/>
  <c r="W161" i="5" s="1"/>
  <c r="V161" i="5" s="1"/>
  <c r="W160" i="5"/>
  <c r="V160" i="5" s="1"/>
  <c r="E68" i="9"/>
  <c r="B99" i="9"/>
  <c r="W128" i="5"/>
  <c r="V128" i="5" s="1"/>
  <c r="T128" i="5"/>
  <c r="N104" i="5"/>
  <c r="N135" i="5" s="1"/>
  <c r="N167" i="5" s="1"/>
  <c r="Q101" i="5"/>
  <c r="Q132" i="5" s="1"/>
  <c r="Q164" i="5" s="1"/>
  <c r="S99" i="5"/>
  <c r="S130" i="5" s="1"/>
  <c r="S162" i="5" s="1"/>
  <c r="T162" i="5" s="1"/>
  <c r="W162" i="5" s="1"/>
  <c r="V162" i="5" s="1"/>
  <c r="O103" i="5"/>
  <c r="O134" i="5" s="1"/>
  <c r="O166" i="5" s="1"/>
  <c r="P102" i="5"/>
  <c r="P133" i="5" s="1"/>
  <c r="P165" i="5" s="1"/>
  <c r="T98" i="5"/>
  <c r="M105" i="5"/>
  <c r="M136" i="5" s="1"/>
  <c r="M168" i="5" s="1"/>
  <c r="M106" i="5"/>
  <c r="M137" i="5" s="1"/>
  <c r="M169" i="5" s="1"/>
  <c r="R100" i="5"/>
  <c r="R131" i="5" s="1"/>
  <c r="R163" i="5" s="1"/>
  <c r="J44" i="3"/>
  <c r="K46" i="3"/>
  <c r="J56" i="3"/>
  <c r="K40" i="3"/>
  <c r="K50" i="3"/>
  <c r="L41" i="3"/>
  <c r="K52" i="3"/>
  <c r="K42" i="3"/>
  <c r="L53" i="3"/>
  <c r="J51" i="3"/>
  <c r="J54" i="3"/>
  <c r="M57" i="3"/>
  <c r="K43" i="3"/>
  <c r="U48" i="3"/>
  <c r="K48" i="3"/>
  <c r="M49" i="3"/>
  <c r="L45" i="3"/>
  <c r="K47" i="3"/>
  <c r="J55" i="3"/>
  <c r="B67" i="9" l="1"/>
  <c r="J68" i="9"/>
  <c r="W129" i="5"/>
  <c r="V129" i="5" s="1"/>
  <c r="T129" i="5"/>
  <c r="R101" i="5"/>
  <c r="R132" i="5" s="1"/>
  <c r="R164" i="5" s="1"/>
  <c r="T99" i="5"/>
  <c r="N106" i="5"/>
  <c r="N137" i="5" s="1"/>
  <c r="N169" i="5" s="1"/>
  <c r="Q102" i="5"/>
  <c r="Q133" i="5" s="1"/>
  <c r="Q165" i="5" s="1"/>
  <c r="N105" i="5"/>
  <c r="N136" i="5" s="1"/>
  <c r="N168" i="5" s="1"/>
  <c r="P103" i="5"/>
  <c r="P134" i="5" s="1"/>
  <c r="P166" i="5" s="1"/>
  <c r="S100" i="5"/>
  <c r="S131" i="5" s="1"/>
  <c r="O104" i="5"/>
  <c r="O135" i="5" s="1"/>
  <c r="O167" i="5" s="1"/>
  <c r="L42" i="3"/>
  <c r="M41" i="3"/>
  <c r="N49" i="3"/>
  <c r="L52" i="3"/>
  <c r="L50" i="3"/>
  <c r="L40" i="3"/>
  <c r="K55" i="3"/>
  <c r="L48" i="3"/>
  <c r="L43" i="3"/>
  <c r="N57" i="3"/>
  <c r="K54" i="3"/>
  <c r="K56" i="3"/>
  <c r="L46" i="3"/>
  <c r="L47" i="3"/>
  <c r="U47" i="3"/>
  <c r="K51" i="3"/>
  <c r="M53" i="3"/>
  <c r="M45" i="3"/>
  <c r="K44" i="3"/>
  <c r="S163" i="5" l="1"/>
  <c r="T163" i="5" s="1"/>
  <c r="B98" i="9"/>
  <c r="E67" i="9"/>
  <c r="W130" i="5"/>
  <c r="V130" i="5" s="1"/>
  <c r="T130" i="5"/>
  <c r="O106" i="5"/>
  <c r="O137" i="5" s="1"/>
  <c r="O169" i="5" s="1"/>
  <c r="P104" i="5"/>
  <c r="P135" i="5" s="1"/>
  <c r="P167" i="5" s="1"/>
  <c r="Q103" i="5"/>
  <c r="Q134" i="5" s="1"/>
  <c r="Q166" i="5" s="1"/>
  <c r="O105" i="5"/>
  <c r="O136" i="5" s="1"/>
  <c r="O168" i="5" s="1"/>
  <c r="T100" i="5"/>
  <c r="R102" i="5"/>
  <c r="R133" i="5" s="1"/>
  <c r="R165" i="5" s="1"/>
  <c r="S101" i="5"/>
  <c r="S132" i="5" s="1"/>
  <c r="M48" i="3"/>
  <c r="L51" i="3"/>
  <c r="L55" i="3"/>
  <c r="M47" i="3"/>
  <c r="M40" i="3"/>
  <c r="U46" i="3"/>
  <c r="M46" i="3"/>
  <c r="M50" i="3"/>
  <c r="L56" i="3"/>
  <c r="M52" i="3"/>
  <c r="L54" i="3"/>
  <c r="O49" i="3"/>
  <c r="L44" i="3"/>
  <c r="U45" i="3"/>
  <c r="N45" i="3"/>
  <c r="O57" i="3"/>
  <c r="N41" i="3"/>
  <c r="M43" i="3"/>
  <c r="N53" i="3"/>
  <c r="M42" i="3"/>
  <c r="S164" i="5" l="1"/>
  <c r="T164" i="5" s="1"/>
  <c r="W163" i="5"/>
  <c r="V163" i="5" s="1"/>
  <c r="J67" i="9"/>
  <c r="B66" i="9"/>
  <c r="W131" i="5"/>
  <c r="V131" i="5" s="1"/>
  <c r="T131" i="5"/>
  <c r="Q104" i="5"/>
  <c r="Q135" i="5" s="1"/>
  <c r="Q167" i="5" s="1"/>
  <c r="T101" i="5"/>
  <c r="P105" i="5"/>
  <c r="P136" i="5" s="1"/>
  <c r="P168" i="5" s="1"/>
  <c r="S102" i="5"/>
  <c r="S133" i="5" s="1"/>
  <c r="R103" i="5"/>
  <c r="R134" i="5" s="1"/>
  <c r="R166" i="5" s="1"/>
  <c r="P106" i="5"/>
  <c r="P137" i="5" s="1"/>
  <c r="P169" i="5" s="1"/>
  <c r="M56" i="3"/>
  <c r="N50" i="3"/>
  <c r="N46" i="3"/>
  <c r="O41" i="3"/>
  <c r="P57" i="3"/>
  <c r="O45" i="3"/>
  <c r="N40" i="3"/>
  <c r="M44" i="3"/>
  <c r="P49" i="3"/>
  <c r="N48" i="3"/>
  <c r="N47" i="3"/>
  <c r="M55" i="3"/>
  <c r="N42" i="3"/>
  <c r="M54" i="3"/>
  <c r="O53" i="3"/>
  <c r="M51" i="3"/>
  <c r="N52" i="3"/>
  <c r="N43" i="3"/>
  <c r="S165" i="5" l="1"/>
  <c r="T165" i="5" s="1"/>
  <c r="W165" i="5" s="1"/>
  <c r="V165" i="5" s="1"/>
  <c r="W164" i="5"/>
  <c r="V164" i="5" s="1"/>
  <c r="B97" i="9"/>
  <c r="E66" i="9"/>
  <c r="T132" i="5"/>
  <c r="W132" i="5"/>
  <c r="V132" i="5" s="1"/>
  <c r="T102" i="5"/>
  <c r="S103" i="5"/>
  <c r="S134" i="5" s="1"/>
  <c r="Q106" i="5"/>
  <c r="Q137" i="5" s="1"/>
  <c r="Q169" i="5" s="1"/>
  <c r="Q105" i="5"/>
  <c r="Q136" i="5" s="1"/>
  <c r="Q168" i="5" s="1"/>
  <c r="R104" i="5"/>
  <c r="R135" i="5" s="1"/>
  <c r="R167" i="5" s="1"/>
  <c r="N51" i="3"/>
  <c r="N44" i="3"/>
  <c r="O42" i="3"/>
  <c r="N55" i="3"/>
  <c r="O50" i="3"/>
  <c r="O40" i="3"/>
  <c r="P45" i="3"/>
  <c r="P41" i="3"/>
  <c r="O47" i="3"/>
  <c r="O46" i="3"/>
  <c r="O48" i="3"/>
  <c r="O52" i="3"/>
  <c r="Q49" i="3"/>
  <c r="N56" i="3"/>
  <c r="P53" i="3"/>
  <c r="N54" i="3"/>
  <c r="Q57" i="3"/>
  <c r="O43" i="3"/>
  <c r="S166" i="5" l="1"/>
  <c r="T166" i="5" s="1"/>
  <c r="J66" i="9"/>
  <c r="B65" i="9"/>
  <c r="T133" i="5"/>
  <c r="W133" i="5"/>
  <c r="V133" i="5" s="1"/>
  <c r="S104" i="5"/>
  <c r="S135" i="5" s="1"/>
  <c r="R105" i="5"/>
  <c r="R136" i="5" s="1"/>
  <c r="R168" i="5" s="1"/>
  <c r="T103" i="5"/>
  <c r="R106" i="5"/>
  <c r="R137" i="5" s="1"/>
  <c r="R169" i="5" s="1"/>
  <c r="Q45" i="3"/>
  <c r="P50" i="3"/>
  <c r="Q41" i="3"/>
  <c r="P40" i="3"/>
  <c r="P52" i="3"/>
  <c r="O55" i="3"/>
  <c r="P48" i="3"/>
  <c r="U43" i="3"/>
  <c r="P43" i="3"/>
  <c r="P47" i="3"/>
  <c r="O51" i="3"/>
  <c r="O54" i="3"/>
  <c r="Q53" i="3"/>
  <c r="O56" i="3"/>
  <c r="R49" i="3"/>
  <c r="P42" i="3"/>
  <c r="P46" i="3"/>
  <c r="U44" i="3"/>
  <c r="O44" i="3"/>
  <c r="R57" i="3"/>
  <c r="S167" i="5" l="1"/>
  <c r="T167" i="5" s="1"/>
  <c r="W166" i="5"/>
  <c r="V166" i="5" s="1"/>
  <c r="B96" i="9"/>
  <c r="E65" i="9"/>
  <c r="W134" i="5"/>
  <c r="V134" i="5" s="1"/>
  <c r="T134" i="5"/>
  <c r="S105" i="5"/>
  <c r="S136" i="5" s="1"/>
  <c r="S106" i="5"/>
  <c r="S137" i="5" s="1"/>
  <c r="T104" i="5"/>
  <c r="Q40" i="3"/>
  <c r="Q48" i="3"/>
  <c r="P56" i="3"/>
  <c r="Q52" i="3"/>
  <c r="Q50" i="3"/>
  <c r="P54" i="3"/>
  <c r="R41" i="3"/>
  <c r="U41" i="3"/>
  <c r="Q42" i="3"/>
  <c r="U42" i="3"/>
  <c r="S49" i="3"/>
  <c r="P55" i="3"/>
  <c r="R53" i="3"/>
  <c r="S57" i="3"/>
  <c r="J13" i="6" s="1" a="1"/>
  <c r="P51" i="3"/>
  <c r="P44" i="3"/>
  <c r="Q47" i="3"/>
  <c r="Q46" i="3"/>
  <c r="Q43" i="3"/>
  <c r="R45" i="3"/>
  <c r="J13" i="6" l="1"/>
  <c r="S168" i="5"/>
  <c r="T168" i="5" s="1"/>
  <c r="S169" i="5"/>
  <c r="T169" i="5" s="1"/>
  <c r="W169" i="5" s="1"/>
  <c r="V169" i="5" s="1"/>
  <c r="W167" i="5"/>
  <c r="V167" i="5" s="1"/>
  <c r="J65" i="9"/>
  <c r="B64" i="9"/>
  <c r="E64" i="9" s="1"/>
  <c r="K13" i="6" a="1"/>
  <c r="W135" i="5"/>
  <c r="V135" i="5" s="1"/>
  <c r="T135" i="5"/>
  <c r="T106" i="5"/>
  <c r="T105" i="5"/>
  <c r="R47" i="3"/>
  <c r="Q54" i="3"/>
  <c r="R50" i="3"/>
  <c r="R43" i="3"/>
  <c r="S41" i="3"/>
  <c r="W57" i="3"/>
  <c r="V57" i="3" s="1"/>
  <c r="C154" i="7" s="1"/>
  <c r="D154" i="7" s="1"/>
  <c r="T57" i="3"/>
  <c r="R48" i="3"/>
  <c r="Q51" i="3"/>
  <c r="R52" i="3"/>
  <c r="Q55" i="3"/>
  <c r="R46" i="3"/>
  <c r="R42" i="3"/>
  <c r="Q44" i="3"/>
  <c r="S53" i="3"/>
  <c r="S45" i="3"/>
  <c r="Q56" i="3"/>
  <c r="W49" i="3"/>
  <c r="V49" i="3" s="1"/>
  <c r="C146" i="7" s="1"/>
  <c r="D146" i="7" s="1"/>
  <c r="T49" i="3"/>
  <c r="R40" i="3"/>
  <c r="J32" i="6" l="1"/>
  <c r="W168" i="5"/>
  <c r="V168" i="5" s="1"/>
  <c r="V171" i="5" s="1"/>
  <c r="B95" i="9"/>
  <c r="C114" i="9" a="1"/>
  <c r="G110" i="9" s="1"/>
  <c r="K13" i="6"/>
  <c r="K32" i="6" s="1"/>
  <c r="T136" i="5"/>
  <c r="W136" i="5"/>
  <c r="V136" i="5" s="1"/>
  <c r="W137" i="5"/>
  <c r="V137" i="5" s="1"/>
  <c r="V139" i="5" s="1"/>
  <c r="T137" i="5"/>
  <c r="T53" i="3"/>
  <c r="W53" i="3"/>
  <c r="V53" i="3" s="1"/>
  <c r="C150" i="7" s="1"/>
  <c r="D150" i="7" s="1"/>
  <c r="R56" i="3"/>
  <c r="S48" i="3"/>
  <c r="W41" i="3"/>
  <c r="V41" i="3" s="1"/>
  <c r="C138" i="7" s="1"/>
  <c r="D138" i="7" s="1"/>
  <c r="T41" i="3"/>
  <c r="R54" i="3"/>
  <c r="R44" i="3"/>
  <c r="S43" i="3"/>
  <c r="S52" i="3"/>
  <c r="S47" i="3"/>
  <c r="R51" i="3"/>
  <c r="W45" i="3"/>
  <c r="V45" i="3" s="1"/>
  <c r="C142" i="7" s="1"/>
  <c r="D142" i="7" s="1"/>
  <c r="T45" i="3"/>
  <c r="S42" i="3"/>
  <c r="S46" i="3"/>
  <c r="S50" i="3"/>
  <c r="U40" i="3"/>
  <c r="S40" i="3"/>
  <c r="R55" i="3"/>
  <c r="C27" i="6" l="1"/>
  <c r="C20" i="6"/>
  <c r="C17" i="6"/>
  <c r="C14" i="6"/>
  <c r="C23" i="6"/>
  <c r="C28" i="6"/>
  <c r="C16" i="6"/>
  <c r="C21" i="6"/>
  <c r="C15" i="6"/>
  <c r="C18" i="6"/>
  <c r="C26" i="6"/>
  <c r="C29" i="6"/>
  <c r="C30" i="6"/>
  <c r="C24" i="6"/>
  <c r="C25" i="6"/>
  <c r="C22" i="6"/>
  <c r="C19" i="6"/>
  <c r="C13" i="6"/>
  <c r="E13" i="6" s="1"/>
  <c r="E19" i="6" s="1"/>
  <c r="C114" i="9"/>
  <c r="S96" i="9"/>
  <c r="S156" i="9" s="1"/>
  <c r="M103" i="9"/>
  <c r="Q109" i="9"/>
  <c r="D112" i="9"/>
  <c r="P104" i="9"/>
  <c r="N107" i="9"/>
  <c r="R103" i="9"/>
  <c r="K112" i="9"/>
  <c r="L105" i="9"/>
  <c r="O111" i="9"/>
  <c r="T97" i="9"/>
  <c r="R101" i="9"/>
  <c r="E111" i="9"/>
  <c r="F110" i="9"/>
  <c r="S103" i="9"/>
  <c r="T112" i="9"/>
  <c r="S104" i="9"/>
  <c r="P105" i="9"/>
  <c r="P102" i="9"/>
  <c r="N106" i="9"/>
  <c r="P107" i="9"/>
  <c r="L108" i="9"/>
  <c r="G112" i="9"/>
  <c r="R98" i="9"/>
  <c r="S106" i="9"/>
  <c r="R100" i="9"/>
  <c r="R111" i="9"/>
  <c r="S111" i="9"/>
  <c r="Q112" i="9"/>
  <c r="P103" i="9"/>
  <c r="O101" i="9"/>
  <c r="M105" i="9"/>
  <c r="Q98" i="9"/>
  <c r="Q158" i="9" s="1"/>
  <c r="I110" i="9"/>
  <c r="S98" i="9"/>
  <c r="I112" i="9"/>
  <c r="S97" i="9"/>
  <c r="R105" i="9"/>
  <c r="T110" i="9"/>
  <c r="M109" i="9"/>
  <c r="K106" i="9"/>
  <c r="S108" i="9"/>
  <c r="Q100" i="9"/>
  <c r="G108" i="9"/>
  <c r="G168" i="9" s="1"/>
  <c r="Q106" i="9"/>
  <c r="N112" i="9"/>
  <c r="M107" i="9"/>
  <c r="G109" i="9"/>
  <c r="S107" i="9"/>
  <c r="Q111" i="9"/>
  <c r="N108" i="9"/>
  <c r="I111" i="9"/>
  <c r="J109" i="9"/>
  <c r="J110" i="9"/>
  <c r="H112" i="9"/>
  <c r="I108" i="9"/>
  <c r="L104" i="9"/>
  <c r="L103" i="9"/>
  <c r="L163" i="9" s="1"/>
  <c r="N105" i="9"/>
  <c r="Q99" i="9"/>
  <c r="K108" i="9"/>
  <c r="J105" i="9"/>
  <c r="J165" i="9" s="1"/>
  <c r="L109" i="9"/>
  <c r="T104" i="9"/>
  <c r="L112" i="9"/>
  <c r="P112" i="9"/>
  <c r="M102" i="9"/>
  <c r="M162" i="9" s="1"/>
  <c r="H109" i="9"/>
  <c r="O100" i="9"/>
  <c r="O160" i="9" s="1"/>
  <c r="J111" i="9"/>
  <c r="T96" i="9"/>
  <c r="N110" i="9"/>
  <c r="S101" i="9"/>
  <c r="I107" i="9"/>
  <c r="N101" i="9"/>
  <c r="N161" i="9" s="1"/>
  <c r="T102" i="9"/>
  <c r="R99" i="9"/>
  <c r="S100" i="9"/>
  <c r="H107" i="9"/>
  <c r="H167" i="9" s="1"/>
  <c r="P109" i="9"/>
  <c r="T109" i="9"/>
  <c r="P101" i="9"/>
  <c r="H108" i="9"/>
  <c r="K105" i="9"/>
  <c r="R107" i="9"/>
  <c r="Q108" i="9"/>
  <c r="S109" i="9"/>
  <c r="T98" i="9"/>
  <c r="O110" i="9"/>
  <c r="O106" i="9"/>
  <c r="T108" i="9"/>
  <c r="S105" i="9"/>
  <c r="K110" i="9"/>
  <c r="O108" i="9"/>
  <c r="T103" i="9"/>
  <c r="R108" i="9"/>
  <c r="M110" i="9"/>
  <c r="H111" i="9"/>
  <c r="Q103" i="9"/>
  <c r="P110" i="9"/>
  <c r="N109" i="9"/>
  <c r="P99" i="9"/>
  <c r="P159" i="9" s="1"/>
  <c r="O105" i="9"/>
  <c r="N102" i="9"/>
  <c r="L110" i="9"/>
  <c r="G111" i="9"/>
  <c r="O107" i="9"/>
  <c r="M104" i="9"/>
  <c r="Q107" i="9"/>
  <c r="R109" i="9"/>
  <c r="F111" i="9"/>
  <c r="E112" i="9"/>
  <c r="Q105" i="9"/>
  <c r="N103" i="9"/>
  <c r="M112" i="9"/>
  <c r="J112" i="9"/>
  <c r="S102" i="9"/>
  <c r="R97" i="9"/>
  <c r="R157" i="9" s="1"/>
  <c r="M106" i="9"/>
  <c r="D111" i="9"/>
  <c r="D171" i="9" s="1"/>
  <c r="P108" i="9"/>
  <c r="O112" i="9"/>
  <c r="J107" i="9"/>
  <c r="K109" i="9"/>
  <c r="O103" i="9"/>
  <c r="J106" i="9"/>
  <c r="S110" i="9"/>
  <c r="Q101" i="9"/>
  <c r="O104" i="9"/>
  <c r="N111" i="9"/>
  <c r="T95" i="9"/>
  <c r="T155" i="9" s="1"/>
  <c r="S112" i="9"/>
  <c r="Q110" i="9"/>
  <c r="I109" i="9"/>
  <c r="J108" i="9"/>
  <c r="M108" i="9"/>
  <c r="T111" i="9"/>
  <c r="P106" i="9"/>
  <c r="L107" i="9"/>
  <c r="O102" i="9"/>
  <c r="R104" i="9"/>
  <c r="P100" i="9"/>
  <c r="M111" i="9"/>
  <c r="O109" i="9"/>
  <c r="K104" i="9"/>
  <c r="K164" i="9" s="1"/>
  <c r="H110" i="9"/>
  <c r="N104" i="9"/>
  <c r="E110" i="9"/>
  <c r="E170" i="9" s="1"/>
  <c r="K107" i="9"/>
  <c r="R110" i="9"/>
  <c r="R112" i="9"/>
  <c r="F112" i="9"/>
  <c r="P111" i="9"/>
  <c r="T99" i="9"/>
  <c r="R106" i="9"/>
  <c r="I106" i="9"/>
  <c r="I166" i="9" s="1"/>
  <c r="S99" i="9"/>
  <c r="L111" i="9"/>
  <c r="K111" i="9"/>
  <c r="F109" i="9"/>
  <c r="F169" i="9" s="1"/>
  <c r="Q104" i="9"/>
  <c r="L106" i="9"/>
  <c r="T105" i="9"/>
  <c r="R102" i="9"/>
  <c r="T100" i="9"/>
  <c r="Q102" i="9"/>
  <c r="T107" i="9"/>
  <c r="T101" i="9"/>
  <c r="T106" i="9"/>
  <c r="I105" i="9"/>
  <c r="I165" i="9" s="1"/>
  <c r="N100" i="9"/>
  <c r="N160" i="9" s="1"/>
  <c r="Q97" i="9"/>
  <c r="Q157" i="9" s="1"/>
  <c r="D110" i="9"/>
  <c r="D170" i="9" s="1"/>
  <c r="G107" i="9"/>
  <c r="G167" i="9" s="1"/>
  <c r="R96" i="9"/>
  <c r="R156" i="9" s="1"/>
  <c r="J104" i="9"/>
  <c r="J164" i="9" s="1"/>
  <c r="F108" i="9"/>
  <c r="F168" i="9" s="1"/>
  <c r="S95" i="9"/>
  <c r="S155" i="9" s="1"/>
  <c r="M101" i="9"/>
  <c r="M161" i="9" s="1"/>
  <c r="H106" i="9"/>
  <c r="H166" i="9" s="1"/>
  <c r="L102" i="9"/>
  <c r="L162" i="9" s="1"/>
  <c r="E109" i="9"/>
  <c r="E169" i="9" s="1"/>
  <c r="P98" i="9"/>
  <c r="P158" i="9" s="1"/>
  <c r="K103" i="9"/>
  <c r="K163" i="9" s="1"/>
  <c r="O99" i="9"/>
  <c r="O159" i="9" s="1"/>
  <c r="L101" i="9"/>
  <c r="L161" i="9" s="1"/>
  <c r="D109" i="9"/>
  <c r="D169" i="9" s="1"/>
  <c r="G106" i="9"/>
  <c r="G166" i="9" s="1"/>
  <c r="I104" i="9"/>
  <c r="I164" i="9" s="1"/>
  <c r="N99" i="9"/>
  <c r="N159" i="9" s="1"/>
  <c r="E108" i="9"/>
  <c r="E168" i="9" s="1"/>
  <c r="P97" i="9"/>
  <c r="P157" i="9" s="1"/>
  <c r="H105" i="9"/>
  <c r="H165" i="9" s="1"/>
  <c r="Q96" i="9"/>
  <c r="Q156" i="9" s="1"/>
  <c r="F107" i="9"/>
  <c r="F167" i="9" s="1"/>
  <c r="M100" i="9"/>
  <c r="M160" i="9" s="1"/>
  <c r="K102" i="9"/>
  <c r="K162" i="9" s="1"/>
  <c r="O98" i="9"/>
  <c r="O158" i="9" s="1"/>
  <c r="J103" i="9"/>
  <c r="J163" i="9" s="1"/>
  <c r="R95" i="9"/>
  <c r="R155" i="9" s="1"/>
  <c r="L100" i="9"/>
  <c r="L160" i="9" s="1"/>
  <c r="J102" i="9"/>
  <c r="J162" i="9" s="1"/>
  <c r="E107" i="9"/>
  <c r="E167" i="9" s="1"/>
  <c r="F106" i="9"/>
  <c r="F166" i="9" s="1"/>
  <c r="G105" i="9"/>
  <c r="G165" i="9" s="1"/>
  <c r="H104" i="9"/>
  <c r="H164" i="9" s="1"/>
  <c r="O97" i="9"/>
  <c r="O157" i="9" s="1"/>
  <c r="N98" i="9"/>
  <c r="N158" i="9" s="1"/>
  <c r="D108" i="9"/>
  <c r="D168" i="9" s="1"/>
  <c r="K101" i="9"/>
  <c r="K161" i="9" s="1"/>
  <c r="Q95" i="9"/>
  <c r="Q155" i="9" s="1"/>
  <c r="I103" i="9"/>
  <c r="I163" i="9" s="1"/>
  <c r="P96" i="9"/>
  <c r="P156" i="9" s="1"/>
  <c r="M99" i="9"/>
  <c r="M159" i="9" s="1"/>
  <c r="N97" i="9"/>
  <c r="N157" i="9" s="1"/>
  <c r="E106" i="9"/>
  <c r="E166" i="9" s="1"/>
  <c r="D107" i="9"/>
  <c r="D167" i="9" s="1"/>
  <c r="F105" i="9"/>
  <c r="F165" i="9" s="1"/>
  <c r="M98" i="9"/>
  <c r="M158" i="9" s="1"/>
  <c r="H103" i="9"/>
  <c r="H163" i="9" s="1"/>
  <c r="I102" i="9"/>
  <c r="I162" i="9" s="1"/>
  <c r="J101" i="9"/>
  <c r="J161" i="9" s="1"/>
  <c r="G104" i="9"/>
  <c r="G164" i="9" s="1"/>
  <c r="K100" i="9"/>
  <c r="K160" i="9" s="1"/>
  <c r="P95" i="9"/>
  <c r="P155" i="9" s="1"/>
  <c r="L99" i="9"/>
  <c r="L159" i="9" s="1"/>
  <c r="O96" i="9"/>
  <c r="O156" i="9" s="1"/>
  <c r="J100" i="9"/>
  <c r="J160" i="9" s="1"/>
  <c r="D106" i="9"/>
  <c r="D166" i="9" s="1"/>
  <c r="F104" i="9"/>
  <c r="F164" i="9" s="1"/>
  <c r="G103" i="9"/>
  <c r="G163" i="9" s="1"/>
  <c r="K99" i="9"/>
  <c r="K159" i="9" s="1"/>
  <c r="O95" i="9"/>
  <c r="O155" i="9" s="1"/>
  <c r="E105" i="9"/>
  <c r="E165" i="9" s="1"/>
  <c r="M97" i="9"/>
  <c r="M157" i="9" s="1"/>
  <c r="H102" i="9"/>
  <c r="H162" i="9" s="1"/>
  <c r="N96" i="9"/>
  <c r="N156" i="9" s="1"/>
  <c r="I101" i="9"/>
  <c r="I161" i="9" s="1"/>
  <c r="L98" i="9"/>
  <c r="L158" i="9" s="1"/>
  <c r="J99" i="9"/>
  <c r="J159" i="9" s="1"/>
  <c r="E104" i="9"/>
  <c r="E164" i="9" s="1"/>
  <c r="D105" i="9"/>
  <c r="D165" i="9" s="1"/>
  <c r="F103" i="9"/>
  <c r="F163" i="9" s="1"/>
  <c r="G102" i="9"/>
  <c r="G162" i="9" s="1"/>
  <c r="M96" i="9"/>
  <c r="M156" i="9" s="1"/>
  <c r="K98" i="9"/>
  <c r="K158" i="9" s="1"/>
  <c r="H101" i="9"/>
  <c r="H161" i="9" s="1"/>
  <c r="I100" i="9"/>
  <c r="I160" i="9" s="1"/>
  <c r="L97" i="9"/>
  <c r="L157" i="9" s="1"/>
  <c r="N95" i="9"/>
  <c r="N155" i="9" s="1"/>
  <c r="F102" i="9"/>
  <c r="F162" i="9" s="1"/>
  <c r="M95" i="9"/>
  <c r="M155" i="9" s="1"/>
  <c r="G101" i="9"/>
  <c r="G161" i="9" s="1"/>
  <c r="I99" i="9"/>
  <c r="I159" i="9" s="1"/>
  <c r="K97" i="9"/>
  <c r="K157" i="9" s="1"/>
  <c r="J98" i="9"/>
  <c r="J158" i="9" s="1"/>
  <c r="H100" i="9"/>
  <c r="H160" i="9" s="1"/>
  <c r="L96" i="9"/>
  <c r="L156" i="9" s="1"/>
  <c r="D104" i="9"/>
  <c r="D164" i="9" s="1"/>
  <c r="E103" i="9"/>
  <c r="E163" i="9" s="1"/>
  <c r="F101" i="9"/>
  <c r="F161" i="9" s="1"/>
  <c r="G100" i="9"/>
  <c r="G160" i="9" s="1"/>
  <c r="K96" i="9"/>
  <c r="K156" i="9" s="1"/>
  <c r="H99" i="9"/>
  <c r="H159" i="9" s="1"/>
  <c r="I98" i="9"/>
  <c r="I158" i="9" s="1"/>
  <c r="J97" i="9"/>
  <c r="J157" i="9" s="1"/>
  <c r="E102" i="9"/>
  <c r="E162" i="9" s="1"/>
  <c r="D103" i="9"/>
  <c r="D163" i="9" s="1"/>
  <c r="L95" i="9"/>
  <c r="L155" i="9" s="1"/>
  <c r="K95" i="9"/>
  <c r="K155" i="9" s="1"/>
  <c r="H98" i="9"/>
  <c r="H158" i="9" s="1"/>
  <c r="J96" i="9"/>
  <c r="J156" i="9" s="1"/>
  <c r="D102" i="9"/>
  <c r="D162" i="9" s="1"/>
  <c r="G99" i="9"/>
  <c r="G159" i="9" s="1"/>
  <c r="I97" i="9"/>
  <c r="I157" i="9" s="1"/>
  <c r="E101" i="9"/>
  <c r="E161" i="9" s="1"/>
  <c r="F100" i="9"/>
  <c r="F160" i="9" s="1"/>
  <c r="G98" i="9"/>
  <c r="G158" i="9" s="1"/>
  <c r="H97" i="9"/>
  <c r="H157" i="9" s="1"/>
  <c r="I96" i="9"/>
  <c r="I156" i="9" s="1"/>
  <c r="F99" i="9"/>
  <c r="F159" i="9" s="1"/>
  <c r="J95" i="9"/>
  <c r="J155" i="9" s="1"/>
  <c r="E100" i="9"/>
  <c r="E160" i="9" s="1"/>
  <c r="D101" i="9"/>
  <c r="D161" i="9" s="1"/>
  <c r="H96" i="9"/>
  <c r="H156" i="9" s="1"/>
  <c r="F98" i="9"/>
  <c r="F158" i="9" s="1"/>
  <c r="I95" i="9"/>
  <c r="I155" i="9" s="1"/>
  <c r="D100" i="9"/>
  <c r="D160" i="9" s="1"/>
  <c r="G97" i="9"/>
  <c r="G157" i="9" s="1"/>
  <c r="E99" i="9"/>
  <c r="E159" i="9" s="1"/>
  <c r="H95" i="9"/>
  <c r="H155" i="9" s="1"/>
  <c r="D99" i="9"/>
  <c r="D159" i="9" s="1"/>
  <c r="F97" i="9"/>
  <c r="F157" i="9" s="1"/>
  <c r="G96" i="9"/>
  <c r="G156" i="9" s="1"/>
  <c r="E98" i="9"/>
  <c r="E158" i="9" s="1"/>
  <c r="G95" i="9"/>
  <c r="G155" i="9" s="1"/>
  <c r="D98" i="9"/>
  <c r="D158" i="9" s="1"/>
  <c r="F96" i="9"/>
  <c r="F156" i="9" s="1"/>
  <c r="E97" i="9"/>
  <c r="E157" i="9" s="1"/>
  <c r="F95" i="9"/>
  <c r="F155" i="9" s="1"/>
  <c r="E96" i="9"/>
  <c r="E156" i="9" s="1"/>
  <c r="D97" i="9"/>
  <c r="D157" i="9" s="1"/>
  <c r="D96" i="9"/>
  <c r="E95" i="9"/>
  <c r="E155" i="9" s="1"/>
  <c r="D95" i="9"/>
  <c r="D155" i="9" s="1"/>
  <c r="C95" i="9"/>
  <c r="J64" i="9"/>
  <c r="W43" i="3"/>
  <c r="V43" i="3" s="1"/>
  <c r="C140" i="7" s="1"/>
  <c r="D140" i="7" s="1"/>
  <c r="T43" i="3"/>
  <c r="W50" i="3"/>
  <c r="V50" i="3" s="1"/>
  <c r="C147" i="7" s="1"/>
  <c r="D147" i="7" s="1"/>
  <c r="T50" i="3"/>
  <c r="T52" i="3"/>
  <c r="W52" i="3"/>
  <c r="V52" i="3" s="1"/>
  <c r="C149" i="7" s="1"/>
  <c r="D149" i="7" s="1"/>
  <c r="S44" i="3"/>
  <c r="S56" i="3"/>
  <c r="S51" i="3"/>
  <c r="W47" i="3"/>
  <c r="V47" i="3" s="1"/>
  <c r="C144" i="7" s="1"/>
  <c r="D144" i="7" s="1"/>
  <c r="T47" i="3"/>
  <c r="S55" i="3"/>
  <c r="T40" i="3"/>
  <c r="W40" i="3"/>
  <c r="V40" i="3" s="1"/>
  <c r="C137" i="7" s="1"/>
  <c r="T46" i="3"/>
  <c r="W46" i="3"/>
  <c r="V46" i="3" s="1"/>
  <c r="C143" i="7" s="1"/>
  <c r="D143" i="7" s="1"/>
  <c r="W42" i="3"/>
  <c r="V42" i="3" s="1"/>
  <c r="C139" i="7" s="1"/>
  <c r="D139" i="7" s="1"/>
  <c r="T42" i="3"/>
  <c r="W48" i="3"/>
  <c r="V48" i="3" s="1"/>
  <c r="C145" i="7" s="1"/>
  <c r="D145" i="7" s="1"/>
  <c r="T48" i="3"/>
  <c r="E21" i="6" l="1"/>
  <c r="E18" i="6"/>
  <c r="G18" i="6" s="1"/>
  <c r="E27" i="6"/>
  <c r="G27" i="6" s="1"/>
  <c r="E28" i="6"/>
  <c r="G28" i="6" s="1"/>
  <c r="G19" i="6"/>
  <c r="D137" i="7"/>
  <c r="E30" i="6"/>
  <c r="G30" i="6" s="1"/>
  <c r="E24" i="6"/>
  <c r="E20" i="6"/>
  <c r="E16" i="6"/>
  <c r="G16" i="6" s="1"/>
  <c r="E14" i="6"/>
  <c r="G14" i="6" s="1"/>
  <c r="E23" i="6"/>
  <c r="E25" i="6"/>
  <c r="E29" i="6"/>
  <c r="E26" i="6"/>
  <c r="G26" i="6" s="1"/>
  <c r="E22" i="6"/>
  <c r="E15" i="6"/>
  <c r="G15" i="6" s="1"/>
  <c r="E17" i="6"/>
  <c r="G21" i="6"/>
  <c r="C155" i="9"/>
  <c r="C124" i="9"/>
  <c r="D156" i="9"/>
  <c r="C112" i="9"/>
  <c r="C172" i="9" s="1"/>
  <c r="C111" i="9"/>
  <c r="C171" i="9" s="1"/>
  <c r="C110" i="9"/>
  <c r="C170" i="9" s="1"/>
  <c r="C109" i="9"/>
  <c r="C169" i="9" s="1"/>
  <c r="C108" i="9"/>
  <c r="C168" i="9" s="1"/>
  <c r="C107" i="9"/>
  <c r="C167" i="9" s="1"/>
  <c r="C106" i="9"/>
  <c r="C166" i="9" s="1"/>
  <c r="C105" i="9"/>
  <c r="C165" i="9" s="1"/>
  <c r="C104" i="9"/>
  <c r="C164" i="9" s="1"/>
  <c r="C103" i="9"/>
  <c r="C163" i="9" s="1"/>
  <c r="C102" i="9"/>
  <c r="C162" i="9" s="1"/>
  <c r="C101" i="9"/>
  <c r="C161" i="9" s="1"/>
  <c r="C100" i="9"/>
  <c r="C160" i="9" s="1"/>
  <c r="C99" i="9"/>
  <c r="C159" i="9" s="1"/>
  <c r="C98" i="9"/>
  <c r="C158" i="9" s="1"/>
  <c r="C97" i="9"/>
  <c r="C157" i="9" s="1"/>
  <c r="C96" i="9"/>
  <c r="C156" i="9" s="1"/>
  <c r="V109" i="9"/>
  <c r="W109" i="9" s="1"/>
  <c r="V97" i="9"/>
  <c r="W97" i="9" s="1"/>
  <c r="V96" i="9"/>
  <c r="W96" i="9" s="1"/>
  <c r="M71" i="9"/>
  <c r="M79" i="9"/>
  <c r="M69" i="9"/>
  <c r="M68" i="9"/>
  <c r="M70" i="9"/>
  <c r="M66" i="9"/>
  <c r="M77" i="9"/>
  <c r="M80" i="9"/>
  <c r="M73" i="9"/>
  <c r="M75" i="9"/>
  <c r="M78" i="9"/>
  <c r="M74" i="9"/>
  <c r="M81" i="9"/>
  <c r="M72" i="9"/>
  <c r="M65" i="9"/>
  <c r="M64" i="9"/>
  <c r="M67" i="9"/>
  <c r="M76" i="9"/>
  <c r="W51" i="3"/>
  <c r="V51" i="3" s="1"/>
  <c r="C148" i="7" s="1"/>
  <c r="D148" i="7" s="1"/>
  <c r="T51" i="3"/>
  <c r="T55" i="3"/>
  <c r="W55" i="3"/>
  <c r="V55" i="3" s="1"/>
  <c r="C152" i="7" s="1"/>
  <c r="D152" i="7" s="1"/>
  <c r="W44" i="3"/>
  <c r="V44" i="3" s="1"/>
  <c r="C141" i="7" s="1"/>
  <c r="D141" i="7" s="1"/>
  <c r="T44" i="3"/>
  <c r="W56" i="3"/>
  <c r="V56" i="3" s="1"/>
  <c r="C153" i="7" s="1"/>
  <c r="D153" i="7" s="1"/>
  <c r="T56" i="3"/>
  <c r="W54" i="3"/>
  <c r="V54" i="3" s="1"/>
  <c r="C151" i="7" s="1"/>
  <c r="D151" i="7" s="1"/>
  <c r="T54" i="3"/>
  <c r="I81" i="9" l="1"/>
  <c r="I80" i="9"/>
  <c r="C156" i="7"/>
  <c r="D156" i="7" s="1"/>
  <c r="I69" i="9"/>
  <c r="I68" i="9"/>
  <c r="I78" i="9"/>
  <c r="G17" i="6"/>
  <c r="I74" i="9"/>
  <c r="I70" i="9"/>
  <c r="I65" i="9"/>
  <c r="I79" i="9"/>
  <c r="G29" i="6"/>
  <c r="I72" i="9"/>
  <c r="I67" i="9"/>
  <c r="I77" i="9"/>
  <c r="G23" i="6"/>
  <c r="I66" i="9"/>
  <c r="G20" i="6"/>
  <c r="I71" i="9"/>
  <c r="G25" i="6"/>
  <c r="I76" i="9"/>
  <c r="I64" i="9"/>
  <c r="I73" i="9"/>
  <c r="I75" i="9"/>
  <c r="G22" i="6"/>
  <c r="G24" i="6"/>
  <c r="C125" i="9"/>
  <c r="V108" i="9"/>
  <c r="W108" i="9" s="1"/>
  <c r="V98" i="9"/>
  <c r="W98" i="9" s="1"/>
  <c r="V105" i="9"/>
  <c r="W105" i="9" s="1"/>
  <c r="V107" i="9"/>
  <c r="W107" i="9" s="1"/>
  <c r="V100" i="9"/>
  <c r="W100" i="9" s="1"/>
  <c r="V104" i="9"/>
  <c r="W104" i="9" s="1"/>
  <c r="V99" i="9"/>
  <c r="W99" i="9" s="1"/>
  <c r="V111" i="9"/>
  <c r="W111" i="9" s="1"/>
  <c r="V110" i="9"/>
  <c r="W110" i="9" s="1"/>
  <c r="V103" i="9"/>
  <c r="W103" i="9" s="1"/>
  <c r="V112" i="9"/>
  <c r="W112" i="9" s="1"/>
  <c r="V101" i="9"/>
  <c r="W101" i="9" s="1"/>
  <c r="V102" i="9"/>
  <c r="W102" i="9" s="1"/>
  <c r="V106" i="9"/>
  <c r="W106" i="9" s="1"/>
  <c r="V59" i="3"/>
  <c r="L71" i="9" l="1"/>
  <c r="G32" i="6"/>
  <c r="L65" i="9"/>
  <c r="L78" i="9"/>
  <c r="L68" i="9"/>
  <c r="L73" i="9"/>
  <c r="L76" i="9"/>
  <c r="L70" i="9"/>
  <c r="L81" i="9"/>
  <c r="L66" i="9"/>
  <c r="L67" i="9"/>
  <c r="L79" i="9"/>
  <c r="L64" i="9"/>
  <c r="L69" i="9"/>
  <c r="L74" i="9"/>
  <c r="L75" i="9"/>
  <c r="L80" i="9"/>
  <c r="L77" i="9"/>
  <c r="L72" i="9"/>
  <c r="C131" i="9"/>
  <c r="D131" i="9" s="1"/>
  <c r="C139" i="9"/>
  <c r="D139" i="9" s="1"/>
  <c r="C134" i="9"/>
  <c r="D134" i="9" s="1"/>
  <c r="C130" i="9"/>
  <c r="D130" i="9" s="1"/>
  <c r="C126" i="9"/>
  <c r="D126" i="9" s="1"/>
  <c r="C135" i="9"/>
  <c r="D135" i="9" s="1"/>
  <c r="C133" i="9"/>
  <c r="C140" i="9"/>
  <c r="D140" i="9" s="1"/>
  <c r="C128" i="9"/>
  <c r="D128" i="9" s="1"/>
  <c r="C137" i="9"/>
  <c r="D137" i="9" s="1"/>
  <c r="C136" i="9"/>
  <c r="D136" i="9" s="1"/>
  <c r="C138" i="9"/>
  <c r="D138" i="9" s="1"/>
  <c r="C127" i="9"/>
  <c r="D127" i="9" s="1"/>
  <c r="C141" i="9"/>
  <c r="D141" i="9" s="1"/>
  <c r="C132" i="9"/>
  <c r="D132" i="9" s="1"/>
  <c r="D125" i="9"/>
  <c r="C129" i="9"/>
  <c r="D129" i="9" s="1"/>
  <c r="C146" i="9" l="1"/>
  <c r="D146" i="9" s="1"/>
  <c r="C143" i="9"/>
  <c r="D143" i="9" s="1"/>
  <c r="D124" i="9"/>
  <c r="C144" i="9"/>
  <c r="D144" i="9" s="1"/>
  <c r="D133" i="9"/>
  <c r="W95" i="9"/>
  <c r="V11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<sst xmlns="http://schemas.openxmlformats.org/spreadsheetml/2006/main" count="518" uniqueCount="152">
  <si>
    <t>Period</t>
  </si>
  <si>
    <t>of origin</t>
  </si>
  <si>
    <t>Table 3.1</t>
  </si>
  <si>
    <t>Age to age factors</t>
  </si>
  <si>
    <t>Age to age factor from development year n to n+1</t>
  </si>
  <si>
    <t>development year n=</t>
  </si>
  <si>
    <t>Weighted</t>
  </si>
  <si>
    <t>averages:</t>
  </si>
  <si>
    <t>All</t>
  </si>
  <si>
    <t>Last 6</t>
  </si>
  <si>
    <t>experience</t>
  </si>
  <si>
    <t>years</t>
  </si>
  <si>
    <t>Last 3</t>
  </si>
  <si>
    <t>Model(un-</t>
  </si>
  <si>
    <t>smoothed)</t>
  </si>
  <si>
    <t>Model</t>
  </si>
  <si>
    <t>(smoothed)</t>
  </si>
  <si>
    <t>Slope</t>
  </si>
  <si>
    <t>Intercept</t>
  </si>
  <si>
    <t>-1</t>
  </si>
  <si>
    <t>ln</t>
  </si>
  <si>
    <t>forecast</t>
  </si>
  <si>
    <t>exp(fcast)</t>
  </si>
  <si>
    <t>+1</t>
  </si>
  <si>
    <t>Table 3.2</t>
  </si>
  <si>
    <t>Forecast cumulative paid losses</t>
  </si>
  <si>
    <t>Cumulative paid losses, actual and forecast (bold), to end of</t>
  </si>
  <si>
    <t>development year</t>
  </si>
  <si>
    <t>Ultimate</t>
  </si>
  <si>
    <t>$000</t>
  </si>
  <si>
    <t>Table 3.3</t>
  </si>
  <si>
    <t>Forecast incremental paid losses</t>
  </si>
  <si>
    <t>Paid losses, actual and forecast (bold), in</t>
  </si>
  <si>
    <t>Paid losses</t>
  </si>
  <si>
    <t>to</t>
  </si>
  <si>
    <t>Out-</t>
  </si>
  <si>
    <t>Total</t>
  </si>
  <si>
    <t>18 &amp; later</t>
  </si>
  <si>
    <t>1995</t>
  </si>
  <si>
    <t>standing</t>
  </si>
  <si>
    <t xml:space="preserve">Total  </t>
  </si>
  <si>
    <t>Table 3.4</t>
  </si>
  <si>
    <t>Inflation adjusted paid losses</t>
  </si>
  <si>
    <t>Paid losses, adjusted to 31 December 1995 dollar values, in development year n=</t>
  </si>
  <si>
    <t>Inflation</t>
  </si>
  <si>
    <t>factor</t>
  </si>
  <si>
    <t>Table 3.5</t>
  </si>
  <si>
    <t>Inflation adjusted age to age factors</t>
  </si>
  <si>
    <t xml:space="preserve">Inflation </t>
  </si>
  <si>
    <t>Table 3.7</t>
  </si>
  <si>
    <t>Forecast cumulative paid losses (31/12/95 values)</t>
  </si>
  <si>
    <t>Cumulative paid losses, in 31 December 1995 dollar values, actual and forecast (bold), to end of</t>
  </si>
  <si>
    <t>Table 3.8</t>
  </si>
  <si>
    <t>Forecast incremental paid losses (31/12/95 values)</t>
  </si>
  <si>
    <t>Paid losses, in 31 December 1995 dollar values, actual and forecast (bold), in</t>
  </si>
  <si>
    <t>trends are obvious for n=2-6</t>
  </si>
  <si>
    <t>exp()</t>
  </si>
  <si>
    <t>Table 3.6</t>
  </si>
  <si>
    <t>Distribution of paid losses by</t>
  </si>
  <si>
    <t>delay for unadjusted and</t>
  </si>
  <si>
    <t>inflation adjusted chain ladder</t>
  </si>
  <si>
    <t>Develop</t>
  </si>
  <si>
    <t>Unadjust</t>
  </si>
  <si>
    <t>Implied</t>
  </si>
  <si>
    <t>incremental paid losses</t>
  </si>
  <si>
    <t>-ment</t>
  </si>
  <si>
    <t>-ed</t>
  </si>
  <si>
    <t>adjusted</t>
  </si>
  <si>
    <t>inflation</t>
  </si>
  <si>
    <t>unadjust</t>
  </si>
  <si>
    <t>infl adj</t>
  </si>
  <si>
    <t>year</t>
  </si>
  <si>
    <t>mu(j)</t>
  </si>
  <si>
    <t>mu*(j)</t>
  </si>
  <si>
    <t>rate</t>
  </si>
  <si>
    <t>j</t>
  </si>
  <si>
    <t>% pa</t>
  </si>
  <si>
    <t>average</t>
  </si>
  <si>
    <t>Years</t>
  </si>
  <si>
    <t>1978-1995</t>
  </si>
  <si>
    <t>1989-1995</t>
  </si>
  <si>
    <t>1992-1995</t>
  </si>
  <si>
    <t>Average Inflation</t>
  </si>
  <si>
    <t>Between</t>
  </si>
  <si>
    <t>Rate</t>
  </si>
  <si>
    <t>Note that using the last row of the projected rectangle is a trick - by definition it should be equal to mu</t>
  </si>
  <si>
    <t>Table 3.9</t>
  </si>
  <si>
    <t>Forecast incremental paid losses (including future inflation at</t>
  </si>
  <si>
    <t>p.a.)</t>
  </si>
  <si>
    <t>Paid losses, in actual dollar values, actual and forecast (bold), in</t>
  </si>
  <si>
    <t>Inflation factors</t>
  </si>
  <si>
    <t>(to mid-year j)</t>
  </si>
  <si>
    <t>Table 3.10</t>
  </si>
  <si>
    <t>Incurred Losses</t>
  </si>
  <si>
    <t>Incurred losses to end of development year n=</t>
  </si>
  <si>
    <t>Incurred Loss Adjustments</t>
  </si>
  <si>
    <t>Table 3.11</t>
  </si>
  <si>
    <t>Incurred loss age to age factors</t>
  </si>
  <si>
    <t>Table 3.12</t>
  </si>
  <si>
    <t>Forecast Incurred Losses</t>
  </si>
  <si>
    <t>Incurred losses, actual and forecast (bold), to end of development year n=</t>
  </si>
  <si>
    <t>Table 2.4</t>
  </si>
  <si>
    <t>Forecast Numbers of IBNR Claims</t>
  </si>
  <si>
    <t>Number of claims notified, actual and forecast (bold), in development year</t>
  </si>
  <si>
    <t>Number</t>
  </si>
  <si>
    <t>11 &amp; later</t>
  </si>
  <si>
    <t>to 1995</t>
  </si>
  <si>
    <t>IBNR</t>
  </si>
  <si>
    <t>$</t>
  </si>
  <si>
    <t>Diagonal</t>
  </si>
  <si>
    <t>Sums</t>
  </si>
  <si>
    <t>Column sums</t>
  </si>
  <si>
    <t>Unadjusted paid losses per claim incurred</t>
  </si>
  <si>
    <t>Paid losses, per claim incurred, in development year n=</t>
  </si>
  <si>
    <t>Table 3.13</t>
  </si>
  <si>
    <t>Table 3.14</t>
  </si>
  <si>
    <t>Separation method parameter estimates</t>
  </si>
  <si>
    <t>Experience</t>
  </si>
  <si>
    <t>Development</t>
  </si>
  <si>
    <t>period j</t>
  </si>
  <si>
    <t>period k</t>
  </si>
  <si>
    <t>Table 3.15</t>
  </si>
  <si>
    <t xml:space="preserve">Distribution of paid losses by delay for inflation adjusted </t>
  </si>
  <si>
    <t>kappa(k)</t>
  </si>
  <si>
    <t>v*(j)</t>
  </si>
  <si>
    <t>chain ladder (CL) and separation (S) methods</t>
  </si>
  <si>
    <t>CL</t>
  </si>
  <si>
    <t>S</t>
  </si>
  <si>
    <t>Cumulative payment proportion</t>
  </si>
  <si>
    <t>Table 3.16</t>
  </si>
  <si>
    <t>Model incremental paid losses (future inflation at</t>
  </si>
  <si>
    <t>Actual</t>
  </si>
  <si>
    <t>A/M</t>
  </si>
  <si>
    <t>Paid losses to 1995</t>
  </si>
  <si>
    <t>1978-1986</t>
  </si>
  <si>
    <t>1987-1995</t>
  </si>
  <si>
    <t>Comparison of actual and model paid losses to date</t>
  </si>
  <si>
    <t>(to project kappas)</t>
  </si>
  <si>
    <t>Comparison of actual and model paid losses to date, cell by cell</t>
  </si>
  <si>
    <t>Actual / Model paid losses, in development year n=</t>
  </si>
  <si>
    <t>Model paid losses, past and future (bold), in development year n=</t>
  </si>
  <si>
    <t>Incurred loss adjustments to end of development year n=</t>
  </si>
  <si>
    <t>Comparison of Table 3.3 and 3.12</t>
  </si>
  <si>
    <t>Outstanding</t>
  </si>
  <si>
    <t>Incurred</t>
  </si>
  <si>
    <t>Paid</t>
  </si>
  <si>
    <t>Table 3.17</t>
  </si>
  <si>
    <t>Incurred/</t>
  </si>
  <si>
    <t>age-to-ult</t>
  </si>
  <si>
    <t>prop paid</t>
  </si>
  <si>
    <t>This is verified in row 52 of tab "Table 3.1" for instance.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</si>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</sst>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164" formatCode="0.000"/>
    <numFmt numFmtId="165" formatCode="0.0"/>
    <numFmt numFmtId="166" formatCode="0.0000"/>
    <numFmt numFmtId="167" formatCode="0.0%"/>
    <numFmt numFmtId="168" formatCode="_(* #,##0_);_(* \(#,##0\);_(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i/>
      <sz val="12"/>
      <color theme="0" tint="-0.14999847407452621"/>
      <name val="Arial"/>
      <family val="2"/>
    </font>
    <font>
      <i/>
      <sz val="12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2"/>
      <color theme="1" tint="0.49998474074526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2" fillId="0" borderId="1" xfId="0" applyFont="1" applyBorder="1"/>
    <xf numFmtId="164" fontId="2" fillId="0" borderId="0" xfId="0" applyNumberFormat="1" applyFont="1"/>
    <xf numFmtId="165" fontId="2" fillId="0" borderId="0" xfId="0" applyNumberFormat="1" applyFont="1"/>
    <xf numFmtId="164" fontId="2" fillId="2" borderId="0" xfId="0" applyNumberFormat="1" applyFont="1" applyFill="1"/>
    <xf numFmtId="164" fontId="2" fillId="3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164" fontId="1" fillId="0" borderId="0" xfId="0" applyNumberFormat="1" applyFont="1"/>
    <xf numFmtId="0" fontId="1" fillId="0" borderId="2" xfId="0" applyFont="1" applyBorder="1"/>
    <xf numFmtId="164" fontId="3" fillId="0" borderId="0" xfId="0" quotePrefix="1" applyNumberFormat="1" applyFont="1"/>
    <xf numFmtId="0" fontId="3" fillId="0" borderId="0" xfId="0" quotePrefix="1" applyFont="1"/>
    <xf numFmtId="0" fontId="3" fillId="0" borderId="0" xfId="0" applyFont="1"/>
    <xf numFmtId="0" fontId="3" fillId="0" borderId="0" xfId="0" applyFont="1" applyAlignment="1">
      <alignment horizontal="right"/>
    </xf>
    <xf numFmtId="164" fontId="1" fillId="5" borderId="0" xfId="0" applyNumberFormat="1" applyFont="1" applyFill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2" fillId="0" borderId="1" xfId="0" applyFont="1" applyBorder="1" applyAlignment="1">
      <alignment horizontal="right"/>
    </xf>
    <xf numFmtId="0" fontId="5" fillId="0" borderId="0" xfId="0" applyFo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4" xfId="0" applyNumberFormat="1" applyFont="1" applyBorder="1"/>
    <xf numFmtId="0" fontId="2" fillId="0" borderId="0" xfId="0" applyFont="1" applyAlignment="1">
      <alignment horizontal="left"/>
    </xf>
    <xf numFmtId="0" fontId="1" fillId="7" borderId="0" xfId="0" applyFont="1" applyFill="1"/>
    <xf numFmtId="0" fontId="3" fillId="7" borderId="0" xfId="0" applyFont="1" applyFill="1"/>
    <xf numFmtId="164" fontId="1" fillId="6" borderId="0" xfId="0" applyNumberFormat="1" applyFont="1" applyFill="1"/>
    <xf numFmtId="41" fontId="2" fillId="0" borderId="0" xfId="0" applyNumberFormat="1" applyFont="1"/>
    <xf numFmtId="41" fontId="4" fillId="0" borderId="0" xfId="0" applyNumberFormat="1" applyFont="1"/>
    <xf numFmtId="41" fontId="4" fillId="0" borderId="1" xfId="0" applyNumberFormat="1" applyFont="1" applyBorder="1"/>
    <xf numFmtId="41" fontId="2" fillId="0" borderId="1" xfId="0" applyNumberFormat="1" applyFont="1" applyBorder="1"/>
    <xf numFmtId="41" fontId="4" fillId="0" borderId="3" xfId="0" applyNumberFormat="1" applyFont="1" applyBorder="1"/>
    <xf numFmtId="0" fontId="5" fillId="0" borderId="0" xfId="0" applyFont="1" applyAlignment="1">
      <alignment horizontal="left"/>
    </xf>
    <xf numFmtId="41" fontId="1" fillId="0" borderId="0" xfId="0" applyNumberFormat="1" applyFont="1"/>
    <xf numFmtId="41" fontId="5" fillId="0" borderId="0" xfId="0" applyNumberFormat="1" applyFont="1"/>
    <xf numFmtId="167" fontId="2" fillId="0" borderId="0" xfId="0" applyNumberFormat="1" applyFont="1"/>
    <xf numFmtId="167" fontId="2" fillId="0" borderId="1" xfId="0" applyNumberFormat="1" applyFont="1" applyBorder="1"/>
    <xf numFmtId="167" fontId="2" fillId="4" borderId="0" xfId="0" applyNumberFormat="1" applyFont="1" applyFill="1"/>
    <xf numFmtId="167" fontId="2" fillId="3" borderId="0" xfId="0" applyNumberFormat="1" applyFont="1" applyFill="1"/>
    <xf numFmtId="167" fontId="2" fillId="2" borderId="0" xfId="0" applyNumberFormat="1" applyFont="1" applyFill="1"/>
    <xf numFmtId="167" fontId="2" fillId="2" borderId="1" xfId="0" applyNumberFormat="1" applyFont="1" applyFill="1" applyBorder="1"/>
    <xf numFmtId="0" fontId="1" fillId="2" borderId="0" xfId="0" quotePrefix="1" applyFont="1" applyFill="1"/>
    <xf numFmtId="167" fontId="1" fillId="2" borderId="0" xfId="1" applyNumberFormat="1" applyFont="1" applyFill="1"/>
    <xf numFmtId="0" fontId="1" fillId="3" borderId="0" xfId="0" applyFont="1" applyFill="1"/>
    <xf numFmtId="167" fontId="1" fillId="3" borderId="0" xfId="1" applyNumberFormat="1" applyFont="1" applyFill="1"/>
    <xf numFmtId="0" fontId="1" fillId="4" borderId="0" xfId="0" applyFont="1" applyFill="1"/>
    <xf numFmtId="167" fontId="1" fillId="4" borderId="0" xfId="1" applyNumberFormat="1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1" fillId="8" borderId="0" xfId="0" applyFont="1" applyFill="1"/>
    <xf numFmtId="0" fontId="3" fillId="8" borderId="0" xfId="0" applyFont="1" applyFill="1"/>
    <xf numFmtId="167" fontId="4" fillId="0" borderId="0" xfId="0" applyNumberFormat="1" applyFont="1"/>
    <xf numFmtId="166" fontId="2" fillId="0" borderId="0" xfId="0" applyNumberFormat="1" applyFont="1"/>
    <xf numFmtId="3" fontId="1" fillId="0" borderId="0" xfId="0" applyNumberFormat="1" applyFont="1"/>
    <xf numFmtId="165" fontId="5" fillId="0" borderId="0" xfId="0" applyNumberFormat="1" applyFont="1"/>
    <xf numFmtId="0" fontId="4" fillId="0" borderId="5" xfId="0" applyFont="1" applyBorder="1" applyAlignment="1">
      <alignment horizontal="center"/>
    </xf>
    <xf numFmtId="0" fontId="5" fillId="0" borderId="6" xfId="0" applyFont="1" applyBorder="1"/>
    <xf numFmtId="0" fontId="5" fillId="0" borderId="0" xfId="0" applyFont="1" applyAlignment="1">
      <alignment horizontal="right"/>
    </xf>
    <xf numFmtId="0" fontId="7" fillId="0" borderId="0" xfId="0" applyFont="1"/>
    <xf numFmtId="0" fontId="1" fillId="0" borderId="6" xfId="0" applyFont="1" applyBorder="1"/>
    <xf numFmtId="165" fontId="1" fillId="0" borderId="0" xfId="0" applyNumberFormat="1" applyFont="1"/>
    <xf numFmtId="165" fontId="1" fillId="0" borderId="6" xfId="0" applyNumberFormat="1" applyFont="1" applyBorder="1"/>
    <xf numFmtId="165" fontId="5" fillId="6" borderId="0" xfId="0" applyNumberFormat="1" applyFont="1" applyFill="1"/>
    <xf numFmtId="165" fontId="5" fillId="0" borderId="7" xfId="0" applyNumberFormat="1" applyFont="1" applyBorder="1"/>
    <xf numFmtId="41" fontId="1" fillId="0" borderId="7" xfId="0" applyNumberFormat="1" applyFont="1" applyBorder="1"/>
    <xf numFmtId="0" fontId="5" fillId="0" borderId="1" xfId="0" applyFont="1" applyBorder="1"/>
    <xf numFmtId="0" fontId="5" fillId="0" borderId="2" xfId="0" applyFont="1" applyBorder="1"/>
    <xf numFmtId="0" fontId="1" fillId="0" borderId="1" xfId="0" applyFont="1" applyBorder="1"/>
    <xf numFmtId="41" fontId="1" fillId="0" borderId="1" xfId="0" applyNumberFormat="1" applyFont="1" applyBorder="1"/>
    <xf numFmtId="168" fontId="1" fillId="0" borderId="0" xfId="0" applyNumberFormat="1" applyFont="1"/>
    <xf numFmtId="167" fontId="1" fillId="0" borderId="0" xfId="1" applyNumberFormat="1" applyFont="1" applyBorder="1"/>
    <xf numFmtId="167" fontId="1" fillId="0" borderId="1" xfId="1" applyNumberFormat="1" applyFont="1" applyBorder="1"/>
    <xf numFmtId="167" fontId="1" fillId="0" borderId="0" xfId="0" applyNumberFormat="1" applyFont="1"/>
    <xf numFmtId="9" fontId="1" fillId="0" borderId="0" xfId="1" applyFont="1"/>
    <xf numFmtId="167" fontId="1" fillId="0" borderId="0" xfId="1" applyNumberFormat="1" applyFont="1"/>
    <xf numFmtId="167" fontId="1" fillId="0" borderId="1" xfId="0" applyNumberFormat="1" applyFont="1" applyBorder="1"/>
    <xf numFmtId="167" fontId="5" fillId="0" borderId="0" xfId="1" applyNumberFormat="1" applyFont="1"/>
    <xf numFmtId="167" fontId="1" fillId="0" borderId="5" xfId="1" applyNumberFormat="1" applyFont="1" applyBorder="1"/>
    <xf numFmtId="9" fontId="2" fillId="0" borderId="0" xfId="1" applyFont="1"/>
    <xf numFmtId="9" fontId="4" fillId="0" borderId="0" xfId="1" applyFont="1"/>
    <xf numFmtId="9" fontId="1" fillId="0" borderId="0" xfId="1" applyFont="1" applyBorder="1"/>
    <xf numFmtId="164" fontId="9" fillId="0" borderId="0" xfId="0" applyNumberFormat="1" applyFont="1"/>
    <xf numFmtId="164" fontId="10" fillId="0" borderId="0" xfId="0" applyNumberFormat="1" applyFont="1"/>
    <xf numFmtId="166" fontId="1" fillId="6" borderId="0" xfId="0" applyNumberFormat="1" applyFont="1" applyFill="1"/>
    <xf numFmtId="0" fontId="10" fillId="0" borderId="0" xfId="0" applyFont="1"/>
    <xf numFmtId="167" fontId="10" fillId="0" borderId="0" xfId="1" applyNumberFormat="1" applyFont="1"/>
    <xf numFmtId="9" fontId="11" fillId="0" borderId="0" xfId="1" applyFont="1"/>
    <xf numFmtId="164" fontId="12" fillId="2" borderId="0" xfId="0" applyNumberFormat="1" applyFont="1" applyFill="1"/>
    <xf numFmtId="0" fontId="12" fillId="0" borderId="0" xfId="0" applyFont="1"/>
    <xf numFmtId="164" fontId="12" fillId="3" borderId="0" xfId="0" applyNumberFormat="1" applyFont="1" applyFill="1"/>
    <xf numFmtId="164" fontId="12" fillId="4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Figure 3.3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CL v*(j)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'Table 3.13-3.17'!$G$64:$G$81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'Table 3.13-3.17'!$I$64:$I$81</c:f>
              <c:numCache>
                <c:formatCode>0.0%</c:formatCode>
                <c:ptCount val="18"/>
                <c:pt idx="0">
                  <c:v>3.2147508187222583E-2</c:v>
                </c:pt>
                <c:pt idx="1">
                  <c:v>6.1725003132728169E-2</c:v>
                </c:pt>
                <c:pt idx="2">
                  <c:v>9.4208190590336E-2</c:v>
                </c:pt>
                <c:pt idx="3">
                  <c:v>0.14219451422224205</c:v>
                </c:pt>
                <c:pt idx="4">
                  <c:v>0.17487693366421858</c:v>
                </c:pt>
                <c:pt idx="5">
                  <c:v>0.15856841227602328</c:v>
                </c:pt>
                <c:pt idx="6">
                  <c:v>0.12198864508779754</c:v>
                </c:pt>
                <c:pt idx="7">
                  <c:v>8.5586562122106816E-2</c:v>
                </c:pt>
                <c:pt idx="8">
                  <c:v>4.9511789962494876E-2</c:v>
                </c:pt>
                <c:pt idx="9">
                  <c:v>3.1977009799884971E-2</c:v>
                </c:pt>
                <c:pt idx="10">
                  <c:v>2.070902923607066E-2</c:v>
                </c:pt>
                <c:pt idx="11">
                  <c:v>1.1805309073590429E-2</c:v>
                </c:pt>
                <c:pt idx="12">
                  <c:v>6.6664019907387998E-3</c:v>
                </c:pt>
                <c:pt idx="13">
                  <c:v>3.7445464067507586E-3</c:v>
                </c:pt>
                <c:pt idx="14">
                  <c:v>2.0970789174315492E-3</c:v>
                </c:pt>
                <c:pt idx="15">
                  <c:v>1.1724861510100774E-3</c:v>
                </c:pt>
                <c:pt idx="16">
                  <c:v>6.549331618150206E-4</c:v>
                </c:pt>
                <c:pt idx="17">
                  <c:v>3.6564601753793797E-4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DC-6449-9D62-CB65EB6E83F7}"/>
            </c:ext>
          </c:extLst>
        </c:ser>
        <c:ser>
          <c:idx val="2"/>
          <c:order val="1"/>
          <c:tx>
            <c:v>S v*(j)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'Table 3.13-3.17'!$G$64:$G$81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'Table 3.13-3.17'!$J$64:$J$81</c:f>
              <c:numCache>
                <c:formatCode>0.0%</c:formatCode>
                <c:ptCount val="18"/>
                <c:pt idx="0">
                  <c:v>4.6518251455026138E-2</c:v>
                </c:pt>
                <c:pt idx="1">
                  <c:v>0.10115600923254517</c:v>
                </c:pt>
                <c:pt idx="2">
                  <c:v>0.1264910601014809</c:v>
                </c:pt>
                <c:pt idx="3">
                  <c:v>0.16555664593542929</c:v>
                </c:pt>
                <c:pt idx="4">
                  <c:v>0.14693339253417362</c:v>
                </c:pt>
                <c:pt idx="5">
                  <c:v>0.12345276497832491</c:v>
                </c:pt>
                <c:pt idx="6">
                  <c:v>9.9962071718271997E-2</c:v>
                </c:pt>
                <c:pt idx="7">
                  <c:v>6.5333052193695229E-2</c:v>
                </c:pt>
                <c:pt idx="8">
                  <c:v>4.7419187647245155E-2</c:v>
                </c:pt>
                <c:pt idx="9">
                  <c:v>2.7020429869196755E-2</c:v>
                </c:pt>
                <c:pt idx="10">
                  <c:v>2.0193161606596104E-2</c:v>
                </c:pt>
                <c:pt idx="11">
                  <c:v>1.05567227213675E-2</c:v>
                </c:pt>
                <c:pt idx="12">
                  <c:v>6.1645634454674351E-3</c:v>
                </c:pt>
                <c:pt idx="13">
                  <c:v>5.3922457857195844E-3</c:v>
                </c:pt>
                <c:pt idx="14">
                  <c:v>5.8564263679705911E-3</c:v>
                </c:pt>
                <c:pt idx="15">
                  <c:v>8.8296429375772721E-4</c:v>
                </c:pt>
                <c:pt idx="16">
                  <c:v>8.1556054293807601E-4</c:v>
                </c:pt>
                <c:pt idx="17">
                  <c:v>2.9548957079382097E-4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DC-6449-9D62-CB65EB6E8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613567"/>
        <c:axId val="1842257104"/>
      </c:scatterChart>
      <c:valAx>
        <c:axId val="125961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257104"/>
        <c:crosses val="autoZero"/>
        <c:crossBetween val="midCat"/>
      </c:valAx>
      <c:valAx>
        <c:axId val="184225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613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139700</xdr:colOff>
      <xdr:row>62</xdr:row>
      <xdr:rowOff>31750</xdr:rowOff>
    </xdr:from>
    <xdr:to>
      <xdr:col>20</xdr:col>
      <xdr:colOff>127000</xdr:colOff>
      <xdr:row>81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271BCE-2B1E-1C12-D0B9-F285EFFCD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182E-02B0-8447-9474-8F02EF93B344}">
  <dimension ref="A1:AH35"/>
  <sheetViews>
    <sheetView workbookViewId="0">
      <selection activeCell="Q4" sqref="Q4"/>
    </sheetView>
  </sheetViews>
  <sheetFormatPr baseColWidth="10" defaultColWidth="10.83203125" defaultRowHeight="16" x14ac:dyDescent="0.2"/>
  <cols>
    <col min="1" max="16384" width="10.83203125" style="1"/>
  </cols>
  <sheetData>
    <row r="1" spans="1:34" x14ac:dyDescent="0.2">
      <c r="A1" s="2" t="s">
        <v>0</v>
      </c>
    </row>
    <row r="2" spans="1:34" x14ac:dyDescent="0.2">
      <c r="A2" s="2" t="s">
        <v>1</v>
      </c>
    </row>
    <row r="3" spans="1:34" x14ac:dyDescent="0.2">
      <c r="C3" s="3">
        <v>1964</v>
      </c>
      <c r="D3" s="3">
        <f t="shared" ref="D3:AH3" si="0">C3+1</f>
        <v>1965</v>
      </c>
      <c r="E3" s="3">
        <f t="shared" si="0"/>
        <v>1966</v>
      </c>
      <c r="F3" s="3">
        <f t="shared" si="0"/>
        <v>1967</v>
      </c>
      <c r="G3" s="3">
        <f t="shared" si="0"/>
        <v>1968</v>
      </c>
      <c r="H3" s="3">
        <f t="shared" si="0"/>
        <v>1969</v>
      </c>
      <c r="I3" s="3">
        <f t="shared" si="0"/>
        <v>1970</v>
      </c>
      <c r="J3" s="3">
        <f t="shared" si="0"/>
        <v>1971</v>
      </c>
      <c r="K3" s="3">
        <f t="shared" si="0"/>
        <v>1972</v>
      </c>
      <c r="L3" s="3">
        <f t="shared" si="0"/>
        <v>1973</v>
      </c>
      <c r="M3" s="3">
        <f t="shared" si="0"/>
        <v>1974</v>
      </c>
      <c r="N3" s="3">
        <f t="shared" si="0"/>
        <v>1975</v>
      </c>
      <c r="O3" s="3">
        <f t="shared" si="0"/>
        <v>1976</v>
      </c>
      <c r="P3" s="3">
        <f t="shared" si="0"/>
        <v>1977</v>
      </c>
      <c r="Q3" s="3">
        <f t="shared" si="0"/>
        <v>1978</v>
      </c>
      <c r="R3" s="3">
        <f t="shared" si="0"/>
        <v>1979</v>
      </c>
      <c r="S3" s="3">
        <f t="shared" si="0"/>
        <v>1980</v>
      </c>
      <c r="T3" s="3">
        <f t="shared" si="0"/>
        <v>1981</v>
      </c>
      <c r="U3" s="3">
        <f t="shared" si="0"/>
        <v>1982</v>
      </c>
      <c r="V3" s="3">
        <f t="shared" si="0"/>
        <v>1983</v>
      </c>
      <c r="W3" s="3">
        <f t="shared" si="0"/>
        <v>1984</v>
      </c>
      <c r="X3" s="3">
        <f t="shared" si="0"/>
        <v>1985</v>
      </c>
      <c r="Y3" s="3">
        <f t="shared" si="0"/>
        <v>1986</v>
      </c>
      <c r="Z3" s="3">
        <f t="shared" si="0"/>
        <v>1987</v>
      </c>
      <c r="AA3" s="3">
        <f t="shared" si="0"/>
        <v>1988</v>
      </c>
      <c r="AB3" s="3">
        <f t="shared" si="0"/>
        <v>1989</v>
      </c>
      <c r="AC3" s="3">
        <f t="shared" si="0"/>
        <v>1990</v>
      </c>
      <c r="AD3" s="3">
        <f t="shared" si="0"/>
        <v>1991</v>
      </c>
      <c r="AE3" s="3">
        <f t="shared" si="0"/>
        <v>1992</v>
      </c>
      <c r="AF3" s="3">
        <f t="shared" si="0"/>
        <v>1993</v>
      </c>
      <c r="AG3" s="3">
        <f t="shared" si="0"/>
        <v>1994</v>
      </c>
      <c r="AH3" s="3">
        <f t="shared" si="0"/>
        <v>1995</v>
      </c>
    </row>
    <row r="4" spans="1:34" x14ac:dyDescent="0.2">
      <c r="A4" s="3">
        <v>1964</v>
      </c>
      <c r="Q4" s="3">
        <v>116.67400000000001</v>
      </c>
    </row>
    <row r="5" spans="1:34" x14ac:dyDescent="0.2">
      <c r="A5" s="3">
        <f t="shared" ref="A5:A35" si="1">A4+1</f>
        <v>1965</v>
      </c>
      <c r="P5" s="3">
        <v>24.542000000000002</v>
      </c>
    </row>
    <row r="6" spans="1:34" x14ac:dyDescent="0.2">
      <c r="A6" s="3">
        <f t="shared" si="1"/>
        <v>1966</v>
      </c>
    </row>
    <row r="7" spans="1:34" x14ac:dyDescent="0.2">
      <c r="A7" s="3">
        <f t="shared" si="1"/>
        <v>1967</v>
      </c>
      <c r="N7" s="3">
        <v>338.53500000000003</v>
      </c>
    </row>
    <row r="8" spans="1:34" x14ac:dyDescent="0.2">
      <c r="A8" s="3">
        <f t="shared" si="1"/>
        <v>1968</v>
      </c>
      <c r="M8" s="3">
        <v>39.479999999999997</v>
      </c>
      <c r="N8" s="3">
        <v>1.0960000000000001</v>
      </c>
    </row>
    <row r="9" spans="1:34" x14ac:dyDescent="0.2">
      <c r="A9" s="3">
        <f t="shared" si="1"/>
        <v>1969</v>
      </c>
      <c r="L9" s="3">
        <v>19.245000000000001</v>
      </c>
      <c r="M9" s="3">
        <v>12.058999999999999</v>
      </c>
    </row>
    <row r="10" spans="1:34" x14ac:dyDescent="0.2">
      <c r="A10" s="3">
        <f t="shared" si="1"/>
        <v>1970</v>
      </c>
      <c r="K10" s="3">
        <v>555.9</v>
      </c>
      <c r="L10" s="3">
        <v>103.23</v>
      </c>
      <c r="M10" s="3">
        <v>594.21500000000003</v>
      </c>
      <c r="N10" s="3">
        <v>47.084000000000003</v>
      </c>
      <c r="O10" s="3">
        <v>7.43</v>
      </c>
      <c r="Q10" s="3">
        <v>6.5000000000000002E-2</v>
      </c>
      <c r="R10" s="3">
        <v>5.1609999999999996</v>
      </c>
    </row>
    <row r="11" spans="1:34" x14ac:dyDescent="0.2">
      <c r="A11" s="3">
        <f t="shared" si="1"/>
        <v>1971</v>
      </c>
      <c r="J11" s="3">
        <v>517.84500000000003</v>
      </c>
      <c r="K11" s="3">
        <v>186.57599999999999</v>
      </c>
      <c r="L11" s="3">
        <v>220.875</v>
      </c>
      <c r="M11" s="3">
        <v>14.782</v>
      </c>
      <c r="N11" s="3">
        <v>2.7869999999999999</v>
      </c>
      <c r="O11" s="3">
        <v>18.812999999999999</v>
      </c>
      <c r="P11" s="3">
        <v>1.4670000000000001</v>
      </c>
      <c r="Q11" s="3">
        <v>1.0469999999999999</v>
      </c>
      <c r="R11" s="3">
        <v>0.17299999999999999</v>
      </c>
      <c r="U11" s="3">
        <v>0.13800000000000001</v>
      </c>
      <c r="V11" s="3">
        <v>7.6740000000000004</v>
      </c>
    </row>
    <row r="12" spans="1:34" x14ac:dyDescent="0.2">
      <c r="A12" s="3">
        <f t="shared" si="1"/>
        <v>1972</v>
      </c>
      <c r="B12" s="4"/>
      <c r="C12" s="4"/>
      <c r="D12" s="4"/>
      <c r="E12" s="4"/>
      <c r="F12" s="4"/>
      <c r="G12" s="4"/>
      <c r="H12" s="4"/>
      <c r="I12" s="4">
        <v>2479.3049999999998</v>
      </c>
      <c r="J12" s="4">
        <v>861.56399999999996</v>
      </c>
      <c r="K12" s="4">
        <v>179.303</v>
      </c>
      <c r="L12" s="4">
        <v>108.896</v>
      </c>
      <c r="M12" s="4">
        <v>65.995999999999995</v>
      </c>
      <c r="N12" s="3">
        <v>8.8989999999999991</v>
      </c>
    </row>
    <row r="13" spans="1:34" x14ac:dyDescent="0.2">
      <c r="A13" s="3">
        <f t="shared" si="1"/>
        <v>1973</v>
      </c>
      <c r="B13" s="4"/>
      <c r="C13" s="4"/>
      <c r="D13" s="4"/>
      <c r="E13" s="4"/>
      <c r="F13" s="4"/>
      <c r="G13" s="4"/>
      <c r="H13" s="4">
        <v>3008.7060000000001</v>
      </c>
      <c r="I13" s="4">
        <v>531.36300000000006</v>
      </c>
      <c r="J13" s="4">
        <v>1192.242</v>
      </c>
      <c r="K13" s="4">
        <v>856.08900000000006</v>
      </c>
      <c r="L13" s="4">
        <v>766.10299999999995</v>
      </c>
      <c r="M13" s="4">
        <v>308.20499999999998</v>
      </c>
      <c r="N13" s="3">
        <v>561.572</v>
      </c>
      <c r="O13" s="3">
        <v>165.471</v>
      </c>
      <c r="P13" s="3">
        <v>21.658999999999999</v>
      </c>
      <c r="Q13" s="3">
        <v>26.541</v>
      </c>
      <c r="R13" s="3">
        <v>483.73700000000002</v>
      </c>
      <c r="S13" s="3">
        <v>749.68600000000004</v>
      </c>
      <c r="T13" s="3">
        <v>-373.24400000000003</v>
      </c>
      <c r="U13" s="3">
        <v>2.2450000000000001</v>
      </c>
      <c r="V13" s="3">
        <v>138.32300000000001</v>
      </c>
    </row>
    <row r="14" spans="1:34" x14ac:dyDescent="0.2">
      <c r="A14" s="3">
        <f t="shared" si="1"/>
        <v>1974</v>
      </c>
      <c r="B14" s="4"/>
      <c r="C14" s="4"/>
      <c r="D14" s="4"/>
      <c r="E14" s="4"/>
      <c r="F14" s="4"/>
      <c r="G14" s="4">
        <v>3749.1990000000001</v>
      </c>
      <c r="H14" s="4">
        <v>753.38699999999994</v>
      </c>
      <c r="I14" s="4">
        <v>972.25199999999995</v>
      </c>
      <c r="J14" s="4">
        <v>789.78899999999999</v>
      </c>
      <c r="K14" s="4">
        <v>766.63900000000001</v>
      </c>
      <c r="L14" s="4">
        <v>75.942999999999998</v>
      </c>
      <c r="M14" s="4">
        <v>4.8440000000000003</v>
      </c>
      <c r="N14" s="3">
        <v>258.28300000000002</v>
      </c>
      <c r="O14" s="3">
        <v>14.62</v>
      </c>
      <c r="P14" s="3">
        <v>36.140999999999998</v>
      </c>
      <c r="Q14" s="3">
        <v>117.363</v>
      </c>
      <c r="X14" s="3">
        <v>0</v>
      </c>
    </row>
    <row r="15" spans="1:34" x14ac:dyDescent="0.2">
      <c r="A15" s="3">
        <f t="shared" si="1"/>
        <v>1975</v>
      </c>
      <c r="B15" s="4"/>
      <c r="C15" s="4"/>
      <c r="D15" s="4"/>
      <c r="E15" s="4"/>
      <c r="F15" s="4">
        <v>5722.8440000000001</v>
      </c>
      <c r="G15" s="4">
        <v>1792.376</v>
      </c>
      <c r="H15" s="4">
        <v>2030.384</v>
      </c>
      <c r="I15" s="4">
        <v>1064.8810000000001</v>
      </c>
      <c r="J15" s="4">
        <v>591.26800000000003</v>
      </c>
      <c r="K15" s="4">
        <v>128.1</v>
      </c>
      <c r="L15" s="4">
        <v>833.29700000000003</v>
      </c>
      <c r="M15" s="4">
        <v>397.91699999999997</v>
      </c>
      <c r="N15" s="3">
        <v>43.134</v>
      </c>
      <c r="O15" s="3">
        <v>9.7899999999999991</v>
      </c>
      <c r="P15" s="3">
        <v>47.268000000000001</v>
      </c>
      <c r="Q15" s="3">
        <v>122.871</v>
      </c>
      <c r="W15" s="3">
        <v>0</v>
      </c>
    </row>
    <row r="16" spans="1:34" x14ac:dyDescent="0.2">
      <c r="A16" s="3">
        <f t="shared" si="1"/>
        <v>1976</v>
      </c>
      <c r="B16" s="4"/>
      <c r="C16" s="4"/>
      <c r="D16" s="4"/>
      <c r="E16" s="4">
        <v>6402.6580000000004</v>
      </c>
      <c r="F16" s="4">
        <v>1590.3589999999999</v>
      </c>
      <c r="G16" s="4">
        <v>1981.6980000000001</v>
      </c>
      <c r="H16" s="4">
        <v>813.45500000000004</v>
      </c>
      <c r="I16" s="4">
        <v>1512.7460000000001</v>
      </c>
      <c r="J16" s="4">
        <v>506.81299999999999</v>
      </c>
      <c r="K16" s="4">
        <v>356.83</v>
      </c>
      <c r="L16" s="4">
        <v>3.4</v>
      </c>
      <c r="M16" s="4">
        <v>1.278</v>
      </c>
      <c r="S16" s="3">
        <v>2.2309999999999999</v>
      </c>
      <c r="V16" s="3">
        <v>0</v>
      </c>
    </row>
    <row r="17" spans="1:21" x14ac:dyDescent="0.2">
      <c r="A17" s="3">
        <f t="shared" si="1"/>
        <v>1977</v>
      </c>
      <c r="B17" s="4"/>
      <c r="C17" s="4"/>
      <c r="D17" s="4">
        <v>4219.7460000000001</v>
      </c>
      <c r="E17" s="4">
        <v>3450.471</v>
      </c>
      <c r="F17" s="4">
        <v>4294.1760000000004</v>
      </c>
      <c r="G17" s="4">
        <v>2553.8719999999998</v>
      </c>
      <c r="H17" s="4">
        <v>1808.0070000000001</v>
      </c>
      <c r="I17" s="4">
        <v>2493.5529999999999</v>
      </c>
      <c r="J17" s="4">
        <v>562.35400000000004</v>
      </c>
      <c r="K17" s="4">
        <v>727.26499999999999</v>
      </c>
      <c r="L17" s="4">
        <v>862.79700000000003</v>
      </c>
      <c r="M17" s="4">
        <v>354.50799999999998</v>
      </c>
      <c r="N17" s="3">
        <v>214.756</v>
      </c>
      <c r="O17" s="3">
        <v>0.503</v>
      </c>
      <c r="P17" s="3">
        <v>174.95400000000001</v>
      </c>
      <c r="Q17" s="3">
        <v>200.25</v>
      </c>
      <c r="R17" s="3">
        <v>0.996</v>
      </c>
      <c r="U17" s="3">
        <v>0</v>
      </c>
    </row>
    <row r="18" spans="1:21" x14ac:dyDescent="0.2">
      <c r="A18" s="3">
        <f t="shared" si="1"/>
        <v>1978</v>
      </c>
      <c r="B18" s="4"/>
      <c r="C18" s="4">
        <v>1043.181</v>
      </c>
      <c r="D18" s="4">
        <v>2906.8560000000002</v>
      </c>
      <c r="E18" s="4">
        <v>3511.0520000000001</v>
      </c>
      <c r="F18" s="4">
        <v>4314.3109999999997</v>
      </c>
      <c r="G18" s="4">
        <v>3831.9189999999999</v>
      </c>
      <c r="H18" s="4">
        <v>2031.8879999999999</v>
      </c>
      <c r="I18" s="4">
        <v>1864.319</v>
      </c>
      <c r="J18" s="4">
        <v>2684.0569999999998</v>
      </c>
      <c r="K18" s="4">
        <v>1431.4839999999999</v>
      </c>
      <c r="L18" s="4">
        <v>230.31399999999999</v>
      </c>
      <c r="M18" s="4">
        <v>144.875</v>
      </c>
      <c r="N18" s="3">
        <v>527.74400000000003</v>
      </c>
      <c r="O18" s="3">
        <v>250.10300000000001</v>
      </c>
      <c r="Q18" s="3">
        <v>529.02700000000004</v>
      </c>
      <c r="R18" s="3">
        <v>83.893000000000001</v>
      </c>
      <c r="S18" s="3">
        <v>71.045000000000002</v>
      </c>
      <c r="T18" s="3">
        <v>13.337999999999999</v>
      </c>
    </row>
    <row r="19" spans="1:21" x14ac:dyDescent="0.2">
      <c r="A19" s="3">
        <f t="shared" si="1"/>
        <v>1979</v>
      </c>
      <c r="B19" s="4"/>
      <c r="C19" s="4">
        <v>1289.7149999999999</v>
      </c>
      <c r="D19" s="4">
        <v>3874.1419999999998</v>
      </c>
      <c r="E19" s="4">
        <v>3533.42</v>
      </c>
      <c r="F19" s="4">
        <v>3941.5830000000001</v>
      </c>
      <c r="G19" s="4">
        <v>1495.905</v>
      </c>
      <c r="H19" s="4">
        <v>2051.0729999999999</v>
      </c>
      <c r="I19" s="4">
        <v>850.298</v>
      </c>
      <c r="J19" s="4">
        <v>1125.877</v>
      </c>
      <c r="K19" s="4">
        <v>738.29100000000005</v>
      </c>
      <c r="L19" s="4">
        <v>112.81699999999999</v>
      </c>
      <c r="M19" s="4">
        <v>27.126999999999999</v>
      </c>
      <c r="N19" s="3">
        <v>208.19399999999999</v>
      </c>
      <c r="O19" s="3">
        <v>214.381</v>
      </c>
      <c r="P19" s="3">
        <v>367.11599999999999</v>
      </c>
      <c r="Q19" s="3">
        <v>6.89</v>
      </c>
      <c r="R19" s="3">
        <v>0</v>
      </c>
      <c r="S19" s="3">
        <v>0</v>
      </c>
    </row>
    <row r="20" spans="1:21" x14ac:dyDescent="0.2">
      <c r="A20" s="3">
        <f t="shared" si="1"/>
        <v>1980</v>
      </c>
      <c r="B20" s="4"/>
      <c r="C20" s="4">
        <v>1752.1020000000001</v>
      </c>
      <c r="D20" s="4">
        <v>4236.8459999999995</v>
      </c>
      <c r="E20" s="4">
        <v>4392.3249999999998</v>
      </c>
      <c r="F20" s="4">
        <v>5390.0190000000002</v>
      </c>
      <c r="G20" s="4">
        <v>4915.1689999999999</v>
      </c>
      <c r="H20" s="4">
        <v>3502.6950000000002</v>
      </c>
      <c r="I20" s="4">
        <v>2522.4630000000002</v>
      </c>
      <c r="J20" s="4">
        <v>1001.874</v>
      </c>
      <c r="K20" s="4">
        <v>1170.5719999999999</v>
      </c>
      <c r="L20" s="4">
        <v>476.90499999999997</v>
      </c>
      <c r="M20" s="4">
        <v>942.375</v>
      </c>
      <c r="N20" s="3">
        <v>505.62200000000001</v>
      </c>
      <c r="O20" s="3">
        <v>383.303</v>
      </c>
      <c r="P20" s="3">
        <v>423.25099999999998</v>
      </c>
      <c r="Q20" s="3">
        <v>347.58</v>
      </c>
      <c r="R20" s="3">
        <v>29.817</v>
      </c>
    </row>
    <row r="21" spans="1:21" x14ac:dyDescent="0.2">
      <c r="A21" s="3">
        <f t="shared" si="1"/>
        <v>1981</v>
      </c>
      <c r="B21" s="4"/>
      <c r="C21" s="4">
        <v>2242.922</v>
      </c>
      <c r="D21" s="4">
        <v>4062.1239999999998</v>
      </c>
      <c r="E21" s="4">
        <v>6766.1239999999998</v>
      </c>
      <c r="F21" s="4">
        <v>6782.7839999999997</v>
      </c>
      <c r="G21" s="4">
        <v>4697.5169999999998</v>
      </c>
      <c r="H21" s="4">
        <v>4045.07</v>
      </c>
      <c r="I21" s="4">
        <v>2854.29</v>
      </c>
      <c r="J21" s="4">
        <v>2190.2820000000002</v>
      </c>
      <c r="K21" s="4">
        <v>1352.925</v>
      </c>
      <c r="L21" s="4">
        <v>1435.277</v>
      </c>
      <c r="M21" s="4">
        <v>2269.1350000000002</v>
      </c>
      <c r="N21" s="3">
        <v>232.995</v>
      </c>
      <c r="O21" s="3">
        <v>34.206000000000003</v>
      </c>
      <c r="P21" s="3">
        <v>42.276000000000003</v>
      </c>
      <c r="Q21" s="3">
        <v>110.325</v>
      </c>
    </row>
    <row r="22" spans="1:21" x14ac:dyDescent="0.2">
      <c r="A22" s="3">
        <f t="shared" si="1"/>
        <v>1982</v>
      </c>
      <c r="B22" s="4"/>
      <c r="C22" s="4">
        <v>1152.0340000000001</v>
      </c>
      <c r="D22" s="4">
        <v>5200.9260000000004</v>
      </c>
      <c r="E22" s="4">
        <v>5872.53</v>
      </c>
      <c r="F22" s="4">
        <v>8358.92</v>
      </c>
      <c r="G22" s="4">
        <v>5747.7929999999997</v>
      </c>
      <c r="H22" s="4">
        <v>3748.6390000000001</v>
      </c>
      <c r="I22" s="4">
        <v>1760.5360000000001</v>
      </c>
      <c r="J22" s="4">
        <v>1217.3910000000001</v>
      </c>
      <c r="K22" s="4">
        <v>1728.0239999999999</v>
      </c>
      <c r="L22" s="4">
        <v>2827.268</v>
      </c>
      <c r="M22" s="4">
        <v>802.97500000000002</v>
      </c>
      <c r="N22" s="3">
        <v>264.40499999999997</v>
      </c>
      <c r="O22" s="3">
        <v>401.315</v>
      </c>
      <c r="P22" s="3">
        <v>345.83</v>
      </c>
    </row>
    <row r="23" spans="1:21" x14ac:dyDescent="0.2">
      <c r="A23" s="3">
        <f t="shared" si="1"/>
        <v>1983</v>
      </c>
      <c r="B23" s="4"/>
      <c r="C23" s="4">
        <v>1897.289</v>
      </c>
      <c r="D23" s="4">
        <v>4308.2160000000003</v>
      </c>
      <c r="E23" s="4">
        <v>4992.1790000000001</v>
      </c>
      <c r="F23" s="4">
        <v>6102.6890000000003</v>
      </c>
      <c r="G23" s="4">
        <v>5949.4549999999999</v>
      </c>
      <c r="H23" s="4">
        <v>3082.57</v>
      </c>
      <c r="I23" s="4">
        <v>3122.9409999999998</v>
      </c>
      <c r="J23" s="4">
        <v>2586.5430000000001</v>
      </c>
      <c r="K23" s="4">
        <v>1727.616</v>
      </c>
      <c r="L23" s="4">
        <v>518.20299999999997</v>
      </c>
      <c r="M23" s="4">
        <v>1063.2840000000001</v>
      </c>
      <c r="N23" s="3">
        <v>649.053</v>
      </c>
      <c r="O23" s="3">
        <v>354.161</v>
      </c>
    </row>
    <row r="24" spans="1:21" x14ac:dyDescent="0.2">
      <c r="A24" s="3">
        <f t="shared" si="1"/>
        <v>1984</v>
      </c>
      <c r="B24" s="4"/>
      <c r="C24" s="4">
        <v>2087.9850000000001</v>
      </c>
      <c r="D24" s="4">
        <v>4476.085</v>
      </c>
      <c r="E24" s="4">
        <v>6436.9560000000001</v>
      </c>
      <c r="F24" s="4">
        <v>6746.366</v>
      </c>
      <c r="G24" s="4">
        <v>4630.57</v>
      </c>
      <c r="H24" s="4">
        <v>3723.1880000000001</v>
      </c>
      <c r="I24" s="4">
        <v>9585.9590000000007</v>
      </c>
      <c r="J24" s="4">
        <v>3592.991</v>
      </c>
      <c r="K24" s="4">
        <v>3931.9270000000001</v>
      </c>
      <c r="L24" s="4">
        <v>1574.4639999999999</v>
      </c>
      <c r="M24" s="4">
        <v>885.97799999999995</v>
      </c>
      <c r="N24" s="3">
        <v>888.22</v>
      </c>
    </row>
    <row r="25" spans="1:21" x14ac:dyDescent="0.2">
      <c r="A25" s="3">
        <f t="shared" si="1"/>
        <v>1985</v>
      </c>
      <c r="B25" s="4"/>
      <c r="C25" s="4">
        <v>1490.6769999999999</v>
      </c>
      <c r="D25" s="4">
        <v>3293.114</v>
      </c>
      <c r="E25" s="4">
        <v>4838.0690000000004</v>
      </c>
      <c r="F25" s="4">
        <v>5607.4059999999999</v>
      </c>
      <c r="G25" s="4">
        <v>5109.0379999999996</v>
      </c>
      <c r="H25" s="4">
        <v>6300.3230000000003</v>
      </c>
      <c r="I25" s="4">
        <v>4785.8999999999996</v>
      </c>
      <c r="J25" s="4">
        <v>3170.4340000000002</v>
      </c>
      <c r="K25" s="4">
        <v>1163.3389999999999</v>
      </c>
      <c r="L25" s="4">
        <v>2880.1930000000002</v>
      </c>
      <c r="M25" s="4">
        <v>1320.7380000000001</v>
      </c>
    </row>
    <row r="26" spans="1:21" x14ac:dyDescent="0.2">
      <c r="A26" s="3">
        <f t="shared" si="1"/>
        <v>1986</v>
      </c>
      <c r="B26" s="4"/>
      <c r="C26" s="4">
        <v>1483.1759999999999</v>
      </c>
      <c r="D26" s="4">
        <v>4130.4219999999996</v>
      </c>
      <c r="E26" s="4">
        <v>4483.8289999999997</v>
      </c>
      <c r="F26" s="4">
        <v>5375.2139999999999</v>
      </c>
      <c r="G26" s="4">
        <v>6515.91</v>
      </c>
      <c r="H26" s="4">
        <v>5437.5659999999998</v>
      </c>
      <c r="I26" s="4">
        <v>6107.9780000000001</v>
      </c>
      <c r="J26" s="4">
        <v>3933.61</v>
      </c>
      <c r="K26" s="4">
        <v>2916.0369999999998</v>
      </c>
      <c r="L26" s="4">
        <v>870.79399999999998</v>
      </c>
      <c r="M26" s="4"/>
    </row>
    <row r="27" spans="1:21" x14ac:dyDescent="0.2">
      <c r="A27" s="3">
        <f t="shared" si="1"/>
        <v>1987</v>
      </c>
      <c r="B27" s="4"/>
      <c r="C27" s="4">
        <v>1392.2090000000001</v>
      </c>
      <c r="D27" s="4">
        <v>2687.2370000000001</v>
      </c>
      <c r="E27" s="4">
        <v>4038.5369999999998</v>
      </c>
      <c r="F27" s="4">
        <v>5537.5529999999999</v>
      </c>
      <c r="G27" s="4">
        <v>5572.3850000000002</v>
      </c>
      <c r="H27" s="4">
        <v>6608.8739999999998</v>
      </c>
      <c r="I27" s="4">
        <v>5239.3360000000002</v>
      </c>
      <c r="J27" s="4">
        <v>5397.8980000000001</v>
      </c>
      <c r="K27" s="4">
        <v>3731.585</v>
      </c>
      <c r="L27" s="4"/>
      <c r="M27" s="4"/>
    </row>
    <row r="28" spans="1:21" x14ac:dyDescent="0.2">
      <c r="A28" s="3">
        <f t="shared" si="1"/>
        <v>1988</v>
      </c>
      <c r="B28" s="4"/>
      <c r="C28" s="4">
        <v>1350.347</v>
      </c>
      <c r="D28" s="4">
        <v>4026.788</v>
      </c>
      <c r="E28" s="4">
        <v>2935.7040000000002</v>
      </c>
      <c r="F28" s="4">
        <v>6457.8620000000001</v>
      </c>
      <c r="G28" s="4">
        <v>4513.424</v>
      </c>
      <c r="H28" s="4">
        <v>5159.6180000000004</v>
      </c>
      <c r="I28" s="4">
        <v>6440.6620000000003</v>
      </c>
      <c r="J28" s="4">
        <v>2479.6930000000002</v>
      </c>
      <c r="K28" s="4"/>
      <c r="L28" s="4"/>
      <c r="M28" s="4"/>
    </row>
    <row r="29" spans="1:21" x14ac:dyDescent="0.2">
      <c r="A29" s="3">
        <f t="shared" si="1"/>
        <v>1989</v>
      </c>
      <c r="B29" s="4"/>
      <c r="C29" s="4">
        <v>1777.107</v>
      </c>
      <c r="D29" s="4">
        <v>2828.223</v>
      </c>
      <c r="E29" s="4">
        <v>4554.9350000000004</v>
      </c>
      <c r="F29" s="4">
        <v>5309.7640000000001</v>
      </c>
      <c r="G29" s="4">
        <v>9081.3330000000005</v>
      </c>
      <c r="H29" s="4">
        <v>8696.3220000000001</v>
      </c>
      <c r="I29" s="4">
        <v>5071.5150000000003</v>
      </c>
      <c r="J29" s="4"/>
      <c r="K29" s="4"/>
      <c r="L29" s="4"/>
      <c r="M29" s="4"/>
    </row>
    <row r="30" spans="1:21" x14ac:dyDescent="0.2">
      <c r="A30" s="3">
        <f t="shared" si="1"/>
        <v>1990</v>
      </c>
      <c r="B30" s="4"/>
      <c r="C30" s="4">
        <v>1861.1130000000001</v>
      </c>
      <c r="D30" s="4">
        <v>3848.4540000000002</v>
      </c>
      <c r="E30" s="4">
        <v>3599.9319999999998</v>
      </c>
      <c r="F30" s="4">
        <v>6262.9750000000004</v>
      </c>
      <c r="G30" s="4">
        <v>10477.962</v>
      </c>
      <c r="H30" s="4">
        <v>9694.2170000000006</v>
      </c>
      <c r="I30" s="4"/>
      <c r="J30" s="4"/>
      <c r="K30" s="4"/>
      <c r="L30" s="4"/>
      <c r="M30" s="4"/>
    </row>
    <row r="31" spans="1:21" x14ac:dyDescent="0.2">
      <c r="A31" s="3">
        <f t="shared" si="1"/>
        <v>1991</v>
      </c>
      <c r="B31" s="4"/>
      <c r="C31" s="4">
        <v>2236.165</v>
      </c>
      <c r="D31" s="4">
        <v>3459.346</v>
      </c>
      <c r="E31" s="4">
        <v>7362.3280000000004</v>
      </c>
      <c r="F31" s="4">
        <v>7419.7809999999999</v>
      </c>
      <c r="G31" s="4">
        <v>8971.018</v>
      </c>
      <c r="H31" s="4"/>
      <c r="I31" s="4"/>
      <c r="J31" s="4"/>
      <c r="K31" s="4"/>
      <c r="L31" s="4"/>
      <c r="M31" s="4"/>
    </row>
    <row r="32" spans="1:21" x14ac:dyDescent="0.2">
      <c r="A32" s="3">
        <f t="shared" si="1"/>
        <v>1992</v>
      </c>
      <c r="B32" s="4"/>
      <c r="C32" s="4">
        <v>2271.1799999999998</v>
      </c>
      <c r="D32" s="4">
        <v>4834.9660000000003</v>
      </c>
      <c r="E32" s="4">
        <v>6174.7250000000004</v>
      </c>
      <c r="F32" s="4">
        <v>14984.56</v>
      </c>
      <c r="G32" s="4"/>
      <c r="H32" s="4"/>
      <c r="I32" s="4"/>
      <c r="J32" s="4"/>
      <c r="K32" s="4"/>
      <c r="L32" s="4"/>
      <c r="M32" s="4"/>
    </row>
    <row r="33" spans="1:13" x14ac:dyDescent="0.2">
      <c r="A33" s="3">
        <f t="shared" si="1"/>
        <v>1993</v>
      </c>
      <c r="B33" s="4"/>
      <c r="C33" s="4">
        <v>2822.819</v>
      </c>
      <c r="D33" s="4">
        <v>4669.2190000000001</v>
      </c>
      <c r="E33" s="4">
        <v>7673.3689999999997</v>
      </c>
      <c r="F33" s="4"/>
      <c r="G33" s="4"/>
      <c r="H33" s="4"/>
      <c r="I33" s="4"/>
      <c r="J33" s="4"/>
      <c r="K33" s="4"/>
      <c r="L33" s="4"/>
      <c r="M33" s="4"/>
    </row>
    <row r="34" spans="1:13" x14ac:dyDescent="0.2">
      <c r="A34" s="3">
        <f t="shared" si="1"/>
        <v>1994</v>
      </c>
      <c r="B34" s="4"/>
      <c r="C34" s="4">
        <v>2464.971</v>
      </c>
      <c r="D34" s="4">
        <v>5497.4750000000004</v>
      </c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">
      <c r="A35" s="3">
        <f t="shared" si="1"/>
        <v>1995</v>
      </c>
      <c r="B35" s="4"/>
      <c r="C35" s="4">
        <v>2725.355</v>
      </c>
      <c r="D35" s="4"/>
      <c r="E35" s="4"/>
      <c r="F35" s="4"/>
      <c r="G35" s="4"/>
      <c r="H35" s="4"/>
      <c r="I35" s="4"/>
      <c r="J35" s="4"/>
      <c r="K35" s="4"/>
      <c r="L35" s="4"/>
      <c r="M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7F9E-393E-0949-9322-8F861CCB9A2B}">
  <dimension ref="A1:T57"/>
  <sheetViews>
    <sheetView workbookViewId="0">
      <selection activeCell="E25" sqref="E25"/>
    </sheetView>
  </sheetViews>
  <sheetFormatPr baseColWidth="10" defaultColWidth="10.83203125" defaultRowHeight="16" x14ac:dyDescent="0.2"/>
  <cols>
    <col min="1" max="1" width="10.83203125" style="1"/>
    <col min="2" max="18" width="8.83203125" style="1" customWidth="1"/>
    <col min="19" max="16384" width="10.83203125" style="1"/>
  </cols>
  <sheetData>
    <row r="1" spans="1:18" ht="15.75" x14ac:dyDescent="0.2">
      <c r="A1" s="19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x14ac:dyDescent="0.2">
      <c r="A2" s="19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4" spans="1:18" ht="15.75" x14ac:dyDescent="0.25">
      <c r="A4" s="20" t="s">
        <v>0</v>
      </c>
      <c r="B4" s="21" t="s">
        <v>4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5.75" x14ac:dyDescent="0.25">
      <c r="A5" s="20" t="s">
        <v>1</v>
      </c>
      <c r="B5" s="23" t="s">
        <v>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15.75" x14ac:dyDescent="0.25">
      <c r="A6" s="24"/>
      <c r="B6" s="24">
        <v>0</v>
      </c>
      <c r="C6" s="24">
        <f t="shared" ref="C6:R6" si="0">B6+1</f>
        <v>1</v>
      </c>
      <c r="D6" s="24">
        <f t="shared" si="0"/>
        <v>2</v>
      </c>
      <c r="E6" s="24">
        <f t="shared" si="0"/>
        <v>3</v>
      </c>
      <c r="F6" s="24">
        <f t="shared" si="0"/>
        <v>4</v>
      </c>
      <c r="G6" s="24">
        <f t="shared" si="0"/>
        <v>5</v>
      </c>
      <c r="H6" s="24">
        <f t="shared" si="0"/>
        <v>6</v>
      </c>
      <c r="I6" s="24">
        <f t="shared" si="0"/>
        <v>7</v>
      </c>
      <c r="J6" s="24">
        <f t="shared" si="0"/>
        <v>8</v>
      </c>
      <c r="K6" s="24">
        <f t="shared" si="0"/>
        <v>9</v>
      </c>
      <c r="L6" s="24">
        <f t="shared" si="0"/>
        <v>10</v>
      </c>
      <c r="M6" s="24">
        <f t="shared" si="0"/>
        <v>11</v>
      </c>
      <c r="N6" s="24">
        <f t="shared" si="0"/>
        <v>12</v>
      </c>
      <c r="O6" s="24">
        <f t="shared" si="0"/>
        <v>13</v>
      </c>
      <c r="P6" s="24">
        <f t="shared" si="0"/>
        <v>14</v>
      </c>
      <c r="Q6" s="24">
        <f t="shared" si="0"/>
        <v>15</v>
      </c>
      <c r="R6" s="24">
        <f t="shared" si="0"/>
        <v>16</v>
      </c>
    </row>
    <row r="8" spans="1:18" x14ac:dyDescent="0.2">
      <c r="A8" s="3">
        <f>'Payment data'!A18</f>
        <v>1978</v>
      </c>
      <c r="B8" s="6">
        <f>SUM('Payment data'!$C18:D18)/SUM('Payment data'!$C18:C18)</f>
        <v>3.7865308129653434</v>
      </c>
      <c r="C8" s="6">
        <f>SUM('Payment data'!$C18:E18)/SUM('Payment data'!$C18:D18)</f>
        <v>1.8888655979678164</v>
      </c>
      <c r="D8" s="6">
        <f>SUM('Payment data'!$C18:F18)/SUM('Payment data'!$C18:E18)</f>
        <v>1.5782414604624071</v>
      </c>
      <c r="E8" s="6">
        <f>SUM('Payment data'!$C18:G18)/SUM('Payment data'!$C18:F18)</f>
        <v>1.3254173106646059</v>
      </c>
      <c r="F8" s="6">
        <f>SUM('Payment data'!$C18:H18)/SUM('Payment data'!$C18:G18)</f>
        <v>1.130188150828467</v>
      </c>
      <c r="G8" s="6">
        <f>SUM('Payment data'!$C18:I18)/SUM('Payment data'!$C18:H18)</f>
        <v>1.1056917694769386</v>
      </c>
      <c r="H8" s="6">
        <f>SUM('Payment data'!$C18:J18)/SUM('Payment data'!$C18:I18)</f>
        <v>1.1376190643681559</v>
      </c>
      <c r="I8" s="6">
        <f>SUM('Payment data'!$C18:K18)/SUM('Payment data'!$C18:J18)</f>
        <v>1.0645173473829934</v>
      </c>
      <c r="J8" s="6">
        <f>SUM('Payment data'!$C18:L18)/SUM('Payment data'!$C18:K18)</f>
        <v>1.0097511895791649</v>
      </c>
      <c r="K8" s="6">
        <f>SUM('Payment data'!$C18:M18)/SUM('Payment data'!$C18:L18)</f>
        <v>1.0060745811390241</v>
      </c>
      <c r="L8" s="6">
        <f>SUM('Payment data'!$C18:N18)/SUM('Payment data'!$C18:M18)</f>
        <v>1.021994597373638</v>
      </c>
      <c r="M8" s="6">
        <f>SUM('Payment data'!$C18:O18)/SUM('Payment data'!$C18:N18)</f>
        <v>1.0101991273142483</v>
      </c>
      <c r="N8" s="6">
        <f>SUM('Payment data'!$C18:P18)/SUM('Payment data'!$C18:O18)</f>
        <v>1</v>
      </c>
      <c r="O8" s="6">
        <f>SUM('Payment data'!$C18:Q18)/SUM('Payment data'!$C18:P18)</f>
        <v>1.0213557565136882</v>
      </c>
      <c r="P8" s="6">
        <f>SUM('Payment data'!$C18:R18)/SUM('Payment data'!$C18:Q18)</f>
        <v>1.0033157807576183</v>
      </c>
      <c r="Q8" s="6">
        <f>SUM('Payment data'!$C18:S18)/SUM('Payment data'!$C18:R18)</f>
        <v>1.0027986974839456</v>
      </c>
      <c r="R8" s="6">
        <f>SUM('Payment data'!$C18:T18)/SUM('Payment data'!$C18:S18)</f>
        <v>1.0005239615167589</v>
      </c>
    </row>
    <row r="9" spans="1:18" x14ac:dyDescent="0.2">
      <c r="A9" s="3">
        <f>'Payment data'!A19</f>
        <v>1979</v>
      </c>
      <c r="B9" s="6">
        <f>SUM('Payment data'!$C19:D19)/SUM('Payment data'!$C19:C19)</f>
        <v>4.0038744994049074</v>
      </c>
      <c r="C9" s="6">
        <f>SUM('Payment data'!$C19:E19)/SUM('Payment data'!$C19:D19)</f>
        <v>1.6842598468547831</v>
      </c>
      <c r="D9" s="6">
        <f>SUM('Payment data'!$C19:F19)/SUM('Payment data'!$C19:E19)</f>
        <v>1.4531973628067727</v>
      </c>
      <c r="E9" s="6">
        <f>SUM('Payment data'!$C19:G19)/SUM('Payment data'!$C19:F19)</f>
        <v>1.1183575892129511</v>
      </c>
      <c r="F9" s="6">
        <f>SUM('Payment data'!$C19:H19)/SUM('Payment data'!$C19:G19)</f>
        <v>1.1451083905533626</v>
      </c>
      <c r="G9" s="6">
        <f>SUM('Payment data'!$C19:I19)/SUM('Payment data'!$C19:H19)</f>
        <v>1.0525334554812671</v>
      </c>
      <c r="H9" s="6">
        <f>SUM('Payment data'!$C19:J19)/SUM('Payment data'!$C19:I19)</f>
        <v>1.0660875799535763</v>
      </c>
      <c r="I9" s="6">
        <f>SUM('Payment data'!$C19:K19)/SUM('Payment data'!$C19:J19)</f>
        <v>1.0406502847454189</v>
      </c>
      <c r="J9" s="6">
        <f>SUM('Payment data'!$C19:L19)/SUM('Payment data'!$C19:K19)</f>
        <v>1.0059690574289175</v>
      </c>
      <c r="K9" s="6">
        <f>SUM('Payment data'!$C19:M19)/SUM('Payment data'!$C19:L19)</f>
        <v>1.0014267515575166</v>
      </c>
      <c r="L9" s="6">
        <f>SUM('Payment data'!$C19:N19)/SUM('Payment data'!$C19:M19)</f>
        <v>1.0109344164004586</v>
      </c>
      <c r="M9" s="6">
        <f>SUM('Payment data'!$C19:O19)/SUM('Payment data'!$C19:N19)</f>
        <v>1.0111375767451725</v>
      </c>
      <c r="N9" s="6">
        <f>SUM('Payment data'!$C19:P19)/SUM('Payment data'!$C19:O19)</f>
        <v>1.0188624229897174</v>
      </c>
      <c r="O9" s="6">
        <f>SUM('Payment data'!$C19:Q19)/SUM('Payment data'!$C19:P19)</f>
        <v>1.0003474544223256</v>
      </c>
      <c r="P9" s="6">
        <f>SUM('Payment data'!$C19:R19)/SUM('Payment data'!$C19:Q19)</f>
        <v>1</v>
      </c>
      <c r="Q9" s="6">
        <f>SUM('Payment data'!$C19:S19)/SUM('Payment data'!$C19:R19)</f>
        <v>1</v>
      </c>
      <c r="R9" s="6"/>
    </row>
    <row r="10" spans="1:18" x14ac:dyDescent="0.2">
      <c r="A10" s="3">
        <f>'Payment data'!A20</f>
        <v>1980</v>
      </c>
      <c r="B10" s="6">
        <f>SUM('Payment data'!$C20:D20)/SUM('Payment data'!$C20:C20)</f>
        <v>3.4181503131666986</v>
      </c>
      <c r="C10" s="6">
        <f>SUM('Payment data'!$C20:E20)/SUM('Payment data'!$C20:D20)</f>
        <v>1.7334050988587646</v>
      </c>
      <c r="D10" s="6">
        <f>SUM('Payment data'!$C20:F20)/SUM('Payment data'!$C20:E20)</f>
        <v>1.5192059779181224</v>
      </c>
      <c r="E10" s="6">
        <f>SUM('Payment data'!$C20:G20)/SUM('Payment data'!$C20:F20)</f>
        <v>1.3116529070668401</v>
      </c>
      <c r="F10" s="6">
        <f>SUM('Payment data'!$C20:H20)/SUM('Payment data'!$C20:G20)</f>
        <v>1.1693230659415355</v>
      </c>
      <c r="G10" s="6">
        <f>SUM('Payment data'!$C20:I20)/SUM('Payment data'!$C20:H20)</f>
        <v>1.1042807363762506</v>
      </c>
      <c r="H10" s="6">
        <f>SUM('Payment data'!$C20:J20)/SUM('Payment data'!$C20:I20)</f>
        <v>1.0375070488988332</v>
      </c>
      <c r="I10" s="6">
        <f>SUM('Payment data'!$C20:K20)/SUM('Payment data'!$C20:J20)</f>
        <v>1.0422383421678385</v>
      </c>
      <c r="J10" s="6">
        <f>SUM('Payment data'!$C20:L20)/SUM('Payment data'!$C20:K20)</f>
        <v>1.0165110070206531</v>
      </c>
      <c r="K10" s="6">
        <f>SUM('Payment data'!$C20:M20)/SUM('Payment data'!$C20:L20)</f>
        <v>1.032096180746072</v>
      </c>
      <c r="L10" s="6">
        <f>SUM('Payment data'!$C20:N20)/SUM('Payment data'!$C20:M20)</f>
        <v>1.0166853527226118</v>
      </c>
      <c r="M10" s="6">
        <f>SUM('Payment data'!$C20:O20)/SUM('Payment data'!$C20:N20)</f>
        <v>1.0124412804882423</v>
      </c>
      <c r="N10" s="6">
        <f>SUM('Payment data'!$C20:P20)/SUM('Payment data'!$C20:O20)</f>
        <v>1.0135690990107484</v>
      </c>
      <c r="O10" s="6">
        <f>SUM('Payment data'!$C20:Q20)/SUM('Payment data'!$C20:P20)</f>
        <v>1.0109939671720103</v>
      </c>
      <c r="P10" s="6">
        <f>SUM('Payment data'!$C20:R20)/SUM('Payment data'!$C20:Q20)</f>
        <v>1.0009328569214857</v>
      </c>
      <c r="Q10" s="6"/>
      <c r="R10" s="6"/>
    </row>
    <row r="11" spans="1:18" x14ac:dyDescent="0.2">
      <c r="A11" s="3">
        <f>'Payment data'!A21</f>
        <v>1981</v>
      </c>
      <c r="B11" s="6">
        <f>SUM('Payment data'!$C21:D21)/SUM('Payment data'!$C21:C21)</f>
        <v>2.8110857176486745</v>
      </c>
      <c r="C11" s="6">
        <f>SUM('Payment data'!$C21:E21)/SUM('Payment data'!$C21:D21)</f>
        <v>2.0731284117514766</v>
      </c>
      <c r="D11" s="6">
        <f>SUM('Payment data'!$C21:F21)/SUM('Payment data'!$C21:E21)</f>
        <v>1.5189117730088431</v>
      </c>
      <c r="E11" s="6">
        <f>SUM('Payment data'!$C21:G21)/SUM('Payment data'!$C21:F21)</f>
        <v>1.2366036004717247</v>
      </c>
      <c r="F11" s="6">
        <f>SUM('Payment data'!$C21:H21)/SUM('Payment data'!$C21:G21)</f>
        <v>1.1647587633343843</v>
      </c>
      <c r="G11" s="6">
        <f>SUM('Payment data'!$C21:I21)/SUM('Payment data'!$C21:H21)</f>
        <v>1.0998124213694238</v>
      </c>
      <c r="H11" s="6">
        <f>SUM('Payment data'!$C21:J21)/SUM('Payment data'!$C21:I21)</f>
        <v>1.0696414667071912</v>
      </c>
      <c r="I11" s="6">
        <f>SUM('Payment data'!$C21:K21)/SUM('Payment data'!$C21:J21)</f>
        <v>1.040216416145328</v>
      </c>
      <c r="J11" s="6">
        <f>SUM('Payment data'!$C21:L21)/SUM('Payment data'!$C21:K21)</f>
        <v>1.0410149008811158</v>
      </c>
      <c r="K11" s="6">
        <f>SUM('Payment data'!$C21:M21)/SUM('Payment data'!$C21:L21)</f>
        <v>1.0622887089696855</v>
      </c>
      <c r="L11" s="6">
        <f>SUM('Payment data'!$C21:N21)/SUM('Payment data'!$C21:M21)</f>
        <v>1.0060207837781616</v>
      </c>
      <c r="M11" s="6">
        <f>SUM('Payment data'!$C21:O21)/SUM('Payment data'!$C21:N21)</f>
        <v>1.0008786213817646</v>
      </c>
      <c r="N11" s="6">
        <f>SUM('Payment data'!$C21:P21)/SUM('Payment data'!$C21:O21)</f>
        <v>1.0010849555676613</v>
      </c>
      <c r="O11" s="6">
        <f>SUM('Payment data'!$C21:Q21)/SUM('Payment data'!$C21:P21)</f>
        <v>1.0028282712895766</v>
      </c>
    </row>
    <row r="12" spans="1:18" x14ac:dyDescent="0.2">
      <c r="A12" s="3">
        <f>'Payment data'!A22</f>
        <v>1982</v>
      </c>
      <c r="B12" s="6">
        <f>SUM('Payment data'!$C22:D22)/SUM('Payment data'!$C22:C22)</f>
        <v>5.514559466126868</v>
      </c>
      <c r="C12" s="6">
        <f>SUM('Payment data'!$C22:E22)/SUM('Payment data'!$C22:D22)</f>
        <v>1.9243769833274569</v>
      </c>
      <c r="D12" s="6">
        <f>SUM('Payment data'!$C22:F22)/SUM('Payment data'!$C22:E22)</f>
        <v>1.6837288321367896</v>
      </c>
      <c r="E12" s="6">
        <f>SUM('Payment data'!$C22:G22)/SUM('Payment data'!$C22:F22)</f>
        <v>1.2792303981508335</v>
      </c>
      <c r="F12" s="6">
        <f>SUM('Payment data'!$C22:H22)/SUM('Payment data'!$C22:G22)</f>
        <v>1.1423594903928092</v>
      </c>
      <c r="G12" s="6">
        <f>SUM('Payment data'!$C22:I22)/SUM('Payment data'!$C22:H22)</f>
        <v>1.0585268191628412</v>
      </c>
      <c r="H12" s="6">
        <f>SUM('Payment data'!$C22:J22)/SUM('Payment data'!$C22:I22)</f>
        <v>1.0382329872783771</v>
      </c>
      <c r="I12" s="6">
        <f>SUM('Payment data'!$C22:K22)/SUM('Payment data'!$C22:J22)</f>
        <v>1.0522712748318002</v>
      </c>
      <c r="J12" s="6">
        <f>SUM('Payment data'!$C22:L22)/SUM('Payment data'!$C22:K22)</f>
        <v>1.0812741778180013</v>
      </c>
      <c r="K12" s="6">
        <f>SUM('Payment data'!$C22:M22)/SUM('Payment data'!$C22:L22)</f>
        <v>1.0213477348271434</v>
      </c>
      <c r="L12" s="6">
        <f>SUM('Payment data'!$C22:N22)/SUM('Payment data'!$C22:M22)</f>
        <v>1.0068824934854421</v>
      </c>
      <c r="M12" s="6">
        <f>SUM('Payment data'!$C22:O22)/SUM('Payment data'!$C22:N22)</f>
        <v>1.0103748720219601</v>
      </c>
      <c r="N12" s="6">
        <f>SUM('Payment data'!$C22:P22)/SUM('Payment data'!$C22:O22)</f>
        <v>1.0088486594957633</v>
      </c>
      <c r="O12" s="6"/>
    </row>
    <row r="13" spans="1:18" x14ac:dyDescent="0.2">
      <c r="A13" s="3">
        <f>'Payment data'!A23</f>
        <v>1983</v>
      </c>
      <c r="B13" s="6">
        <f>SUM('Payment data'!$C23:D23)/SUM('Payment data'!$C23:C23)</f>
        <v>3.2707220671178718</v>
      </c>
      <c r="C13" s="6">
        <f>SUM('Payment data'!$C23:E23)/SUM('Payment data'!$C23:D23)</f>
        <v>1.8044758645750831</v>
      </c>
      <c r="D13" s="6">
        <f>SUM('Payment data'!$C23:F23)/SUM('Payment data'!$C23:E23)</f>
        <v>1.5449956437420451</v>
      </c>
      <c r="E13" s="6">
        <f>SUM('Payment data'!$C23:G23)/SUM('Payment data'!$C23:F23)</f>
        <v>1.3438917184039907</v>
      </c>
      <c r="F13" s="6">
        <f>SUM('Payment data'!$C23:H23)/SUM('Payment data'!$C23:G23)</f>
        <v>1.1325846367551622</v>
      </c>
      <c r="G13" s="6">
        <f>SUM('Payment data'!$C23:I23)/SUM('Payment data'!$C23:H23)</f>
        <v>1.1185969086446286</v>
      </c>
      <c r="H13" s="6">
        <f>SUM('Payment data'!$C23:J23)/SUM('Payment data'!$C23:I23)</f>
        <v>1.0878123656970984</v>
      </c>
      <c r="I13" s="6">
        <f>SUM('Payment data'!$C23:K23)/SUM('Payment data'!$C23:J23)</f>
        <v>1.0539174321907807</v>
      </c>
      <c r="J13" s="6">
        <f>SUM('Payment data'!$C23:L23)/SUM('Payment data'!$C23:K23)</f>
        <v>1.0153452977003095</v>
      </c>
      <c r="K13" s="6">
        <f>SUM('Payment data'!$C23:M23)/SUM('Payment data'!$C23:L23)</f>
        <v>1.0310106530618661</v>
      </c>
      <c r="L13" s="6">
        <f>SUM('Payment data'!$C23:N23)/SUM('Payment data'!$C23:M23)</f>
        <v>1.0183602521966502</v>
      </c>
      <c r="M13" s="6">
        <f>SUM('Payment data'!$C23:O23)/SUM('Payment data'!$C23:N23)</f>
        <v>1.0098377951712163</v>
      </c>
    </row>
    <row r="14" spans="1:18" x14ac:dyDescent="0.2">
      <c r="A14" s="3">
        <f>'Payment data'!A24</f>
        <v>1984</v>
      </c>
      <c r="B14" s="6">
        <f>SUM('Payment data'!$C24:D24)/SUM('Payment data'!$C24:C24)</f>
        <v>3.1437342701216719</v>
      </c>
      <c r="C14" s="6">
        <f>SUM('Payment data'!$C24:E24)/SUM('Payment data'!$C24:D24)</f>
        <v>1.9806348804933525</v>
      </c>
      <c r="D14" s="6">
        <f>SUM('Payment data'!$C24:F24)/SUM('Payment data'!$C24:E24)</f>
        <v>1.5189102767735407</v>
      </c>
      <c r="E14" s="6">
        <f>SUM('Payment data'!$C24:G24)/SUM('Payment data'!$C24:F24)</f>
        <v>1.2344902050863222</v>
      </c>
      <c r="F14" s="6">
        <f>SUM('Payment data'!$C24:H24)/SUM('Payment data'!$C24:G24)</f>
        <v>1.1527276152124613</v>
      </c>
      <c r="G14" s="6">
        <f>SUM('Payment data'!$C24:I24)/SUM('Payment data'!$C24:H24)</f>
        <v>1.3411233703958736</v>
      </c>
      <c r="H14" s="6">
        <f>SUM('Payment data'!$C24:J24)/SUM('Payment data'!$C24:I24)</f>
        <v>1.0953374003827145</v>
      </c>
      <c r="I14" s="6">
        <f>SUM('Payment data'!$C24:K24)/SUM('Payment data'!$C24:J24)</f>
        <v>1.0952499388325125</v>
      </c>
      <c r="J14" s="6">
        <f>SUM('Payment data'!$C24:L24)/SUM('Payment data'!$C24:K24)</f>
        <v>1.0348240082224138</v>
      </c>
      <c r="K14" s="6">
        <f>SUM('Payment data'!$C24:M24)/SUM('Payment data'!$C24:L24)</f>
        <v>1.0189366199743426</v>
      </c>
      <c r="L14" s="6">
        <f>SUM('Payment data'!$C24:N24)/SUM('Payment data'!$C24:M24)</f>
        <v>1.0186317180257645</v>
      </c>
    </row>
    <row r="15" spans="1:18" x14ac:dyDescent="0.2">
      <c r="A15" s="3">
        <f>'Payment data'!A25</f>
        <v>1985</v>
      </c>
      <c r="B15" s="6">
        <f>SUM('Payment data'!$C25:D25)/SUM('Payment data'!$C25:C25)</f>
        <v>3.2091398740303907</v>
      </c>
      <c r="C15" s="6">
        <f>SUM('Payment data'!$C25:E25)/SUM('Payment data'!$C25:D25)</f>
        <v>2.0113462314720691</v>
      </c>
      <c r="D15" s="6">
        <f>SUM('Payment data'!$C25:F25)/SUM('Payment data'!$C25:E25)</f>
        <v>1.5827777581465536</v>
      </c>
      <c r="E15" s="6">
        <f>SUM('Payment data'!$C25:G25)/SUM('Payment data'!$C25:F25)</f>
        <v>1.3354749992547246</v>
      </c>
      <c r="F15" s="6">
        <f>SUM('Payment data'!$C25:H25)/SUM('Payment data'!$C25:G25)</f>
        <v>1.3097762232288395</v>
      </c>
      <c r="G15" s="6">
        <f>SUM('Payment data'!$C25:I25)/SUM('Payment data'!$C25:H25)</f>
        <v>1.1796601604129222</v>
      </c>
      <c r="H15" s="6">
        <f>SUM('Payment data'!$C25:J25)/SUM('Payment data'!$C25:I25)</f>
        <v>1.1008904286769376</v>
      </c>
      <c r="I15" s="6">
        <f>SUM('Payment data'!$C25:K25)/SUM('Payment data'!$C25:J25)</f>
        <v>1.0336274118071704</v>
      </c>
      <c r="J15" s="6">
        <f>SUM('Payment data'!$C25:L25)/SUM('Payment data'!$C25:K25)</f>
        <v>1.0805461389383724</v>
      </c>
      <c r="K15" s="6">
        <f>SUM('Payment data'!$C25:M25)/SUM('Payment data'!$C25:L25)</f>
        <v>1.0341819231925014</v>
      </c>
      <c r="L15" s="7"/>
    </row>
    <row r="16" spans="1:18" x14ac:dyDescent="0.2">
      <c r="A16" s="3">
        <f>'Payment data'!A26</f>
        <v>1986</v>
      </c>
      <c r="B16" s="6">
        <f>SUM('Payment data'!$C26:D26)/SUM('Payment data'!$C26:C26)</f>
        <v>3.7848495390971806</v>
      </c>
      <c r="C16" s="6">
        <f>SUM('Payment data'!$C26:E26)/SUM('Payment data'!$C26:D26)</f>
        <v>1.7987442278552899</v>
      </c>
      <c r="D16" s="6">
        <f>SUM('Payment data'!$C26:F26)/SUM('Payment data'!$C26:E26)</f>
        <v>1.5323350196044994</v>
      </c>
      <c r="E16" s="6">
        <f>SUM('Payment data'!$C26:G26)/SUM('Payment data'!$C26:F26)</f>
        <v>1.4211246160238578</v>
      </c>
      <c r="F16" s="6">
        <f>SUM('Payment data'!$C26:H26)/SUM('Payment data'!$C26:G26)</f>
        <v>1.2472907832808082</v>
      </c>
      <c r="G16" s="6">
        <f>SUM('Payment data'!$C26:I26)/SUM('Payment data'!$C26:H26)</f>
        <v>1.2227066266799635</v>
      </c>
      <c r="H16" s="6">
        <f>SUM('Payment data'!$C26:J26)/SUM('Payment data'!$C26:I26)</f>
        <v>1.1173018088008637</v>
      </c>
      <c r="I16" s="6">
        <f>SUM('Payment data'!$C26:K26)/SUM('Payment data'!$C26:J26)</f>
        <v>1.0778280121507309</v>
      </c>
      <c r="J16" s="6">
        <f>SUM('Payment data'!$C26:L26)/SUM('Payment data'!$C26:K26)</f>
        <v>1.0215629844307148</v>
      </c>
      <c r="K16" s="7"/>
      <c r="L16" s="7"/>
    </row>
    <row r="17" spans="1:18" x14ac:dyDescent="0.2">
      <c r="A17" s="3">
        <f>'Payment data'!A27</f>
        <v>1987</v>
      </c>
      <c r="B17" s="6">
        <f>SUM('Payment data'!$C27:D27)/SUM('Payment data'!$C27:C27)</f>
        <v>2.930196543766058</v>
      </c>
      <c r="C17" s="6">
        <f>SUM('Payment data'!$C27:E27)/SUM('Payment data'!$C27:D27)</f>
        <v>1.9899719226581256</v>
      </c>
      <c r="D17" s="6">
        <f>SUM('Payment data'!$C27:F27)/SUM('Payment data'!$C27:E27)</f>
        <v>1.6821340966099583</v>
      </c>
      <c r="E17" s="6">
        <f>SUM('Payment data'!$C27:G27)/SUM('Payment data'!$C27:F27)</f>
        <v>1.4080678341736277</v>
      </c>
      <c r="F17" s="6">
        <f>SUM('Payment data'!$C27:H27)/SUM('Payment data'!$C27:G27)</f>
        <v>1.3437123545494076</v>
      </c>
      <c r="G17" s="6">
        <f>SUM('Payment data'!$C27:I27)/SUM('Payment data'!$C27:H27)</f>
        <v>1.2027858331499708</v>
      </c>
      <c r="H17" s="6">
        <f>SUM('Payment data'!$C27:J27)/SUM('Payment data'!$C27:I27)</f>
        <v>1.1736991648027226</v>
      </c>
      <c r="I17" s="6">
        <f>SUM('Payment data'!$C27:K27)/SUM('Payment data'!$C27:J27)</f>
        <v>1.1023080011259518</v>
      </c>
      <c r="J17" s="7"/>
      <c r="K17" s="7"/>
      <c r="L17" s="7"/>
    </row>
    <row r="18" spans="1:18" x14ac:dyDescent="0.2">
      <c r="A18" s="3">
        <f>'Payment data'!A28</f>
        <v>1988</v>
      </c>
      <c r="B18" s="6">
        <f>SUM('Payment data'!$C28:D28)/SUM('Payment data'!$C28:C28)</f>
        <v>3.9820394313461653</v>
      </c>
      <c r="C18" s="6">
        <f>SUM('Payment data'!$C28:E28)/SUM('Payment data'!$C28:D28)</f>
        <v>1.5459606277320543</v>
      </c>
      <c r="D18" s="6">
        <f>SUM('Payment data'!$C28:F28)/SUM('Payment data'!$C28:E28)</f>
        <v>1.7768539725116776</v>
      </c>
      <c r="E18" s="6">
        <f>SUM('Payment data'!$C28:G28)/SUM('Payment data'!$C28:F28)</f>
        <v>1.305565998526407</v>
      </c>
      <c r="F18" s="6">
        <f>SUM('Payment data'!$C28:H28)/SUM('Payment data'!$C28:G28)</f>
        <v>1.2675577968925218</v>
      </c>
      <c r="G18" s="6">
        <f>SUM('Payment data'!$C28:I28)/SUM('Payment data'!$C28:H28)</f>
        <v>1.263489188214751</v>
      </c>
      <c r="H18" s="6">
        <f>SUM('Payment data'!$C28:J28)/SUM('Payment data'!$C28:I28)</f>
        <v>1.0802894859072079</v>
      </c>
      <c r="I18" s="7"/>
      <c r="J18" s="7"/>
      <c r="K18" s="7"/>
      <c r="L18" s="7"/>
    </row>
    <row r="19" spans="1:18" x14ac:dyDescent="0.2">
      <c r="A19" s="3">
        <f>'Payment data'!A29</f>
        <v>1989</v>
      </c>
      <c r="B19" s="6">
        <f>SUM('Payment data'!$C29:D29)/SUM('Payment data'!$C29:C29)</f>
        <v>2.5914759212585396</v>
      </c>
      <c r="C19" s="6">
        <f>SUM('Payment data'!$C29:E29)/SUM('Payment data'!$C29:D29)</f>
        <v>1.9890572445405648</v>
      </c>
      <c r="D19" s="6">
        <f>SUM('Payment data'!$C29:F29)/SUM('Payment data'!$C29:E29)</f>
        <v>1.5796517895497564</v>
      </c>
      <c r="E19" s="6">
        <f>SUM('Payment data'!$C29:G29)/SUM('Payment data'!$C29:F29)</f>
        <v>1.6275960469740596</v>
      </c>
      <c r="F19" s="6">
        <f>SUM('Payment data'!$C29:H29)/SUM('Payment data'!$C29:G29)</f>
        <v>1.3692492179433189</v>
      </c>
      <c r="G19" s="6">
        <f>SUM('Payment data'!$C29:I29)/SUM('Payment data'!$C29:H29)</f>
        <v>1.1572675730759456</v>
      </c>
      <c r="H19" s="7"/>
      <c r="I19" s="7"/>
      <c r="J19" s="7"/>
      <c r="K19" s="7"/>
      <c r="L19" s="7"/>
    </row>
    <row r="20" spans="1:18" x14ac:dyDescent="0.2">
      <c r="A20" s="3">
        <f>'Payment data'!A30</f>
        <v>1990</v>
      </c>
      <c r="B20" s="6">
        <f>SUM('Payment data'!$C30:D30)/SUM('Payment data'!$C30:C30)</f>
        <v>3.0678239311637712</v>
      </c>
      <c r="C20" s="6">
        <f>SUM('Payment data'!$C30:E30)/SUM('Payment data'!$C30:D30)</f>
        <v>1.6305087583699429</v>
      </c>
      <c r="D20" s="6">
        <f>SUM('Payment data'!$C30:F30)/SUM('Payment data'!$C30:E30)</f>
        <v>1.6727510255922473</v>
      </c>
      <c r="E20" s="6">
        <f>SUM('Payment data'!$C30:G30)/SUM('Payment data'!$C30:F30)</f>
        <v>1.6728514685592026</v>
      </c>
      <c r="F20" s="6">
        <f>SUM('Payment data'!$C30:H30)/SUM('Payment data'!$C30:G30)</f>
        <v>1.3721326199684336</v>
      </c>
      <c r="G20" s="7"/>
      <c r="H20" s="7"/>
      <c r="I20" s="7"/>
      <c r="J20" s="7"/>
      <c r="K20" s="7"/>
      <c r="L20" s="7"/>
    </row>
    <row r="21" spans="1:18" x14ac:dyDescent="0.2">
      <c r="A21" s="3">
        <f>'Payment data'!A31</f>
        <v>1991</v>
      </c>
      <c r="B21" s="6">
        <f>SUM('Payment data'!$C31:D31)/SUM('Payment data'!$C31:C31)</f>
        <v>2.5469994387712895</v>
      </c>
      <c r="C21" s="6">
        <f>SUM('Payment data'!$C31:E31)/SUM('Payment data'!$C31:D31)</f>
        <v>2.2926545133527085</v>
      </c>
      <c r="D21" s="6">
        <f>SUM('Payment data'!$C31:F31)/SUM('Payment data'!$C31:E31)</f>
        <v>1.5682242674304683</v>
      </c>
      <c r="E21" s="6">
        <f>SUM('Payment data'!$C31:G31)/SUM('Payment data'!$C31:F31)</f>
        <v>1.4380888990029115</v>
      </c>
      <c r="F21" s="7"/>
      <c r="G21" s="7"/>
      <c r="H21" s="7"/>
      <c r="I21" s="7"/>
      <c r="J21" s="7"/>
      <c r="K21" s="7"/>
      <c r="L21" s="7"/>
    </row>
    <row r="22" spans="1:18" x14ac:dyDescent="0.2">
      <c r="A22" s="3">
        <f>'Payment data'!A32</f>
        <v>1992</v>
      </c>
      <c r="B22" s="6">
        <f>SUM('Payment data'!$C32:D32)/SUM('Payment data'!$C32:C32)</f>
        <v>3.1288343504257705</v>
      </c>
      <c r="C22" s="6">
        <f>SUM('Payment data'!$C32:E32)/SUM('Payment data'!$C32:D32)</f>
        <v>1.8689274045312325</v>
      </c>
      <c r="D22" s="6">
        <f>SUM('Payment data'!$C32:F32)/SUM('Payment data'!$C32:E32)</f>
        <v>2.1282814206989888</v>
      </c>
      <c r="E22" s="7"/>
      <c r="F22" s="7"/>
      <c r="G22" s="7"/>
      <c r="H22" s="7"/>
      <c r="I22" s="7"/>
      <c r="J22" s="7"/>
      <c r="K22" s="7"/>
      <c r="L22" s="7"/>
    </row>
    <row r="23" spans="1:18" x14ac:dyDescent="0.2">
      <c r="A23" s="3">
        <f>'Payment data'!A33</f>
        <v>1993</v>
      </c>
      <c r="B23" s="6">
        <f>SUM('Payment data'!$C33:D33)/SUM('Payment data'!$C33:C33)</f>
        <v>2.654097907092166</v>
      </c>
      <c r="C23" s="6">
        <f>SUM('Payment data'!$C33:E33)/SUM('Payment data'!$C33:D33)</f>
        <v>2.0242031607421103</v>
      </c>
      <c r="D23" s="7"/>
      <c r="E23" s="7"/>
      <c r="F23" s="7"/>
      <c r="G23" s="7"/>
      <c r="H23" s="7"/>
      <c r="I23" s="7"/>
      <c r="J23" s="7"/>
      <c r="K23" s="7"/>
      <c r="L23" s="7"/>
    </row>
    <row r="24" spans="1:18" x14ac:dyDescent="0.2">
      <c r="A24" s="3">
        <f>'Payment data'!A34</f>
        <v>1994</v>
      </c>
      <c r="B24" s="6">
        <f>SUM('Payment data'!$C34:D34)/SUM('Payment data'!$C34:C34)</f>
        <v>3.2302392198528906</v>
      </c>
      <c r="C24" s="6"/>
      <c r="D24" s="7"/>
      <c r="E24" s="7"/>
      <c r="F24" s="7"/>
      <c r="G24" s="7"/>
      <c r="H24" s="7"/>
      <c r="I24" s="7"/>
      <c r="J24" s="7"/>
      <c r="K24" s="7"/>
      <c r="L24" s="7"/>
    </row>
    <row r="25" spans="1:18" x14ac:dyDescent="0.2">
      <c r="A25" s="3"/>
      <c r="B25" s="6"/>
      <c r="C25" s="4"/>
      <c r="D25" s="7"/>
      <c r="E25" s="7"/>
      <c r="F25" s="7"/>
      <c r="G25" s="7"/>
      <c r="H25" s="7"/>
      <c r="I25" s="7"/>
      <c r="J25" s="7"/>
      <c r="K25" s="7"/>
      <c r="L25" s="7"/>
    </row>
    <row r="27" spans="1:18" x14ac:dyDescent="0.2">
      <c r="A27" s="2" t="s">
        <v>6</v>
      </c>
    </row>
    <row r="28" spans="1:18" x14ac:dyDescent="0.2">
      <c r="A28" s="2" t="s">
        <v>7</v>
      </c>
      <c r="D28" s="33" t="s">
        <v>55</v>
      </c>
      <c r="E28" s="32"/>
      <c r="F28" s="32"/>
      <c r="G28" s="32"/>
      <c r="H28" s="32"/>
    </row>
    <row r="30" spans="1:18" x14ac:dyDescent="0.2">
      <c r="A30" s="2" t="s">
        <v>8</v>
      </c>
      <c r="B30" s="8">
        <f>SUM('Payment data'!$C18:D34)/SUM('Payment data'!$C18:C34)</f>
        <v>3.2322540211671456</v>
      </c>
      <c r="C30" s="8">
        <f>SUM('Payment data'!$C18:E33)/SUM('Payment data'!$C18:D33)</f>
        <v>1.8920029824277111</v>
      </c>
      <c r="D30" s="8">
        <f>SUM('Payment data'!$C18:F32)/SUM('Payment data'!$C18:E32)</f>
        <v>1.6279987975560175</v>
      </c>
      <c r="E30" s="8">
        <f>SUM('Payment data'!$C18:G31)/SUM('Payment data'!$C18:F31)</f>
        <v>1.3585668513350178</v>
      </c>
      <c r="F30" s="8">
        <f>SUM('Payment data'!$C18:H30)/SUM('Payment data'!$C18:G30)</f>
        <v>1.2293717539007742</v>
      </c>
      <c r="G30" s="8">
        <f>SUM('Payment data'!$C18:I29)/SUM('Payment data'!$C18:H29)</f>
        <v>1.1631564647198622</v>
      </c>
      <c r="H30" s="8">
        <f>SUM('Payment data'!$C18:J28)/SUM('Payment data'!$C18:I28)</f>
        <v>1.0916412445296877</v>
      </c>
      <c r="I30" s="8">
        <f>SUM('Payment data'!$C18:K27)/SUM('Payment data'!$C18:J27)</f>
        <v>1.0628251420130312</v>
      </c>
      <c r="J30" s="8">
        <f>SUM('Payment data'!$C18:L26)/SUM('Payment data'!$C18:K26)</f>
        <v>1.036874607237013</v>
      </c>
      <c r="K30" s="8">
        <f>SUM('Payment data'!$C18:M25)/SUM('Payment data'!$C18:L25)</f>
        <v>1.0280340630570248</v>
      </c>
      <c r="L30" s="8">
        <f>SUM('Payment data'!$C18:N24)/SUM('Payment data'!$C18:M24)</f>
        <v>1.0140323713292119</v>
      </c>
      <c r="M30" s="8">
        <f>SUM('Payment data'!$C18:O23)/SUM('Payment data'!$C18:N23)</f>
        <v>1.0087010399089955</v>
      </c>
      <c r="N30" s="8">
        <f>SUM('Payment data'!$C18:P22)/SUM('Payment data'!$C18:O22)</f>
        <v>1.0076785689514443</v>
      </c>
      <c r="O30" s="8">
        <f>SUM('Payment data'!$C18:Q21)/SUM('Payment data'!$C18:P21)</f>
        <v>1.0086250186482175</v>
      </c>
      <c r="P30" s="8">
        <f>SUM('Payment data'!$C18:R20)/SUM('Payment data'!$C18:Q20)</f>
        <v>1.0014748175965413</v>
      </c>
      <c r="Q30" s="8">
        <f>SUM('Payment data'!$C18:S19)/SUM('Payment data'!$C18:R19)</f>
        <v>1.0015710325176421</v>
      </c>
      <c r="R30" s="8">
        <f>SUM('Payment data'!$C18:T18)/SUM('Payment data'!$C18:S18)</f>
        <v>1.0005239615167589</v>
      </c>
    </row>
    <row r="31" spans="1:18" ht="15" x14ac:dyDescent="0.2">
      <c r="A31" s="91" t="s">
        <v>148</v>
      </c>
      <c r="B31" s="91">
        <f>PRODUCT(B30:$R30)</f>
        <v>24.955977894476977</v>
      </c>
      <c r="C31" s="91">
        <f>PRODUCT(C30:$R30)</f>
        <v>7.7209209830190071</v>
      </c>
      <c r="D31" s="91">
        <f>PRODUCT(D30:$R30)</f>
        <v>4.0808186111376825</v>
      </c>
      <c r="E31" s="91">
        <f>PRODUCT(E30:$R30)</f>
        <v>2.5066471899511757</v>
      </c>
      <c r="F31" s="91">
        <f>PRODUCT(F30:$R30)</f>
        <v>1.8450672394133398</v>
      </c>
      <c r="G31" s="91">
        <f>PRODUCT(G30:$R30)</f>
        <v>1.5008212394330478</v>
      </c>
      <c r="H31" s="91">
        <f>PRODUCT(H30:$R30)</f>
        <v>1.2903003894617993</v>
      </c>
      <c r="I31" s="91">
        <f>PRODUCT(I30:$R30)</f>
        <v>1.1819820805851839</v>
      </c>
      <c r="J31" s="91">
        <f>PRODUCT(J30:$R30)</f>
        <v>1.1121133983963392</v>
      </c>
      <c r="K31" s="91">
        <f>PRODUCT(K30:$R30)</f>
        <v>1.0725630569349334</v>
      </c>
      <c r="L31" s="91">
        <f>PRODUCT(L30:$R30)</f>
        <v>1.0433147066601027</v>
      </c>
      <c r="M31" s="91">
        <f>PRODUCT(M30:$R30)</f>
        <v>1.0288771208482299</v>
      </c>
      <c r="N31" s="91">
        <f>PRODUCT(N30:$R30)</f>
        <v>1.0200020423703087</v>
      </c>
      <c r="O31" s="91">
        <f>PRODUCT(O30:$R30)</f>
        <v>1.0122295678389666</v>
      </c>
      <c r="P31" s="91">
        <f>PRODUCT(P30:$R30)</f>
        <v>1.0035737257396016</v>
      </c>
      <c r="Q31" s="91">
        <f>PRODUCT(Q30:$R30)</f>
        <v>1.0020958171949819</v>
      </c>
      <c r="R31" s="91">
        <f>PRODUCT(R30:$R30)</f>
        <v>1.0005239615167589</v>
      </c>
    </row>
    <row r="32" spans="1:18" ht="15" x14ac:dyDescent="0.2">
      <c r="A32" s="97" t="s">
        <v>151</v>
      </c>
      <c r="B32" s="96">
        <f ca="1">SUM(OFFSET('Payment data'!$C$18:$T$35,0,0,17-'Table 3.1'!B6,2+'Table 3.1'!B6))/SUM(OFFSET('Payment data'!$C$18:$T$35,0,0,17-'Table 3.1'!B6,1+'Table 3.1'!B6))</f>
        <v>3.2322540211671456</v>
      </c>
      <c r="C32" s="96">
        <f ca="1">SUM(OFFSET('Payment data'!$C$18:$T$35,0,0,17-'Table 3.1'!C6,2+'Table 3.1'!C6))/SUM(OFFSET('Payment data'!$C$18:$T$35,0,0,17-'Table 3.1'!C6,1+'Table 3.1'!C6))</f>
        <v>1.8920029824277111</v>
      </c>
      <c r="D32" s="96">
        <f ca="1">SUM(OFFSET('Payment data'!$C$18:$T$35,0,0,17-'Table 3.1'!D6,2+'Table 3.1'!D6))/SUM(OFFSET('Payment data'!$C$18:$T$35,0,0,17-'Table 3.1'!D6,1+'Table 3.1'!D6))</f>
        <v>1.6279987975560175</v>
      </c>
      <c r="E32" s="96">
        <f ca="1">SUM(OFFSET('Payment data'!$C$18:$T$35,0,0,17-'Table 3.1'!E6,2+'Table 3.1'!E6))/SUM(OFFSET('Payment data'!$C$18:$T$35,0,0,17-'Table 3.1'!E6,1+'Table 3.1'!E6))</f>
        <v>1.3585668513350178</v>
      </c>
      <c r="F32" s="96">
        <f ca="1">SUM(OFFSET('Payment data'!$C$18:$T$35,0,0,17-'Table 3.1'!F6,2+'Table 3.1'!F6))/SUM(OFFSET('Payment data'!$C$18:$T$35,0,0,17-'Table 3.1'!F6,1+'Table 3.1'!F6))</f>
        <v>1.2293717539007742</v>
      </c>
      <c r="G32" s="96">
        <f ca="1">SUM(OFFSET('Payment data'!$C$18:$T$35,0,0,17-'Table 3.1'!G6,2+'Table 3.1'!G6))/SUM(OFFSET('Payment data'!$C$18:$T$35,0,0,17-'Table 3.1'!G6,1+'Table 3.1'!G6))</f>
        <v>1.1631564647198622</v>
      </c>
      <c r="H32" s="96">
        <f ca="1">SUM(OFFSET('Payment data'!$C$18:$T$35,0,0,17-'Table 3.1'!H6,2+'Table 3.1'!H6))/SUM(OFFSET('Payment data'!$C$18:$T$35,0,0,17-'Table 3.1'!H6,1+'Table 3.1'!H6))</f>
        <v>1.0916412445296877</v>
      </c>
      <c r="I32" s="96">
        <f ca="1">SUM(OFFSET('Payment data'!$C$18:$T$35,0,0,17-'Table 3.1'!I6,2+'Table 3.1'!I6))/SUM(OFFSET('Payment data'!$C$18:$T$35,0,0,17-'Table 3.1'!I6,1+'Table 3.1'!I6))</f>
        <v>1.0628251420130312</v>
      </c>
      <c r="J32" s="96">
        <f ca="1">SUM(OFFSET('Payment data'!$C$18:$T$35,0,0,17-'Table 3.1'!J6,2+'Table 3.1'!J6))/SUM(OFFSET('Payment data'!$C$18:$T$35,0,0,17-'Table 3.1'!J6,1+'Table 3.1'!J6))</f>
        <v>1.036874607237013</v>
      </c>
      <c r="K32" s="96">
        <f ca="1">SUM(OFFSET('Payment data'!$C$18:$T$35,0,0,17-'Table 3.1'!K6,2+'Table 3.1'!K6))/SUM(OFFSET('Payment data'!$C$18:$T$35,0,0,17-'Table 3.1'!K6,1+'Table 3.1'!K6))</f>
        <v>1.0280340630570248</v>
      </c>
      <c r="L32" s="96">
        <f ca="1">SUM(OFFSET('Payment data'!$C$18:$T$35,0,0,17-'Table 3.1'!L6,2+'Table 3.1'!L6))/SUM(OFFSET('Payment data'!$C$18:$T$35,0,0,17-'Table 3.1'!L6,1+'Table 3.1'!L6))</f>
        <v>1.0140323713292119</v>
      </c>
      <c r="M32" s="96">
        <f ca="1">SUM(OFFSET('Payment data'!$C$18:$T$35,0,0,17-'Table 3.1'!M6,2+'Table 3.1'!M6))/SUM(OFFSET('Payment data'!$C$18:$T$35,0,0,17-'Table 3.1'!M6,1+'Table 3.1'!M6))</f>
        <v>1.0087010399089955</v>
      </c>
      <c r="N32" s="96">
        <f ca="1">SUM(OFFSET('Payment data'!$C$18:$T$35,0,0,17-'Table 3.1'!N6,2+'Table 3.1'!N6))/SUM(OFFSET('Payment data'!$C$18:$T$35,0,0,17-'Table 3.1'!N6,1+'Table 3.1'!N6))</f>
        <v>1.0076785689514443</v>
      </c>
      <c r="O32" s="96">
        <f ca="1">SUM(OFFSET('Payment data'!$C$18:$T$35,0,0,17-'Table 3.1'!O6,2+'Table 3.1'!O6))/SUM(OFFSET('Payment data'!$C$18:$T$35,0,0,17-'Table 3.1'!O6,1+'Table 3.1'!O6))</f>
        <v>1.0086250186482175</v>
      </c>
      <c r="P32" s="96">
        <f ca="1">SUM(OFFSET('Payment data'!$C$18:$T$35,0,0,17-'Table 3.1'!P6,2+'Table 3.1'!P6))/SUM(OFFSET('Payment data'!$C$18:$T$35,0,0,17-'Table 3.1'!P6,1+'Table 3.1'!P6))</f>
        <v>1.0014748175965413</v>
      </c>
      <c r="Q32" s="96">
        <f ca="1">SUM(OFFSET('Payment data'!$C$18:$T$35,0,0,17-'Table 3.1'!Q6,2+'Table 3.1'!Q6))/SUM(OFFSET('Payment data'!$C$18:$T$35,0,0,17-'Table 3.1'!Q6,1+'Table 3.1'!Q6))</f>
        <v>1.0015710325176421</v>
      </c>
      <c r="R32" s="96">
        <f ca="1">SUM(OFFSET('Payment data'!$C$18:$T$35,0,0,17-'Table 3.1'!R6,2+'Table 3.1'!R6))/SUM(OFFSET('Payment data'!$C$18:$T$35,0,0,17-'Table 3.1'!R6,1+'Table 3.1'!R6))</f>
        <v>1.0005239615167589</v>
      </c>
    </row>
    <row r="33" spans="1:20" ht="15" x14ac:dyDescent="0.2">
      <c r="A33" s="2" t="s">
        <v>9</v>
      </c>
    </row>
    <row r="34" spans="1:20" ht="15" x14ac:dyDescent="0.2">
      <c r="A34" s="2" t="s">
        <v>10</v>
      </c>
      <c r="B34" s="9">
        <f>SUM('Payment data'!$C29:D34)/SUM('Payment data'!$C29:C34)</f>
        <v>2.871288520254248</v>
      </c>
      <c r="C34" s="9">
        <f>SUM('Payment data'!$C28:E33)/SUM('Payment data'!$C28:D33)</f>
        <v>1.89760568127469</v>
      </c>
      <c r="D34" s="9">
        <f>SUM('Payment data'!$C27:F32)/SUM('Payment data'!$C27:E32)</f>
        <v>1.7507025391016904</v>
      </c>
      <c r="E34" s="9">
        <f>SUM('Payment data'!$C26:G31)/SUM('Payment data'!$C26:F31)</f>
        <v>1.4779973471653234</v>
      </c>
      <c r="F34" s="9">
        <f>SUM('Payment data'!$C25:H30)/SUM('Payment data'!$C25:G30)</f>
        <v>1.32119515090915</v>
      </c>
      <c r="G34" s="9">
        <f>SUM('Payment data'!$C24:I29)/SUM('Payment data'!$C24:H29)</f>
        <v>1.2260636318057656</v>
      </c>
      <c r="H34" s="9">
        <f>SUM('Payment data'!$C23:J28)/SUM('Payment data'!$C23:I28)</f>
        <v>1.1090435632074485</v>
      </c>
      <c r="I34" s="9">
        <f>SUM('Payment data'!$C22:K27)/SUM('Payment data'!$C22:J27)</f>
        <v>1.0707179816384009</v>
      </c>
      <c r="J34" s="9">
        <f>SUM('Payment data'!$C21:L26)/SUM('Payment data'!$C21:K26)</f>
        <v>1.0449355330081185</v>
      </c>
      <c r="K34" s="9">
        <f>SUM('Payment data'!$C20:M25)/SUM('Payment data'!$C20:L25)</f>
        <v>1.0326487178829482</v>
      </c>
      <c r="L34" s="9">
        <f>SUM('Payment data'!$C19:N24)/SUM('Payment data'!$C19:M24)</f>
        <v>1.0131203731434737</v>
      </c>
      <c r="M34" s="9">
        <f>SUM('Payment data'!$C18:O23)/SUM('Payment data'!$C18:N23)</f>
        <v>1.0087010399089955</v>
      </c>
      <c r="N34" s="6"/>
      <c r="O34" s="6"/>
      <c r="P34" s="6"/>
      <c r="Q34" s="6"/>
      <c r="R34" s="6"/>
    </row>
    <row r="35" spans="1:20" ht="15" x14ac:dyDescent="0.2">
      <c r="A35" s="2" t="s">
        <v>11</v>
      </c>
      <c r="B35" s="91">
        <f>PRODUCT(B34:$R34)</f>
        <v>29.904609180846972</v>
      </c>
      <c r="C35" s="91">
        <f>PRODUCT(C34:$R34)</f>
        <v>10.415048494743038</v>
      </c>
      <c r="D35" s="91">
        <f>PRODUCT(D34:$R34)</f>
        <v>5.4885209279869338</v>
      </c>
      <c r="E35" s="91">
        <f>PRODUCT(E34:$R34)</f>
        <v>3.1350391088158065</v>
      </c>
      <c r="F35" s="91">
        <f>PRODUCT(F34:$R34)</f>
        <v>2.1211398754054276</v>
      </c>
      <c r="G35" s="91">
        <f>PRODUCT(G34:$R34)</f>
        <v>1.6054705271555183</v>
      </c>
      <c r="H35" s="91">
        <f>PRODUCT(H34:$R34)</f>
        <v>1.3094512270875831</v>
      </c>
      <c r="I35" s="91">
        <f>PRODUCT(I34:$R34)</f>
        <v>1.180703148666711</v>
      </c>
      <c r="J35" s="91">
        <f>PRODUCT(J34:$R34)</f>
        <v>1.1027209488534153</v>
      </c>
      <c r="K35" s="91">
        <f>PRODUCT(K34:$R34)</f>
        <v>1.055300460191019</v>
      </c>
      <c r="L35" s="91">
        <f>PRODUCT(L34:$R34)</f>
        <v>1.0219355739428115</v>
      </c>
      <c r="M35" s="91">
        <f>PRODUCT(M34:$R34)</f>
        <v>1.0087010399089955</v>
      </c>
      <c r="N35" s="90"/>
      <c r="O35" s="90"/>
      <c r="P35" s="90"/>
      <c r="Q35" s="90"/>
      <c r="R35" s="90"/>
    </row>
    <row r="36" spans="1:20" ht="15" x14ac:dyDescent="0.2">
      <c r="A36" s="97" t="s">
        <v>151</v>
      </c>
      <c r="B36" s="98">
        <f ca="1">SUM(OFFSET('Payment data'!$C$29:$T$34,-'Table 3.1'!B6,,,2+'Table 3.1'!B6))/SUM(OFFSET('Payment data'!$C$29:$T$34,-'Table 3.1'!B6,,,1+'Table 3.1'!B6))</f>
        <v>2.871288520254248</v>
      </c>
      <c r="C36" s="98">
        <f ca="1">SUM(OFFSET('Payment data'!$C$29:$T$34,-'Table 3.1'!C6,,,2+'Table 3.1'!C6))/SUM(OFFSET('Payment data'!$C$29:$T$34,-'Table 3.1'!C6,,,1+'Table 3.1'!C6))</f>
        <v>1.89760568127469</v>
      </c>
      <c r="D36" s="98">
        <f ca="1">SUM(OFFSET('Payment data'!$C$29:$T$34,-'Table 3.1'!D6,,,2+'Table 3.1'!D6))/SUM(OFFSET('Payment data'!$C$29:$T$34,-'Table 3.1'!D6,,,1+'Table 3.1'!D6))</f>
        <v>1.7507025391016904</v>
      </c>
      <c r="E36" s="98">
        <f ca="1">SUM(OFFSET('Payment data'!$C$29:$T$34,-'Table 3.1'!E6,,,2+'Table 3.1'!E6))/SUM(OFFSET('Payment data'!$C$29:$T$34,-'Table 3.1'!E6,,,1+'Table 3.1'!E6))</f>
        <v>1.4779973471653234</v>
      </c>
      <c r="F36" s="98">
        <f ca="1">SUM(OFFSET('Payment data'!$C$29:$T$34,-'Table 3.1'!F6,,,2+'Table 3.1'!F6))/SUM(OFFSET('Payment data'!$C$29:$T$34,-'Table 3.1'!F6,,,1+'Table 3.1'!F6))</f>
        <v>1.32119515090915</v>
      </c>
      <c r="G36" s="98">
        <f ca="1">SUM(OFFSET('Payment data'!$C$29:$T$34,-'Table 3.1'!G6,,,2+'Table 3.1'!G6))/SUM(OFFSET('Payment data'!$C$29:$T$34,-'Table 3.1'!G6,,,1+'Table 3.1'!G6))</f>
        <v>1.2260636318057656</v>
      </c>
      <c r="H36" s="98">
        <f ca="1">SUM(OFFSET('Payment data'!$C$29:$T$34,-'Table 3.1'!H6,,,2+'Table 3.1'!H6))/SUM(OFFSET('Payment data'!$C$29:$T$34,-'Table 3.1'!H6,,,1+'Table 3.1'!H6))</f>
        <v>1.1090435632074485</v>
      </c>
      <c r="I36" s="98">
        <f ca="1">SUM(OFFSET('Payment data'!$C$29:$T$34,-'Table 3.1'!I6,,,2+'Table 3.1'!I6))/SUM(OFFSET('Payment data'!$C$29:$T$34,-'Table 3.1'!I6,,,1+'Table 3.1'!I6))</f>
        <v>1.0707179816384009</v>
      </c>
      <c r="J36" s="98">
        <f ca="1">SUM(OFFSET('Payment data'!$C$29:$T$34,-'Table 3.1'!J6,,,2+'Table 3.1'!J6))/SUM(OFFSET('Payment data'!$C$29:$T$34,-'Table 3.1'!J6,,,1+'Table 3.1'!J6))</f>
        <v>1.0449355330081185</v>
      </c>
      <c r="K36" s="98">
        <f ca="1">SUM(OFFSET('Payment data'!$C$29:$T$34,-'Table 3.1'!K6,,,2+'Table 3.1'!K6))/SUM(OFFSET('Payment data'!$C$29:$T$34,-'Table 3.1'!K6,,,1+'Table 3.1'!K6))</f>
        <v>1.0326487178829482</v>
      </c>
      <c r="L36" s="98">
        <f ca="1">SUM(OFFSET('Payment data'!$C$29:$T$34,-'Table 3.1'!L6,,,2+'Table 3.1'!L6))/SUM(OFFSET('Payment data'!$C$29:$T$34,-'Table 3.1'!L6,,,1+'Table 3.1'!L6))</f>
        <v>1.0131203731434737</v>
      </c>
      <c r="M36" s="98">
        <f ca="1">SUM(OFFSET('Payment data'!$C$29:$T$34,-'Table 3.1'!M6,,,2+'Table 3.1'!M6))/SUM(OFFSET('Payment data'!$C$29:$T$34,-'Table 3.1'!M6,,,1+'Table 3.1'!M6))</f>
        <v>1.0087010399089955</v>
      </c>
      <c r="N36" s="3"/>
      <c r="O36" s="3"/>
      <c r="P36" s="3"/>
      <c r="Q36" s="3"/>
      <c r="R36" s="3"/>
    </row>
    <row r="38" spans="1:20" ht="15" x14ac:dyDescent="0.2">
      <c r="A38" s="2" t="s">
        <v>12</v>
      </c>
      <c r="B38" s="10">
        <f>SUM('Payment data'!$C32:D34)/SUM('Payment data'!$C32:C34)</f>
        <v>2.9846169517804682</v>
      </c>
      <c r="C38" s="10">
        <f>SUM('Payment data'!$C31:E33)/SUM('Payment data'!$C31:D33)</f>
        <v>2.0451729958492035</v>
      </c>
      <c r="D38" s="10">
        <f>SUM('Payment data'!$C30:F32)/SUM('Payment data'!$C30:E32)</f>
        <v>1.8041726864875596</v>
      </c>
      <c r="E38" s="10">
        <f>SUM('Payment data'!$C29:G31)/SUM('Payment data'!$C29:F31)</f>
        <v>1.5647316614807134</v>
      </c>
      <c r="F38" s="10">
        <f>SUM('Payment data'!$C28:H30)/SUM('Payment data'!$C28:G30)</f>
        <v>1.3418718364273061</v>
      </c>
      <c r="G38" s="10">
        <f>SUM('Payment data'!$C27:I29)/SUM('Payment data'!$C27:H29)</f>
        <v>1.202979206313205</v>
      </c>
      <c r="H38" s="10">
        <f>SUM('Payment data'!$C26:J28)/SUM('Payment data'!$C26:I28)</f>
        <v>1.1236844509090778</v>
      </c>
      <c r="I38" s="10">
        <f>SUM('Payment data'!$C25:K27)/SUM('Payment data'!$C25:J27)</f>
        <v>1.071966084834258</v>
      </c>
      <c r="J38" s="10">
        <f>SUM('Payment data'!$C24:L26)/SUM('Payment data'!$C24:K26)</f>
        <v>1.0438835800388364</v>
      </c>
      <c r="K38" s="10">
        <f>SUM('Payment data'!$C23:M25)/SUM('Payment data'!$C23:L25)</f>
        <v>1.0273154010370749</v>
      </c>
      <c r="L38" s="10">
        <f>SUM('Payment data'!$C22:N24)/SUM('Payment data'!$C22:M24)</f>
        <v>1.0148358920488545</v>
      </c>
      <c r="M38" s="10">
        <f>SUM('Payment data'!$C21:O23)/SUM('Payment data'!$C21:N23)</f>
        <v>1.0069506352992024</v>
      </c>
      <c r="N38" s="10">
        <f>SUM('Payment data'!$C20:P22)/SUM('Payment data'!$C20:O22)</f>
        <v>1.0074272425096744</v>
      </c>
      <c r="O38" s="10">
        <f>SUM('Payment data'!$C19:Q21)/SUM('Payment data'!$C19:P21)</f>
        <v>1.0051385029949182</v>
      </c>
      <c r="P38" s="10">
        <f>SUM('Payment data'!$C18:R20)/SUM('Payment data'!$C18:Q20)</f>
        <v>1.0014748175965413</v>
      </c>
      <c r="Q38" s="6"/>
      <c r="R38" s="6"/>
    </row>
    <row r="39" spans="1:20" ht="15" x14ac:dyDescent="0.2">
      <c r="A39" s="3"/>
      <c r="B39" s="91">
        <f>PRODUCT(B38:$R38)</f>
        <v>37.23665815000939</v>
      </c>
      <c r="C39" s="91">
        <f>PRODUCT(C38:$R38)</f>
        <v>12.47619334460857</v>
      </c>
      <c r="D39" s="91">
        <f>PRODUCT(D38:$R38)</f>
        <v>6.1003119882424235</v>
      </c>
      <c r="E39" s="91">
        <f>PRODUCT(E38:$R38)</f>
        <v>3.3812240003027489</v>
      </c>
      <c r="F39" s="91">
        <f>PRODUCT(F38:$R38)</f>
        <v>2.1608970301675114</v>
      </c>
      <c r="G39" s="91">
        <f>PRODUCT(G38:$R38)</f>
        <v>1.6103602233137517</v>
      </c>
      <c r="H39" s="91">
        <f>PRODUCT(H38:$R38)</f>
        <v>1.338643440271138</v>
      </c>
      <c r="I39" s="91">
        <f>PRODUCT(I38:$R38)</f>
        <v>1.1912983571038609</v>
      </c>
      <c r="J39" s="91">
        <f>PRODUCT(J38:$R38)</f>
        <v>1.1113209400538573</v>
      </c>
      <c r="K39" s="91">
        <f>PRODUCT(K38:$R38)</f>
        <v>1.0646023764570682</v>
      </c>
      <c r="L39" s="91">
        <f>PRODUCT(L38:$R38)</f>
        <v>1.036295547971297</v>
      </c>
      <c r="M39" s="91">
        <f>PRODUCT(M38:$R38)</f>
        <v>1.021145937082613</v>
      </c>
      <c r="N39" s="91">
        <f>PRODUCT(N38:$R38)</f>
        <v>1.0140973164778755</v>
      </c>
      <c r="O39" s="91">
        <f>PRODUCT(O38:$R38)</f>
        <v>1.0066208989460963</v>
      </c>
      <c r="P39" s="91">
        <f>PRODUCT(P38:$R38)</f>
        <v>1.0014748175965413</v>
      </c>
      <c r="Q39" s="90"/>
      <c r="R39" s="90"/>
    </row>
    <row r="40" spans="1:20" ht="15" x14ac:dyDescent="0.2">
      <c r="A40" s="97" t="s">
        <v>151</v>
      </c>
      <c r="B40" s="99">
        <f ca="1">SUM(OFFSET('Payment data'!$C$32:$T$34,-'Table 3.1'!B6,,,2+'Table 3.1'!B6))/SUM(OFFSET('Payment data'!$C$32:$T$34,-'Table 3.1'!B6,,,1+'Table 3.1'!B6))</f>
        <v>2.9846169517804682</v>
      </c>
      <c r="C40" s="99">
        <f ca="1">SUM(OFFSET('Payment data'!$C$32:$T$34,-'Table 3.1'!C6,,,2+'Table 3.1'!C6))/SUM(OFFSET('Payment data'!$C$32:$T$34,-'Table 3.1'!C6,,,1+'Table 3.1'!C6))</f>
        <v>2.0451729958492035</v>
      </c>
      <c r="D40" s="99">
        <f ca="1">SUM(OFFSET('Payment data'!$C$32:$T$34,-'Table 3.1'!D6,,,2+'Table 3.1'!D6))/SUM(OFFSET('Payment data'!$C$32:$T$34,-'Table 3.1'!D6,,,1+'Table 3.1'!D6))</f>
        <v>1.8041726864875596</v>
      </c>
      <c r="E40" s="99">
        <f ca="1">SUM(OFFSET('Payment data'!$C$32:$T$34,-'Table 3.1'!E6,,,2+'Table 3.1'!E6))/SUM(OFFSET('Payment data'!$C$32:$T$34,-'Table 3.1'!E6,,,1+'Table 3.1'!E6))</f>
        <v>1.5647316614807134</v>
      </c>
      <c r="F40" s="99">
        <f ca="1">SUM(OFFSET('Payment data'!$C$32:$T$34,-'Table 3.1'!F6,,,2+'Table 3.1'!F6))/SUM(OFFSET('Payment data'!$C$32:$T$34,-'Table 3.1'!F6,,,1+'Table 3.1'!F6))</f>
        <v>1.3418718364273061</v>
      </c>
      <c r="G40" s="99">
        <f ca="1">SUM(OFFSET('Payment data'!$C$32:$T$34,-'Table 3.1'!G6,,,2+'Table 3.1'!G6))/SUM(OFFSET('Payment data'!$C$32:$T$34,-'Table 3.1'!G6,,,1+'Table 3.1'!G6))</f>
        <v>1.202979206313205</v>
      </c>
      <c r="H40" s="99">
        <f ca="1">SUM(OFFSET('Payment data'!$C$32:$T$34,-'Table 3.1'!H6,,,2+'Table 3.1'!H6))/SUM(OFFSET('Payment data'!$C$32:$T$34,-'Table 3.1'!H6,,,1+'Table 3.1'!H6))</f>
        <v>1.1236844509090778</v>
      </c>
      <c r="I40" s="99">
        <f ca="1">SUM(OFFSET('Payment data'!$C$32:$T$34,-'Table 3.1'!I6,,,2+'Table 3.1'!I6))/SUM(OFFSET('Payment data'!$C$32:$T$34,-'Table 3.1'!I6,,,1+'Table 3.1'!I6))</f>
        <v>1.071966084834258</v>
      </c>
      <c r="J40" s="99">
        <f ca="1">SUM(OFFSET('Payment data'!$C$32:$T$34,-'Table 3.1'!J6,,,2+'Table 3.1'!J6))/SUM(OFFSET('Payment data'!$C$32:$T$34,-'Table 3.1'!J6,,,1+'Table 3.1'!J6))</f>
        <v>1.0438835800388364</v>
      </c>
      <c r="K40" s="99">
        <f ca="1">SUM(OFFSET('Payment data'!$C$32:$T$34,-'Table 3.1'!K6,,,2+'Table 3.1'!K6))/SUM(OFFSET('Payment data'!$C$32:$T$34,-'Table 3.1'!K6,,,1+'Table 3.1'!K6))</f>
        <v>1.0273154010370749</v>
      </c>
      <c r="L40" s="99">
        <f ca="1">SUM(OFFSET('Payment data'!$C$32:$T$34,-'Table 3.1'!L6,,,2+'Table 3.1'!L6))/SUM(OFFSET('Payment data'!$C$32:$T$34,-'Table 3.1'!L6,,,1+'Table 3.1'!L6))</f>
        <v>1.0148358920488545</v>
      </c>
      <c r="M40" s="99">
        <f ca="1">SUM(OFFSET('Payment data'!$C$32:$T$34,-'Table 3.1'!M6,,,2+'Table 3.1'!M6))/SUM(OFFSET('Payment data'!$C$32:$T$34,-'Table 3.1'!M6,,,1+'Table 3.1'!M6))</f>
        <v>1.0069506352992024</v>
      </c>
      <c r="N40" s="99">
        <f ca="1">SUM(OFFSET('Payment data'!$C$32:$T$34,-'Table 3.1'!N6,,,2+'Table 3.1'!N6))/SUM(OFFSET('Payment data'!$C$32:$T$34,-'Table 3.1'!N6,,,1+'Table 3.1'!N6))</f>
        <v>1.0074272425096744</v>
      </c>
      <c r="O40" s="99">
        <f ca="1">SUM(OFFSET('Payment data'!$C$32:$T$34,-'Table 3.1'!O6,,,2+'Table 3.1'!O6))/SUM(OFFSET('Payment data'!$C$32:$T$34,-'Table 3.1'!O6,,,1+'Table 3.1'!O6))</f>
        <v>1.0051385029949182</v>
      </c>
      <c r="P40" s="99">
        <f ca="1">SUM(OFFSET('Payment data'!$C$32:$T$34,-'Table 3.1'!P6,,,2+'Table 3.1'!P6))/SUM(OFFSET('Payment data'!$C$32:$T$34,-'Table 3.1'!P6,,,1+'Table 3.1'!P6))</f>
        <v>1.0014748175965413</v>
      </c>
    </row>
    <row r="41" spans="1:20" ht="15" x14ac:dyDescent="0.2">
      <c r="A41" s="2" t="s">
        <v>13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20" ht="15" x14ac:dyDescent="0.2">
      <c r="A42" s="2" t="s">
        <v>14</v>
      </c>
      <c r="B42" s="10">
        <f t="shared" ref="B42:H42" si="1">B38</f>
        <v>2.9846169517804682</v>
      </c>
      <c r="C42" s="10">
        <f t="shared" si="1"/>
        <v>2.0451729958492035</v>
      </c>
      <c r="D42" s="10">
        <f t="shared" si="1"/>
        <v>1.8041726864875596</v>
      </c>
      <c r="E42" s="10">
        <f t="shared" si="1"/>
        <v>1.5647316614807134</v>
      </c>
      <c r="F42" s="10">
        <f t="shared" si="1"/>
        <v>1.3418718364273061</v>
      </c>
      <c r="G42" s="10">
        <f t="shared" si="1"/>
        <v>1.202979206313205</v>
      </c>
      <c r="H42" s="10">
        <f t="shared" si="1"/>
        <v>1.1236844509090778</v>
      </c>
      <c r="I42" s="9">
        <f>I34</f>
        <v>1.0707179816384009</v>
      </c>
      <c r="J42" s="9">
        <f>J34</f>
        <v>1.0449355330081185</v>
      </c>
      <c r="K42" s="9">
        <f>K34</f>
        <v>1.0326487178829482</v>
      </c>
      <c r="L42" s="8">
        <f t="shared" ref="L42:R42" si="2">L30</f>
        <v>1.0140323713292119</v>
      </c>
      <c r="M42" s="8">
        <f t="shared" si="2"/>
        <v>1.0087010399089955</v>
      </c>
      <c r="N42" s="8">
        <f t="shared" si="2"/>
        <v>1.0076785689514443</v>
      </c>
      <c r="O42" s="8">
        <f t="shared" si="2"/>
        <v>1.0086250186482175</v>
      </c>
      <c r="P42" s="8">
        <f t="shared" si="2"/>
        <v>1.0014748175965413</v>
      </c>
      <c r="Q42" s="8">
        <f t="shared" si="2"/>
        <v>1.0015710325176421</v>
      </c>
      <c r="R42" s="8">
        <f t="shared" si="2"/>
        <v>1.0005239615167589</v>
      </c>
    </row>
    <row r="43" spans="1:20" ht="1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20" ht="15" x14ac:dyDescent="0.2">
      <c r="A44" s="2" t="s">
        <v>15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20" ht="15" x14ac:dyDescent="0.2">
      <c r="A45" s="2" t="s">
        <v>16</v>
      </c>
      <c r="B45" s="10">
        <f t="shared" ref="B45:J45" si="3">B42</f>
        <v>2.9846169517804682</v>
      </c>
      <c r="C45" s="10">
        <f t="shared" si="3"/>
        <v>2.0451729958492035</v>
      </c>
      <c r="D45" s="10">
        <f t="shared" si="3"/>
        <v>1.8041726864875596</v>
      </c>
      <c r="E45" s="10">
        <f t="shared" si="3"/>
        <v>1.5647316614807134</v>
      </c>
      <c r="F45" s="10">
        <f t="shared" si="3"/>
        <v>1.3418718364273061</v>
      </c>
      <c r="G45" s="10">
        <f t="shared" si="3"/>
        <v>1.202979206313205</v>
      </c>
      <c r="H45" s="10">
        <f t="shared" si="3"/>
        <v>1.1236844509090778</v>
      </c>
      <c r="I45" s="9">
        <f t="shared" si="3"/>
        <v>1.0707179816384009</v>
      </c>
      <c r="J45" s="9">
        <f t="shared" si="3"/>
        <v>1.0449355330081185</v>
      </c>
      <c r="K45" s="11">
        <f>K52</f>
        <v>1.030041404938244</v>
      </c>
      <c r="L45" s="11">
        <f t="shared" ref="L45:R45" si="4">L52</f>
        <v>1.0177939983984112</v>
      </c>
      <c r="M45" s="11">
        <f t="shared" si="4"/>
        <v>1.0105396661592077</v>
      </c>
      <c r="N45" s="11">
        <f t="shared" si="4"/>
        <v>1.0062428106522403</v>
      </c>
      <c r="O45" s="11">
        <f t="shared" si="4"/>
        <v>1.0036977153024602</v>
      </c>
      <c r="P45" s="11">
        <f t="shared" si="4"/>
        <v>1.0021902151482267</v>
      </c>
      <c r="Q45" s="11">
        <f t="shared" si="4"/>
        <v>1.0012972990084799</v>
      </c>
      <c r="R45" s="11">
        <f t="shared" si="4"/>
        <v>1.0007684106827428</v>
      </c>
      <c r="S45" s="34">
        <f>1+(R52-1)*C49/(1-C49)</f>
        <v>1.0011164076585175</v>
      </c>
    </row>
    <row r="46" spans="1:20" ht="15" x14ac:dyDescent="0.2">
      <c r="A46" s="91" t="s">
        <v>148</v>
      </c>
      <c r="B46" s="91">
        <f>PRODUCT(B45:$S45)</f>
        <v>37.620085548749891</v>
      </c>
      <c r="C46" s="91">
        <f>PRODUCT(C45:$S45)</f>
        <v>12.604661220029488</v>
      </c>
      <c r="D46" s="91">
        <f>PRODUCT(D45:$S45)</f>
        <v>6.1631271514005794</v>
      </c>
      <c r="E46" s="91">
        <f>PRODUCT(E45:$S45)</f>
        <v>3.4160406027425338</v>
      </c>
      <c r="F46" s="91">
        <f>PRODUCT(F45:$S45)</f>
        <v>2.1831478756618994</v>
      </c>
      <c r="G46" s="91">
        <f>PRODUCT(G45:$S45)</f>
        <v>1.6269421686906145</v>
      </c>
      <c r="H46" s="91">
        <f>PRODUCT(H45:$S45)</f>
        <v>1.3524275067702443</v>
      </c>
      <c r="I46" s="91">
        <f>PRODUCT(I45:$S45)</f>
        <v>1.2035652052283092</v>
      </c>
      <c r="J46" s="91">
        <f>PRODUCT(J45:$S45)</f>
        <v>1.1240730293766301</v>
      </c>
      <c r="K46" s="91">
        <f>PRODUCT(K45:$S45)</f>
        <v>1.0757343337159706</v>
      </c>
      <c r="L46" s="91">
        <f>PRODUCT(L45:$S45)</f>
        <v>1.0443602835368215</v>
      </c>
      <c r="M46" s="91">
        <f>PRODUCT(M45:$S45)</f>
        <v>1.0261018292308806</v>
      </c>
      <c r="N46" s="91">
        <f>PRODUCT(N45:$S45)</f>
        <v>1.0153998537542031</v>
      </c>
      <c r="O46" s="91">
        <f>PRODUCT(O45:$S45)</f>
        <v>1.009100232076219</v>
      </c>
      <c r="P46" s="91">
        <f>PRODUCT(P45:$S45)</f>
        <v>1.0053826134018158</v>
      </c>
      <c r="Q46" s="91">
        <f>PRODUCT(Q45:$S45)</f>
        <v>1.003185421495177</v>
      </c>
      <c r="R46" s="91">
        <f>PRODUCT(R45:$S45)</f>
        <v>1.0018856762008315</v>
      </c>
      <c r="S46" s="91">
        <f>PRODUCT(S45:$S45)</f>
        <v>1.0011164076585175</v>
      </c>
    </row>
    <row r="47" spans="1:20" ht="1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15" x14ac:dyDescent="0.2">
      <c r="C48" s="1" t="s">
        <v>56</v>
      </c>
      <c r="F48" s="12"/>
      <c r="G48" s="12"/>
      <c r="H48" s="12"/>
      <c r="I48" s="14" t="s">
        <v>19</v>
      </c>
      <c r="J48" s="12">
        <f t="shared" ref="J48:R48" si="5">J42-1</f>
        <v>4.4935533008118478E-2</v>
      </c>
      <c r="K48" s="12">
        <f t="shared" si="5"/>
        <v>3.2648717882948208E-2</v>
      </c>
      <c r="L48" s="12">
        <f t="shared" si="5"/>
        <v>1.4032371329211868E-2</v>
      </c>
      <c r="M48" s="12">
        <f t="shared" si="5"/>
        <v>8.7010399089955115E-3</v>
      </c>
      <c r="N48" s="12">
        <f t="shared" si="5"/>
        <v>7.6785689514442534E-3</v>
      </c>
      <c r="O48" s="12">
        <f t="shared" si="5"/>
        <v>8.6250186482175195E-3</v>
      </c>
      <c r="P48" s="12">
        <f t="shared" si="5"/>
        <v>1.4748175965413335E-3</v>
      </c>
      <c r="Q48" s="12">
        <f t="shared" si="5"/>
        <v>1.5710325176421236E-3</v>
      </c>
      <c r="R48" s="12">
        <f t="shared" si="5"/>
        <v>5.2396151675893066E-4</v>
      </c>
    </row>
    <row r="49" spans="1:19" ht="15" x14ac:dyDescent="0.2">
      <c r="A49" s="1" t="s">
        <v>17</v>
      </c>
      <c r="B49" s="1">
        <f>SLOPE(J49:R49,J6:R6)</f>
        <v>-0.52371536290320664</v>
      </c>
      <c r="C49" s="1">
        <f>EXP(B49)</f>
        <v>0.59231578666145568</v>
      </c>
      <c r="I49" s="15" t="s">
        <v>20</v>
      </c>
      <c r="J49" s="1">
        <f t="shared" ref="J49:R49" si="6">LN(J48)</f>
        <v>-3.1025264161836441</v>
      </c>
      <c r="K49" s="1">
        <f t="shared" si="6"/>
        <v>-3.42194969254686</v>
      </c>
      <c r="L49" s="1">
        <f t="shared" si="6"/>
        <v>-4.266388380674238</v>
      </c>
      <c r="M49" s="1">
        <f t="shared" si="6"/>
        <v>-4.7443127306951141</v>
      </c>
      <c r="N49" s="1">
        <f t="shared" si="6"/>
        <v>-4.8693220836323388</v>
      </c>
      <c r="O49" s="1">
        <f t="shared" si="6"/>
        <v>-4.7530881539548746</v>
      </c>
      <c r="P49" s="1">
        <f t="shared" si="6"/>
        <v>-6.5192209601991058</v>
      </c>
      <c r="Q49" s="1">
        <f t="shared" si="6"/>
        <v>-6.4560222212327831</v>
      </c>
      <c r="R49" s="1">
        <f t="shared" si="6"/>
        <v>-7.5540923176399266</v>
      </c>
    </row>
    <row r="50" spans="1:19" ht="15" x14ac:dyDescent="0.2">
      <c r="A50" s="1" t="s">
        <v>18</v>
      </c>
      <c r="B50" s="1">
        <f>INTERCEPT(J49:R49,J6:R6)</f>
        <v>1.2082595818652697</v>
      </c>
      <c r="C50" s="1">
        <f>EXP(B50)</f>
        <v>3.3476532630451761</v>
      </c>
      <c r="I50" s="16" t="s">
        <v>21</v>
      </c>
      <c r="J50" s="1">
        <f t="shared" ref="J50:R50" si="7">_xlfn.FORECAST.LINEAR(J6,$J49:$R49,$J6:$R6)</f>
        <v>-2.9814633213603834</v>
      </c>
      <c r="K50" s="1">
        <f t="shared" si="7"/>
        <v>-3.5051786842635897</v>
      </c>
      <c r="L50" s="1">
        <f t="shared" si="7"/>
        <v>-4.0288940471667969</v>
      </c>
      <c r="M50" s="1">
        <f t="shared" si="7"/>
        <v>-4.5526094100700032</v>
      </c>
      <c r="N50" s="1">
        <f t="shared" si="7"/>
        <v>-5.0763247729732095</v>
      </c>
      <c r="O50" s="1">
        <f t="shared" si="7"/>
        <v>-5.6000401358764167</v>
      </c>
      <c r="P50" s="1">
        <f t="shared" si="7"/>
        <v>-6.123755498779623</v>
      </c>
      <c r="Q50" s="1">
        <f t="shared" si="7"/>
        <v>-6.6474708616828302</v>
      </c>
      <c r="R50" s="1">
        <f t="shared" si="7"/>
        <v>-7.1711862245860365</v>
      </c>
    </row>
    <row r="51" spans="1:19" ht="15" x14ac:dyDescent="0.2">
      <c r="I51" s="17" t="s">
        <v>22</v>
      </c>
      <c r="J51" s="1">
        <f>EXP(J50)</f>
        <v>5.0718561981219781E-2</v>
      </c>
      <c r="K51" s="1">
        <f t="shared" ref="K51:R51" si="8">EXP(K50)</f>
        <v>3.0041404938244001E-2</v>
      </c>
      <c r="L51" s="1">
        <f t="shared" si="8"/>
        <v>1.7793998398411323E-2</v>
      </c>
      <c r="M51" s="1">
        <f t="shared" si="8"/>
        <v>1.053966615920769E-2</v>
      </c>
      <c r="N51" s="1">
        <f t="shared" si="8"/>
        <v>6.2428106522402277E-3</v>
      </c>
      <c r="O51" s="1">
        <f t="shared" si="8"/>
        <v>3.6977153024601835E-3</v>
      </c>
      <c r="P51" s="1">
        <f t="shared" si="8"/>
        <v>2.1902151482268068E-3</v>
      </c>
      <c r="Q51" s="1">
        <f t="shared" si="8"/>
        <v>1.2972990084797972E-3</v>
      </c>
      <c r="R51" s="1">
        <f t="shared" si="8"/>
        <v>7.6841068274283771E-4</v>
      </c>
    </row>
    <row r="52" spans="1:19" ht="15" x14ac:dyDescent="0.2">
      <c r="I52" s="15" t="s">
        <v>23</v>
      </c>
      <c r="J52" s="12">
        <f>1+J51</f>
        <v>1.0507185619812198</v>
      </c>
      <c r="K52" s="18">
        <f t="shared" ref="K52:R52" si="9">1+K51</f>
        <v>1.030041404938244</v>
      </c>
      <c r="L52" s="18">
        <f t="shared" si="9"/>
        <v>1.0177939983984112</v>
      </c>
      <c r="M52" s="18">
        <f t="shared" si="9"/>
        <v>1.0105396661592077</v>
      </c>
      <c r="N52" s="18">
        <f t="shared" si="9"/>
        <v>1.0062428106522403</v>
      </c>
      <c r="O52" s="18">
        <f t="shared" si="9"/>
        <v>1.0036977153024602</v>
      </c>
      <c r="P52" s="18">
        <f t="shared" si="9"/>
        <v>1.0021902151482267</v>
      </c>
      <c r="Q52" s="18">
        <f t="shared" si="9"/>
        <v>1.0012972990084799</v>
      </c>
      <c r="R52" s="18">
        <f t="shared" si="9"/>
        <v>1.0007684106827428</v>
      </c>
    </row>
    <row r="53" spans="1:19" ht="15" x14ac:dyDescent="0.2">
      <c r="I53" s="16"/>
    </row>
    <row r="55" spans="1:19" ht="15" x14ac:dyDescent="0.2">
      <c r="A55" s="93" t="s">
        <v>149</v>
      </c>
      <c r="B55" s="94">
        <f>1/B46</f>
        <v>2.6581545081925787E-2</v>
      </c>
      <c r="C55" s="94">
        <f>1/C46-1/B46</f>
        <v>5.2754184974106652E-2</v>
      </c>
      <c r="D55" s="94">
        <f t="shared" ref="D55:S55" si="10">1/D46-1/C46</f>
        <v>8.2919562660547105E-2</v>
      </c>
      <c r="E55" s="94">
        <f t="shared" si="10"/>
        <v>0.1304812746407171</v>
      </c>
      <c r="F55" s="94">
        <f t="shared" si="10"/>
        <v>0.16531760805984691</v>
      </c>
      <c r="G55" s="94">
        <f t="shared" si="10"/>
        <v>0.15659582213305445</v>
      </c>
      <c r="H55" s="94">
        <f t="shared" si="10"/>
        <v>0.12476116866315223</v>
      </c>
      <c r="I55" s="94">
        <f t="shared" si="10"/>
        <v>9.1453664089139131E-2</v>
      </c>
      <c r="J55" s="94">
        <f t="shared" si="10"/>
        <v>5.8757083813325228E-2</v>
      </c>
      <c r="K55" s="94">
        <f t="shared" si="10"/>
        <v>3.9975634886496025E-2</v>
      </c>
      <c r="L55" s="94">
        <f t="shared" si="10"/>
        <v>2.79264163991777E-2</v>
      </c>
      <c r="M55" s="94">
        <f t="shared" si="10"/>
        <v>1.7038179906794237E-2</v>
      </c>
      <c r="N55" s="94">
        <f t="shared" si="10"/>
        <v>1.0271559662950458E-2</v>
      </c>
      <c r="O55" s="94">
        <f t="shared" si="10"/>
        <v>6.1481303440801272E-3</v>
      </c>
      <c r="P55" s="94">
        <f t="shared" si="10"/>
        <v>3.6643686969054512E-3</v>
      </c>
      <c r="Q55" s="94">
        <f t="shared" si="10"/>
        <v>2.1784891831536646E-3</v>
      </c>
      <c r="R55" s="94">
        <f t="shared" si="10"/>
        <v>1.2931796861106459E-3</v>
      </c>
      <c r="S55" s="94">
        <f t="shared" si="10"/>
        <v>7.6696443615864585E-4</v>
      </c>
    </row>
    <row r="57" spans="1:19" ht="15" x14ac:dyDescent="0.2">
      <c r="B57" s="95">
        <f>B31/B46</f>
        <v>0.6633684514655831</v>
      </c>
      <c r="C57" s="95">
        <f>C31/C46</f>
        <v>0.61254490289275254</v>
      </c>
      <c r="D57" s="95">
        <f>D31/D46</f>
        <v>0.66213441827341024</v>
      </c>
    </row>
  </sheetData>
  <phoneticPr fontId="8" type="noConversion"/>
  <conditionalFormatting sqref="B8:B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C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D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E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F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:H1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:I1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1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K1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1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8:M1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8:N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8:O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69FC-66BE-D740-9812-D866A084BF1D}">
  <dimension ref="A1:W60"/>
  <sheetViews>
    <sheetView workbookViewId="0">
      <selection activeCell="N40" sqref="N40"/>
    </sheetView>
  </sheetViews>
  <sheetFormatPr baseColWidth="10" defaultColWidth="10.83203125" defaultRowHeight="16" x14ac:dyDescent="0.2"/>
  <cols>
    <col min="1" max="1" width="10.83203125" style="1"/>
    <col min="2" max="20" width="10" style="1" customWidth="1"/>
    <col min="21" max="16384" width="10.83203125" style="1"/>
  </cols>
  <sheetData>
    <row r="1" spans="1:23" ht="15.75" x14ac:dyDescent="0.25">
      <c r="A1" s="2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U1" s="3"/>
    </row>
    <row r="2" spans="1:23" ht="15.75" x14ac:dyDescent="0.25">
      <c r="A2" s="21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3" ht="1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U3" s="3"/>
      <c r="W3" s="3"/>
    </row>
    <row r="4" spans="1:23" ht="15.75" x14ac:dyDescent="0.25">
      <c r="A4" s="20" t="s">
        <v>0</v>
      </c>
      <c r="B4" s="21" t="s">
        <v>26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6"/>
      <c r="U4" s="3"/>
      <c r="W4" s="3"/>
    </row>
    <row r="5" spans="1:23" ht="15.75" x14ac:dyDescent="0.25">
      <c r="A5" s="20" t="s">
        <v>1</v>
      </c>
      <c r="B5" s="23" t="s">
        <v>27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3" ht="15.75" x14ac:dyDescent="0.25">
      <c r="A6" s="24"/>
      <c r="B6" s="24">
        <v>0</v>
      </c>
      <c r="C6" s="24">
        <f t="shared" ref="C6:S6" si="0">B6+1</f>
        <v>1</v>
      </c>
      <c r="D6" s="24">
        <f t="shared" si="0"/>
        <v>2</v>
      </c>
      <c r="E6" s="24">
        <f t="shared" si="0"/>
        <v>3</v>
      </c>
      <c r="F6" s="24">
        <f t="shared" si="0"/>
        <v>4</v>
      </c>
      <c r="G6" s="24">
        <f t="shared" si="0"/>
        <v>5</v>
      </c>
      <c r="H6" s="24">
        <f t="shared" si="0"/>
        <v>6</v>
      </c>
      <c r="I6" s="24">
        <f t="shared" si="0"/>
        <v>7</v>
      </c>
      <c r="J6" s="24">
        <f t="shared" si="0"/>
        <v>8</v>
      </c>
      <c r="K6" s="24">
        <f t="shared" si="0"/>
        <v>9</v>
      </c>
      <c r="L6" s="24">
        <f t="shared" si="0"/>
        <v>10</v>
      </c>
      <c r="M6" s="24">
        <f t="shared" si="0"/>
        <v>11</v>
      </c>
      <c r="N6" s="24">
        <f t="shared" si="0"/>
        <v>12</v>
      </c>
      <c r="O6" s="24">
        <f t="shared" si="0"/>
        <v>13</v>
      </c>
      <c r="P6" s="24">
        <f t="shared" si="0"/>
        <v>14</v>
      </c>
      <c r="Q6" s="24">
        <f t="shared" si="0"/>
        <v>15</v>
      </c>
      <c r="R6" s="24">
        <f t="shared" si="0"/>
        <v>16</v>
      </c>
      <c r="S6" s="24">
        <f t="shared" si="0"/>
        <v>17</v>
      </c>
      <c r="T6" s="27" t="s">
        <v>28</v>
      </c>
      <c r="W6" s="3"/>
    </row>
    <row r="7" spans="1:23" ht="15" x14ac:dyDescent="0.2"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</row>
    <row r="8" spans="1:23" ht="15" x14ac:dyDescent="0.2">
      <c r="W8" s="3"/>
    </row>
    <row r="9" spans="1:23" ht="15.75" x14ac:dyDescent="0.25">
      <c r="A9" s="3">
        <f>'Payment data'!A18</f>
        <v>1978</v>
      </c>
      <c r="B9" s="35">
        <f>SUM('Payment data'!$C18:C18)</f>
        <v>1043.181</v>
      </c>
      <c r="C9" s="35">
        <f>SUM('Payment data'!$C18:D18)</f>
        <v>3950.0370000000003</v>
      </c>
      <c r="D9" s="35">
        <f>SUM('Payment data'!$C18:E18)</f>
        <v>7461.0889999999999</v>
      </c>
      <c r="E9" s="35">
        <f>SUM('Payment data'!$C18:F18)</f>
        <v>11775.4</v>
      </c>
      <c r="F9" s="35">
        <f>SUM('Payment data'!$C18:G18)</f>
        <v>15607.319</v>
      </c>
      <c r="G9" s="35">
        <f>SUM('Payment data'!$C18:H18)</f>
        <v>17639.206999999999</v>
      </c>
      <c r="H9" s="35">
        <f>SUM('Payment data'!$C18:I18)</f>
        <v>19503.525999999998</v>
      </c>
      <c r="I9" s="35">
        <f>SUM('Payment data'!$C18:J18)</f>
        <v>22187.582999999999</v>
      </c>
      <c r="J9" s="35">
        <f>SUM('Payment data'!$C18:K18)</f>
        <v>23619.066999999999</v>
      </c>
      <c r="K9" s="35">
        <f>SUM('Payment data'!$C18:L18)</f>
        <v>23849.380999999998</v>
      </c>
      <c r="L9" s="35">
        <f>SUM('Payment data'!$C18:M18)</f>
        <v>23994.255999999998</v>
      </c>
      <c r="M9" s="35">
        <f>SUM('Payment data'!$C18:N18)</f>
        <v>24521.999999999996</v>
      </c>
      <c r="N9" s="35">
        <f>SUM('Payment data'!$C18:O18)</f>
        <v>24772.102999999996</v>
      </c>
      <c r="O9" s="35">
        <f>SUM('Payment data'!$C18:P18)</f>
        <v>24772.102999999996</v>
      </c>
      <c r="P9" s="35">
        <f>SUM('Payment data'!$C18:Q18)</f>
        <v>25301.129999999997</v>
      </c>
      <c r="Q9" s="35">
        <f>SUM('Payment data'!$C18:R18)</f>
        <v>25385.022999999997</v>
      </c>
      <c r="R9" s="35">
        <f>SUM('Payment data'!$C18:S18)</f>
        <v>25456.067999999996</v>
      </c>
      <c r="S9" s="35">
        <f>SUM('Payment data'!$C18:T18)</f>
        <v>25469.405999999995</v>
      </c>
      <c r="T9" s="36">
        <f>S9*'Table 3.1'!S$45</f>
        <v>25497.840239916288</v>
      </c>
      <c r="W9" s="3"/>
    </row>
    <row r="10" spans="1:23" ht="15.75" x14ac:dyDescent="0.25">
      <c r="A10" s="3">
        <f>'Payment data'!A19</f>
        <v>1979</v>
      </c>
      <c r="B10" s="35">
        <f>SUM('Payment data'!$C19:C19)</f>
        <v>1289.7149999999999</v>
      </c>
      <c r="C10" s="35">
        <f>SUM('Payment data'!$C19:D19)</f>
        <v>5163.857</v>
      </c>
      <c r="D10" s="35">
        <f>SUM('Payment data'!$C19:E19)</f>
        <v>8697.277</v>
      </c>
      <c r="E10" s="35">
        <f>SUM('Payment data'!$C19:F19)</f>
        <v>12638.86</v>
      </c>
      <c r="F10" s="35">
        <f>SUM('Payment data'!$C19:G19)</f>
        <v>14134.765000000001</v>
      </c>
      <c r="G10" s="35">
        <f>SUM('Payment data'!$C19:H19)</f>
        <v>16185.838000000002</v>
      </c>
      <c r="H10" s="35">
        <f>SUM('Payment data'!$C19:I19)</f>
        <v>17036.136000000002</v>
      </c>
      <c r="I10" s="35">
        <f>SUM('Payment data'!$C19:J19)</f>
        <v>18162.013000000003</v>
      </c>
      <c r="J10" s="35">
        <f>SUM('Payment data'!$C19:K19)</f>
        <v>18900.304000000004</v>
      </c>
      <c r="K10" s="35">
        <f>SUM('Payment data'!$C19:L19)</f>
        <v>19013.121000000003</v>
      </c>
      <c r="L10" s="35">
        <f>SUM('Payment data'!$C19:M19)</f>
        <v>19040.248000000003</v>
      </c>
      <c r="M10" s="35">
        <f>SUM('Payment data'!$C19:N19)</f>
        <v>19248.442000000003</v>
      </c>
      <c r="N10" s="35">
        <f>SUM('Payment data'!$C19:O19)</f>
        <v>19462.823000000004</v>
      </c>
      <c r="O10" s="35">
        <f>SUM('Payment data'!$C19:P19)</f>
        <v>19829.939000000006</v>
      </c>
      <c r="P10" s="35">
        <f>SUM('Payment data'!$C19:Q19)</f>
        <v>19836.829000000005</v>
      </c>
      <c r="Q10" s="35">
        <f>SUM('Payment data'!$C19:R19)</f>
        <v>19836.829000000005</v>
      </c>
      <c r="R10" s="35">
        <f>SUM('Payment data'!$C19:S19)</f>
        <v>19836.829000000005</v>
      </c>
      <c r="S10" s="36">
        <f>R10*'Table 3.1'!R$45</f>
        <v>19852.071831315348</v>
      </c>
      <c r="T10" s="36">
        <f>S10*'Table 3.1'!S$45</f>
        <v>19874.234836345269</v>
      </c>
    </row>
    <row r="11" spans="1:23" ht="15.75" x14ac:dyDescent="0.25">
      <c r="A11" s="3">
        <f>'Payment data'!A20</f>
        <v>1980</v>
      </c>
      <c r="B11" s="35">
        <f>SUM('Payment data'!$C20:C20)</f>
        <v>1752.1020000000001</v>
      </c>
      <c r="C11" s="35">
        <f>SUM('Payment data'!$C20:D20)</f>
        <v>5988.9479999999994</v>
      </c>
      <c r="D11" s="35">
        <f>SUM('Payment data'!$C20:E20)</f>
        <v>10381.272999999999</v>
      </c>
      <c r="E11" s="35">
        <f>SUM('Payment data'!$C20:F20)</f>
        <v>15771.291999999999</v>
      </c>
      <c r="F11" s="35">
        <f>SUM('Payment data'!$C20:G20)</f>
        <v>20686.460999999999</v>
      </c>
      <c r="G11" s="35">
        <f>SUM('Payment data'!$C20:H20)</f>
        <v>24189.155999999999</v>
      </c>
      <c r="H11" s="35">
        <f>SUM('Payment data'!$C20:I20)</f>
        <v>26711.618999999999</v>
      </c>
      <c r="I11" s="35">
        <f>SUM('Payment data'!$C20:J20)</f>
        <v>27713.492999999999</v>
      </c>
      <c r="J11" s="35">
        <f>SUM('Payment data'!$C20:K20)</f>
        <v>28884.064999999999</v>
      </c>
      <c r="K11" s="35">
        <f>SUM('Payment data'!$C20:L20)</f>
        <v>29360.969999999998</v>
      </c>
      <c r="L11" s="35">
        <f>SUM('Payment data'!$C20:M20)</f>
        <v>30303.344999999998</v>
      </c>
      <c r="M11" s="35">
        <f>SUM('Payment data'!$C20:N20)</f>
        <v>30808.966999999997</v>
      </c>
      <c r="N11" s="35">
        <f>SUM('Payment data'!$C20:O20)</f>
        <v>31192.269999999997</v>
      </c>
      <c r="O11" s="35">
        <f>SUM('Payment data'!$C20:P20)</f>
        <v>31615.520999999997</v>
      </c>
      <c r="P11" s="35">
        <f>SUM('Payment data'!$C20:Q20)</f>
        <v>31963.100999999999</v>
      </c>
      <c r="Q11" s="35">
        <f>SUM('Payment data'!$C20:R20)</f>
        <v>31992.917999999998</v>
      </c>
      <c r="R11" s="36">
        <f>Q11*'Table 3.1'!Q$45</f>
        <v>32034.422380799777</v>
      </c>
      <c r="S11" s="36">
        <f>R11*'Table 3.1'!R$45</f>
        <v>32059.037973172679</v>
      </c>
      <c r="T11" s="36">
        <f>S11*'Table 3.1'!S$45</f>
        <v>32094.828928690633</v>
      </c>
    </row>
    <row r="12" spans="1:23" ht="15.75" x14ac:dyDescent="0.25">
      <c r="A12" s="3">
        <f>'Payment data'!A21</f>
        <v>1981</v>
      </c>
      <c r="B12" s="35">
        <f>SUM('Payment data'!$C21:C21)</f>
        <v>2242.922</v>
      </c>
      <c r="C12" s="35">
        <f>SUM('Payment data'!$C21:D21)</f>
        <v>6305.0460000000003</v>
      </c>
      <c r="D12" s="35">
        <f>SUM('Payment data'!$C21:E21)</f>
        <v>13071.17</v>
      </c>
      <c r="E12" s="35">
        <f>SUM('Payment data'!$C21:F21)</f>
        <v>19853.953999999998</v>
      </c>
      <c r="F12" s="35">
        <f>SUM('Payment data'!$C21:G21)</f>
        <v>24551.470999999998</v>
      </c>
      <c r="G12" s="35">
        <f>SUM('Payment data'!$C21:H21)</f>
        <v>28596.540999999997</v>
      </c>
      <c r="H12" s="35">
        <f>SUM('Payment data'!$C21:I21)</f>
        <v>31450.830999999998</v>
      </c>
      <c r="I12" s="35">
        <f>SUM('Payment data'!$C21:J21)</f>
        <v>33641.112999999998</v>
      </c>
      <c r="J12" s="35">
        <f>SUM('Payment data'!$C21:K21)</f>
        <v>34994.038</v>
      </c>
      <c r="K12" s="35">
        <f>SUM('Payment data'!$C21:L21)</f>
        <v>36429.315000000002</v>
      </c>
      <c r="L12" s="35">
        <f>SUM('Payment data'!$C21:M21)</f>
        <v>38698.450000000004</v>
      </c>
      <c r="M12" s="35">
        <f>SUM('Payment data'!$C21:N21)</f>
        <v>38931.445000000007</v>
      </c>
      <c r="N12" s="35">
        <f>SUM('Payment data'!$C21:O21)</f>
        <v>38965.651000000005</v>
      </c>
      <c r="O12" s="35">
        <f>SUM('Payment data'!$C21:P21)</f>
        <v>39007.927000000003</v>
      </c>
      <c r="P12" s="35">
        <f>SUM('Payment data'!$C21:Q21)</f>
        <v>39118.252</v>
      </c>
      <c r="Q12" s="36">
        <f>P12*'Table 3.1'!P$45</f>
        <v>39203.929388102551</v>
      </c>
      <c r="R12" s="36">
        <f>Q12*'Table 3.1'!Q$45</f>
        <v>39254.788606826252</v>
      </c>
      <c r="S12" s="36">
        <f>R12*'Table 3.1'!R$45</f>
        <v>39284.952405740551</v>
      </c>
      <c r="T12" s="36">
        <f>S12*'Table 3.1'!S$45</f>
        <v>39328.810427470817</v>
      </c>
    </row>
    <row r="13" spans="1:23" ht="15.75" x14ac:dyDescent="0.25">
      <c r="A13" s="3">
        <f>'Payment data'!A22</f>
        <v>1982</v>
      </c>
      <c r="B13" s="35">
        <f>SUM('Payment data'!$C22:C22)</f>
        <v>1152.0340000000001</v>
      </c>
      <c r="C13" s="35">
        <f>SUM('Payment data'!$C22:D22)</f>
        <v>6352.9600000000009</v>
      </c>
      <c r="D13" s="35">
        <f>SUM('Payment data'!$C22:E22)</f>
        <v>12225.490000000002</v>
      </c>
      <c r="E13" s="35">
        <f>SUM('Payment data'!$C22:F22)</f>
        <v>20584.410000000003</v>
      </c>
      <c r="F13" s="35">
        <f>SUM('Payment data'!$C22:G22)</f>
        <v>26332.203000000001</v>
      </c>
      <c r="G13" s="35">
        <f>SUM('Payment data'!$C22:H22)</f>
        <v>30080.842000000001</v>
      </c>
      <c r="H13" s="35">
        <f>SUM('Payment data'!$C22:I22)</f>
        <v>31841.378000000001</v>
      </c>
      <c r="I13" s="35">
        <f>SUM('Payment data'!$C22:J22)</f>
        <v>33058.769</v>
      </c>
      <c r="J13" s="35">
        <f>SUM('Payment data'!$C22:K22)</f>
        <v>34786.792999999998</v>
      </c>
      <c r="K13" s="35">
        <f>SUM('Payment data'!$C22:L22)</f>
        <v>37614.061000000002</v>
      </c>
      <c r="L13" s="35">
        <f>SUM('Payment data'!$C22:M22)</f>
        <v>38417.036</v>
      </c>
      <c r="M13" s="35">
        <f>SUM('Payment data'!$C22:N22)</f>
        <v>38681.440999999999</v>
      </c>
      <c r="N13" s="35">
        <f>SUM('Payment data'!$C22:O22)</f>
        <v>39082.756000000001</v>
      </c>
      <c r="O13" s="35">
        <f>SUM('Payment data'!$C22:P22)</f>
        <v>39428.586000000003</v>
      </c>
      <c r="P13" s="36">
        <f>O13*'Table 3.1'!O$45</f>
        <v>39574.381685806569</v>
      </c>
      <c r="Q13" s="36">
        <f>P13*'Table 3.1'!P$45</f>
        <v>39661.058096056528</v>
      </c>
      <c r="R13" s="36">
        <f>Q13*'Table 3.1'!Q$45</f>
        <v>39712.510347399802</v>
      </c>
      <c r="S13" s="36">
        <f>R13*'Table 3.1'!R$45</f>
        <v>39743.025864589275</v>
      </c>
      <c r="T13" s="36">
        <f>S13*'Table 3.1'!S$45</f>
        <v>39787.395283037164</v>
      </c>
    </row>
    <row r="14" spans="1:23" ht="15.75" x14ac:dyDescent="0.25">
      <c r="A14" s="3">
        <f>'Payment data'!A23</f>
        <v>1983</v>
      </c>
      <c r="B14" s="35">
        <f>SUM('Payment data'!$C23:C23)</f>
        <v>1897.289</v>
      </c>
      <c r="C14" s="35">
        <f>SUM('Payment data'!$C23:D23)</f>
        <v>6205.5050000000001</v>
      </c>
      <c r="D14" s="35">
        <f>SUM('Payment data'!$C23:E23)</f>
        <v>11197.684000000001</v>
      </c>
      <c r="E14" s="35">
        <f>SUM('Payment data'!$C23:F23)</f>
        <v>17300.373</v>
      </c>
      <c r="F14" s="35">
        <f>SUM('Payment data'!$C23:G23)</f>
        <v>23249.828000000001</v>
      </c>
      <c r="G14" s="35">
        <f>SUM('Payment data'!$C23:H23)</f>
        <v>26332.398000000001</v>
      </c>
      <c r="H14" s="35">
        <f>SUM('Payment data'!$C23:I23)</f>
        <v>29455.339</v>
      </c>
      <c r="I14" s="35">
        <f>SUM('Payment data'!$C23:J23)</f>
        <v>32041.882000000001</v>
      </c>
      <c r="J14" s="35">
        <f>SUM('Payment data'!$C23:K23)</f>
        <v>33769.498</v>
      </c>
      <c r="K14" s="35">
        <f>SUM('Payment data'!$C23:L23)</f>
        <v>34287.701000000001</v>
      </c>
      <c r="L14" s="35">
        <f>SUM('Payment data'!$C23:M23)</f>
        <v>35350.985000000001</v>
      </c>
      <c r="M14" s="35">
        <f>SUM('Payment data'!$C23:N23)</f>
        <v>36000.038</v>
      </c>
      <c r="N14" s="35">
        <f>SUM('Payment data'!$C23:O23)</f>
        <v>36354.199000000001</v>
      </c>
      <c r="O14" s="36">
        <f>N14*'Table 3.1'!N$45</f>
        <v>36581.151380770862</v>
      </c>
      <c r="P14" s="36">
        <f>O14*'Table 3.1'!O$45</f>
        <v>36716.418064013153</v>
      </c>
      <c r="Q14" s="36">
        <f>P14*'Table 3.1'!P$45</f>
        <v>36796.834919045577</v>
      </c>
      <c r="R14" s="36">
        <f>Q14*'Table 3.1'!Q$45</f>
        <v>36844.571416501254</v>
      </c>
      <c r="S14" s="36">
        <f>R14*'Table 3.1'!R$45</f>
        <v>36872.883178778771</v>
      </c>
      <c r="T14" s="36">
        <f>S14*'Table 3.1'!S$45</f>
        <v>36914.048347951182</v>
      </c>
    </row>
    <row r="15" spans="1:23" ht="15.75" x14ac:dyDescent="0.25">
      <c r="A15" s="3">
        <f>'Payment data'!A24</f>
        <v>1984</v>
      </c>
      <c r="B15" s="35">
        <f>SUM('Payment data'!$C24:C24)</f>
        <v>2087.9850000000001</v>
      </c>
      <c r="C15" s="35">
        <f>SUM('Payment data'!$C24:D24)</f>
        <v>6564.07</v>
      </c>
      <c r="D15" s="35">
        <f>SUM('Payment data'!$C24:E24)</f>
        <v>13001.026</v>
      </c>
      <c r="E15" s="35">
        <f>SUM('Payment data'!$C24:F24)</f>
        <v>19747.392</v>
      </c>
      <c r="F15" s="35">
        <f>SUM('Payment data'!$C24:G24)</f>
        <v>24377.962</v>
      </c>
      <c r="G15" s="35">
        <f>SUM('Payment data'!$C24:H24)</f>
        <v>28101.15</v>
      </c>
      <c r="H15" s="35">
        <f>SUM('Payment data'!$C24:I24)</f>
        <v>37687.109000000004</v>
      </c>
      <c r="I15" s="35">
        <f>SUM('Payment data'!$C24:J24)</f>
        <v>41280.100000000006</v>
      </c>
      <c r="J15" s="35">
        <f>SUM('Payment data'!$C24:K24)</f>
        <v>45212.027000000009</v>
      </c>
      <c r="K15" s="35">
        <f>SUM('Payment data'!$C24:L24)</f>
        <v>46786.491000000009</v>
      </c>
      <c r="L15" s="35">
        <f>SUM('Payment data'!$C24:M24)</f>
        <v>47672.469000000012</v>
      </c>
      <c r="M15" s="35">
        <f>SUM('Payment data'!$C24:N24)</f>
        <v>48560.689000000013</v>
      </c>
      <c r="N15" s="36">
        <f>M15*'Table 3.1'!M$45</f>
        <v>49072.502450521119</v>
      </c>
      <c r="O15" s="36">
        <f>N15*'Table 3.1'!N$45</f>
        <v>49378.852791551319</v>
      </c>
      <c r="P15" s="36">
        <f>O15*'Table 3.1'!O$45</f>
        <v>49561.441731136569</v>
      </c>
      <c r="Q15" s="36">
        <f>P15*'Table 3.1'!P$45</f>
        <v>49669.991951584059</v>
      </c>
      <c r="R15" s="36">
        <f>Q15*'Table 3.1'!Q$45</f>
        <v>49734.428782894051</v>
      </c>
      <c r="S15" s="36">
        <f>R15*'Table 3.1'!R$45</f>
        <v>49772.645249270936</v>
      </c>
      <c r="T15" s="36">
        <f>S15*'Table 3.1'!S$45</f>
        <v>49828.211811611895</v>
      </c>
    </row>
    <row r="16" spans="1:23" ht="15.75" x14ac:dyDescent="0.25">
      <c r="A16" s="3">
        <f>'Payment data'!A25</f>
        <v>1985</v>
      </c>
      <c r="B16" s="35">
        <f>SUM('Payment data'!$C25:C25)</f>
        <v>1490.6769999999999</v>
      </c>
      <c r="C16" s="35">
        <f>SUM('Payment data'!$C25:D25)</f>
        <v>4783.7910000000002</v>
      </c>
      <c r="D16" s="35">
        <f>SUM('Payment data'!$C25:E25)</f>
        <v>9621.86</v>
      </c>
      <c r="E16" s="35">
        <f>SUM('Payment data'!$C25:F25)</f>
        <v>15229.266</v>
      </c>
      <c r="F16" s="35">
        <f>SUM('Payment data'!$C25:G25)</f>
        <v>20338.304</v>
      </c>
      <c r="G16" s="35">
        <f>SUM('Payment data'!$C25:H25)</f>
        <v>26638.627</v>
      </c>
      <c r="H16" s="35">
        <f>SUM('Payment data'!$C25:I25)</f>
        <v>31424.527000000002</v>
      </c>
      <c r="I16" s="35">
        <f>SUM('Payment data'!$C25:J25)</f>
        <v>34594.961000000003</v>
      </c>
      <c r="J16" s="35">
        <f>SUM('Payment data'!$C25:K25)</f>
        <v>35758.300000000003</v>
      </c>
      <c r="K16" s="35">
        <f>SUM('Payment data'!$C25:L25)</f>
        <v>38638.493000000002</v>
      </c>
      <c r="L16" s="35">
        <f>SUM('Payment data'!$C25:M25)</f>
        <v>39959.231</v>
      </c>
      <c r="M16" s="36">
        <f>L16*'Table 3.1'!L$45</f>
        <v>40670.265492415747</v>
      </c>
      <c r="N16" s="36">
        <f>M16*'Table 3.1'!M$45</f>
        <v>41098.91651331215</v>
      </c>
      <c r="O16" s="36">
        <f>N16*'Table 3.1'!N$45</f>
        <v>41355.489267116987</v>
      </c>
      <c r="P16" s="36">
        <f>O16*'Table 3.1'!O$45</f>
        <v>41508.410092620732</v>
      </c>
      <c r="Q16" s="36">
        <f>P16*'Table 3.1'!P$45</f>
        <v>41599.322441184398</v>
      </c>
      <c r="R16" s="36">
        <f>Q16*'Table 3.1'!Q$45</f>
        <v>41653.289200940781</v>
      </c>
      <c r="S16" s="36">
        <f>R16*'Table 3.1'!R$45</f>
        <v>41685.296033334162</v>
      </c>
      <c r="T16" s="36">
        <f>S16*'Table 3.1'!S$45</f>
        <v>41731.833817073348</v>
      </c>
    </row>
    <row r="17" spans="1:20" ht="15.75" x14ac:dyDescent="0.25">
      <c r="A17" s="3">
        <f>'Payment data'!A26</f>
        <v>1986</v>
      </c>
      <c r="B17" s="35">
        <f>SUM('Payment data'!$C26:C26)</f>
        <v>1483.1759999999999</v>
      </c>
      <c r="C17" s="35">
        <f>SUM('Payment data'!$C26:D26)</f>
        <v>5613.598</v>
      </c>
      <c r="D17" s="35">
        <f>SUM('Payment data'!$C26:E26)</f>
        <v>10097.427</v>
      </c>
      <c r="E17" s="35">
        <f>SUM('Payment data'!$C26:F26)</f>
        <v>15472.641</v>
      </c>
      <c r="F17" s="35">
        <f>SUM('Payment data'!$C26:G26)</f>
        <v>21988.550999999999</v>
      </c>
      <c r="G17" s="35">
        <f>SUM('Payment data'!$C26:H26)</f>
        <v>27426.116999999998</v>
      </c>
      <c r="H17" s="35">
        <f>SUM('Payment data'!$C26:I26)</f>
        <v>33534.095000000001</v>
      </c>
      <c r="I17" s="35">
        <f>SUM('Payment data'!$C26:J26)</f>
        <v>37467.705000000002</v>
      </c>
      <c r="J17" s="35">
        <f>SUM('Payment data'!$C26:K26)</f>
        <v>40383.741999999998</v>
      </c>
      <c r="K17" s="35">
        <f>SUM('Payment data'!$C26:L26)</f>
        <v>41254.536</v>
      </c>
      <c r="L17" s="36">
        <f>K17*'Table 3.1'!K$45</f>
        <v>42493.880221515363</v>
      </c>
      <c r="M17" s="36">
        <f>L17*'Table 3.1'!L$45</f>
        <v>43250.016258119285</v>
      </c>
      <c r="N17" s="36">
        <f>M17*'Table 3.1'!M$45</f>
        <v>43705.856990860164</v>
      </c>
      <c r="O17" s="36">
        <f>N17*'Table 3.1'!N$45</f>
        <v>43978.704380447998</v>
      </c>
      <c r="P17" s="36">
        <f>O17*'Table 3.1'!O$45</f>
        <v>44141.325108617952</v>
      </c>
      <c r="Q17" s="36">
        <f>P17*'Table 3.1'!P$45</f>
        <v>44238.004107533648</v>
      </c>
      <c r="R17" s="36">
        <f>Q17*'Table 3.1'!Q$45</f>
        <v>44295.394026399481</v>
      </c>
      <c r="S17" s="36">
        <f>R17*'Table 3.1'!R$45</f>
        <v>44329.43108036567</v>
      </c>
      <c r="T17" s="36">
        <f>S17*'Table 3.1'!S$45</f>
        <v>44378.920796721512</v>
      </c>
    </row>
    <row r="18" spans="1:20" ht="15.75" x14ac:dyDescent="0.25">
      <c r="A18" s="3">
        <f>'Payment data'!A27</f>
        <v>1987</v>
      </c>
      <c r="B18" s="35">
        <f>SUM('Payment data'!$C27:C27)</f>
        <v>1392.2090000000001</v>
      </c>
      <c r="C18" s="35">
        <f>SUM('Payment data'!$C27:D27)</f>
        <v>4079.4459999999999</v>
      </c>
      <c r="D18" s="35">
        <f>SUM('Payment data'!$C27:E27)</f>
        <v>8117.9830000000002</v>
      </c>
      <c r="E18" s="35">
        <f>SUM('Payment data'!$C27:F27)</f>
        <v>13655.536</v>
      </c>
      <c r="F18" s="35">
        <f>SUM('Payment data'!$C27:G27)</f>
        <v>19227.921000000002</v>
      </c>
      <c r="G18" s="35">
        <f>SUM('Payment data'!$C27:H27)</f>
        <v>25836.795000000002</v>
      </c>
      <c r="H18" s="35">
        <f>SUM('Payment data'!$C27:I27)</f>
        <v>31076.131000000001</v>
      </c>
      <c r="I18" s="35">
        <f>SUM('Payment data'!$C27:J27)</f>
        <v>36474.029000000002</v>
      </c>
      <c r="J18" s="35">
        <f>SUM('Payment data'!$C27:K27)</f>
        <v>40205.614000000001</v>
      </c>
      <c r="K18" s="36">
        <f>J18*'Table 3.1'!J$45</f>
        <v>42012.274695008673</v>
      </c>
      <c r="L18" s="36">
        <f>K18*'Table 3.1'!K$45</f>
        <v>43274.382451498168</v>
      </c>
      <c r="M18" s="36">
        <f>L18*'Table 3.1'!L$45</f>
        <v>44044.40674353236</v>
      </c>
      <c r="N18" s="36">
        <f>M18*'Table 3.1'!M$45</f>
        <v>44508.620086789546</v>
      </c>
      <c r="O18" s="36">
        <f>N18*'Table 3.1'!N$45</f>
        <v>44786.47897438387</v>
      </c>
      <c r="P18" s="36">
        <f>O18*'Table 3.1'!O$45</f>
        <v>44952.086623030758</v>
      </c>
      <c r="Q18" s="36">
        <f>P18*'Table 3.1'!P$45</f>
        <v>45050.54136409692</v>
      </c>
      <c r="R18" s="36">
        <f>Q18*'Table 3.1'!Q$45</f>
        <v>45108.985386740045</v>
      </c>
      <c r="S18" s="36">
        <f>R18*'Table 3.1'!R$45</f>
        <v>45143.647612998902</v>
      </c>
      <c r="T18" s="36">
        <f>S18*'Table 3.1'!S$45</f>
        <v>45194.04632692747</v>
      </c>
    </row>
    <row r="19" spans="1:20" ht="15.75" x14ac:dyDescent="0.25">
      <c r="A19" s="3">
        <f>'Payment data'!A28</f>
        <v>1988</v>
      </c>
      <c r="B19" s="35">
        <f>SUM('Payment data'!$C28:C28)</f>
        <v>1350.347</v>
      </c>
      <c r="C19" s="35">
        <f>SUM('Payment data'!$C28:D28)</f>
        <v>5377.1350000000002</v>
      </c>
      <c r="D19" s="35">
        <f>SUM('Payment data'!$C28:E28)</f>
        <v>8312.8389999999999</v>
      </c>
      <c r="E19" s="35">
        <f>SUM('Payment data'!$C28:F28)</f>
        <v>14770.701000000001</v>
      </c>
      <c r="F19" s="35">
        <f>SUM('Payment data'!$C28:G28)</f>
        <v>19284.125</v>
      </c>
      <c r="G19" s="35">
        <f>SUM('Payment data'!$C28:H28)</f>
        <v>24443.743000000002</v>
      </c>
      <c r="H19" s="35">
        <f>SUM('Payment data'!$C28:I28)</f>
        <v>30884.405000000002</v>
      </c>
      <c r="I19" s="35">
        <f>SUM('Payment data'!$C28:J28)</f>
        <v>33364.098000000005</v>
      </c>
      <c r="J19" s="36">
        <f>I19*'Table 3.1'!I$45</f>
        <v>35723.539669745813</v>
      </c>
      <c r="K19" s="36">
        <f>J19*'Table 3.1'!J$45</f>
        <v>37328.795965742509</v>
      </c>
      <c r="L19" s="36">
        <f>K19*'Table 3.1'!K$45</f>
        <v>38450.205441206468</v>
      </c>
      <c r="M19" s="36">
        <f>L19*'Table 3.1'!L$45</f>
        <v>39134.38833524588</v>
      </c>
      <c r="N19" s="36">
        <f>M19*'Table 3.1'!M$45</f>
        <v>39546.851723644162</v>
      </c>
      <c r="O19" s="36">
        <f>N19*'Table 3.1'!N$45</f>
        <v>39793.735230847094</v>
      </c>
      <c r="P19" s="36">
        <f>O19*'Table 3.1'!O$45</f>
        <v>39940.881134552248</v>
      </c>
      <c r="Q19" s="36">
        <f>P19*'Table 3.1'!P$45</f>
        <v>40028.360257446664</v>
      </c>
      <c r="R19" s="36">
        <f>Q19*'Table 3.1'!Q$45</f>
        <v>40080.289009519722</v>
      </c>
      <c r="S19" s="36">
        <f>R19*'Table 3.1'!R$45</f>
        <v>40111.087131762055</v>
      </c>
      <c r="T19" s="36">
        <f>S19*'Table 3.1'!S$45</f>
        <v>40155.86745662742</v>
      </c>
    </row>
    <row r="20" spans="1:20" ht="15.75" x14ac:dyDescent="0.25">
      <c r="A20" s="3">
        <f>'Payment data'!A29</f>
        <v>1989</v>
      </c>
      <c r="B20" s="35">
        <f>SUM('Payment data'!$C29:C29)</f>
        <v>1777.107</v>
      </c>
      <c r="C20" s="35">
        <f>SUM('Payment data'!$C29:D29)</f>
        <v>4605.33</v>
      </c>
      <c r="D20" s="35">
        <f>SUM('Payment data'!$C29:E29)</f>
        <v>9160.2649999999994</v>
      </c>
      <c r="E20" s="35">
        <f>SUM('Payment data'!$C29:F29)</f>
        <v>14470.028999999999</v>
      </c>
      <c r="F20" s="35">
        <f>SUM('Payment data'!$C29:G29)</f>
        <v>23551.362000000001</v>
      </c>
      <c r="G20" s="35">
        <f>SUM('Payment data'!$C29:H29)</f>
        <v>32247.684000000001</v>
      </c>
      <c r="H20" s="35">
        <f>SUM('Payment data'!$C29:I29)</f>
        <v>37319.199000000001</v>
      </c>
      <c r="I20" s="36">
        <f>H20*'Table 3.1'!H$45</f>
        <v>41935.003636681606</v>
      </c>
      <c r="J20" s="36">
        <f>I20*'Table 3.1'!I$45</f>
        <v>44900.562453866733</v>
      </c>
      <c r="K20" s="36">
        <f>J20*'Table 3.1'!J$45</f>
        <v>46918.193160095543</v>
      </c>
      <c r="L20" s="36">
        <f>K20*'Table 3.1'!K$45</f>
        <v>48327.681599788724</v>
      </c>
      <c r="M20" s="36">
        <f>L20*'Table 3.1'!L$45</f>
        <v>49187.624288774292</v>
      </c>
      <c r="N20" s="36">
        <f>M20*'Table 3.1'!M$45</f>
        <v>49706.045427942503</v>
      </c>
      <c r="O20" s="36">
        <f>N20*'Table 3.1'!N$45</f>
        <v>50016.350857820806</v>
      </c>
      <c r="P20" s="36">
        <f>O20*'Table 3.1'!O$45</f>
        <v>50201.29708376099</v>
      </c>
      <c r="Q20" s="36">
        <f>P20*'Table 3.1'!P$45</f>
        <v>50311.248725094476</v>
      </c>
      <c r="R20" s="36">
        <f>Q20*'Table 3.1'!Q$45</f>
        <v>50376.517458180926</v>
      </c>
      <c r="S20" s="36">
        <f>R20*'Table 3.1'!R$45</f>
        <v>50415.227312355171</v>
      </c>
      <c r="T20" s="36">
        <f>S20*'Table 3.1'!S$45</f>
        <v>50471.511258232582</v>
      </c>
    </row>
    <row r="21" spans="1:20" ht="15.75" x14ac:dyDescent="0.25">
      <c r="A21" s="3">
        <f>'Payment data'!A30</f>
        <v>1990</v>
      </c>
      <c r="B21" s="35">
        <f>SUM('Payment data'!$C30:C30)</f>
        <v>1861.1130000000001</v>
      </c>
      <c r="C21" s="35">
        <f>SUM('Payment data'!$C30:D30)</f>
        <v>5709.567</v>
      </c>
      <c r="D21" s="35">
        <f>SUM('Payment data'!$C30:E30)</f>
        <v>9309.4989999999998</v>
      </c>
      <c r="E21" s="35">
        <f>SUM('Payment data'!$C30:F30)</f>
        <v>15572.474</v>
      </c>
      <c r="F21" s="35">
        <f>SUM('Payment data'!$C30:G30)</f>
        <v>26050.436000000002</v>
      </c>
      <c r="G21" s="35">
        <f>SUM('Payment data'!$C30:H30)</f>
        <v>35744.653000000006</v>
      </c>
      <c r="H21" s="36">
        <f>G21*'Table 3.1'!G$45</f>
        <v>43000.074295880928</v>
      </c>
      <c r="I21" s="36">
        <f>H21*'Table 3.1'!H$45</f>
        <v>48318.514874216511</v>
      </c>
      <c r="J21" s="36">
        <f>I21*'Table 3.1'!I$45</f>
        <v>51735.502721886158</v>
      </c>
      <c r="K21" s="36">
        <f>J21*'Table 3.1'!J$45</f>
        <v>54060.26511213708</v>
      </c>
      <c r="L21" s="36">
        <f>K21*'Table 3.1'!K$45</f>
        <v>55684.311427439614</v>
      </c>
      <c r="M21" s="36">
        <f>L21*'Table 3.1'!L$45</f>
        <v>56675.157975796108</v>
      </c>
      <c r="N21" s="36">
        <f>M21*'Table 3.1'!M$45</f>
        <v>57272.495220381352</v>
      </c>
      <c r="O21" s="36">
        <f>N21*'Table 3.1'!N$45</f>
        <v>57630.036563623529</v>
      </c>
      <c r="P21" s="36">
        <f>O21*'Table 3.1'!O$45</f>
        <v>57843.136031706184</v>
      </c>
      <c r="Q21" s="36">
        <f>P21*'Table 3.1'!P$45</f>
        <v>57969.824944463762</v>
      </c>
      <c r="R21" s="36">
        <f>Q21*'Table 3.1'!Q$45</f>
        <v>58045.029140885963</v>
      </c>
      <c r="S21" s="36">
        <f>R21*'Table 3.1'!R$45</f>
        <v>58089.631561357935</v>
      </c>
      <c r="T21" s="36">
        <f>S21*'Table 3.1'!S$45</f>
        <v>58154.483270913493</v>
      </c>
    </row>
    <row r="22" spans="1:20" ht="15.75" x14ac:dyDescent="0.25">
      <c r="A22" s="3">
        <f>'Payment data'!A31</f>
        <v>1991</v>
      </c>
      <c r="B22" s="35">
        <f>SUM('Payment data'!$C31:C31)</f>
        <v>2236.165</v>
      </c>
      <c r="C22" s="35">
        <f>SUM('Payment data'!$C31:D31)</f>
        <v>5695.5110000000004</v>
      </c>
      <c r="D22" s="35">
        <f>SUM('Payment data'!$C31:E31)</f>
        <v>13057.839</v>
      </c>
      <c r="E22" s="35">
        <f>SUM('Payment data'!$C31:F31)</f>
        <v>20477.62</v>
      </c>
      <c r="F22" s="35">
        <f>SUM('Payment data'!$C31:G31)</f>
        <v>29448.637999999999</v>
      </c>
      <c r="G22" s="36">
        <f>F22*'Table 3.1'!F$45</f>
        <v>39516.297953342953</v>
      </c>
      <c r="H22" s="36">
        <f>G22*'Table 3.1'!G$45</f>
        <v>47537.284748348633</v>
      </c>
      <c r="I22" s="36">
        <f>H22*'Table 3.1'!H$45</f>
        <v>53416.907710156607</v>
      </c>
      <c r="J22" s="36">
        <f>I22*'Table 3.1'!I$45</f>
        <v>57194.443608783622</v>
      </c>
      <c r="K22" s="36">
        <f>J22*'Table 3.1'!J$45</f>
        <v>59764.50641744709</v>
      </c>
      <c r="L22" s="36">
        <f>K22*'Table 3.1'!K$45</f>
        <v>61559.916155667903</v>
      </c>
      <c r="M22" s="36">
        <f>L22*'Table 3.1'!L$45</f>
        <v>62655.313205148188</v>
      </c>
      <c r="N22" s="36">
        <f>M22*'Table 3.1'!M$45</f>
        <v>63315.679289431042</v>
      </c>
      <c r="O22" s="36">
        <f>N22*'Table 3.1'!N$45</f>
        <v>63710.947086552937</v>
      </c>
      <c r="P22" s="36">
        <f>O22*'Table 3.1'!O$45</f>
        <v>63946.532030529117</v>
      </c>
      <c r="Q22" s="36">
        <f>P22*'Table 3.1'!P$45</f>
        <v>64086.588693658945</v>
      </c>
      <c r="R22" s="36">
        <f>Q22*'Table 3.1'!Q$45</f>
        <v>64169.728161628082</v>
      </c>
      <c r="S22" s="36">
        <f>R22*'Table 3.1'!R$45</f>
        <v>64219.036866256181</v>
      </c>
      <c r="T22" s="36">
        <f>S22*'Table 3.1'!S$45</f>
        <v>64290.73149083629</v>
      </c>
    </row>
    <row r="23" spans="1:20" ht="15.75" x14ac:dyDescent="0.25">
      <c r="A23" s="3">
        <f>'Payment data'!A32</f>
        <v>1992</v>
      </c>
      <c r="B23" s="35">
        <f>SUM('Payment data'!$C32:C32)</f>
        <v>2271.1799999999998</v>
      </c>
      <c r="C23" s="35">
        <f>SUM('Payment data'!$C32:D32)</f>
        <v>7106.1460000000006</v>
      </c>
      <c r="D23" s="35">
        <f>SUM('Payment data'!$C32:E32)</f>
        <v>13280.871000000001</v>
      </c>
      <c r="E23" s="35">
        <f>SUM('Payment data'!$C32:F32)</f>
        <v>28265.431</v>
      </c>
      <c r="F23" s="36">
        <f>E23*'Table 3.1'!E$45</f>
        <v>44227.814811098462</v>
      </c>
      <c r="G23" s="36">
        <f>F23*'Table 3.1'!F$45</f>
        <v>59348.059081735504</v>
      </c>
      <c r="H23" s="36">
        <f>G23*'Table 3.1'!G$45</f>
        <v>71394.48101037537</v>
      </c>
      <c r="I23" s="36">
        <f>H23*'Table 3.1'!H$45</f>
        <v>80224.868192082227</v>
      </c>
      <c r="J23" s="36">
        <f>I23*'Table 3.1'!I$45</f>
        <v>85898.208947833031</v>
      </c>
      <c r="K23" s="36">
        <f>J23*'Table 3.1'!J$45</f>
        <v>89758.090751346637</v>
      </c>
      <c r="L23" s="36">
        <f>K23*'Table 3.1'!K$45</f>
        <v>92454.549902091501</v>
      </c>
      <c r="M23" s="36">
        <f>L23*'Table 3.1'!L$45</f>
        <v>94099.686014975145</v>
      </c>
      <c r="N23" s="36">
        <f>M23*'Table 3.1'!M$45</f>
        <v>95091.465291259243</v>
      </c>
      <c r="O23" s="36">
        <f>N23*'Table 3.1'!N$45</f>
        <v>95685.103303716649</v>
      </c>
      <c r="P23" s="36">
        <f>O23*'Table 3.1'!O$45</f>
        <v>96038.919574420288</v>
      </c>
      <c r="Q23" s="36">
        <f>P23*'Table 3.1'!P$45</f>
        <v>96249.265470891507</v>
      </c>
      <c r="R23" s="36">
        <f>Q23*'Table 3.1'!Q$45</f>
        <v>96374.129547553806</v>
      </c>
      <c r="S23" s="36">
        <f>R23*'Table 3.1'!R$45</f>
        <v>96448.184458238189</v>
      </c>
      <c r="T23" s="36">
        <f>S23*'Table 3.1'!S$45</f>
        <v>96555.859950017475</v>
      </c>
    </row>
    <row r="24" spans="1:20" ht="15.75" x14ac:dyDescent="0.25">
      <c r="A24" s="3">
        <f>'Payment data'!A33</f>
        <v>1993</v>
      </c>
      <c r="B24" s="35">
        <f>SUM('Payment data'!$C33:C33)</f>
        <v>2822.819</v>
      </c>
      <c r="C24" s="35">
        <f>SUM('Payment data'!$C33:D33)</f>
        <v>7492.0380000000005</v>
      </c>
      <c r="D24" s="35">
        <f>SUM('Payment data'!$C33:E33)</f>
        <v>15165.406999999999</v>
      </c>
      <c r="E24" s="36">
        <f>D24*'Table 3.1'!D$45</f>
        <v>27361.013088867239</v>
      </c>
      <c r="F24" s="36">
        <f>E24*'Table 3.1'!E$45</f>
        <v>42812.643470338779</v>
      </c>
      <c r="G24" s="36">
        <f>F24*'Table 3.1'!F$45</f>
        <v>57449.080515851012</v>
      </c>
      <c r="H24" s="36">
        <f>G24*'Table 3.1'!G$45</f>
        <v>69110.049282381864</v>
      </c>
      <c r="I24" s="36">
        <f>H24*'Table 3.1'!H$45</f>
        <v>77657.887780172561</v>
      </c>
      <c r="J24" s="36">
        <f>I24*'Table 3.1'!I$45</f>
        <v>83149.696862287805</v>
      </c>
      <c r="K24" s="36">
        <f>J24*'Table 3.1'!J$45</f>
        <v>86886.072810258178</v>
      </c>
      <c r="L24" s="36">
        <f>K24*'Table 3.1'!K$45</f>
        <v>89496.252507044905</v>
      </c>
      <c r="M24" s="36">
        <f>L24*'Table 3.1'!L$45</f>
        <v>91088.748680819073</v>
      </c>
      <c r="N24" s="36">
        <f>M24*'Table 3.1'!M$45</f>
        <v>92048.793682774878</v>
      </c>
      <c r="O24" s="36">
        <f>N24*'Table 3.1'!N$45</f>
        <v>92623.436872503575</v>
      </c>
      <c r="P24" s="36">
        <f>O24*'Table 3.1'!O$45</f>
        <v>92965.93197239349</v>
      </c>
      <c r="Q24" s="36">
        <f>P24*'Table 3.1'!P$45</f>
        <v>93169.547364868442</v>
      </c>
      <c r="R24" s="36">
        <f>Q24*'Table 3.1'!Q$45</f>
        <v>93290.416126285403</v>
      </c>
      <c r="S24" s="36">
        <f>R24*'Table 3.1'!R$45</f>
        <v>93362.101478634359</v>
      </c>
      <c r="T24" s="36">
        <f>S24*'Table 3.1'!S$45</f>
        <v>93466.331643740399</v>
      </c>
    </row>
    <row r="25" spans="1:20" ht="15.75" x14ac:dyDescent="0.25">
      <c r="A25" s="3">
        <f>'Payment data'!A34</f>
        <v>1994</v>
      </c>
      <c r="B25" s="35">
        <f>SUM('Payment data'!$C34:C34)</f>
        <v>2464.971</v>
      </c>
      <c r="C25" s="35">
        <f>SUM('Payment data'!$C34:D34)</f>
        <v>7962.4459999999999</v>
      </c>
      <c r="D25" s="36">
        <f>C25*'Table 3.1'!C$45</f>
        <v>16284.579540107507</v>
      </c>
      <c r="E25" s="36">
        <f>D25*'Table 3.1'!D$45</f>
        <v>29380.193617196106</v>
      </c>
      <c r="F25" s="36">
        <f>E25*'Table 3.1'!E$45</f>
        <v>45972.119173260311</v>
      </c>
      <c r="G25" s="36">
        <f>F25*'Table 3.1'!F$45</f>
        <v>61688.691979477786</v>
      </c>
      <c r="H25" s="36">
        <f>G25*'Table 3.1'!G$45</f>
        <v>74210.213715971957</v>
      </c>
      <c r="I25" s="36">
        <f>H25*'Table 3.1'!H$45</f>
        <v>83388.86325127726</v>
      </c>
      <c r="J25" s="36">
        <f>I25*'Table 3.1'!I$45</f>
        <v>89285.955351528217</v>
      </c>
      <c r="K25" s="36">
        <f>J25*'Table 3.1'!J$45</f>
        <v>93298.067345388205</v>
      </c>
      <c r="L25" s="36">
        <f>K25*'Table 3.1'!K$45</f>
        <v>96100.872366466574</v>
      </c>
      <c r="M25" s="36">
        <f>L25*'Table 3.1'!L$45</f>
        <v>97810.891135441401</v>
      </c>
      <c r="N25" s="36">
        <f>M25*'Table 3.1'!M$45</f>
        <v>98841.785274743554</v>
      </c>
      <c r="O25" s="36">
        <f>N25*'Table 3.1'!N$45</f>
        <v>99458.835824743175</v>
      </c>
      <c r="P25" s="36">
        <f>O25*'Table 3.1'!O$45</f>
        <v>99826.606283937203</v>
      </c>
      <c r="Q25" s="36">
        <f>P25*'Table 3.1'!P$45</f>
        <v>100045.24802921634</v>
      </c>
      <c r="R25" s="36">
        <f>Q25*'Table 3.1'!Q$45</f>
        <v>100175.03663028777</v>
      </c>
      <c r="S25" s="36">
        <f>R25*'Table 3.1'!R$45</f>
        <v>100252.01219857862</v>
      </c>
      <c r="T25" s="36">
        <f>S25*'Table 3.1'!S$45</f>
        <v>100363.9343127789</v>
      </c>
    </row>
    <row r="26" spans="1:20" ht="15.75" x14ac:dyDescent="0.25">
      <c r="A26" s="5">
        <f>'Payment data'!A35</f>
        <v>1995</v>
      </c>
      <c r="B26" s="38">
        <f>SUM('Payment data'!$C35:C35)</f>
        <v>2725.355</v>
      </c>
      <c r="C26" s="37">
        <f>B26*'Table 3.1'!B$45</f>
        <v>8134.1407326196577</v>
      </c>
      <c r="D26" s="37">
        <f>C26*'Table 3.1'!C$45</f>
        <v>16635.724970790779</v>
      </c>
      <c r="E26" s="37">
        <f>D26*'Table 3.1'!D$45</f>
        <v>30013.720612219779</v>
      </c>
      <c r="F26" s="37">
        <f>E26*'Table 3.1'!E$45</f>
        <v>46963.418920776588</v>
      </c>
      <c r="G26" s="37">
        <f>F26*'Table 3.1'!F$45</f>
        <v>63018.889192127375</v>
      </c>
      <c r="H26" s="37">
        <f>G26*'Table 3.1'!G$45</f>
        <v>75810.413303085195</v>
      </c>
      <c r="I26" s="37">
        <f>H26*'Table 3.1'!H$45</f>
        <v>85186.982645667536</v>
      </c>
      <c r="J26" s="37">
        <f>I26*'Table 3.1'!I$45</f>
        <v>91211.234120234629</v>
      </c>
      <c r="K26" s="37">
        <f>J26*'Table 3.1'!J$45</f>
        <v>95309.85954175565</v>
      </c>
      <c r="L26" s="37">
        <f>K26*'Table 3.1'!K$45</f>
        <v>98173.101626856689</v>
      </c>
      <c r="M26" s="37">
        <f>L26*'Table 3.1'!L$45</f>
        <v>99919.993639972046</v>
      </c>
      <c r="N26" s="37">
        <f>M26*'Table 3.1'!M$45</f>
        <v>100973.11701556751</v>
      </c>
      <c r="O26" s="37">
        <f>N26*'Table 3.1'!N$45</f>
        <v>101603.4730660622</v>
      </c>
      <c r="P26" s="37">
        <f>O26*'Table 3.1'!O$45</f>
        <v>101979.17378320168</v>
      </c>
      <c r="Q26" s="37">
        <f>P26*'Table 3.1'!P$45</f>
        <v>102202.53011442529</v>
      </c>
      <c r="R26" s="37">
        <f>Q26*'Table 3.1'!Q$45</f>
        <v>102335.11735540687</v>
      </c>
      <c r="S26" s="37">
        <f>R26*'Table 3.1'!R$45</f>
        <v>102413.75275280249</v>
      </c>
      <c r="T26" s="37">
        <f>S26*'Table 3.1'!S$45</f>
        <v>102528.08825071325</v>
      </c>
    </row>
    <row r="32" spans="1:20" ht="15.75" x14ac:dyDescent="0.25">
      <c r="A32" s="21" t="s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3" ht="15.75" x14ac:dyDescent="0.25">
      <c r="A33" s="21" t="s">
        <v>31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3" ht="15.75" x14ac:dyDescent="0.25">
      <c r="A34" s="22"/>
      <c r="B34" s="2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3" ht="15.75" x14ac:dyDescent="0.25">
      <c r="A35" s="20" t="s">
        <v>0</v>
      </c>
      <c r="B35" s="21" t="s">
        <v>32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7" t="s">
        <v>33</v>
      </c>
      <c r="V35" s="24"/>
      <c r="W35" s="24"/>
    </row>
    <row r="36" spans="1:23" ht="15.75" x14ac:dyDescent="0.25">
      <c r="A36" s="20" t="s">
        <v>1</v>
      </c>
      <c r="B36" s="23" t="s">
        <v>27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0" t="s">
        <v>34</v>
      </c>
      <c r="V36" s="20" t="s">
        <v>35</v>
      </c>
      <c r="W36" s="20" t="s">
        <v>36</v>
      </c>
    </row>
    <row r="37" spans="1:23" ht="15.75" x14ac:dyDescent="0.25">
      <c r="A37" s="5"/>
      <c r="B37" s="24">
        <v>0</v>
      </c>
      <c r="C37" s="24">
        <f t="shared" ref="C37:S37" si="1">B37+1</f>
        <v>1</v>
      </c>
      <c r="D37" s="24">
        <f t="shared" si="1"/>
        <v>2</v>
      </c>
      <c r="E37" s="24">
        <f t="shared" si="1"/>
        <v>3</v>
      </c>
      <c r="F37" s="24">
        <f t="shared" si="1"/>
        <v>4</v>
      </c>
      <c r="G37" s="24">
        <f t="shared" si="1"/>
        <v>5</v>
      </c>
      <c r="H37" s="24">
        <f t="shared" si="1"/>
        <v>6</v>
      </c>
      <c r="I37" s="24">
        <f t="shared" si="1"/>
        <v>7</v>
      </c>
      <c r="J37" s="24">
        <f t="shared" si="1"/>
        <v>8</v>
      </c>
      <c r="K37" s="24">
        <f t="shared" si="1"/>
        <v>9</v>
      </c>
      <c r="L37" s="24">
        <f t="shared" si="1"/>
        <v>10</v>
      </c>
      <c r="M37" s="24">
        <f t="shared" si="1"/>
        <v>11</v>
      </c>
      <c r="N37" s="24">
        <f t="shared" si="1"/>
        <v>12</v>
      </c>
      <c r="O37" s="24">
        <f t="shared" si="1"/>
        <v>13</v>
      </c>
      <c r="P37" s="24">
        <f t="shared" si="1"/>
        <v>14</v>
      </c>
      <c r="Q37" s="24">
        <f t="shared" si="1"/>
        <v>15</v>
      </c>
      <c r="R37" s="24">
        <f t="shared" si="1"/>
        <v>16</v>
      </c>
      <c r="S37" s="24">
        <f t="shared" si="1"/>
        <v>17</v>
      </c>
      <c r="T37" s="27" t="s">
        <v>37</v>
      </c>
      <c r="U37" s="27" t="s">
        <v>38</v>
      </c>
      <c r="V37" s="27" t="s">
        <v>39</v>
      </c>
      <c r="W37" s="24"/>
    </row>
    <row r="38" spans="1:23" ht="15.75" x14ac:dyDescent="0.25">
      <c r="B38" s="20" t="s">
        <v>29</v>
      </c>
      <c r="C38" s="20" t="s">
        <v>29</v>
      </c>
      <c r="D38" s="20" t="s">
        <v>29</v>
      </c>
      <c r="E38" s="20" t="s">
        <v>29</v>
      </c>
      <c r="F38" s="20" t="s">
        <v>29</v>
      </c>
      <c r="G38" s="20" t="s">
        <v>29</v>
      </c>
      <c r="H38" s="20" t="s">
        <v>29</v>
      </c>
      <c r="I38" s="20" t="s">
        <v>29</v>
      </c>
      <c r="J38" s="20" t="s">
        <v>29</v>
      </c>
      <c r="K38" s="20" t="s">
        <v>29</v>
      </c>
      <c r="L38" s="20" t="s">
        <v>29</v>
      </c>
      <c r="M38" s="20" t="s">
        <v>29</v>
      </c>
      <c r="N38" s="20" t="s">
        <v>29</v>
      </c>
      <c r="O38" s="20" t="s">
        <v>29</v>
      </c>
      <c r="P38" s="20" t="s">
        <v>29</v>
      </c>
      <c r="Q38" s="20" t="s">
        <v>29</v>
      </c>
      <c r="R38" s="20" t="s">
        <v>29</v>
      </c>
      <c r="S38" s="20" t="s">
        <v>29</v>
      </c>
      <c r="T38" s="20" t="s">
        <v>29</v>
      </c>
      <c r="U38" s="20" t="s">
        <v>29</v>
      </c>
      <c r="V38" s="20" t="s">
        <v>29</v>
      </c>
      <c r="W38" s="20" t="s">
        <v>29</v>
      </c>
    </row>
    <row r="40" spans="1:23" ht="15.75" x14ac:dyDescent="0.25">
      <c r="A40" s="3">
        <f t="shared" ref="A40:B55" si="2">A9</f>
        <v>1978</v>
      </c>
      <c r="B40" s="35">
        <f t="shared" si="2"/>
        <v>1043.181</v>
      </c>
      <c r="C40" s="35">
        <f t="shared" ref="C40:T54" si="3">C9-B9</f>
        <v>2906.8560000000002</v>
      </c>
      <c r="D40" s="35">
        <f t="shared" si="3"/>
        <v>3511.0519999999997</v>
      </c>
      <c r="E40" s="35">
        <f t="shared" si="3"/>
        <v>4314.3109999999997</v>
      </c>
      <c r="F40" s="35">
        <f t="shared" si="3"/>
        <v>3831.9189999999999</v>
      </c>
      <c r="G40" s="35">
        <f t="shared" si="3"/>
        <v>2031.887999999999</v>
      </c>
      <c r="H40" s="35">
        <f t="shared" si="3"/>
        <v>1864.3189999999995</v>
      </c>
      <c r="I40" s="35">
        <f t="shared" si="3"/>
        <v>2684.0570000000007</v>
      </c>
      <c r="J40" s="35">
        <f t="shared" si="3"/>
        <v>1431.4840000000004</v>
      </c>
      <c r="K40" s="35">
        <f t="shared" si="3"/>
        <v>230.31399999999849</v>
      </c>
      <c r="L40" s="35">
        <f t="shared" si="3"/>
        <v>144.875</v>
      </c>
      <c r="M40" s="35">
        <f t="shared" si="3"/>
        <v>527.74399999999878</v>
      </c>
      <c r="N40" s="35">
        <f t="shared" si="3"/>
        <v>250.10299999999916</v>
      </c>
      <c r="O40" s="35">
        <f t="shared" si="3"/>
        <v>0</v>
      </c>
      <c r="P40" s="35">
        <f t="shared" si="3"/>
        <v>529.02700000000186</v>
      </c>
      <c r="Q40" s="35">
        <f t="shared" si="3"/>
        <v>83.893000000000029</v>
      </c>
      <c r="R40" s="35">
        <f t="shared" si="3"/>
        <v>71.044999999998254</v>
      </c>
      <c r="S40" s="35">
        <f t="shared" si="3"/>
        <v>13.337999999999738</v>
      </c>
      <c r="T40" s="36">
        <f t="shared" si="3"/>
        <v>28.434239916292427</v>
      </c>
      <c r="U40" s="35">
        <f>S9</f>
        <v>25469.405999999995</v>
      </c>
      <c r="V40" s="36">
        <f t="shared" ref="V40:V57" si="4">W40-U40</f>
        <v>28.434239916292427</v>
      </c>
      <c r="W40" s="35">
        <f t="shared" ref="W40:W57" si="5">T9</f>
        <v>25497.840239916288</v>
      </c>
    </row>
    <row r="41" spans="1:23" ht="15.75" x14ac:dyDescent="0.25">
      <c r="A41" s="3">
        <f t="shared" si="2"/>
        <v>1979</v>
      </c>
      <c r="B41" s="35">
        <f t="shared" si="2"/>
        <v>1289.7149999999999</v>
      </c>
      <c r="C41" s="35">
        <f t="shared" si="3"/>
        <v>3874.1419999999998</v>
      </c>
      <c r="D41" s="35">
        <f t="shared" si="3"/>
        <v>3533.42</v>
      </c>
      <c r="E41" s="35">
        <f t="shared" si="3"/>
        <v>3941.5830000000005</v>
      </c>
      <c r="F41" s="35">
        <f t="shared" si="3"/>
        <v>1495.9050000000007</v>
      </c>
      <c r="G41" s="35">
        <f t="shared" si="3"/>
        <v>2051.0730000000003</v>
      </c>
      <c r="H41" s="35">
        <f t="shared" si="3"/>
        <v>850.29800000000068</v>
      </c>
      <c r="I41" s="35">
        <f t="shared" si="3"/>
        <v>1125.8770000000004</v>
      </c>
      <c r="J41" s="35">
        <f t="shared" si="3"/>
        <v>738.29100000000108</v>
      </c>
      <c r="K41" s="35">
        <f t="shared" si="3"/>
        <v>112.8169999999991</v>
      </c>
      <c r="L41" s="35">
        <f t="shared" si="3"/>
        <v>27.127000000000407</v>
      </c>
      <c r="M41" s="35">
        <f t="shared" si="3"/>
        <v>208.19399999999951</v>
      </c>
      <c r="N41" s="35">
        <f t="shared" si="3"/>
        <v>214.38100000000122</v>
      </c>
      <c r="O41" s="35">
        <f t="shared" si="3"/>
        <v>367.1160000000018</v>
      </c>
      <c r="P41" s="35">
        <f t="shared" si="3"/>
        <v>6.8899999999994179</v>
      </c>
      <c r="Q41" s="35">
        <f t="shared" si="3"/>
        <v>0</v>
      </c>
      <c r="R41" s="35">
        <f t="shared" si="3"/>
        <v>0</v>
      </c>
      <c r="S41" s="36">
        <f t="shared" si="3"/>
        <v>15.24283131534321</v>
      </c>
      <c r="T41" s="36">
        <f t="shared" si="3"/>
        <v>22.163005029920896</v>
      </c>
      <c r="U41" s="35">
        <f>R10</f>
        <v>19836.829000000005</v>
      </c>
      <c r="V41" s="36">
        <f t="shared" si="4"/>
        <v>37.405836345264106</v>
      </c>
      <c r="W41" s="35">
        <f t="shared" si="5"/>
        <v>19874.234836345269</v>
      </c>
    </row>
    <row r="42" spans="1:23" ht="15.75" x14ac:dyDescent="0.25">
      <c r="A42" s="3">
        <f t="shared" si="2"/>
        <v>1980</v>
      </c>
      <c r="B42" s="35">
        <f t="shared" si="2"/>
        <v>1752.1020000000001</v>
      </c>
      <c r="C42" s="35">
        <f t="shared" si="3"/>
        <v>4236.8459999999995</v>
      </c>
      <c r="D42" s="35">
        <f t="shared" si="3"/>
        <v>4392.3249999999998</v>
      </c>
      <c r="E42" s="35">
        <f t="shared" si="3"/>
        <v>5390.0190000000002</v>
      </c>
      <c r="F42" s="35">
        <f t="shared" si="3"/>
        <v>4915.1689999999999</v>
      </c>
      <c r="G42" s="35">
        <f t="shared" si="3"/>
        <v>3502.6949999999997</v>
      </c>
      <c r="H42" s="35">
        <f t="shared" si="3"/>
        <v>2522.4629999999997</v>
      </c>
      <c r="I42" s="35">
        <f t="shared" si="3"/>
        <v>1001.8739999999998</v>
      </c>
      <c r="J42" s="35">
        <f t="shared" si="3"/>
        <v>1170.5720000000001</v>
      </c>
      <c r="K42" s="35">
        <f t="shared" si="3"/>
        <v>476.90499999999884</v>
      </c>
      <c r="L42" s="35">
        <f t="shared" si="3"/>
        <v>942.375</v>
      </c>
      <c r="M42" s="35">
        <f t="shared" si="3"/>
        <v>505.62199999999939</v>
      </c>
      <c r="N42" s="35">
        <f t="shared" si="3"/>
        <v>383.30299999999988</v>
      </c>
      <c r="O42" s="35">
        <f t="shared" si="3"/>
        <v>423.2510000000002</v>
      </c>
      <c r="P42" s="35">
        <f t="shared" si="3"/>
        <v>347.58000000000175</v>
      </c>
      <c r="Q42" s="35">
        <f t="shared" si="3"/>
        <v>29.816999999999098</v>
      </c>
      <c r="R42" s="36">
        <f t="shared" si="3"/>
        <v>41.504380799779028</v>
      </c>
      <c r="S42" s="36">
        <f t="shared" si="3"/>
        <v>24.615592372902029</v>
      </c>
      <c r="T42" s="36">
        <f t="shared" si="3"/>
        <v>35.790955517953989</v>
      </c>
      <c r="U42" s="35">
        <f>Q11</f>
        <v>31992.917999999998</v>
      </c>
      <c r="V42" s="36">
        <f t="shared" si="4"/>
        <v>101.91092869063505</v>
      </c>
      <c r="W42" s="35">
        <f t="shared" si="5"/>
        <v>32094.828928690633</v>
      </c>
    </row>
    <row r="43" spans="1:23" ht="15.75" x14ac:dyDescent="0.25">
      <c r="A43" s="3">
        <f t="shared" si="2"/>
        <v>1981</v>
      </c>
      <c r="B43" s="35">
        <f t="shared" si="2"/>
        <v>2242.922</v>
      </c>
      <c r="C43" s="35">
        <f t="shared" si="3"/>
        <v>4062.1240000000003</v>
      </c>
      <c r="D43" s="35">
        <f t="shared" si="3"/>
        <v>6766.1239999999998</v>
      </c>
      <c r="E43" s="35">
        <f t="shared" si="3"/>
        <v>6782.7839999999978</v>
      </c>
      <c r="F43" s="35">
        <f t="shared" si="3"/>
        <v>4697.5169999999998</v>
      </c>
      <c r="G43" s="35">
        <f t="shared" si="3"/>
        <v>4045.0699999999997</v>
      </c>
      <c r="H43" s="35">
        <f t="shared" si="3"/>
        <v>2854.2900000000009</v>
      </c>
      <c r="I43" s="35">
        <f t="shared" si="3"/>
        <v>2190.2819999999992</v>
      </c>
      <c r="J43" s="35">
        <f t="shared" si="3"/>
        <v>1352.9250000000029</v>
      </c>
      <c r="K43" s="35">
        <f t="shared" si="3"/>
        <v>1435.2770000000019</v>
      </c>
      <c r="L43" s="35">
        <f t="shared" si="3"/>
        <v>2269.135000000002</v>
      </c>
      <c r="M43" s="35">
        <f t="shared" si="3"/>
        <v>232.99500000000262</v>
      </c>
      <c r="N43" s="35">
        <f t="shared" si="3"/>
        <v>34.205999999998312</v>
      </c>
      <c r="O43" s="35">
        <f t="shared" si="3"/>
        <v>42.275999999998021</v>
      </c>
      <c r="P43" s="35">
        <f t="shared" si="3"/>
        <v>110.32499999999709</v>
      </c>
      <c r="Q43" s="36">
        <f t="shared" si="3"/>
        <v>85.677388102551049</v>
      </c>
      <c r="R43" s="36">
        <f t="shared" si="3"/>
        <v>50.859218723700906</v>
      </c>
      <c r="S43" s="36">
        <f t="shared" si="3"/>
        <v>30.163798914298241</v>
      </c>
      <c r="T43" s="36">
        <f t="shared" si="3"/>
        <v>43.858021730266046</v>
      </c>
      <c r="U43" s="35">
        <f>P12</f>
        <v>39118.252</v>
      </c>
      <c r="V43" s="36">
        <f t="shared" si="4"/>
        <v>210.55842747081624</v>
      </c>
      <c r="W43" s="35">
        <f t="shared" si="5"/>
        <v>39328.810427470817</v>
      </c>
    </row>
    <row r="44" spans="1:23" x14ac:dyDescent="0.2">
      <c r="A44" s="3">
        <f t="shared" si="2"/>
        <v>1982</v>
      </c>
      <c r="B44" s="35">
        <f t="shared" si="2"/>
        <v>1152.0340000000001</v>
      </c>
      <c r="C44" s="35">
        <f t="shared" si="3"/>
        <v>5200.9260000000013</v>
      </c>
      <c r="D44" s="35">
        <f t="shared" si="3"/>
        <v>5872.5300000000007</v>
      </c>
      <c r="E44" s="35">
        <f t="shared" si="3"/>
        <v>8358.9200000000019</v>
      </c>
      <c r="F44" s="35">
        <f t="shared" si="3"/>
        <v>5747.7929999999978</v>
      </c>
      <c r="G44" s="35">
        <f t="shared" si="3"/>
        <v>3748.6389999999992</v>
      </c>
      <c r="H44" s="35">
        <f t="shared" si="3"/>
        <v>1760.5360000000001</v>
      </c>
      <c r="I44" s="35">
        <f t="shared" si="3"/>
        <v>1217.3909999999996</v>
      </c>
      <c r="J44" s="35">
        <f t="shared" si="3"/>
        <v>1728.0239999999976</v>
      </c>
      <c r="K44" s="35">
        <f t="shared" si="3"/>
        <v>2827.2680000000037</v>
      </c>
      <c r="L44" s="35">
        <f t="shared" si="3"/>
        <v>802.97499999999854</v>
      </c>
      <c r="M44" s="35">
        <f t="shared" si="3"/>
        <v>264.40499999999884</v>
      </c>
      <c r="N44" s="35">
        <f t="shared" si="3"/>
        <v>401.31500000000233</v>
      </c>
      <c r="O44" s="35">
        <f t="shared" si="3"/>
        <v>345.83000000000175</v>
      </c>
      <c r="P44" s="36">
        <f t="shared" si="3"/>
        <v>145.79568580656633</v>
      </c>
      <c r="Q44" s="36">
        <f t="shared" si="3"/>
        <v>86.67641024995828</v>
      </c>
      <c r="R44" s="36">
        <f t="shared" si="3"/>
        <v>51.452251343274838</v>
      </c>
      <c r="S44" s="36">
        <f t="shared" si="3"/>
        <v>30.51551718947303</v>
      </c>
      <c r="T44" s="36">
        <f t="shared" si="3"/>
        <v>44.369418447888165</v>
      </c>
      <c r="U44" s="35">
        <f>O13</f>
        <v>39428.586000000003</v>
      </c>
      <c r="V44" s="36">
        <f t="shared" si="4"/>
        <v>358.80928303716064</v>
      </c>
      <c r="W44" s="35">
        <f t="shared" si="5"/>
        <v>39787.395283037164</v>
      </c>
    </row>
    <row r="45" spans="1:23" x14ac:dyDescent="0.2">
      <c r="A45" s="3">
        <f t="shared" si="2"/>
        <v>1983</v>
      </c>
      <c r="B45" s="35">
        <f t="shared" si="2"/>
        <v>1897.289</v>
      </c>
      <c r="C45" s="35">
        <f t="shared" si="3"/>
        <v>4308.2160000000003</v>
      </c>
      <c r="D45" s="35">
        <f t="shared" si="3"/>
        <v>4992.179000000001</v>
      </c>
      <c r="E45" s="35">
        <f t="shared" si="3"/>
        <v>6102.6889999999985</v>
      </c>
      <c r="F45" s="35">
        <f t="shared" si="3"/>
        <v>5949.4550000000017</v>
      </c>
      <c r="G45" s="35">
        <f t="shared" si="3"/>
        <v>3082.5699999999997</v>
      </c>
      <c r="H45" s="35">
        <f t="shared" si="3"/>
        <v>3122.9409999999989</v>
      </c>
      <c r="I45" s="35">
        <f t="shared" si="3"/>
        <v>2586.5430000000015</v>
      </c>
      <c r="J45" s="35">
        <f t="shared" si="3"/>
        <v>1727.6159999999982</v>
      </c>
      <c r="K45" s="35">
        <f t="shared" si="3"/>
        <v>518.20300000000134</v>
      </c>
      <c r="L45" s="35">
        <f t="shared" si="3"/>
        <v>1063.2839999999997</v>
      </c>
      <c r="M45" s="35">
        <f t="shared" si="3"/>
        <v>649.05299999999988</v>
      </c>
      <c r="N45" s="35">
        <f t="shared" si="3"/>
        <v>354.16100000000006</v>
      </c>
      <c r="O45" s="36">
        <f t="shared" si="3"/>
        <v>226.95238077086105</v>
      </c>
      <c r="P45" s="36">
        <f t="shared" si="3"/>
        <v>135.26668324229104</v>
      </c>
      <c r="Q45" s="36">
        <f t="shared" si="3"/>
        <v>80.416855032424792</v>
      </c>
      <c r="R45" s="36">
        <f t="shared" si="3"/>
        <v>47.736497455676727</v>
      </c>
      <c r="S45" s="36">
        <f t="shared" si="3"/>
        <v>28.311762277517118</v>
      </c>
      <c r="T45" s="36">
        <f t="shared" si="3"/>
        <v>41.16516917241097</v>
      </c>
      <c r="U45" s="35">
        <f>N14</f>
        <v>36354.199000000001</v>
      </c>
      <c r="V45" s="36">
        <f t="shared" si="4"/>
        <v>559.8493479511817</v>
      </c>
      <c r="W45" s="35">
        <f t="shared" si="5"/>
        <v>36914.048347951182</v>
      </c>
    </row>
    <row r="46" spans="1:23" x14ac:dyDescent="0.2">
      <c r="A46" s="3">
        <f t="shared" si="2"/>
        <v>1984</v>
      </c>
      <c r="B46" s="35">
        <f t="shared" si="2"/>
        <v>2087.9850000000001</v>
      </c>
      <c r="C46" s="35">
        <f t="shared" si="3"/>
        <v>4476.0849999999991</v>
      </c>
      <c r="D46" s="35">
        <f t="shared" si="3"/>
        <v>6436.9560000000001</v>
      </c>
      <c r="E46" s="35">
        <f t="shared" si="3"/>
        <v>6746.366</v>
      </c>
      <c r="F46" s="35">
        <f t="shared" si="3"/>
        <v>4630.57</v>
      </c>
      <c r="G46" s="35">
        <f t="shared" si="3"/>
        <v>3723.1880000000019</v>
      </c>
      <c r="H46" s="35">
        <f t="shared" si="3"/>
        <v>9585.9590000000026</v>
      </c>
      <c r="I46" s="35">
        <f t="shared" si="3"/>
        <v>3592.9910000000018</v>
      </c>
      <c r="J46" s="35">
        <f t="shared" si="3"/>
        <v>3931.9270000000033</v>
      </c>
      <c r="K46" s="35">
        <f t="shared" si="3"/>
        <v>1574.4639999999999</v>
      </c>
      <c r="L46" s="35">
        <f t="shared" si="3"/>
        <v>885.97800000000279</v>
      </c>
      <c r="M46" s="35">
        <f t="shared" si="3"/>
        <v>888.22000000000116</v>
      </c>
      <c r="N46" s="36">
        <f t="shared" si="3"/>
        <v>511.81345052110555</v>
      </c>
      <c r="O46" s="36">
        <f t="shared" si="3"/>
        <v>306.35034103020007</v>
      </c>
      <c r="P46" s="36">
        <f t="shared" si="3"/>
        <v>182.58893958525005</v>
      </c>
      <c r="Q46" s="36">
        <f t="shared" si="3"/>
        <v>108.55022044749057</v>
      </c>
      <c r="R46" s="36">
        <f t="shared" si="3"/>
        <v>64.436831309991248</v>
      </c>
      <c r="S46" s="36">
        <f t="shared" si="3"/>
        <v>38.216466376885364</v>
      </c>
      <c r="T46" s="36">
        <f t="shared" si="3"/>
        <v>55.566562340958626</v>
      </c>
      <c r="U46" s="35">
        <f>M15</f>
        <v>48560.689000000013</v>
      </c>
      <c r="V46" s="36">
        <f t="shared" si="4"/>
        <v>1267.5228116118815</v>
      </c>
      <c r="W46" s="35">
        <f t="shared" si="5"/>
        <v>49828.211811611895</v>
      </c>
    </row>
    <row r="47" spans="1:23" x14ac:dyDescent="0.2">
      <c r="A47" s="3">
        <f t="shared" si="2"/>
        <v>1985</v>
      </c>
      <c r="B47" s="35">
        <f t="shared" si="2"/>
        <v>1490.6769999999999</v>
      </c>
      <c r="C47" s="35">
        <f t="shared" si="3"/>
        <v>3293.1140000000005</v>
      </c>
      <c r="D47" s="35">
        <f t="shared" si="3"/>
        <v>4838.0690000000004</v>
      </c>
      <c r="E47" s="35">
        <f t="shared" si="3"/>
        <v>5607.405999999999</v>
      </c>
      <c r="F47" s="35">
        <f t="shared" si="3"/>
        <v>5109.0380000000005</v>
      </c>
      <c r="G47" s="35">
        <f t="shared" si="3"/>
        <v>6300.3230000000003</v>
      </c>
      <c r="H47" s="35">
        <f t="shared" si="3"/>
        <v>4785.9000000000015</v>
      </c>
      <c r="I47" s="35">
        <f t="shared" si="3"/>
        <v>3170.4340000000011</v>
      </c>
      <c r="J47" s="35">
        <f t="shared" si="3"/>
        <v>1163.3389999999999</v>
      </c>
      <c r="K47" s="35">
        <f t="shared" si="3"/>
        <v>2880.1929999999993</v>
      </c>
      <c r="L47" s="35">
        <f t="shared" si="3"/>
        <v>1320.7379999999976</v>
      </c>
      <c r="M47" s="36">
        <f t="shared" si="3"/>
        <v>711.03449241574708</v>
      </c>
      <c r="N47" s="36">
        <f t="shared" si="3"/>
        <v>428.65102089640277</v>
      </c>
      <c r="O47" s="36">
        <f t="shared" si="3"/>
        <v>256.5727538048377</v>
      </c>
      <c r="P47" s="36">
        <f t="shared" si="3"/>
        <v>152.92082550374471</v>
      </c>
      <c r="Q47" s="36">
        <f t="shared" si="3"/>
        <v>90.912348563666455</v>
      </c>
      <c r="R47" s="36">
        <f t="shared" si="3"/>
        <v>53.966759756382089</v>
      </c>
      <c r="S47" s="36">
        <f t="shared" si="3"/>
        <v>32.006832393381046</v>
      </c>
      <c r="T47" s="36">
        <f t="shared" si="3"/>
        <v>46.537783739186125</v>
      </c>
      <c r="U47" s="35">
        <f>L16</f>
        <v>39959.231</v>
      </c>
      <c r="V47" s="36">
        <f t="shared" si="4"/>
        <v>1772.602817073348</v>
      </c>
      <c r="W47" s="35">
        <f t="shared" si="5"/>
        <v>41731.833817073348</v>
      </c>
    </row>
    <row r="48" spans="1:23" x14ac:dyDescent="0.2">
      <c r="A48" s="3">
        <f t="shared" si="2"/>
        <v>1986</v>
      </c>
      <c r="B48" s="35">
        <f t="shared" si="2"/>
        <v>1483.1759999999999</v>
      </c>
      <c r="C48" s="35">
        <f t="shared" si="3"/>
        <v>4130.4220000000005</v>
      </c>
      <c r="D48" s="35">
        <f t="shared" si="3"/>
        <v>4483.8289999999997</v>
      </c>
      <c r="E48" s="35">
        <f t="shared" si="3"/>
        <v>5375.2139999999999</v>
      </c>
      <c r="F48" s="35">
        <f t="shared" si="3"/>
        <v>6515.91</v>
      </c>
      <c r="G48" s="35">
        <f t="shared" si="3"/>
        <v>5437.5659999999989</v>
      </c>
      <c r="H48" s="35">
        <f t="shared" si="3"/>
        <v>6107.9780000000028</v>
      </c>
      <c r="I48" s="35">
        <f t="shared" si="3"/>
        <v>3933.6100000000006</v>
      </c>
      <c r="J48" s="35">
        <f t="shared" si="3"/>
        <v>2916.0369999999966</v>
      </c>
      <c r="K48" s="35">
        <f t="shared" si="3"/>
        <v>870.79400000000169</v>
      </c>
      <c r="L48" s="36">
        <f t="shared" si="3"/>
        <v>1239.3442215153627</v>
      </c>
      <c r="M48" s="36">
        <f t="shared" si="3"/>
        <v>756.13603660392255</v>
      </c>
      <c r="N48" s="36">
        <f t="shared" si="3"/>
        <v>455.84073274087859</v>
      </c>
      <c r="O48" s="36">
        <f t="shared" si="3"/>
        <v>272.84738958783419</v>
      </c>
      <c r="P48" s="36">
        <f t="shared" si="3"/>
        <v>162.62072816995351</v>
      </c>
      <c r="Q48" s="36">
        <f t="shared" si="3"/>
        <v>96.678998915696866</v>
      </c>
      <c r="R48" s="36">
        <f t="shared" si="3"/>
        <v>57.389918865832442</v>
      </c>
      <c r="S48" s="36">
        <f t="shared" si="3"/>
        <v>34.037053966188978</v>
      </c>
      <c r="T48" s="36">
        <f t="shared" si="3"/>
        <v>49.489716355841665</v>
      </c>
      <c r="U48" s="35">
        <f>K17</f>
        <v>41254.536</v>
      </c>
      <c r="V48" s="36">
        <f t="shared" si="4"/>
        <v>3124.3847967215115</v>
      </c>
      <c r="W48" s="35">
        <f t="shared" si="5"/>
        <v>44378.920796721512</v>
      </c>
    </row>
    <row r="49" spans="1:23" x14ac:dyDescent="0.2">
      <c r="A49" s="3">
        <f t="shared" si="2"/>
        <v>1987</v>
      </c>
      <c r="B49" s="35">
        <f t="shared" si="2"/>
        <v>1392.2090000000001</v>
      </c>
      <c r="C49" s="35">
        <f t="shared" si="3"/>
        <v>2687.2370000000001</v>
      </c>
      <c r="D49" s="35">
        <f t="shared" si="3"/>
        <v>4038.5370000000003</v>
      </c>
      <c r="E49" s="35">
        <f t="shared" si="3"/>
        <v>5537.5529999999999</v>
      </c>
      <c r="F49" s="35">
        <f t="shared" si="3"/>
        <v>5572.385000000002</v>
      </c>
      <c r="G49" s="35">
        <f t="shared" si="3"/>
        <v>6608.8739999999998</v>
      </c>
      <c r="H49" s="35">
        <f t="shared" si="3"/>
        <v>5239.3359999999993</v>
      </c>
      <c r="I49" s="35">
        <f t="shared" si="3"/>
        <v>5397.898000000001</v>
      </c>
      <c r="J49" s="35">
        <f t="shared" si="3"/>
        <v>3731.5849999999991</v>
      </c>
      <c r="K49" s="36">
        <f t="shared" si="3"/>
        <v>1806.6606950086716</v>
      </c>
      <c r="L49" s="36">
        <f t="shared" si="3"/>
        <v>1262.1077564894949</v>
      </c>
      <c r="M49" s="36">
        <f t="shared" si="3"/>
        <v>770.0242920341916</v>
      </c>
      <c r="N49" s="36">
        <f t="shared" si="3"/>
        <v>464.21334325718635</v>
      </c>
      <c r="O49" s="36">
        <f t="shared" si="3"/>
        <v>277.85888759432419</v>
      </c>
      <c r="P49" s="36">
        <f t="shared" si="3"/>
        <v>165.60764864688826</v>
      </c>
      <c r="Q49" s="36">
        <f t="shared" si="3"/>
        <v>98.45474106616166</v>
      </c>
      <c r="R49" s="36">
        <f t="shared" si="3"/>
        <v>58.444022643125209</v>
      </c>
      <c r="S49" s="36">
        <f t="shared" si="3"/>
        <v>34.662226258857118</v>
      </c>
      <c r="T49" s="36">
        <f t="shared" si="3"/>
        <v>50.398713928567304</v>
      </c>
      <c r="U49" s="35">
        <f>J18</f>
        <v>40205.614000000001</v>
      </c>
      <c r="V49" s="36">
        <f t="shared" si="4"/>
        <v>4988.4323269274682</v>
      </c>
      <c r="W49" s="35">
        <f t="shared" si="5"/>
        <v>45194.04632692747</v>
      </c>
    </row>
    <row r="50" spans="1:23" x14ac:dyDescent="0.2">
      <c r="A50" s="3">
        <f t="shared" si="2"/>
        <v>1988</v>
      </c>
      <c r="B50" s="35">
        <f t="shared" si="2"/>
        <v>1350.347</v>
      </c>
      <c r="C50" s="35">
        <f t="shared" si="3"/>
        <v>4026.7880000000005</v>
      </c>
      <c r="D50" s="35">
        <f t="shared" si="3"/>
        <v>2935.7039999999997</v>
      </c>
      <c r="E50" s="35">
        <f t="shared" si="3"/>
        <v>6457.862000000001</v>
      </c>
      <c r="F50" s="35">
        <f t="shared" si="3"/>
        <v>4513.4239999999991</v>
      </c>
      <c r="G50" s="35">
        <f t="shared" si="3"/>
        <v>5159.6180000000022</v>
      </c>
      <c r="H50" s="35">
        <f t="shared" si="3"/>
        <v>6440.6620000000003</v>
      </c>
      <c r="I50" s="35">
        <f t="shared" si="3"/>
        <v>2479.6930000000029</v>
      </c>
      <c r="J50" s="36">
        <f t="shared" si="3"/>
        <v>2359.4416697458073</v>
      </c>
      <c r="K50" s="36">
        <f t="shared" si="3"/>
        <v>1605.2562959966963</v>
      </c>
      <c r="L50" s="36">
        <f t="shared" si="3"/>
        <v>1121.4094754639591</v>
      </c>
      <c r="M50" s="36">
        <f t="shared" si="3"/>
        <v>684.18289403941162</v>
      </c>
      <c r="N50" s="36">
        <f t="shared" si="3"/>
        <v>412.4633883982824</v>
      </c>
      <c r="O50" s="36">
        <f t="shared" si="3"/>
        <v>246.88350720293238</v>
      </c>
      <c r="P50" s="36">
        <f t="shared" si="3"/>
        <v>147.14590370515361</v>
      </c>
      <c r="Q50" s="36">
        <f t="shared" si="3"/>
        <v>87.479122894415923</v>
      </c>
      <c r="R50" s="36">
        <f t="shared" si="3"/>
        <v>51.928752073057694</v>
      </c>
      <c r="S50" s="36">
        <f t="shared" si="3"/>
        <v>30.798122242333193</v>
      </c>
      <c r="T50" s="36">
        <f t="shared" si="3"/>
        <v>44.780324865365401</v>
      </c>
      <c r="U50" s="35">
        <f>I19</f>
        <v>33364.098000000005</v>
      </c>
      <c r="V50" s="36">
        <f t="shared" si="4"/>
        <v>6791.7694566274149</v>
      </c>
      <c r="W50" s="35">
        <f t="shared" si="5"/>
        <v>40155.86745662742</v>
      </c>
    </row>
    <row r="51" spans="1:23" x14ac:dyDescent="0.2">
      <c r="A51" s="3">
        <f t="shared" si="2"/>
        <v>1989</v>
      </c>
      <c r="B51" s="35">
        <f t="shared" si="2"/>
        <v>1777.107</v>
      </c>
      <c r="C51" s="35">
        <f t="shared" si="3"/>
        <v>2828.223</v>
      </c>
      <c r="D51" s="35">
        <f t="shared" si="3"/>
        <v>4554.9349999999995</v>
      </c>
      <c r="E51" s="35">
        <f t="shared" si="3"/>
        <v>5309.7639999999992</v>
      </c>
      <c r="F51" s="35">
        <f t="shared" si="3"/>
        <v>9081.3330000000024</v>
      </c>
      <c r="G51" s="35">
        <f t="shared" si="3"/>
        <v>8696.3220000000001</v>
      </c>
      <c r="H51" s="35">
        <f t="shared" si="3"/>
        <v>5071.5149999999994</v>
      </c>
      <c r="I51" s="36">
        <f t="shared" si="3"/>
        <v>4615.8046366816052</v>
      </c>
      <c r="J51" s="36">
        <f t="shared" si="3"/>
        <v>2965.5588171851268</v>
      </c>
      <c r="K51" s="36">
        <f t="shared" si="3"/>
        <v>2017.6307062288106</v>
      </c>
      <c r="L51" s="36">
        <f t="shared" si="3"/>
        <v>1409.4884396931811</v>
      </c>
      <c r="M51" s="36">
        <f t="shared" si="3"/>
        <v>859.94268898556766</v>
      </c>
      <c r="N51" s="36">
        <f t="shared" si="3"/>
        <v>518.42113916821108</v>
      </c>
      <c r="O51" s="36">
        <f t="shared" si="3"/>
        <v>310.30542987830268</v>
      </c>
      <c r="P51" s="36">
        <f t="shared" si="3"/>
        <v>184.94622594018438</v>
      </c>
      <c r="Q51" s="36">
        <f t="shared" si="3"/>
        <v>109.9516413334859</v>
      </c>
      <c r="R51" s="36">
        <f t="shared" si="3"/>
        <v>65.268733086450084</v>
      </c>
      <c r="S51" s="36">
        <f t="shared" si="3"/>
        <v>38.709854174245265</v>
      </c>
      <c r="T51" s="36">
        <f t="shared" si="3"/>
        <v>56.283945877410588</v>
      </c>
      <c r="U51" s="35">
        <f>H20</f>
        <v>37319.199000000001</v>
      </c>
      <c r="V51" s="36">
        <f t="shared" si="4"/>
        <v>13152.312258232581</v>
      </c>
      <c r="W51" s="35">
        <f t="shared" si="5"/>
        <v>50471.511258232582</v>
      </c>
    </row>
    <row r="52" spans="1:23" x14ac:dyDescent="0.2">
      <c r="A52" s="3">
        <f t="shared" si="2"/>
        <v>1990</v>
      </c>
      <c r="B52" s="35">
        <f t="shared" si="2"/>
        <v>1861.1130000000001</v>
      </c>
      <c r="C52" s="35">
        <f t="shared" si="3"/>
        <v>3848.4539999999997</v>
      </c>
      <c r="D52" s="35">
        <f t="shared" si="3"/>
        <v>3599.9319999999998</v>
      </c>
      <c r="E52" s="35">
        <f t="shared" si="3"/>
        <v>6262.9750000000004</v>
      </c>
      <c r="F52" s="35">
        <f t="shared" si="3"/>
        <v>10477.962000000001</v>
      </c>
      <c r="G52" s="35">
        <f t="shared" si="3"/>
        <v>9694.2170000000042</v>
      </c>
      <c r="H52" s="36">
        <f t="shared" si="3"/>
        <v>7255.4212958809221</v>
      </c>
      <c r="I52" s="36">
        <f t="shared" si="3"/>
        <v>5318.4405783355833</v>
      </c>
      <c r="J52" s="36">
        <f t="shared" si="3"/>
        <v>3416.9878476696467</v>
      </c>
      <c r="K52" s="36">
        <f t="shared" si="3"/>
        <v>2324.7623902509222</v>
      </c>
      <c r="L52" s="36">
        <f t="shared" si="3"/>
        <v>1624.0463153025339</v>
      </c>
      <c r="M52" s="36">
        <f t="shared" si="3"/>
        <v>990.84654835649417</v>
      </c>
      <c r="N52" s="36">
        <f t="shared" si="3"/>
        <v>597.33724458524375</v>
      </c>
      <c r="O52" s="36">
        <f t="shared" si="3"/>
        <v>357.54134324217739</v>
      </c>
      <c r="P52" s="36">
        <f t="shared" si="3"/>
        <v>213.09946808265522</v>
      </c>
      <c r="Q52" s="36">
        <f t="shared" si="3"/>
        <v>126.68891275757778</v>
      </c>
      <c r="R52" s="36">
        <f t="shared" si="3"/>
        <v>75.204196422200766</v>
      </c>
      <c r="S52" s="36">
        <f t="shared" si="3"/>
        <v>44.602420471972437</v>
      </c>
      <c r="T52" s="36">
        <f t="shared" si="3"/>
        <v>64.851709555558045</v>
      </c>
      <c r="U52" s="35">
        <f>G21</f>
        <v>35744.653000000006</v>
      </c>
      <c r="V52" s="36">
        <f t="shared" si="4"/>
        <v>22409.830270913488</v>
      </c>
      <c r="W52" s="35">
        <f t="shared" si="5"/>
        <v>58154.483270913493</v>
      </c>
    </row>
    <row r="53" spans="1:23" x14ac:dyDescent="0.2">
      <c r="A53" s="3">
        <f t="shared" si="2"/>
        <v>1991</v>
      </c>
      <c r="B53" s="35">
        <f t="shared" si="2"/>
        <v>2236.165</v>
      </c>
      <c r="C53" s="35">
        <f t="shared" si="3"/>
        <v>3459.3460000000005</v>
      </c>
      <c r="D53" s="35">
        <f t="shared" si="3"/>
        <v>7362.3279999999995</v>
      </c>
      <c r="E53" s="35">
        <f t="shared" si="3"/>
        <v>7419.780999999999</v>
      </c>
      <c r="F53" s="35">
        <f t="shared" si="3"/>
        <v>8971.018</v>
      </c>
      <c r="G53" s="36">
        <f t="shared" si="3"/>
        <v>10067.659953342954</v>
      </c>
      <c r="H53" s="36">
        <f t="shared" si="3"/>
        <v>8020.9867950056796</v>
      </c>
      <c r="I53" s="36">
        <f t="shared" si="3"/>
        <v>5879.6229618079742</v>
      </c>
      <c r="J53" s="36">
        <f t="shared" si="3"/>
        <v>3777.5358986270148</v>
      </c>
      <c r="K53" s="36">
        <f t="shared" si="3"/>
        <v>2570.0628086634679</v>
      </c>
      <c r="L53" s="36">
        <f t="shared" si="3"/>
        <v>1795.4097382208129</v>
      </c>
      <c r="M53" s="36">
        <f t="shared" si="3"/>
        <v>1095.3970494802852</v>
      </c>
      <c r="N53" s="36">
        <f t="shared" si="3"/>
        <v>660.36608428285399</v>
      </c>
      <c r="O53" s="36">
        <f t="shared" si="3"/>
        <v>395.26779712189455</v>
      </c>
      <c r="P53" s="36">
        <f t="shared" si="3"/>
        <v>235.58494397618051</v>
      </c>
      <c r="Q53" s="36">
        <f t="shared" si="3"/>
        <v>140.05666312982794</v>
      </c>
      <c r="R53" s="36">
        <f t="shared" si="3"/>
        <v>83.139467969136604</v>
      </c>
      <c r="S53" s="36">
        <f t="shared" si="3"/>
        <v>49.308704628099804</v>
      </c>
      <c r="T53" s="36">
        <f t="shared" si="3"/>
        <v>71.694624580108211</v>
      </c>
      <c r="U53" s="35">
        <f>F22</f>
        <v>29448.637999999999</v>
      </c>
      <c r="V53" s="36">
        <f t="shared" si="4"/>
        <v>34842.093490836291</v>
      </c>
      <c r="W53" s="35">
        <f t="shared" si="5"/>
        <v>64290.73149083629</v>
      </c>
    </row>
    <row r="54" spans="1:23" x14ac:dyDescent="0.2">
      <c r="A54" s="3">
        <f t="shared" si="2"/>
        <v>1992</v>
      </c>
      <c r="B54" s="35">
        <f t="shared" si="2"/>
        <v>2271.1799999999998</v>
      </c>
      <c r="C54" s="35">
        <f t="shared" si="3"/>
        <v>4834.9660000000003</v>
      </c>
      <c r="D54" s="35">
        <f t="shared" si="3"/>
        <v>6174.7250000000004</v>
      </c>
      <c r="E54" s="35">
        <f t="shared" si="3"/>
        <v>14984.56</v>
      </c>
      <c r="F54" s="36">
        <f t="shared" ref="F54:T54" si="6">F23-E23</f>
        <v>15962.383811098462</v>
      </c>
      <c r="G54" s="36">
        <f t="shared" si="6"/>
        <v>15120.244270637042</v>
      </c>
      <c r="H54" s="36">
        <f t="shared" si="6"/>
        <v>12046.421928639866</v>
      </c>
      <c r="I54" s="36">
        <f t="shared" si="6"/>
        <v>8830.3871817068575</v>
      </c>
      <c r="J54" s="36">
        <f t="shared" si="6"/>
        <v>5673.3407557508035</v>
      </c>
      <c r="K54" s="36">
        <f t="shared" si="6"/>
        <v>3859.8818035136064</v>
      </c>
      <c r="L54" s="36">
        <f t="shared" si="6"/>
        <v>2696.459150744864</v>
      </c>
      <c r="M54" s="36">
        <f t="shared" si="6"/>
        <v>1645.1361128836434</v>
      </c>
      <c r="N54" s="36">
        <f t="shared" si="6"/>
        <v>991.77927628409816</v>
      </c>
      <c r="O54" s="36">
        <f t="shared" si="6"/>
        <v>593.63801245740615</v>
      </c>
      <c r="P54" s="36">
        <f t="shared" si="6"/>
        <v>353.81627070363902</v>
      </c>
      <c r="Q54" s="36">
        <f t="shared" si="6"/>
        <v>210.34589647121902</v>
      </c>
      <c r="R54" s="36">
        <f t="shared" si="6"/>
        <v>124.86407666229934</v>
      </c>
      <c r="S54" s="36">
        <f>S23-R23</f>
        <v>74.054910684382776</v>
      </c>
      <c r="T54" s="36">
        <f t="shared" si="6"/>
        <v>107.67549177928595</v>
      </c>
      <c r="U54" s="35">
        <f>E23</f>
        <v>28265.431</v>
      </c>
      <c r="V54" s="36">
        <f t="shared" si="4"/>
        <v>68290.428950017478</v>
      </c>
      <c r="W54" s="35">
        <f t="shared" si="5"/>
        <v>96555.859950017475</v>
      </c>
    </row>
    <row r="55" spans="1:23" x14ac:dyDescent="0.2">
      <c r="A55" s="3">
        <f t="shared" si="2"/>
        <v>1993</v>
      </c>
      <c r="B55" s="35">
        <f t="shared" si="2"/>
        <v>2822.819</v>
      </c>
      <c r="C55" s="35">
        <f t="shared" ref="C55:T57" si="7">C24-B24</f>
        <v>4669.219000000001</v>
      </c>
      <c r="D55" s="35">
        <f t="shared" si="7"/>
        <v>7673.3689999999988</v>
      </c>
      <c r="E55" s="36">
        <f t="shared" si="7"/>
        <v>12195.60608886724</v>
      </c>
      <c r="F55" s="36">
        <f t="shared" si="7"/>
        <v>15451.630381471539</v>
      </c>
      <c r="G55" s="36">
        <f t="shared" si="7"/>
        <v>14636.437045512233</v>
      </c>
      <c r="H55" s="36">
        <f t="shared" si="7"/>
        <v>11660.968766530852</v>
      </c>
      <c r="I55" s="36">
        <f t="shared" si="7"/>
        <v>8547.8384977906971</v>
      </c>
      <c r="J55" s="36">
        <f t="shared" si="7"/>
        <v>5491.8090821152437</v>
      </c>
      <c r="K55" s="36">
        <f t="shared" si="7"/>
        <v>3736.3759479703731</v>
      </c>
      <c r="L55" s="36">
        <f t="shared" si="7"/>
        <v>2610.1796967867267</v>
      </c>
      <c r="M55" s="36">
        <f t="shared" si="7"/>
        <v>1592.4961737741687</v>
      </c>
      <c r="N55" s="36">
        <f t="shared" si="7"/>
        <v>960.04500195580476</v>
      </c>
      <c r="O55" s="36">
        <f t="shared" si="7"/>
        <v>574.6431897286966</v>
      </c>
      <c r="P55" s="36">
        <f t="shared" si="7"/>
        <v>342.49509988991485</v>
      </c>
      <c r="Q55" s="36">
        <f t="shared" si="7"/>
        <v>203.61539247495239</v>
      </c>
      <c r="R55" s="36">
        <f t="shared" si="7"/>
        <v>120.86876141696121</v>
      </c>
      <c r="S55" s="36">
        <f t="shared" si="7"/>
        <v>71.685352348955348</v>
      </c>
      <c r="T55" s="36">
        <f t="shared" si="7"/>
        <v>104.23016510604066</v>
      </c>
      <c r="U55" s="35">
        <f>D24</f>
        <v>15165.406999999999</v>
      </c>
      <c r="V55" s="36">
        <f t="shared" si="4"/>
        <v>78300.924643740407</v>
      </c>
      <c r="W55" s="35">
        <f t="shared" si="5"/>
        <v>93466.331643740399</v>
      </c>
    </row>
    <row r="56" spans="1:23" x14ac:dyDescent="0.2">
      <c r="A56" s="3">
        <f t="shared" ref="A56:B57" si="8">A25</f>
        <v>1994</v>
      </c>
      <c r="B56" s="35">
        <f t="shared" si="8"/>
        <v>2464.971</v>
      </c>
      <c r="C56" s="35">
        <f t="shared" si="7"/>
        <v>5497.4750000000004</v>
      </c>
      <c r="D56" s="36">
        <f t="shared" si="7"/>
        <v>8322.1335401075066</v>
      </c>
      <c r="E56" s="36">
        <f t="shared" si="7"/>
        <v>13095.6140770886</v>
      </c>
      <c r="F56" s="36">
        <f t="shared" si="7"/>
        <v>16591.925556064205</v>
      </c>
      <c r="G56" s="36">
        <f t="shared" si="7"/>
        <v>15716.572806217475</v>
      </c>
      <c r="H56" s="36">
        <f t="shared" si="7"/>
        <v>12521.521736494171</v>
      </c>
      <c r="I56" s="36">
        <f t="shared" si="7"/>
        <v>9178.6495353053033</v>
      </c>
      <c r="J56" s="36">
        <f t="shared" si="7"/>
        <v>5897.0921002509567</v>
      </c>
      <c r="K56" s="36">
        <f t="shared" si="7"/>
        <v>4012.1119938599877</v>
      </c>
      <c r="L56" s="36">
        <f t="shared" si="7"/>
        <v>2802.8050210783695</v>
      </c>
      <c r="M56" s="36">
        <f t="shared" si="7"/>
        <v>1710.0187689748273</v>
      </c>
      <c r="N56" s="36">
        <f t="shared" si="7"/>
        <v>1030.8941393021523</v>
      </c>
      <c r="O56" s="36">
        <f t="shared" si="7"/>
        <v>617.05054999962158</v>
      </c>
      <c r="P56" s="36">
        <f t="shared" si="7"/>
        <v>367.77045919402735</v>
      </c>
      <c r="Q56" s="36">
        <f t="shared" si="7"/>
        <v>218.64174527913565</v>
      </c>
      <c r="R56" s="36">
        <f t="shared" si="7"/>
        <v>129.78860107142827</v>
      </c>
      <c r="S56" s="36">
        <f t="shared" si="7"/>
        <v>76.975568290858064</v>
      </c>
      <c r="T56" s="36">
        <f t="shared" si="7"/>
        <v>111.92211420027888</v>
      </c>
      <c r="U56" s="35">
        <f>C25</f>
        <v>7962.4459999999999</v>
      </c>
      <c r="V56" s="36">
        <f t="shared" si="4"/>
        <v>92401.488312778907</v>
      </c>
      <c r="W56" s="35">
        <f t="shared" si="5"/>
        <v>100363.9343127789</v>
      </c>
    </row>
    <row r="57" spans="1:23" x14ac:dyDescent="0.2">
      <c r="A57" s="5">
        <f t="shared" si="8"/>
        <v>1995</v>
      </c>
      <c r="B57" s="38">
        <f t="shared" si="8"/>
        <v>2725.355</v>
      </c>
      <c r="C57" s="37">
        <f t="shared" si="7"/>
        <v>5408.7857326196572</v>
      </c>
      <c r="D57" s="37">
        <f t="shared" si="7"/>
        <v>8501.5842381711227</v>
      </c>
      <c r="E57" s="37">
        <f t="shared" si="7"/>
        <v>13377.995641428999</v>
      </c>
      <c r="F57" s="37">
        <f t="shared" si="7"/>
        <v>16949.69830855681</v>
      </c>
      <c r="G57" s="37">
        <f t="shared" si="7"/>
        <v>16055.470271350787</v>
      </c>
      <c r="H57" s="37">
        <f t="shared" si="7"/>
        <v>12791.52411095782</v>
      </c>
      <c r="I57" s="37">
        <f t="shared" si="7"/>
        <v>9376.5693425823411</v>
      </c>
      <c r="J57" s="37">
        <f t="shared" si="7"/>
        <v>6024.2514745670924</v>
      </c>
      <c r="K57" s="37">
        <f t="shared" si="7"/>
        <v>4098.6254215210211</v>
      </c>
      <c r="L57" s="37">
        <f t="shared" si="7"/>
        <v>2863.2420851010393</v>
      </c>
      <c r="M57" s="37">
        <f t="shared" si="7"/>
        <v>1746.8920131153573</v>
      </c>
      <c r="N57" s="37">
        <f t="shared" si="7"/>
        <v>1053.1233755954599</v>
      </c>
      <c r="O57" s="37">
        <f t="shared" si="7"/>
        <v>630.3560504946945</v>
      </c>
      <c r="P57" s="37">
        <f t="shared" si="7"/>
        <v>375.70071713947982</v>
      </c>
      <c r="Q57" s="37">
        <f t="shared" si="7"/>
        <v>223.35633122360741</v>
      </c>
      <c r="R57" s="37">
        <f t="shared" si="7"/>
        <v>132.58724098157836</v>
      </c>
      <c r="S57" s="37">
        <f t="shared" si="7"/>
        <v>78.635397395628388</v>
      </c>
      <c r="T57" s="37">
        <f t="shared" si="7"/>
        <v>114.33549791075347</v>
      </c>
      <c r="U57" s="38">
        <f>B26</f>
        <v>2725.355</v>
      </c>
      <c r="V57" s="37">
        <f t="shared" si="4"/>
        <v>99802.733250713252</v>
      </c>
      <c r="W57" s="38">
        <f t="shared" si="5"/>
        <v>102528.08825071325</v>
      </c>
    </row>
    <row r="58" spans="1:23" x14ac:dyDescent="0.2">
      <c r="A58" s="3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</row>
    <row r="59" spans="1:23" ht="17" thickBot="1" x14ac:dyDescent="0.25">
      <c r="A59" s="25" t="s">
        <v>40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9">
        <f>SUM(V40:V57)</f>
        <v>428441.49144960538</v>
      </c>
      <c r="W59" s="38"/>
    </row>
    <row r="60" spans="1:23" ht="17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731E-4C3A-8F4F-A603-EE25F9E67141}">
  <dimension ref="A1:W174"/>
  <sheetViews>
    <sheetView tabSelected="1" topLeftCell="A133" workbookViewId="0">
      <selection activeCell="H150" sqref="H150"/>
    </sheetView>
  </sheetViews>
  <sheetFormatPr baseColWidth="10" defaultColWidth="10.83203125" defaultRowHeight="16" x14ac:dyDescent="0.2"/>
  <cols>
    <col min="1" max="16384" width="10.83203125" style="1"/>
  </cols>
  <sheetData>
    <row r="1" spans="1:20" ht="15.75" x14ac:dyDescent="0.25">
      <c r="A1" s="21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0" ht="15.75" x14ac:dyDescent="0.25">
      <c r="A2" s="21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4" spans="1:20" s="26" customFormat="1" ht="15.75" x14ac:dyDescent="0.25">
      <c r="A4" s="20" t="s">
        <v>0</v>
      </c>
      <c r="B4" s="40" t="s">
        <v>48</v>
      </c>
      <c r="C4" s="23" t="s">
        <v>43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s="26" customFormat="1" ht="15.75" x14ac:dyDescent="0.25">
      <c r="A5" s="27" t="s">
        <v>1</v>
      </c>
      <c r="B5" s="74" t="s">
        <v>45</v>
      </c>
      <c r="C5" s="24">
        <v>0</v>
      </c>
      <c r="D5" s="24">
        <f t="shared" ref="D5:T5" si="0">C5+1</f>
        <v>1</v>
      </c>
      <c r="E5" s="24">
        <f t="shared" si="0"/>
        <v>2</v>
      </c>
      <c r="F5" s="24">
        <f t="shared" si="0"/>
        <v>3</v>
      </c>
      <c r="G5" s="24">
        <f t="shared" si="0"/>
        <v>4</v>
      </c>
      <c r="H5" s="24">
        <f t="shared" si="0"/>
        <v>5</v>
      </c>
      <c r="I5" s="24">
        <f t="shared" si="0"/>
        <v>6</v>
      </c>
      <c r="J5" s="24">
        <f t="shared" si="0"/>
        <v>7</v>
      </c>
      <c r="K5" s="24">
        <f t="shared" si="0"/>
        <v>8</v>
      </c>
      <c r="L5" s="24">
        <f t="shared" si="0"/>
        <v>9</v>
      </c>
      <c r="M5" s="24">
        <f t="shared" si="0"/>
        <v>10</v>
      </c>
      <c r="N5" s="24">
        <f t="shared" si="0"/>
        <v>11</v>
      </c>
      <c r="O5" s="24">
        <f t="shared" si="0"/>
        <v>12</v>
      </c>
      <c r="P5" s="24">
        <f t="shared" si="0"/>
        <v>13</v>
      </c>
      <c r="Q5" s="24">
        <f t="shared" si="0"/>
        <v>14</v>
      </c>
      <c r="R5" s="24">
        <f t="shared" si="0"/>
        <v>15</v>
      </c>
      <c r="S5" s="24">
        <f t="shared" si="0"/>
        <v>16</v>
      </c>
      <c r="T5" s="24">
        <f t="shared" si="0"/>
        <v>17</v>
      </c>
    </row>
    <row r="6" spans="1:20" x14ac:dyDescent="0.2"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</row>
    <row r="8" spans="1:20" x14ac:dyDescent="0.2">
      <c r="A8" s="3">
        <f>'Payment data'!A18</f>
        <v>1978</v>
      </c>
      <c r="B8" s="30">
        <v>3.1858108000000001</v>
      </c>
      <c r="C8" s="35">
        <f>'Payment data'!C18*'Table 3.4 - 3.5 and 3.7 - 3.9'!B8</f>
        <v>3323.3772961548002</v>
      </c>
      <c r="D8" s="35">
        <f>'Payment data'!D18*'Table 3.4 - 3.5 and 3.7 - 3.9'!B9</f>
        <v>8531.9799032880001</v>
      </c>
      <c r="E8" s="35">
        <f>'Payment data'!E18*'Table 3.4 - 3.5 and 3.7 - 3.9'!B10</f>
        <v>9371.9155769928002</v>
      </c>
      <c r="F8" s="35">
        <f>'Payment data'!F18*'Table 3.4 - 3.5 and 3.7 - 3.9'!B11</f>
        <v>10171.782878586198</v>
      </c>
      <c r="G8" s="35">
        <f>'Payment data'!G18*'Table 3.4 - 3.5 and 3.7 - 3.9'!B12</f>
        <v>7630.4596863586003</v>
      </c>
      <c r="H8" s="35">
        <f>'Payment data'!H18*'Table 3.4 - 3.5 and 3.7 - 3.9'!B13</f>
        <v>3855.5147947967998</v>
      </c>
      <c r="I8" s="35">
        <f>'Payment data'!I18*'Table 3.4 - 3.5 and 3.7 - 3.9'!B14</f>
        <v>3251.5136513801999</v>
      </c>
      <c r="J8" s="35">
        <f>'Payment data'!J18*'Table 3.4 - 3.5 and 3.7 - 3.9'!B15</f>
        <v>4433.9029994198991</v>
      </c>
      <c r="K8" s="35">
        <f>'Payment data'!K18*'Table 3.4 - 3.5 and 3.7 - 3.9'!B16</f>
        <v>2187.8271806919997</v>
      </c>
      <c r="L8" s="35">
        <f>'Payment data'!L18*'Table 3.4 - 3.5 and 3.7 - 3.9'!B17</f>
        <v>332.29526578219998</v>
      </c>
      <c r="M8" s="35">
        <f>'Payment data'!M18*'Table 3.4 - 3.5 and 3.7 - 3.9'!B18</f>
        <v>199.5138673875</v>
      </c>
      <c r="N8" s="35">
        <f>'Payment data'!N18*'Table 3.4 - 3.5 and 3.7 - 3.9'!B19</f>
        <v>692.24961541120012</v>
      </c>
      <c r="O8" s="35">
        <f>'Payment data'!O18*'Table 3.4 - 3.5 and 3.7 - 3.9'!B20</f>
        <v>310.99012516459999</v>
      </c>
      <c r="P8" s="35">
        <f>'Payment data'!P18*'Table 3.4 - 3.5 and 3.7 - 3.9'!B21</f>
        <v>0</v>
      </c>
      <c r="Q8" s="35">
        <f>'Payment data'!Q18*'Table 3.4 - 3.5 and 3.7 - 3.9'!B22</f>
        <v>604.3734059615</v>
      </c>
      <c r="R8" s="35">
        <f>'Payment data'!R18*'Table 3.4 - 3.5 and 3.7 - 3.9'!B23</f>
        <v>93.757826862599998</v>
      </c>
      <c r="S8" s="35">
        <f>'Payment data'!S18*'Table 3.4 - 3.5 and 3.7 - 3.9'!B24</f>
        <v>75.690362579000009</v>
      </c>
      <c r="T8" s="35">
        <f>'Payment data'!T18*'Table 3.4 - 3.5 and 3.7 - 3.9'!B25</f>
        <v>13.837842883799999</v>
      </c>
    </row>
    <row r="9" spans="1:20" x14ac:dyDescent="0.2">
      <c r="A9" s="3">
        <f>'Payment data'!A19</f>
        <v>1979</v>
      </c>
      <c r="B9" s="30">
        <v>2.9351229999999999</v>
      </c>
      <c r="C9" s="35">
        <f>'Payment data'!C19*'Table 3.4 - 3.5 and 3.7 - 3.9'!B9</f>
        <v>3785.4721599449995</v>
      </c>
      <c r="D9" s="35">
        <f>'Payment data'!D19*'Table 3.4 - 3.5 and 3.7 - 3.9'!B10</f>
        <v>10341.097698718799</v>
      </c>
      <c r="E9" s="35">
        <f>'Payment data'!E19*'Table 3.4 - 3.5 and 3.7 - 3.9'!B11</f>
        <v>8330.6885059640008</v>
      </c>
      <c r="F9" s="35">
        <f>'Payment data'!F19*'Table 3.4 - 3.5 and 3.7 - 3.9'!B12</f>
        <v>7848.8324471202004</v>
      </c>
      <c r="G9" s="35">
        <f>'Payment data'!G19*'Table 3.4 - 3.5 and 3.7 - 3.9'!B13</f>
        <v>2838.4851227580002</v>
      </c>
      <c r="H9" s="35">
        <f>'Payment data'!H19*'Table 3.4 - 3.5 and 3.7 - 3.9'!B14</f>
        <v>3577.2267833333999</v>
      </c>
      <c r="I9" s="35">
        <f>'Payment data'!I19*'Table 3.4 - 3.5 and 3.7 - 3.9'!B15</f>
        <v>1404.6418733286</v>
      </c>
      <c r="J9" s="35">
        <f>'Payment data'!J19*'Table 3.4 - 3.5 and 3.7 - 3.9'!B16</f>
        <v>1720.7487493509998</v>
      </c>
      <c r="K9" s="35">
        <f>'Payment data'!K19*'Table 3.4 - 3.5 and 3.7 - 3.9'!B17</f>
        <v>1065.2005699593001</v>
      </c>
      <c r="L9" s="35">
        <f>'Payment data'!L19*'Table 3.4 - 3.5 and 3.7 - 3.9'!B18</f>
        <v>155.36535618329998</v>
      </c>
      <c r="M9" s="35">
        <f>'Payment data'!M19*'Table 3.4 - 3.5 and 3.7 - 3.9'!B19</f>
        <v>35.582887379600002</v>
      </c>
      <c r="N9" s="35">
        <f>'Payment data'!N19*'Table 3.4 - 3.5 and 3.7 - 3.9'!B20</f>
        <v>258.87845455079997</v>
      </c>
      <c r="O9" s="35">
        <f>'Payment data'!O19*'Table 3.4 - 3.5 and 3.7 - 3.9'!B21</f>
        <v>249.91930281770001</v>
      </c>
      <c r="P9" s="35">
        <f>'Payment data'!P19*'Table 3.4 - 3.5 and 3.7 - 3.9'!B22</f>
        <v>419.40231274199999</v>
      </c>
      <c r="Q9" s="35">
        <f>'Payment data'!Q19*'Table 3.4 - 3.5 and 3.7 - 3.9'!B23</f>
        <v>7.700182697999999</v>
      </c>
      <c r="R9" s="35">
        <f>'Payment data'!R19*'Table 3.4 - 3.5 and 3.7 - 3.9'!B24</f>
        <v>0</v>
      </c>
      <c r="S9" s="35">
        <f>'Payment data'!S19*'Table 3.4 - 3.5 and 3.7 - 3.9'!B25</f>
        <v>0</v>
      </c>
      <c r="T9" s="35"/>
    </row>
    <row r="10" spans="1:20" x14ac:dyDescent="0.2">
      <c r="A10" s="3">
        <f>'Payment data'!A20</f>
        <v>1980</v>
      </c>
      <c r="B10" s="30">
        <v>2.6692613999999999</v>
      </c>
      <c r="C10" s="35">
        <f>'Payment data'!C20*'Table 3.4 - 3.5 and 3.7 - 3.9'!B10</f>
        <v>4676.8182374628004</v>
      </c>
      <c r="D10" s="35">
        <f>'Payment data'!D20*'Table 3.4 - 3.5 and 3.7 - 3.9'!B11</f>
        <v>9989.1448720331991</v>
      </c>
      <c r="E10" s="35">
        <f>'Payment data'!E20*'Table 3.4 - 3.5 and 3.7 - 3.9'!B12</f>
        <v>8746.3902138550002</v>
      </c>
      <c r="F10" s="35">
        <f>'Payment data'!F20*'Table 3.4 - 3.5 and 3.7 - 3.9'!B13</f>
        <v>10227.580456568401</v>
      </c>
      <c r="G10" s="35">
        <f>'Payment data'!G20*'Table 3.4 - 3.5 and 3.7 - 3.9'!B14</f>
        <v>8572.4273058102008</v>
      </c>
      <c r="H10" s="35">
        <f>'Payment data'!H20*'Table 3.4 - 3.5 and 3.7 - 3.9'!B15</f>
        <v>5786.2444301864998</v>
      </c>
      <c r="I10" s="35">
        <f>'Payment data'!I20*'Table 3.4 - 3.5 and 3.7 - 3.9'!B16</f>
        <v>3855.2391180690001</v>
      </c>
      <c r="J10" s="35">
        <f>'Payment data'!J20*'Table 3.4 - 3.5 and 3.7 - 3.9'!B17</f>
        <v>1445.4960927702</v>
      </c>
      <c r="K10" s="35">
        <f>'Payment data'!K20*'Table 3.4 - 3.5 and 3.7 - 3.9'!B18</f>
        <v>1612.0472598827998</v>
      </c>
      <c r="L10" s="35">
        <f>'Payment data'!L20*'Table 3.4 - 3.5 and 3.7 - 3.9'!B19</f>
        <v>625.56334669399996</v>
      </c>
      <c r="M10" s="35">
        <f>'Payment data'!M20*'Table 3.4 - 3.5 and 3.7 - 3.9'!B20</f>
        <v>1171.7944974750001</v>
      </c>
      <c r="N10" s="35">
        <f>'Payment data'!N20*'Table 3.4 - 3.5 and 3.7 - 3.9'!B21</f>
        <v>589.4398184974001</v>
      </c>
      <c r="O10" s="35">
        <f>'Payment data'!O20*'Table 3.4 - 3.5 and 3.7 - 3.9'!B22</f>
        <v>437.89473812349996</v>
      </c>
      <c r="P10" s="35">
        <f>'Payment data'!P20*'Table 3.4 - 3.5 and 3.7 - 3.9'!B23</f>
        <v>473.02032323819992</v>
      </c>
      <c r="Q10" s="35">
        <f>'Payment data'!Q20*'Table 3.4 - 3.5 and 3.7 - 3.9'!B24</f>
        <v>370.30693539600003</v>
      </c>
      <c r="R10" s="35">
        <f>'Payment data'!R20*'Table 3.4 - 3.5 and 3.7 - 3.9'!B25</f>
        <v>30.934395056700001</v>
      </c>
      <c r="S10" s="35"/>
      <c r="T10" s="35"/>
    </row>
    <row r="11" spans="1:20" x14ac:dyDescent="0.2">
      <c r="A11" s="3">
        <f>'Payment data'!A21</f>
        <v>1981</v>
      </c>
      <c r="B11" s="30">
        <v>2.3576842</v>
      </c>
      <c r="C11" s="35">
        <f>'Payment data'!C21*'Table 3.4 - 3.5 and 3.7 - 3.9'!B11</f>
        <v>5288.1017612324003</v>
      </c>
      <c r="D11" s="35">
        <f>'Payment data'!D21*'Table 3.4 - 3.5 and 3.7 - 3.9'!B12</f>
        <v>8088.8644626856003</v>
      </c>
      <c r="E11" s="35">
        <f>'Payment data'!E21*'Table 3.4 - 3.5 and 3.7 - 3.9'!B13</f>
        <v>12838.7446480464</v>
      </c>
      <c r="F11" s="35">
        <f>'Payment data'!F21*'Table 3.4 - 3.5 and 3.7 - 3.9'!B14</f>
        <v>11829.6894310272</v>
      </c>
      <c r="G11" s="35">
        <f>'Payment data'!G21*'Table 3.4 - 3.5 and 3.7 - 3.9'!B15</f>
        <v>7760.0195212418994</v>
      </c>
      <c r="H11" s="35">
        <f>'Payment data'!H21*'Table 3.4 - 3.5 and 3.7 - 3.9'!B16</f>
        <v>6182.3353204100003</v>
      </c>
      <c r="I11" s="35">
        <f>'Payment data'!I21*'Table 3.4 - 3.5 and 3.7 - 3.9'!B17</f>
        <v>4118.1476339669998</v>
      </c>
      <c r="J11" s="35">
        <f>'Payment data'!J21*'Table 3.4 - 3.5 and 3.7 - 3.9'!B18</f>
        <v>3016.3356858618004</v>
      </c>
      <c r="K11" s="35">
        <f>'Payment data'!K21*'Table 3.4 - 3.5 and 3.7 - 3.9'!B19</f>
        <v>1774.6517457899999</v>
      </c>
      <c r="L11" s="35">
        <f>'Payment data'!L21*'Table 3.4 - 3.5 and 3.7 - 3.9'!B20</f>
        <v>1784.6926021514</v>
      </c>
      <c r="M11" s="35">
        <f>'Payment data'!M21*'Table 3.4 - 3.5 and 3.7 - 3.9'!B21</f>
        <v>2645.2933664795005</v>
      </c>
      <c r="N11" s="35">
        <f>'Payment data'!N21*'Table 3.4 - 3.5 and 3.7 - 3.9'!B22</f>
        <v>266.17919637749998</v>
      </c>
      <c r="O11" s="35">
        <f>'Payment data'!O21*'Table 3.4 - 3.5 and 3.7 - 3.9'!B23</f>
        <v>38.2282219692</v>
      </c>
      <c r="P11" s="35">
        <f>'Payment data'!P21*'Table 3.4 - 3.5 and 3.7 - 3.9'!B24</f>
        <v>45.040266991200006</v>
      </c>
      <c r="Q11" s="35">
        <f>'Payment data'!Q21*'Table 3.4 - 3.5 and 3.7 - 3.9'!B25</f>
        <v>114.4594404075</v>
      </c>
      <c r="R11" s="35"/>
      <c r="S11" s="35"/>
      <c r="T11" s="35"/>
    </row>
    <row r="12" spans="1:20" x14ac:dyDescent="0.2">
      <c r="A12" s="3">
        <f>'Payment data'!A22</f>
        <v>1982</v>
      </c>
      <c r="B12" s="30">
        <v>1.9912894000000001</v>
      </c>
      <c r="C12" s="35">
        <f>'Payment data'!C22*'Table 3.4 - 3.5 and 3.7 - 3.9'!B12</f>
        <v>2294.0330926396005</v>
      </c>
      <c r="D12" s="35">
        <f>'Payment data'!D22*'Table 3.4 - 3.5 and 3.7 - 3.9'!B13</f>
        <v>9868.7758083336012</v>
      </c>
      <c r="E12" s="35">
        <f>'Payment data'!E22*'Table 3.4 - 3.5 and 3.7 - 3.9'!B14</f>
        <v>10242.137457774001</v>
      </c>
      <c r="F12" s="35">
        <f>'Payment data'!F22*'Table 3.4 - 3.5 and 3.7 - 3.9'!B15</f>
        <v>13808.440156044</v>
      </c>
      <c r="G12" s="35">
        <f>'Payment data'!G22*'Table 3.4 - 3.5 and 3.7 - 3.9'!B16</f>
        <v>8784.7141528589982</v>
      </c>
      <c r="H12" s="35">
        <f>'Payment data'!H22*'Table 3.4 - 3.5 and 3.7 - 3.9'!B17</f>
        <v>5408.5074846797006</v>
      </c>
      <c r="I12" s="35">
        <f>'Payment data'!I22*'Table 3.4 - 3.5 and 3.7 - 3.9'!B18</f>
        <v>2424.5131736664002</v>
      </c>
      <c r="J12" s="35">
        <f>'Payment data'!J22*'Table 3.4 - 3.5 and 3.7 - 3.9'!B19</f>
        <v>1596.8697920868001</v>
      </c>
      <c r="K12" s="35">
        <f>'Payment data'!K22*'Table 3.4 - 3.5 and 3.7 - 3.9'!B20</f>
        <v>2148.7083323567999</v>
      </c>
      <c r="L12" s="35">
        <f>'Payment data'!L22*'Table 3.4 - 3.5 and 3.7 - 3.9'!B21</f>
        <v>3295.9490227156002</v>
      </c>
      <c r="M12" s="35">
        <f>'Payment data'!M22*'Table 3.4 - 3.5 and 3.7 - 3.9'!B22</f>
        <v>917.33831288750002</v>
      </c>
      <c r="N12" s="35">
        <f>'Payment data'!N22*'Table 3.4 - 3.5 and 3.7 - 3.9'!B23</f>
        <v>295.49590802099993</v>
      </c>
      <c r="O12" s="35">
        <f>'Payment data'!O22*'Table 3.4 - 3.5 and 3.7 - 3.9'!B24</f>
        <v>427.55546285299999</v>
      </c>
      <c r="P12" s="35">
        <f>'Payment data'!P22*'Table 3.4 - 3.5 and 3.7 - 3.9'!B25</f>
        <v>358.79001383299999</v>
      </c>
      <c r="Q12" s="35"/>
      <c r="R12" s="35"/>
      <c r="S12" s="35"/>
      <c r="T12" s="35"/>
    </row>
    <row r="13" spans="1:20" x14ac:dyDescent="0.2">
      <c r="A13" s="3">
        <f>'Payment data'!A23</f>
        <v>1983</v>
      </c>
      <c r="B13" s="30">
        <v>1.8975036000000001</v>
      </c>
      <c r="C13" s="35">
        <f>'Payment data'!C23*'Table 3.4 - 3.5 and 3.7 - 3.9'!B13</f>
        <v>3600.1127077404003</v>
      </c>
      <c r="D13" s="35">
        <f>'Payment data'!D23*'Table 3.4 - 3.5 and 3.7 - 3.9'!B14</f>
        <v>7513.8552667728009</v>
      </c>
      <c r="E13" s="35">
        <f>'Payment data'!E23*'Table 3.4 - 3.5 and 3.7 - 3.9'!B15</f>
        <v>8246.7836717853006</v>
      </c>
      <c r="F13" s="35">
        <f>'Payment data'!F23*'Table 3.4 - 3.5 and 3.7 - 3.9'!B16</f>
        <v>9327.1240681069994</v>
      </c>
      <c r="G13" s="35">
        <f>'Payment data'!G23*'Table 3.4 - 3.5 and 3.7 - 3.9'!B17</f>
        <v>8583.8278631965004</v>
      </c>
      <c r="H13" s="35">
        <f>'Payment data'!H23*'Table 3.4 - 3.5 and 3.7 - 3.9'!B18</f>
        <v>4245.1455543930006</v>
      </c>
      <c r="I13" s="35">
        <f>'Payment data'!I23*'Table 3.4 - 3.5 and 3.7 - 3.9'!B19</f>
        <v>4096.4079292267998</v>
      </c>
      <c r="J13" s="35">
        <f>'Payment data'!J23*'Table 3.4 - 3.5 and 3.7 - 3.9'!B20</f>
        <v>3216.2322375726003</v>
      </c>
      <c r="K13" s="35">
        <f>'Payment data'!K23*'Table 3.4 - 3.5 and 3.7 - 3.9'!B21</f>
        <v>2014.0058412672001</v>
      </c>
      <c r="L13" s="35">
        <f>'Payment data'!L23*'Table 3.4 - 3.5 and 3.7 - 3.9'!B22</f>
        <v>592.00780317349995</v>
      </c>
      <c r="M13" s="35">
        <f>'Payment data'!M23*'Table 3.4 - 3.5 and 3.7 - 3.9'!B23</f>
        <v>1188.3136516488</v>
      </c>
      <c r="N13" s="35">
        <f>'Payment data'!N23*'Table 3.4 - 3.5 and 3.7 - 3.9'!B24</f>
        <v>691.49210926860007</v>
      </c>
      <c r="O13" s="35">
        <f>'Payment data'!O23*'Table 3.4 - 3.5 and 3.7 - 3.9'!B25</f>
        <v>367.43321889110001</v>
      </c>
      <c r="P13" s="35"/>
      <c r="Q13" s="35"/>
      <c r="R13" s="35"/>
      <c r="S13" s="35"/>
      <c r="T13" s="35"/>
    </row>
    <row r="14" spans="1:20" x14ac:dyDescent="0.2">
      <c r="A14" s="3">
        <f>'Payment data'!A24</f>
        <v>1984</v>
      </c>
      <c r="B14" s="30">
        <v>1.7440758000000001</v>
      </c>
      <c r="C14" s="35">
        <f>'Payment data'!C24*'Table 3.4 - 3.5 and 3.7 - 3.9'!B14</f>
        <v>3641.6041092630003</v>
      </c>
      <c r="D14" s="35">
        <f>'Payment data'!D24*'Table 3.4 - 3.5 and 3.7 - 3.9'!B15</f>
        <v>7394.2269881594993</v>
      </c>
      <c r="E14" s="35">
        <f>'Payment data'!E24*'Table 3.4 - 3.5 and 3.7 - 3.9'!B16</f>
        <v>9838.0053830279994</v>
      </c>
      <c r="F14" s="35">
        <f>'Payment data'!F24*'Table 3.4 - 3.5 and 3.7 - 3.9'!B17</f>
        <v>9733.6049177818004</v>
      </c>
      <c r="G14" s="35">
        <f>'Payment data'!G24*'Table 3.4 - 3.5 and 3.7 - 3.9'!B18</f>
        <v>6376.9658595929995</v>
      </c>
      <c r="H14" s="35">
        <f>'Payment data'!H24*'Table 3.4 - 3.5 and 3.7 - 3.9'!B19</f>
        <v>4883.7608027824008</v>
      </c>
      <c r="I14" s="35">
        <f>'Payment data'!I24*'Table 3.4 - 3.5 and 3.7 - 3.9'!B20</f>
        <v>11919.643463823801</v>
      </c>
      <c r="J14" s="35">
        <f>'Payment data'!J24*'Table 3.4 - 3.5 and 3.7 - 3.9'!B21</f>
        <v>4188.6072261547006</v>
      </c>
      <c r="K14" s="35">
        <f>'Payment data'!K24*'Table 3.4 - 3.5 and 3.7 - 3.9'!B22</f>
        <v>4491.9297370115</v>
      </c>
      <c r="L14" s="35">
        <f>'Payment data'!L24*'Table 3.4 - 3.5 and 3.7 - 3.9'!B23</f>
        <v>1759.6023877247999</v>
      </c>
      <c r="M14" s="35">
        <f>'Payment data'!M24*'Table 3.4 - 3.5 and 3.7 - 3.9'!B24</f>
        <v>943.90873470359998</v>
      </c>
      <c r="N14" s="35">
        <f>'Payment data'!N24*'Table 3.4 - 3.5 and 3.7 - 3.9'!B25</f>
        <v>921.50613332199998</v>
      </c>
      <c r="O14" s="35"/>
      <c r="P14" s="35"/>
      <c r="Q14" s="35"/>
      <c r="R14" s="35"/>
      <c r="S14" s="35"/>
      <c r="T14" s="35"/>
    </row>
    <row r="15" spans="1:20" x14ac:dyDescent="0.2">
      <c r="A15" s="3">
        <f>'Payment data'!A25</f>
        <v>1985</v>
      </c>
      <c r="B15" s="30">
        <v>1.6519406999999999</v>
      </c>
      <c r="C15" s="35">
        <f>'Payment data'!C25*'Table 3.4 - 3.5 and 3.7 - 3.9'!B15</f>
        <v>2462.5100068538995</v>
      </c>
      <c r="D15" s="35">
        <f>'Payment data'!D25*'Table 3.4 - 3.5 and 3.7 - 3.9'!B16</f>
        <v>5033.0735923819993</v>
      </c>
      <c r="E15" s="35">
        <f>'Payment data'!E25*'Table 3.4 - 3.5 and 3.7 - 3.9'!B17</f>
        <v>6980.3287000687005</v>
      </c>
      <c r="F15" s="35">
        <f>'Payment data'!F25*'Table 3.4 - 3.5 and 3.7 - 3.9'!B18</f>
        <v>7722.2105751294002</v>
      </c>
      <c r="G15" s="35">
        <f>'Payment data'!G25*'Table 3.4 - 3.5 and 3.7 - 3.9'!B19</f>
        <v>6701.6007583623996</v>
      </c>
      <c r="H15" s="35">
        <f>'Payment data'!H25*'Table 3.4 - 3.5 and 3.7 - 3.9'!B20</f>
        <v>7834.1252937686004</v>
      </c>
      <c r="I15" s="35">
        <f>'Payment data'!I25*'Table 3.4 - 3.5 and 3.7 - 3.9'!B21</f>
        <v>5579.2667790300002</v>
      </c>
      <c r="J15" s="35">
        <f>'Payment data'!J25*'Table 3.4 - 3.5 and 3.7 - 3.9'!B22</f>
        <v>3621.9814772330001</v>
      </c>
      <c r="K15" s="35">
        <f>'Payment data'!K25*'Table 3.4 - 3.5 and 3.7 - 3.9'!B23</f>
        <v>1300.1339389997997</v>
      </c>
      <c r="L15" s="35">
        <f>'Payment data'!L25*'Table 3.4 - 3.5 and 3.7 - 3.9'!B24</f>
        <v>3068.5178755366005</v>
      </c>
      <c r="M15" s="35">
        <f>'Payment data'!M25*'Table 3.4 - 3.5 and 3.7 - 3.9'!B25</f>
        <v>1370.2327886237999</v>
      </c>
      <c r="N15" s="35"/>
      <c r="O15" s="35"/>
      <c r="P15" s="35"/>
      <c r="Q15" s="35"/>
      <c r="R15" s="35"/>
      <c r="S15" s="35"/>
      <c r="T15" s="35"/>
    </row>
    <row r="16" spans="1:20" x14ac:dyDescent="0.2">
      <c r="A16" s="3">
        <f>'Payment data'!A26</f>
        <v>1986</v>
      </c>
      <c r="B16" s="30">
        <v>1.5283629999999999</v>
      </c>
      <c r="C16" s="35">
        <f>'Payment data'!C26*'Table 3.4 - 3.5 and 3.7 - 3.9'!B16</f>
        <v>2266.8313208879999</v>
      </c>
      <c r="D16" s="35">
        <f>'Payment data'!D26*'Table 3.4 - 3.5 and 3.7 - 3.9'!B17</f>
        <v>5959.3410573505998</v>
      </c>
      <c r="E16" s="35">
        <f>'Payment data'!E26*'Table 3.4 - 3.5 and 3.7 - 3.9'!B18</f>
        <v>6174.8822398221</v>
      </c>
      <c r="F16" s="35">
        <f>'Payment data'!F26*'Table 3.4 - 3.5 and 3.7 - 3.9'!B19</f>
        <v>7050.7477569672001</v>
      </c>
      <c r="G16" s="35">
        <f>'Payment data'!G26*'Table 3.4 - 3.5 and 3.7 - 3.9'!B20</f>
        <v>8102.1965608619994</v>
      </c>
      <c r="H16" s="35">
        <f>'Payment data'!H26*'Table 3.4 - 3.5 and 3.7 - 3.9'!B21</f>
        <v>6338.9605596822003</v>
      </c>
      <c r="I16" s="35">
        <f>'Payment data'!I26*'Table 3.4 - 3.5 and 3.7 - 3.9'!B22</f>
        <v>6977.9037126610001</v>
      </c>
      <c r="J16" s="35">
        <f>'Payment data'!J26*'Table 3.4 - 3.5 and 3.7 - 3.9'!B23</f>
        <v>4396.1561194019996</v>
      </c>
      <c r="K16" s="35">
        <f>'Payment data'!K26*'Table 3.4 - 3.5 and 3.7 - 3.9'!B24</f>
        <v>3106.7055784894001</v>
      </c>
      <c r="L16" s="35">
        <f>'Payment data'!L26*'Table 3.4 - 3.5 and 3.7 - 3.9'!B25</f>
        <v>903.42709222939993</v>
      </c>
      <c r="M16" s="35"/>
      <c r="N16" s="35"/>
      <c r="O16" s="35"/>
      <c r="P16" s="35"/>
      <c r="Q16" s="35"/>
      <c r="R16" s="35"/>
      <c r="S16" s="35"/>
      <c r="T16" s="35"/>
    </row>
    <row r="17" spans="1:20" x14ac:dyDescent="0.2">
      <c r="A17" s="3">
        <f>'Payment data'!A27</f>
        <v>1987</v>
      </c>
      <c r="B17" s="30">
        <v>1.4427923</v>
      </c>
      <c r="C17" s="35">
        <f>'Payment data'!C27*'Table 3.4 - 3.5 and 3.7 - 3.9'!B17</f>
        <v>2008.6684251907002</v>
      </c>
      <c r="D17" s="35">
        <f>'Payment data'!D27*'Table 3.4 - 3.5 and 3.7 - 3.9'!B18</f>
        <v>3700.7147296413</v>
      </c>
      <c r="E17" s="35">
        <f>'Payment data'!E27*'Table 3.4 - 3.5 and 3.7 - 3.9'!B19</f>
        <v>5297.4087532475996</v>
      </c>
      <c r="F17" s="35">
        <f>'Payment data'!F27*'Table 3.4 - 3.5 and 3.7 - 3.9'!B20</f>
        <v>6885.6603102545996</v>
      </c>
      <c r="G17" s="35">
        <f>'Payment data'!G27*'Table 3.4 - 3.5 and 3.7 - 3.9'!B21</f>
        <v>6496.1287345045002</v>
      </c>
      <c r="H17" s="35">
        <f>'Payment data'!H27*'Table 3.4 - 3.5 and 3.7 - 3.9'!B22</f>
        <v>7550.1395750129996</v>
      </c>
      <c r="I17" s="35">
        <f>'Payment data'!I27*'Table 3.4 - 3.5 and 3.7 - 3.9'!B23</f>
        <v>5855.4200894351998</v>
      </c>
      <c r="J17" s="35">
        <f>'Payment data'!J27*'Table 3.4 - 3.5 and 3.7 - 3.9'!B24</f>
        <v>5750.8460382076</v>
      </c>
      <c r="K17" s="35">
        <f>'Payment data'!K27*'Table 3.4 - 3.5 and 3.7 - 3.9'!B25</f>
        <v>3871.4265210335002</v>
      </c>
      <c r="L17" s="35"/>
      <c r="M17" s="35"/>
      <c r="N17" s="35"/>
      <c r="O17" s="35"/>
      <c r="P17" s="35"/>
      <c r="Q17" s="35"/>
      <c r="R17" s="35"/>
      <c r="S17" s="35"/>
      <c r="T17" s="35"/>
    </row>
    <row r="18" spans="1:20" x14ac:dyDescent="0.2">
      <c r="A18" s="3">
        <f>'Payment data'!A28</f>
        <v>1988</v>
      </c>
      <c r="B18" s="30">
        <v>1.3771449</v>
      </c>
      <c r="C18" s="35">
        <f>'Payment data'!C28*'Table 3.4 - 3.5 and 3.7 - 3.9'!B18</f>
        <v>1859.6234842803001</v>
      </c>
      <c r="D18" s="35">
        <f>'Payment data'!D28*'Table 3.4 - 3.5 and 3.7 - 3.9'!B19</f>
        <v>5281.9974160624006</v>
      </c>
      <c r="E18" s="35">
        <f>'Payment data'!E28*'Table 3.4 - 3.5 and 3.7 - 3.9'!B20</f>
        <v>3650.3958545328001</v>
      </c>
      <c r="F18" s="35">
        <f>'Payment data'!F28*'Table 3.4 - 3.5 and 3.7 - 3.9'!B21</f>
        <v>7528.3927621054008</v>
      </c>
      <c r="G18" s="35">
        <f>'Payment data'!G28*'Table 3.4 - 3.5 and 3.7 - 3.9'!B22</f>
        <v>5156.2461564879995</v>
      </c>
      <c r="H18" s="35">
        <f>'Payment data'!H28*'Table 3.4 - 3.5 and 3.7 - 3.9'!B23</f>
        <v>5766.3281933075996</v>
      </c>
      <c r="I18" s="35">
        <f>'Payment data'!I28*'Table 3.4 - 3.5 and 3.7 - 3.9'!B24</f>
        <v>6861.7924136644006</v>
      </c>
      <c r="J18" s="35">
        <f>'Payment data'!J28*'Table 3.4 - 3.5 and 3.7 - 3.9'!B25</f>
        <v>2572.6197431443002</v>
      </c>
      <c r="K18" s="35"/>
      <c r="L18" s="35"/>
      <c r="M18" s="35"/>
      <c r="N18" s="35"/>
      <c r="O18" s="35"/>
      <c r="P18" s="35"/>
      <c r="Q18" s="35"/>
      <c r="R18" s="35"/>
      <c r="S18" s="35"/>
      <c r="T18" s="35"/>
    </row>
    <row r="19" spans="1:20" x14ac:dyDescent="0.2">
      <c r="A19" s="3">
        <f>'Payment data'!A29</f>
        <v>1989</v>
      </c>
      <c r="B19" s="30">
        <v>1.3117148000000001</v>
      </c>
      <c r="C19" s="35">
        <f>'Payment data'!C29*'Table 3.4 - 3.5 and 3.7 - 3.9'!B19</f>
        <v>2331.0575530835999</v>
      </c>
      <c r="D19" s="35">
        <f>'Payment data'!D29*'Table 3.4 - 3.5 and 3.7 - 3.9'!B20</f>
        <v>3516.7487985486</v>
      </c>
      <c r="E19" s="35">
        <f>'Payment data'!E29*'Table 3.4 - 3.5 and 3.7 - 3.9'!B21</f>
        <v>5310.0143183395012</v>
      </c>
      <c r="F19" s="35">
        <f>'Payment data'!F29*'Table 3.4 - 3.5 and 3.7 - 3.9'!B22</f>
        <v>6066.0044828179998</v>
      </c>
      <c r="G19" s="35">
        <f>'Payment data'!G29*'Table 3.4 - 3.5 and 3.7 - 3.9'!B23</f>
        <v>10149.190601070601</v>
      </c>
      <c r="H19" s="35">
        <f>'Payment data'!H29*'Table 3.4 - 3.5 and 3.7 - 3.9'!B24</f>
        <v>9264.9414495564015</v>
      </c>
      <c r="I19" s="35">
        <f>'Payment data'!I29*'Table 3.4 - 3.5 and 3.7 - 3.9'!B25</f>
        <v>5261.5705317765005</v>
      </c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0" spans="1:20" x14ac:dyDescent="0.2">
      <c r="A20" s="3">
        <f>'Payment data'!A30</f>
        <v>1990</v>
      </c>
      <c r="B20" s="30">
        <v>1.2434482</v>
      </c>
      <c r="C20" s="35">
        <f>'Payment data'!C30*'Table 3.4 - 3.5 and 3.7 - 3.9'!B20</f>
        <v>2314.1976098466002</v>
      </c>
      <c r="D20" s="35">
        <f>'Payment data'!D30*'Table 3.4 - 3.5 and 3.7 - 3.9'!B21</f>
        <v>4486.4187619518007</v>
      </c>
      <c r="E20" s="35">
        <f>'Payment data'!E30*'Table 3.4 - 3.5 and 3.7 - 3.9'!B22</f>
        <v>4112.6505151339998</v>
      </c>
      <c r="F20" s="35">
        <f>'Payment data'!F30*'Table 3.4 - 3.5 and 3.7 - 3.9'!B23</f>
        <v>6999.4269568950003</v>
      </c>
      <c r="G20" s="35">
        <f>'Payment data'!G30*'Table 3.4 - 3.5 and 3.7 - 3.9'!B24</f>
        <v>11163.0761189244</v>
      </c>
      <c r="H20" s="35">
        <f>'Payment data'!H30*'Table 3.4 - 3.5 and 3.7 - 3.9'!B25</f>
        <v>10057.5087514967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x14ac:dyDescent="0.2">
      <c r="A21" s="3">
        <f>'Payment data'!A31</f>
        <v>1991</v>
      </c>
      <c r="B21" s="30">
        <v>1.1657717000000001</v>
      </c>
      <c r="C21" s="35">
        <f>'Payment data'!C31*'Table 3.4 - 3.5 and 3.7 - 3.9'!B21</f>
        <v>2606.8578735305</v>
      </c>
      <c r="D21" s="35">
        <f>'Payment data'!D31*'Table 3.4 - 3.5 and 3.7 - 3.9'!B22</f>
        <v>3952.0416243770001</v>
      </c>
      <c r="E21" s="35">
        <f>'Payment data'!E31*'Table 3.4 - 3.5 and 3.7 - 3.9'!B23</f>
        <v>8228.0508973296</v>
      </c>
      <c r="F21" s="35">
        <f>'Payment data'!F31*'Table 3.4 - 3.5 and 3.7 - 3.9'!B24</f>
        <v>7904.9322844222006</v>
      </c>
      <c r="G21" s="35">
        <f>'Payment data'!G31*'Table 3.4 - 3.5 and 3.7 - 3.9'!B25</f>
        <v>9307.2077966517991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</row>
    <row r="22" spans="1:20" x14ac:dyDescent="0.2">
      <c r="A22" s="3">
        <f>'Payment data'!A32</f>
        <v>1992</v>
      </c>
      <c r="B22" s="30">
        <v>1.1424245</v>
      </c>
      <c r="C22" s="35">
        <f>'Payment data'!C32*'Table 3.4 - 3.5 and 3.7 - 3.9'!B22</f>
        <v>2594.6516759099995</v>
      </c>
      <c r="D22" s="35">
        <f>'Payment data'!D32*'Table 3.4 - 3.5 and 3.7 - 3.9'!B23</f>
        <v>5403.5009490011998</v>
      </c>
      <c r="E22" s="35">
        <f>'Payment data'!E32*'Table 3.4 - 3.5 and 3.7 - 3.9'!B24</f>
        <v>6578.4668037950005</v>
      </c>
      <c r="F22" s="35">
        <f>'Payment data'!F32*'Table 3.4 - 3.5 and 3.7 - 3.9'!B25</f>
        <v>15546.107884456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</row>
    <row r="23" spans="1:20" x14ac:dyDescent="0.2">
      <c r="A23" s="3">
        <f>'Payment data'!A33</f>
        <v>1993</v>
      </c>
      <c r="B23" s="30">
        <v>1.1175881999999999</v>
      </c>
      <c r="C23" s="35">
        <f>'Payment data'!C33*'Table 3.4 - 3.5 and 3.7 - 3.9'!B23</f>
        <v>3154.7492051357999</v>
      </c>
      <c r="D23" s="35">
        <f>'Payment data'!D33*'Table 3.4 - 3.5 and 3.7 - 3.9'!B24</f>
        <v>4974.5214873778004</v>
      </c>
      <c r="E23" s="35">
        <f>'Payment data'!E33*'Table 3.4 - 3.5 and 3.7 - 3.9'!B25</f>
        <v>7960.9292706118995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spans="1:20" x14ac:dyDescent="0.2">
      <c r="A24" s="3">
        <f>'Payment data'!A34</f>
        <v>1994</v>
      </c>
      <c r="B24" s="30">
        <v>1.0653862000000001</v>
      </c>
      <c r="C24" s="35">
        <f>'Payment data'!C34*'Table 3.4 - 3.5 and 3.7 - 3.9'!B24</f>
        <v>2626.1460868002</v>
      </c>
      <c r="D24" s="35">
        <f>'Payment data'!D34*'Table 3.4 - 3.5 and 3.7 - 3.9'!B25</f>
        <v>5703.4934253725005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</row>
    <row r="25" spans="1:20" x14ac:dyDescent="0.2">
      <c r="A25" s="3">
        <f>'Payment data'!A35</f>
        <v>1995</v>
      </c>
      <c r="B25" s="30">
        <v>1.0374751</v>
      </c>
      <c r="C25" s="35">
        <f>'Payment data'!C35*'Table 3.4 - 3.5 and 3.7 - 3.9'!B25</f>
        <v>2827.4879511605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</row>
    <row r="28" spans="1:20" ht="15.75" x14ac:dyDescent="0.25">
      <c r="A28" s="21" t="s">
        <v>46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20" ht="15.75" x14ac:dyDescent="0.25">
      <c r="A29" s="21" t="s">
        <v>47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1" spans="1:20" x14ac:dyDescent="0.2">
      <c r="A31" s="2" t="s">
        <v>0</v>
      </c>
      <c r="B31" s="31" t="s">
        <v>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20" x14ac:dyDescent="0.2">
      <c r="A32" s="28" t="s">
        <v>1</v>
      </c>
      <c r="B32" s="29" t="s">
        <v>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">
      <c r="B33" s="5">
        <v>0</v>
      </c>
      <c r="C33" s="5">
        <f t="shared" ref="C33:R33" si="1">B33+1</f>
        <v>1</v>
      </c>
      <c r="D33" s="5">
        <f t="shared" si="1"/>
        <v>2</v>
      </c>
      <c r="E33" s="5">
        <f t="shared" si="1"/>
        <v>3</v>
      </c>
      <c r="F33" s="5">
        <f t="shared" si="1"/>
        <v>4</v>
      </c>
      <c r="G33" s="5">
        <f t="shared" si="1"/>
        <v>5</v>
      </c>
      <c r="H33" s="5">
        <f t="shared" si="1"/>
        <v>6</v>
      </c>
      <c r="I33" s="5">
        <f t="shared" si="1"/>
        <v>7</v>
      </c>
      <c r="J33" s="5">
        <f t="shared" si="1"/>
        <v>8</v>
      </c>
      <c r="K33" s="5">
        <f t="shared" si="1"/>
        <v>9</v>
      </c>
      <c r="L33" s="5">
        <f t="shared" si="1"/>
        <v>10</v>
      </c>
      <c r="M33" s="5">
        <f t="shared" si="1"/>
        <v>11</v>
      </c>
      <c r="N33" s="5">
        <f t="shared" si="1"/>
        <v>12</v>
      </c>
      <c r="O33" s="5">
        <f t="shared" si="1"/>
        <v>13</v>
      </c>
      <c r="P33" s="5">
        <f t="shared" si="1"/>
        <v>14</v>
      </c>
      <c r="Q33" s="5">
        <f t="shared" si="1"/>
        <v>15</v>
      </c>
      <c r="R33" s="5">
        <f t="shared" si="1"/>
        <v>16</v>
      </c>
    </row>
    <row r="35" spans="1:18" x14ac:dyDescent="0.2">
      <c r="A35" s="3">
        <f>A8</f>
        <v>1978</v>
      </c>
      <c r="B35" s="6">
        <f>SUM($C8:D8)/SUM($C8:C8)</f>
        <v>3.5672618974558303</v>
      </c>
      <c r="C35" s="6">
        <f>SUM($C8:E8)/SUM($C8:D8)</f>
        <v>1.7905215692221641</v>
      </c>
      <c r="D35" s="6">
        <f>SUM($C8:F8)/SUM($C8:E8)</f>
        <v>1.4791846312861205</v>
      </c>
      <c r="E35" s="6">
        <f>SUM($C8:G8)/SUM($C8:F8)</f>
        <v>1.24301557888217</v>
      </c>
      <c r="F35" s="6">
        <f>SUM($C8:H8)/SUM($C8:G8)</f>
        <v>1.0987845931745162</v>
      </c>
      <c r="G35" s="6">
        <f>SUM($C8:I8)/SUM($C8:H8)</f>
        <v>1.0758193159957061</v>
      </c>
      <c r="H35" s="6">
        <f>SUM($C8:J8)/SUM($C8:I8)</f>
        <v>1.0961039262029784</v>
      </c>
      <c r="I35" s="6">
        <f>SUM($C8:K8)/SUM($C8:J8)</f>
        <v>1.043262959291382</v>
      </c>
      <c r="J35" s="6">
        <f>SUM($C8:L8)/SUM($C8:K8)</f>
        <v>1.0062984483909734</v>
      </c>
      <c r="K35" s="6">
        <f>SUM($C8:M8)/SUM($C8:L8)</f>
        <v>1.0037579907367387</v>
      </c>
      <c r="L35" s="6">
        <f>SUM($C8:N8)/SUM($C8:M8)</f>
        <v>1.0129902145977383</v>
      </c>
      <c r="M35" s="6">
        <f>SUM($C8:O8)/SUM($C8:N8)</f>
        <v>1.0057609612166869</v>
      </c>
      <c r="N35" s="6">
        <f>SUM($C8:P8)/SUM($C8:O8)</f>
        <v>1</v>
      </c>
      <c r="O35" s="6">
        <f>SUM($C8:Q8)/SUM($C8:P8)</f>
        <v>1.011131634137163</v>
      </c>
      <c r="P35" s="6">
        <f>SUM($C8:R8)/SUM($C8:Q8)</f>
        <v>1.0017078645056454</v>
      </c>
      <c r="Q35" s="6">
        <f>SUM($C8:S8)/SUM($C8:R8)</f>
        <v>1.0013764022765577</v>
      </c>
      <c r="R35" s="6">
        <f>SUM($C8:T8)/SUM($C8:S8)</f>
        <v>1.0002512903660672</v>
      </c>
    </row>
    <row r="36" spans="1:18" x14ac:dyDescent="0.2">
      <c r="A36" s="3">
        <f t="shared" ref="A36:A51" si="2">A9</f>
        <v>1979</v>
      </c>
      <c r="B36" s="6">
        <f>SUM($C9:D9)/SUM($C9:C9)</f>
        <v>3.7317854317198438</v>
      </c>
      <c r="C36" s="6">
        <f>SUM($C9:E9)/SUM($C9:D9)</f>
        <v>1.5897177155751512</v>
      </c>
      <c r="D36" s="6">
        <f>SUM($C9:F9)/SUM($C9:E9)</f>
        <v>1.3495009194658782</v>
      </c>
      <c r="E36" s="6">
        <f>SUM($C9:G9)/SUM($C9:F9)</f>
        <v>1.0936605496363681</v>
      </c>
      <c r="F36" s="6">
        <f>SUM($C9:H9)/SUM($C9:G9)</f>
        <v>1.1079279695839837</v>
      </c>
      <c r="G36" s="6">
        <f>SUM($C9:I9)/SUM($C9:H9)</f>
        <v>1.0382508964530279</v>
      </c>
      <c r="H36" s="6">
        <f>SUM($C9:J9)/SUM($C9:I9)</f>
        <v>1.0451326833068932</v>
      </c>
      <c r="I36" s="6">
        <f>SUM($C9:K9)/SUM($C9:J9)</f>
        <v>1.0267321354569818</v>
      </c>
      <c r="J36" s="6">
        <f>SUM($C9:L9)/SUM($C9:K9)</f>
        <v>1.0037975132064689</v>
      </c>
      <c r="K36" s="6">
        <f>SUM($C9:M9)/SUM($C9:L9)</f>
        <v>1.0008664433612886</v>
      </c>
      <c r="L36" s="6">
        <f>SUM($C9:N9)/SUM($C9:M9)</f>
        <v>1.0062982336954649</v>
      </c>
      <c r="M36" s="6">
        <f>SUM($C9:O9)/SUM($C9:N9)</f>
        <v>1.0060422119301251</v>
      </c>
      <c r="N36" s="6">
        <f>SUM($C9:P9)/SUM($C9:O9)</f>
        <v>1.0100788451070983</v>
      </c>
      <c r="O36" s="6">
        <f>SUM($C9:Q9)/SUM($C9:P9)</f>
        <v>1.0001832000990336</v>
      </c>
      <c r="P36" s="6">
        <f>SUM($C9:R9)/SUM($C9:Q9)</f>
        <v>1</v>
      </c>
      <c r="Q36" s="6">
        <f>SUM($C9:S9)/SUM($C9:R9)</f>
        <v>1</v>
      </c>
      <c r="R36" s="6"/>
    </row>
    <row r="37" spans="1:18" x14ac:dyDescent="0.2">
      <c r="A37" s="3">
        <f t="shared" si="2"/>
        <v>1980</v>
      </c>
      <c r="B37" s="6">
        <f>SUM($C10:D10)/SUM($C10:C10)</f>
        <v>3.1358847756829573</v>
      </c>
      <c r="C37" s="6">
        <f>SUM($C10:E10)/SUM($C10:D10)</f>
        <v>1.5963733952250185</v>
      </c>
      <c r="D37" s="6">
        <f>SUM($C10:F10)/SUM($C10:E10)</f>
        <v>1.4368454685145908</v>
      </c>
      <c r="E37" s="6">
        <f>SUM($C10:G10)/SUM($C10:F10)</f>
        <v>1.2548288995422254</v>
      </c>
      <c r="F37" s="6">
        <f>SUM($C10:H10)/SUM($C10:G10)</f>
        <v>1.1370746454678322</v>
      </c>
      <c r="G37" s="6">
        <f>SUM($C10:I10)/SUM($C10:H10)</f>
        <v>1.0803198150577651</v>
      </c>
      <c r="H37" s="6">
        <f>SUM($C10:J10)/SUM($C10:I10)</f>
        <v>1.0278763532959485</v>
      </c>
      <c r="I37" s="6">
        <f>SUM($C10:K10)/SUM($C10:J10)</f>
        <v>1.0302451632215701</v>
      </c>
      <c r="J37" s="6">
        <f>SUM($C10:L10)/SUM($C10:K10)</f>
        <v>1.0113922333714496</v>
      </c>
      <c r="K37" s="6">
        <f>SUM($C10:M10)/SUM($C10:L10)</f>
        <v>1.0210993666260486</v>
      </c>
      <c r="L37" s="6">
        <f>SUM($C10:N10)/SUM($C10:M10)</f>
        <v>1.010394160721805</v>
      </c>
      <c r="M37" s="6">
        <f>SUM($C10:O10)/SUM($C10:N10)</f>
        <v>1.0076423840155018</v>
      </c>
      <c r="N37" s="6">
        <f>SUM($C10:P10)/SUM($C10:O10)</f>
        <v>1.0081928028377416</v>
      </c>
      <c r="O37" s="6">
        <f>SUM($C10:Q10)/SUM($C10:P10)</f>
        <v>1.0063616673488334</v>
      </c>
      <c r="P37" s="6">
        <f>SUM($C10:R10)/SUM($C10:Q10)</f>
        <v>1.0005280762694564</v>
      </c>
      <c r="Q37" s="6"/>
      <c r="R37" s="6"/>
    </row>
    <row r="38" spans="1:18" x14ac:dyDescent="0.2">
      <c r="A38" s="3">
        <f t="shared" si="2"/>
        <v>1981</v>
      </c>
      <c r="B38" s="6">
        <f>SUM($C11:D11)/SUM($C11:C11)</f>
        <v>2.5296347967404613</v>
      </c>
      <c r="C38" s="6">
        <f>SUM($C11:E11)/SUM($C11:D11)</f>
        <v>1.959765049349586</v>
      </c>
      <c r="D38" s="6">
        <f>SUM($C11:F11)/SUM($C11:E11)</f>
        <v>1.4512442744277481</v>
      </c>
      <c r="E38" s="6">
        <f>SUM($C11:G11)/SUM($C11:F11)</f>
        <v>1.2039673510974127</v>
      </c>
      <c r="F38" s="6">
        <f>SUM($C11:H11)/SUM($C11:G11)</f>
        <v>1.1349695154881916</v>
      </c>
      <c r="G38" s="6">
        <f>SUM($C11:I11)/SUM($C11:H11)</f>
        <v>1.0792137999132534</v>
      </c>
      <c r="H38" s="6">
        <f>SUM($C11:J11)/SUM($C11:I11)</f>
        <v>1.0537614678042706</v>
      </c>
      <c r="I38" s="6">
        <f>SUM($C11:K11)/SUM($C11:J11)</f>
        <v>1.0300166534942079</v>
      </c>
      <c r="J38" s="6">
        <f>SUM($C11:L11)/SUM($C11:K11)</f>
        <v>1.0293067937621985</v>
      </c>
      <c r="K38" s="6">
        <f>SUM($C11:M11)/SUM($C11:L11)</f>
        <v>1.0422020830966574</v>
      </c>
      <c r="L38" s="6">
        <f>SUM($C11:N11)/SUM($C11:M11)</f>
        <v>1.0040745740795654</v>
      </c>
      <c r="M38" s="6">
        <f>SUM($C11:O11)/SUM($C11:N11)</f>
        <v>1.0005828089841293</v>
      </c>
      <c r="N38" s="6">
        <f>SUM($C11:P11)/SUM($C11:O11)</f>
        <v>1.0006862621683221</v>
      </c>
      <c r="O38" s="6">
        <f>SUM($C11:Q11)/SUM($C11:P11)</f>
        <v>1.0017427808633765</v>
      </c>
    </row>
    <row r="39" spans="1:18" x14ac:dyDescent="0.2">
      <c r="A39" s="3">
        <f t="shared" si="2"/>
        <v>1982</v>
      </c>
      <c r="B39" s="6">
        <f>SUM($C12:D12)/SUM($C12:C12)</f>
        <v>5.301932626864688</v>
      </c>
      <c r="C39" s="6">
        <f>SUM($C12:E12)/SUM($C12:D12)</f>
        <v>1.842086523036178</v>
      </c>
      <c r="D39" s="6">
        <f>SUM($C12:F12)/SUM($C12:E12)</f>
        <v>1.6163121274625587</v>
      </c>
      <c r="E39" s="6">
        <f>SUM($C12:G12)/SUM($C12:F12)</f>
        <v>1.242581956516851</v>
      </c>
      <c r="F39" s="6">
        <f>SUM($C12:H12)/SUM($C12:G12)</f>
        <v>1.1201941282950183</v>
      </c>
      <c r="G39" s="6">
        <f>SUM($C12:I12)/SUM($C12:H12)</f>
        <v>1.0480991136388202</v>
      </c>
      <c r="H39" s="6">
        <f>SUM($C12:J12)/SUM($C12:I12)</f>
        <v>1.0302259303230241</v>
      </c>
      <c r="I39" s="6">
        <f>SUM($C12:K12)/SUM($C12:J12)</f>
        <v>1.0394780018188641</v>
      </c>
      <c r="J39" s="6">
        <f>SUM($C12:L12)/SUM($C12:K12)</f>
        <v>1.0582562972872389</v>
      </c>
      <c r="K39" s="6">
        <f>SUM($C12:M12)/SUM($C12:L12)</f>
        <v>1.0153214921384144</v>
      </c>
      <c r="L39" s="6">
        <f>SUM($C12:N12)/SUM($C12:M12)</f>
        <v>1.0048609306177518</v>
      </c>
      <c r="M39" s="6">
        <f>SUM($C12:O12)/SUM($C12:N12)</f>
        <v>1.0069992974434587</v>
      </c>
      <c r="N39" s="6">
        <f>SUM($C12:P12)/SUM($C12:O12)</f>
        <v>1.0058327474074316</v>
      </c>
      <c r="O39" s="6"/>
    </row>
    <row r="40" spans="1:18" x14ac:dyDescent="0.2">
      <c r="A40" s="3">
        <f t="shared" si="2"/>
        <v>1983</v>
      </c>
      <c r="B40" s="6">
        <f>SUM($C13:D13)/SUM($C13:C13)</f>
        <v>3.0871166757134247</v>
      </c>
      <c r="C40" s="6">
        <f>SUM($C13:E13)/SUM($C13:D13)</f>
        <v>1.7420197440461413</v>
      </c>
      <c r="D40" s="6">
        <f>SUM($C13:F13)/SUM($C13:E13)</f>
        <v>1.4817542334359839</v>
      </c>
      <c r="E40" s="6">
        <f>SUM($C13:G13)/SUM($C13:F13)</f>
        <v>1.2992144817082489</v>
      </c>
      <c r="F40" s="6">
        <f>SUM($C13:H13)/SUM($C13:G13)</f>
        <v>1.1138972772080122</v>
      </c>
      <c r="G40" s="6">
        <f>SUM($C13:I13)/SUM($C13:H13)</f>
        <v>1.0986685650494104</v>
      </c>
      <c r="H40" s="6">
        <f>SUM($C13:J13)/SUM($C13:I13)</f>
        <v>1.0705109094326632</v>
      </c>
      <c r="I40" s="6">
        <f>SUM($C13:K13)/SUM($C13:J13)</f>
        <v>1.0412456871900342</v>
      </c>
      <c r="J40" s="6">
        <f>SUM($C13:L13)/SUM($C13:K13)</f>
        <v>1.0116437275120969</v>
      </c>
      <c r="K40" s="6">
        <f>SUM($C13:M13)/SUM($C13:L13)</f>
        <v>1.0231029849744104</v>
      </c>
      <c r="L40" s="6">
        <f>SUM($C13:N13)/SUM($C13:M13)</f>
        <v>1.0131402880675102</v>
      </c>
      <c r="M40" s="6">
        <f>SUM($C13:O13)/SUM($C13:N13)</f>
        <v>1.0068917019861967</v>
      </c>
    </row>
    <row r="41" spans="1:18" x14ac:dyDescent="0.2">
      <c r="A41" s="3">
        <f t="shared" si="2"/>
        <v>1984</v>
      </c>
      <c r="B41" s="6">
        <f>SUM($C14:D14)/SUM($C14:C14)</f>
        <v>3.0304862270314072</v>
      </c>
      <c r="C41" s="6">
        <f>SUM($C14:E14)/SUM($C14:D14)</f>
        <v>1.8914603074457834</v>
      </c>
      <c r="D41" s="6">
        <f>SUM($C14:F14)/SUM($C14:E14)</f>
        <v>1.4663064658429157</v>
      </c>
      <c r="E41" s="6">
        <f>SUM($C14:G14)/SUM($C14:F14)</f>
        <v>1.2083469106947731</v>
      </c>
      <c r="F41" s="6">
        <f>SUM($C14:H14)/SUM($C14:G14)</f>
        <v>1.132049184099039</v>
      </c>
      <c r="G41" s="6">
        <f>SUM($C14:I14)/SUM($C14:H14)</f>
        <v>1.2846946502786822</v>
      </c>
      <c r="H41" s="6">
        <f>SUM($C14:J14)/SUM($C14:I14)</f>
        <v>1.0778727951080915</v>
      </c>
      <c r="I41" s="6">
        <f>SUM($C14:K14)/SUM($C14:J14)</f>
        <v>1.0774785651444896</v>
      </c>
      <c r="J41" s="6">
        <f>SUM($C14:L14)/SUM($C14:K14)</f>
        <v>1.0281679031113515</v>
      </c>
      <c r="K41" s="6">
        <f>SUM($C14:M14)/SUM($C14:L14)</f>
        <v>1.0146962299410094</v>
      </c>
      <c r="L41" s="6">
        <f>SUM($C14:N14)/SUM($C14:M14)</f>
        <v>1.0141396323326677</v>
      </c>
    </row>
    <row r="42" spans="1:18" x14ac:dyDescent="0.2">
      <c r="A42" s="3">
        <f t="shared" si="2"/>
        <v>1985</v>
      </c>
      <c r="B42" s="6">
        <f>SUM($C15:D15)/SUM($C15:C15)</f>
        <v>3.043879447544763</v>
      </c>
      <c r="C42" s="6">
        <f>SUM($C15:E15)/SUM($C15:D15)</f>
        <v>1.9312588683261804</v>
      </c>
      <c r="D42" s="6">
        <f>SUM($C15:F15)/SUM($C15:E15)</f>
        <v>1.5334524287978979</v>
      </c>
      <c r="E42" s="6">
        <f>SUM($C15:G15)/SUM($C15:F15)</f>
        <v>1.3018994352031792</v>
      </c>
      <c r="F42" s="6">
        <f>SUM($C15:H15)/SUM($C15:G15)</f>
        <v>1.2710795920857239</v>
      </c>
      <c r="G42" s="6">
        <f>SUM($C15:I15)/SUM($C15:H15)</f>
        <v>1.1518835336363356</v>
      </c>
      <c r="H42" s="6">
        <f>SUM($C15:J15)/SUM($C15:I15)</f>
        <v>1.0855994983312955</v>
      </c>
      <c r="I42" s="6">
        <f>SUM($C15:K15)/SUM($C15:J15)</f>
        <v>1.028303715867305</v>
      </c>
      <c r="J42" s="6">
        <f>SUM($C15:L15)/SUM($C15:K15)</f>
        <v>1.064962482508498</v>
      </c>
      <c r="K42" s="6">
        <f>SUM($C15:M15)/SUM($C15:L15)</f>
        <v>1.0272391783104593</v>
      </c>
      <c r="L42" s="7"/>
    </row>
    <row r="43" spans="1:18" x14ac:dyDescent="0.2">
      <c r="A43" s="3">
        <f t="shared" si="2"/>
        <v>1986</v>
      </c>
      <c r="B43" s="6">
        <f>SUM($C16:D16)/SUM($C16:C16)</f>
        <v>3.6289300851093369</v>
      </c>
      <c r="C43" s="6">
        <f>SUM($C16:E16)/SUM($C16:D16)</f>
        <v>1.7506385662616366</v>
      </c>
      <c r="D43" s="6">
        <f>SUM($C16:F16)/SUM($C16:E16)</f>
        <v>1.4895994039300908</v>
      </c>
      <c r="E43" s="6">
        <f>SUM($C16:G16)/SUM($C16:F16)</f>
        <v>1.3776930450512535</v>
      </c>
      <c r="F43" s="6">
        <f>SUM($C16:H16)/SUM($C16:G16)</f>
        <v>1.2144874056953514</v>
      </c>
      <c r="G43" s="6">
        <f>SUM($C16:I16)/SUM($C16:H16)</f>
        <v>1.1944087032868331</v>
      </c>
      <c r="H43" s="6">
        <f>SUM($C16:J16)/SUM($C16:I16)</f>
        <v>1.102544147479581</v>
      </c>
      <c r="I43" s="6">
        <f>SUM($C16:K16)/SUM($C16:J16)</f>
        <v>1.0657267080235169</v>
      </c>
      <c r="J43" s="6">
        <f>SUM($C16:L16)/SUM($C16:K16)</f>
        <v>1.0179344905288026</v>
      </c>
      <c r="K43" s="7"/>
      <c r="L43" s="7"/>
    </row>
    <row r="44" spans="1:18" x14ac:dyDescent="0.2">
      <c r="A44" s="3">
        <f t="shared" si="2"/>
        <v>1987</v>
      </c>
      <c r="B44" s="6">
        <f>SUM($C17:D17)/SUM($C17:C17)</f>
        <v>2.8423721323194293</v>
      </c>
      <c r="C44" s="6">
        <f>SUM($C17:E17)/SUM($C17:D17)</f>
        <v>1.9278425724089412</v>
      </c>
      <c r="D44" s="6">
        <f>SUM($C17:F17)/SUM($C17:E17)</f>
        <v>1.6255828553640719</v>
      </c>
      <c r="E44" s="6">
        <f>SUM($C17:G17)/SUM($C17:F17)</f>
        <v>1.3630653112963458</v>
      </c>
      <c r="F44" s="6">
        <f>SUM($C17:H17)/SUM($C17:G17)</f>
        <v>1.3095768298128148</v>
      </c>
      <c r="G44" s="6">
        <f>SUM($C17:I17)/SUM($C17:H17)</f>
        <v>1.1833329573840965</v>
      </c>
      <c r="H44" s="6">
        <f>SUM($C17:J17)/SUM($C17:I17)</f>
        <v>1.1521623707876343</v>
      </c>
      <c r="I44" s="6">
        <f>SUM($C17:K17)/SUM($C17:J17)</f>
        <v>1.0889063659994256</v>
      </c>
      <c r="J44" s="7"/>
      <c r="K44" s="7"/>
      <c r="L44" s="7"/>
    </row>
    <row r="45" spans="1:18" x14ac:dyDescent="0.2">
      <c r="A45" s="3">
        <f t="shared" si="2"/>
        <v>1988</v>
      </c>
      <c r="B45" s="6">
        <f>SUM($C18:D18)/SUM($C18:C18)</f>
        <v>3.8403585245680025</v>
      </c>
      <c r="C45" s="6">
        <f>SUM($C18:E18)/SUM($C18:D18)</f>
        <v>1.5111438853268775</v>
      </c>
      <c r="D45" s="6">
        <f>SUM($C18:F18)/SUM($C18:E18)</f>
        <v>1.6975890543076022</v>
      </c>
      <c r="E45" s="6">
        <f>SUM($C18:G18)/SUM($C18:F18)</f>
        <v>1.2814481931590425</v>
      </c>
      <c r="F45" s="6">
        <f>SUM($C18:H18)/SUM($C18:G18)</f>
        <v>1.2456196603771021</v>
      </c>
      <c r="G45" s="6">
        <f>SUM($C18:I18)/SUM($C18:H18)</f>
        <v>1.2346474780044663</v>
      </c>
      <c r="H45" s="6">
        <f>SUM($C18:J18)/SUM($C18:I18)</f>
        <v>1.0712542773610252</v>
      </c>
      <c r="I45" s="7"/>
      <c r="J45" s="7"/>
      <c r="K45" s="7"/>
      <c r="L45" s="7"/>
    </row>
    <row r="46" spans="1:18" x14ac:dyDescent="0.2">
      <c r="A46" s="3">
        <f t="shared" si="2"/>
        <v>1989</v>
      </c>
      <c r="B46" s="6">
        <f>SUM($C19:D19)/SUM($C19:C19)</f>
        <v>2.5086494942591737</v>
      </c>
      <c r="C46" s="6">
        <f>SUM($C19:E19)/SUM($C19:D19)</f>
        <v>1.9080352527161584</v>
      </c>
      <c r="D46" s="6">
        <f>SUM($C19:F19)/SUM($C19:E19)</f>
        <v>1.5436549539770821</v>
      </c>
      <c r="E46" s="6">
        <f>SUM($C19:G19)/SUM($C19:F19)</f>
        <v>1.5892529975797369</v>
      </c>
      <c r="F46" s="6">
        <f>SUM($C19:H19)/SUM($C19:G19)</f>
        <v>1.3384698833649635</v>
      </c>
      <c r="G46" s="6">
        <f>SUM($C19:I19)/SUM($C19:H19)</f>
        <v>1.1436098225281466</v>
      </c>
      <c r="H46" s="7"/>
      <c r="I46" s="7"/>
      <c r="J46" s="7"/>
      <c r="K46" s="7"/>
      <c r="L46" s="7"/>
    </row>
    <row r="47" spans="1:18" x14ac:dyDescent="0.2">
      <c r="A47" s="3">
        <f t="shared" si="2"/>
        <v>1990</v>
      </c>
      <c r="B47" s="6">
        <f>SUM($C20:D20)/SUM($C20:C20)</f>
        <v>2.9386498122989546</v>
      </c>
      <c r="C47" s="6">
        <f>SUM($C20:E20)/SUM($C20:D20)</f>
        <v>1.6047467303388594</v>
      </c>
      <c r="D47" s="6">
        <f>SUM($C20:F20)/SUM($C20:E20)</f>
        <v>1.6413686231091946</v>
      </c>
      <c r="E47" s="6">
        <f>SUM($C20:G20)/SUM($C20:F20)</f>
        <v>1.62319359758226</v>
      </c>
      <c r="F47" s="6">
        <f>SUM($C20:H20)/SUM($C20:G20)</f>
        <v>1.3459068758757244</v>
      </c>
      <c r="G47" s="7"/>
      <c r="H47" s="7"/>
      <c r="I47" s="7"/>
      <c r="J47" s="7"/>
      <c r="K47" s="7"/>
      <c r="L47" s="7"/>
    </row>
    <row r="48" spans="1:18" x14ac:dyDescent="0.2">
      <c r="A48" s="3">
        <f t="shared" si="2"/>
        <v>1991</v>
      </c>
      <c r="B48" s="6">
        <f>SUM($C21:D21)/SUM($C21:C21)</f>
        <v>2.5160172959581799</v>
      </c>
      <c r="C48" s="6">
        <f>SUM($C21:E21)/SUM($C21:D21)</f>
        <v>2.2544865034072581</v>
      </c>
      <c r="D48" s="6">
        <f>SUM($C21:F21)/SUM($C21:E21)</f>
        <v>1.5345884089100881</v>
      </c>
      <c r="E48" s="6">
        <f>SUM($C21:G21)/SUM($C21:F21)</f>
        <v>1.4101558221519739</v>
      </c>
      <c r="F48" s="7"/>
      <c r="G48" s="7"/>
      <c r="H48" s="7"/>
      <c r="I48" s="7"/>
      <c r="J48" s="7"/>
      <c r="K48" s="7"/>
      <c r="L48" s="7"/>
    </row>
    <row r="49" spans="1:18" x14ac:dyDescent="0.2">
      <c r="A49" s="3">
        <f t="shared" si="2"/>
        <v>1992</v>
      </c>
      <c r="B49" s="6">
        <f>SUM($C22:D22)/SUM($C22:C22)</f>
        <v>3.0825535077289623</v>
      </c>
      <c r="C49" s="6">
        <f>SUM($C22:E22)/SUM($C22:D22)</f>
        <v>1.8224982833292753</v>
      </c>
      <c r="D49" s="6">
        <f>SUM($C22:F22)/SUM($C22:E22)</f>
        <v>2.0665098283241554</v>
      </c>
      <c r="E49" s="7"/>
      <c r="F49" s="7"/>
      <c r="G49" s="7"/>
      <c r="H49" s="7"/>
      <c r="I49" s="7"/>
      <c r="J49" s="7"/>
      <c r="K49" s="7"/>
      <c r="L49" s="7"/>
    </row>
    <row r="50" spans="1:18" x14ac:dyDescent="0.2">
      <c r="A50" s="3">
        <f t="shared" si="2"/>
        <v>1993</v>
      </c>
      <c r="B50" s="6">
        <f>SUM($C23:D23)/SUM($C23:C23)</f>
        <v>2.5768358002212941</v>
      </c>
      <c r="C50" s="6">
        <f>SUM($C23:E23)/SUM($C23:D23)</f>
        <v>1.9792919404127198</v>
      </c>
      <c r="D50" s="7"/>
      <c r="E50" s="7"/>
      <c r="F50" s="7"/>
      <c r="G50" s="7"/>
      <c r="H50" s="7"/>
      <c r="I50" s="7"/>
      <c r="J50" s="7"/>
      <c r="K50" s="7"/>
      <c r="L50" s="7"/>
    </row>
    <row r="51" spans="1:18" x14ac:dyDescent="0.2">
      <c r="A51" s="3">
        <f t="shared" si="2"/>
        <v>1994</v>
      </c>
      <c r="B51" s="6">
        <f>SUM($C24:D24)/SUM($C24:C24)</f>
        <v>3.1718111776187827</v>
      </c>
      <c r="C51" s="6"/>
      <c r="D51" s="7"/>
      <c r="E51" s="7"/>
      <c r="F51" s="7"/>
      <c r="G51" s="7"/>
      <c r="H51" s="7"/>
      <c r="I51" s="7"/>
      <c r="J51" s="7"/>
      <c r="K51" s="7"/>
      <c r="L51" s="7"/>
    </row>
    <row r="52" spans="1:18" x14ac:dyDescent="0.2">
      <c r="A52" s="3"/>
    </row>
    <row r="54" spans="1:18" x14ac:dyDescent="0.2">
      <c r="A54" s="2" t="s">
        <v>6</v>
      </c>
    </row>
    <row r="55" spans="1:18" x14ac:dyDescent="0.2">
      <c r="A55" s="2" t="s">
        <v>7</v>
      </c>
    </row>
    <row r="57" spans="1:18" x14ac:dyDescent="0.2">
      <c r="A57" s="2" t="s">
        <v>8</v>
      </c>
      <c r="B57" s="8">
        <f>SUM($C8:D24)/SUM($C8:C24)</f>
        <v>3.1587528549125738</v>
      </c>
      <c r="C57" s="8">
        <f>SUM($C8:E23)/SUM($C8:D23)</f>
        <v>1.8007344535698</v>
      </c>
      <c r="D57" s="8">
        <f>SUM($C8:F22)/SUM($C8:E22)</f>
        <v>1.5372748990517007</v>
      </c>
      <c r="E57" s="8">
        <f>SUM($C8:G21)/SUM($C8:F21)</f>
        <v>1.2935771209850964</v>
      </c>
      <c r="F57" s="8">
        <f>SUM($C8:H20)/SUM($C8:G20)</f>
        <v>1.1826056395589364</v>
      </c>
      <c r="G57" s="8">
        <f>SUM($C8:I19)/SUM($C8:H19)</f>
        <v>1.1273296328409796</v>
      </c>
      <c r="H57" s="8">
        <f>SUM($C8:J18)/SUM($C8:I18)</f>
        <v>1.0714142902970922</v>
      </c>
      <c r="I57" s="8">
        <f>SUM($C8:K17)/SUM($C8:J17)</f>
        <v>1.0470680609255731</v>
      </c>
      <c r="J57" s="8">
        <f>SUM($C8:L16)/SUM($C8:K16)</f>
        <v>1.0262432681501457</v>
      </c>
      <c r="K57" s="8">
        <f>SUM($C8:M15)/SUM($C8:L15)</f>
        <v>1.0193328502477959</v>
      </c>
      <c r="L57" s="8">
        <f>SUM($C8:N14)/SUM($C8:M14)</f>
        <v>1.0094053237486904</v>
      </c>
      <c r="M57" s="8">
        <f>SUM($C8:O13)/SUM($C8:N13)</f>
        <v>1.0055075753790024</v>
      </c>
      <c r="N57" s="8">
        <f>SUM($C8:P12)/SUM($C8:O12)</f>
        <v>1.004616517705732</v>
      </c>
      <c r="O57" s="8">
        <f>SUM($C8:Q11)/SUM($C8:P11)</f>
        <v>1.0049808751727896</v>
      </c>
      <c r="P57" s="8">
        <f>SUM($C8:R10)/SUM($C8:Q10)</f>
        <v>1.0008017949552295</v>
      </c>
      <c r="Q57" s="8">
        <f>SUM($C8:S9)/SUM($C8:R9)</f>
        <v>1.0007800661576594</v>
      </c>
      <c r="R57" s="8">
        <f>SUM($C8:T8)/SUM($C8:S8)</f>
        <v>1.0002512903660672</v>
      </c>
    </row>
    <row r="58" spans="1:18" ht="15" x14ac:dyDescent="0.2">
      <c r="A58" s="97" t="s">
        <v>151</v>
      </c>
      <c r="B58" s="96">
        <f ca="1">SUM(OFFSET($C$8:$T$25,0,0,17-C5,2+C5))/SUM(OFFSET($C$8:$T$25,0,0,17-C5,1+C5))</f>
        <v>3.1587528549125738</v>
      </c>
      <c r="C58" s="96">
        <f t="shared" ref="C58:R58" ca="1" si="3">SUM(OFFSET($C$8:$T$25,0,0,17-D5,2+D5))/SUM(OFFSET($C$8:$T$25,0,0,17-D5,1+D5))</f>
        <v>1.8007344535698</v>
      </c>
      <c r="D58" s="96">
        <f t="shared" ca="1" si="3"/>
        <v>1.5372748990517007</v>
      </c>
      <c r="E58" s="96">
        <f t="shared" ca="1" si="3"/>
        <v>1.2935771209850964</v>
      </c>
      <c r="F58" s="96">
        <f t="shared" ca="1" si="3"/>
        <v>1.1826056395589364</v>
      </c>
      <c r="G58" s="96">
        <f t="shared" ca="1" si="3"/>
        <v>1.1273296328409796</v>
      </c>
      <c r="H58" s="96">
        <f t="shared" ca="1" si="3"/>
        <v>1.0714142902970922</v>
      </c>
      <c r="I58" s="96">
        <f t="shared" ca="1" si="3"/>
        <v>1.0470680609255731</v>
      </c>
      <c r="J58" s="96">
        <f t="shared" ca="1" si="3"/>
        <v>1.0262432681501457</v>
      </c>
      <c r="K58" s="96">
        <f t="shared" ca="1" si="3"/>
        <v>1.0193328502477959</v>
      </c>
      <c r="L58" s="96">
        <f t="shared" ca="1" si="3"/>
        <v>1.0094053237486904</v>
      </c>
      <c r="M58" s="96">
        <f t="shared" ca="1" si="3"/>
        <v>1.0055075753790024</v>
      </c>
      <c r="N58" s="96">
        <f t="shared" ca="1" si="3"/>
        <v>1.004616517705732</v>
      </c>
      <c r="O58" s="96">
        <f t="shared" ca="1" si="3"/>
        <v>1.0049808751727896</v>
      </c>
      <c r="P58" s="96">
        <f t="shared" ca="1" si="3"/>
        <v>1.0008017949552295</v>
      </c>
      <c r="Q58" s="96">
        <f t="shared" ca="1" si="3"/>
        <v>1.0007800661576594</v>
      </c>
      <c r="R58" s="96">
        <f t="shared" ca="1" si="3"/>
        <v>1.0002512903660672</v>
      </c>
    </row>
    <row r="59" spans="1:18" x14ac:dyDescent="0.2">
      <c r="A59" s="2" t="s">
        <v>9</v>
      </c>
    </row>
    <row r="60" spans="1:18" x14ac:dyDescent="0.2">
      <c r="A60" s="2" t="s">
        <v>10</v>
      </c>
      <c r="B60" s="9">
        <f>SUM($C19:D24)/SUM($C19:C24)</f>
        <v>2.7940449842716371</v>
      </c>
      <c r="C60" s="9">
        <f>SUM($C18:E23)/SUM($C18:D23)</f>
        <v>1.8437752723299436</v>
      </c>
      <c r="D60" s="9">
        <f>SUM($C17:F22)/SUM($C17:E22)</f>
        <v>1.6954542428797317</v>
      </c>
      <c r="E60" s="9">
        <f>SUM($C16:G21)/SUM($C16:F21)</f>
        <v>1.4361651119520062</v>
      </c>
      <c r="F60" s="9">
        <f>SUM($C15:H20)/SUM($C15:G20)</f>
        <v>1.2876000023729925</v>
      </c>
      <c r="G60" s="9">
        <f>SUM($C14:I19)/SUM($C14:H19)</f>
        <v>1.1999654728198053</v>
      </c>
      <c r="H60" s="9">
        <f>SUM($C13:J18)/SUM($C13:I18)</f>
        <v>1.0918681470128777</v>
      </c>
      <c r="I60" s="9">
        <f>SUM($C12:K17)/SUM($C12:J17)</f>
        <v>1.0568254681223315</v>
      </c>
      <c r="J60" s="9">
        <f>SUM($C11:L16)/SUM($C11:K16)</f>
        <v>1.0347271364997244</v>
      </c>
      <c r="K60" s="9">
        <f>SUM($C10:M15)/SUM($C10:L15)</f>
        <v>1.0239403592544574</v>
      </c>
      <c r="L60" s="9">
        <f>SUM($C9:N14)/SUM($C9:M14)</f>
        <v>1.0088462796644413</v>
      </c>
      <c r="M60" s="9">
        <f>SUM($C8:O13)/SUM($C8:N13)</f>
        <v>1.0055075753790024</v>
      </c>
      <c r="N60" s="6"/>
      <c r="O60" s="6"/>
      <c r="P60" s="6"/>
      <c r="Q60" s="6"/>
      <c r="R60" s="6"/>
    </row>
    <row r="61" spans="1:18" ht="15" x14ac:dyDescent="0.2">
      <c r="A61" s="2" t="s">
        <v>11</v>
      </c>
      <c r="B61" s="98">
        <f ca="1">SUM(OFFSET($C$19:$T$24,-C5,0,,2+C5))/SUM(OFFSET($C$19:$T$24,-C5,0,,1+C5))</f>
        <v>2.7940449842716371</v>
      </c>
      <c r="C61" s="98">
        <f t="shared" ref="C61:M61" ca="1" si="4">SUM(OFFSET($C$19:$T$24,-D5,0,,2+D5))/SUM(OFFSET($C$19:$T$24,-D5,0,,1+D5))</f>
        <v>1.8437752723299436</v>
      </c>
      <c r="D61" s="98">
        <f t="shared" ca="1" si="4"/>
        <v>1.6954542428797317</v>
      </c>
      <c r="E61" s="98">
        <f t="shared" ca="1" si="4"/>
        <v>1.4361651119520062</v>
      </c>
      <c r="F61" s="98">
        <f t="shared" ca="1" si="4"/>
        <v>1.2876000023729925</v>
      </c>
      <c r="G61" s="98">
        <f t="shared" ca="1" si="4"/>
        <v>1.1999654728198053</v>
      </c>
      <c r="H61" s="98">
        <f t="shared" ca="1" si="4"/>
        <v>1.0918681470128777</v>
      </c>
      <c r="I61" s="98">
        <f t="shared" ca="1" si="4"/>
        <v>1.0568254681223315</v>
      </c>
      <c r="J61" s="98">
        <f t="shared" ca="1" si="4"/>
        <v>1.0347271364997244</v>
      </c>
      <c r="K61" s="98">
        <f t="shared" ca="1" si="4"/>
        <v>1.0239403592544574</v>
      </c>
      <c r="L61" s="98">
        <f t="shared" ca="1" si="4"/>
        <v>1.0088462796644413</v>
      </c>
      <c r="M61" s="98">
        <f t="shared" ca="1" si="4"/>
        <v>1.0055075753790024</v>
      </c>
    </row>
    <row r="62" spans="1:18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2">
      <c r="A63" s="2" t="s">
        <v>12</v>
      </c>
      <c r="B63" s="10">
        <f>SUM($C22:D24)/SUM($C22:C24)</f>
        <v>2.920055600367232</v>
      </c>
      <c r="C63" s="10">
        <f>SUM($C21:E23)/SUM($C21:D23)</f>
        <v>2.0035759059352438</v>
      </c>
      <c r="D63" s="10">
        <f>SUM($C20:F22)/SUM($C20:E22)</f>
        <v>1.7560292617903346</v>
      </c>
      <c r="E63" s="10">
        <f>SUM($C19:G21)/SUM($C19:F21)</f>
        <v>1.5294885147968418</v>
      </c>
      <c r="F63" s="10">
        <f>SUM($C18:H20)/SUM($C18:G20)</f>
        <v>1.313902281401405</v>
      </c>
      <c r="G63" s="10">
        <f>SUM($C17:I19)/SUM($C17:H19)</f>
        <v>1.1837951874006016</v>
      </c>
      <c r="H63" s="10">
        <f>SUM($C16:J18)/SUM($C16:I18)</f>
        <v>1.1089290558671234</v>
      </c>
      <c r="I63" s="10">
        <f>SUM($C15:K17)/SUM($C15:J17)</f>
        <v>1.0605370486603738</v>
      </c>
      <c r="J63" s="10">
        <f>SUM($C14:L16)/SUM($C14:K16)</f>
        <v>1.0358048717326698</v>
      </c>
      <c r="K63" s="10">
        <f>SUM($C13:M15)/SUM($C13:L15)</f>
        <v>1.0211032970101981</v>
      </c>
      <c r="L63" s="10">
        <f>SUM($C12:N14)/SUM($C12:M14)</f>
        <v>1.0106867153759609</v>
      </c>
      <c r="M63" s="10">
        <f>SUM($C11:O13)/SUM($C11:N13)</f>
        <v>1.0046291410437036</v>
      </c>
      <c r="N63" s="10">
        <f>SUM($C10:P12)/SUM($C10:O12)</f>
        <v>1.004742799095552</v>
      </c>
      <c r="O63" s="10">
        <f>SUM($C9:Q11)/SUM($C9:P11)</f>
        <v>1.0029681506840582</v>
      </c>
      <c r="P63" s="10">
        <f>SUM($C8:R10)/SUM($C8:Q10)</f>
        <v>1.0008017949552295</v>
      </c>
      <c r="Q63" s="6"/>
      <c r="R63" s="6"/>
    </row>
    <row r="64" spans="1:18" ht="15" x14ac:dyDescent="0.2">
      <c r="A64" s="3"/>
      <c r="B64" s="99">
        <f ca="1">SUM(OFFSET($C$22:$T$24,-C5,0,,2+C5))/SUM(OFFSET($C$22:$T$24,-C5,0,,1+C5))</f>
        <v>2.920055600367232</v>
      </c>
      <c r="C64" s="99">
        <f t="shared" ref="C64:P64" ca="1" si="5">SUM(OFFSET($C$22:$T$24,-D5,0,,2+D5))/SUM(OFFSET($C$22:$T$24,-D5,0,,1+D5))</f>
        <v>2.0035759059352438</v>
      </c>
      <c r="D64" s="99">
        <f t="shared" ca="1" si="5"/>
        <v>1.7560292617903346</v>
      </c>
      <c r="E64" s="99">
        <f t="shared" ca="1" si="5"/>
        <v>1.5294885147968418</v>
      </c>
      <c r="F64" s="99">
        <f t="shared" ca="1" si="5"/>
        <v>1.313902281401405</v>
      </c>
      <c r="G64" s="99">
        <f t="shared" ca="1" si="5"/>
        <v>1.1837951874006016</v>
      </c>
      <c r="H64" s="99">
        <f t="shared" ca="1" si="5"/>
        <v>1.1089290558671234</v>
      </c>
      <c r="I64" s="99">
        <f t="shared" ca="1" si="5"/>
        <v>1.0605370486603738</v>
      </c>
      <c r="J64" s="99">
        <f t="shared" ca="1" si="5"/>
        <v>1.0358048717326698</v>
      </c>
      <c r="K64" s="99">
        <f t="shared" ca="1" si="5"/>
        <v>1.0211032970101981</v>
      </c>
      <c r="L64" s="99">
        <f t="shared" ca="1" si="5"/>
        <v>1.0106867153759609</v>
      </c>
      <c r="M64" s="99">
        <f t="shared" ca="1" si="5"/>
        <v>1.0046291410437036</v>
      </c>
      <c r="N64" s="99">
        <f t="shared" ca="1" si="5"/>
        <v>1.004742799095552</v>
      </c>
      <c r="O64" s="99">
        <f t="shared" ca="1" si="5"/>
        <v>1.0029681506840582</v>
      </c>
      <c r="P64" s="99">
        <f t="shared" ca="1" si="5"/>
        <v>1.0008017949552295</v>
      </c>
      <c r="Q64" s="3"/>
      <c r="R64" s="3"/>
    </row>
    <row r="65" spans="1:19" x14ac:dyDescent="0.2">
      <c r="A65" s="2" t="s">
        <v>13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9" x14ac:dyDescent="0.2">
      <c r="A66" s="2" t="s">
        <v>14</v>
      </c>
      <c r="B66" s="10">
        <f t="shared" ref="B66:H66" si="6">B63</f>
        <v>2.920055600367232</v>
      </c>
      <c r="C66" s="10">
        <f t="shared" si="6"/>
        <v>2.0035759059352438</v>
      </c>
      <c r="D66" s="10">
        <f t="shared" si="6"/>
        <v>1.7560292617903346</v>
      </c>
      <c r="E66" s="10">
        <f t="shared" si="6"/>
        <v>1.5294885147968418</v>
      </c>
      <c r="F66" s="10">
        <f t="shared" si="6"/>
        <v>1.313902281401405</v>
      </c>
      <c r="G66" s="10">
        <f t="shared" si="6"/>
        <v>1.1837951874006016</v>
      </c>
      <c r="H66" s="10">
        <f t="shared" si="6"/>
        <v>1.1089290558671234</v>
      </c>
      <c r="I66" s="9">
        <f>I60</f>
        <v>1.0568254681223315</v>
      </c>
      <c r="J66" s="9">
        <f>J60</f>
        <v>1.0347271364997244</v>
      </c>
      <c r="K66" s="9">
        <f>K60</f>
        <v>1.0239403592544574</v>
      </c>
      <c r="L66" s="8">
        <f t="shared" ref="L66:R66" si="7">L57</f>
        <v>1.0094053237486904</v>
      </c>
      <c r="M66" s="8">
        <f t="shared" si="7"/>
        <v>1.0055075753790024</v>
      </c>
      <c r="N66" s="8">
        <f t="shared" si="7"/>
        <v>1.004616517705732</v>
      </c>
      <c r="O66" s="8">
        <f t="shared" si="7"/>
        <v>1.0049808751727896</v>
      </c>
      <c r="P66" s="8">
        <f t="shared" si="7"/>
        <v>1.0008017949552295</v>
      </c>
      <c r="Q66" s="8">
        <f t="shared" si="7"/>
        <v>1.0007800661576594</v>
      </c>
      <c r="R66" s="8">
        <f t="shared" si="7"/>
        <v>1.0002512903660672</v>
      </c>
    </row>
    <row r="67" spans="1:19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9" x14ac:dyDescent="0.2">
      <c r="A68" s="2" t="s">
        <v>15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9" x14ac:dyDescent="0.2">
      <c r="A69" s="2" t="s">
        <v>16</v>
      </c>
      <c r="B69" s="10">
        <f t="shared" ref="B69:J69" si="8">B66</f>
        <v>2.920055600367232</v>
      </c>
      <c r="C69" s="10">
        <f t="shared" si="8"/>
        <v>2.0035759059352438</v>
      </c>
      <c r="D69" s="10">
        <f t="shared" si="8"/>
        <v>1.7560292617903346</v>
      </c>
      <c r="E69" s="10">
        <f t="shared" si="8"/>
        <v>1.5294885147968418</v>
      </c>
      <c r="F69" s="10">
        <f t="shared" si="8"/>
        <v>1.313902281401405</v>
      </c>
      <c r="G69" s="10">
        <f t="shared" si="8"/>
        <v>1.1837951874006016</v>
      </c>
      <c r="H69" s="10">
        <f t="shared" si="8"/>
        <v>1.1089290558671234</v>
      </c>
      <c r="I69" s="9">
        <f t="shared" si="8"/>
        <v>1.0568254681223315</v>
      </c>
      <c r="J69" s="9">
        <f t="shared" si="8"/>
        <v>1.0347271364997244</v>
      </c>
      <c r="K69" s="11">
        <f>K76</f>
        <v>1.0217352693451225</v>
      </c>
      <c r="L69" s="11">
        <f t="shared" ref="L69:R69" si="9">L76</f>
        <v>1.0121267454603038</v>
      </c>
      <c r="M69" s="11">
        <f t="shared" si="9"/>
        <v>1.0067658676377065</v>
      </c>
      <c r="N69" s="11">
        <f t="shared" si="9"/>
        <v>1.003774876370648</v>
      </c>
      <c r="O69" s="11">
        <f t="shared" si="9"/>
        <v>1.0021061144522341</v>
      </c>
      <c r="P69" s="11">
        <f t="shared" si="9"/>
        <v>1.0011750631412462</v>
      </c>
      <c r="Q69" s="11">
        <f t="shared" si="9"/>
        <v>1.0006556022558273</v>
      </c>
      <c r="R69" s="11">
        <f t="shared" si="9"/>
        <v>1.0003657797634518</v>
      </c>
      <c r="S69" s="92">
        <f>1+(R76-1)*C73/(1-C73)</f>
        <v>1.0004616440713561</v>
      </c>
    </row>
    <row r="71" spans="1:19" s="13" customFormat="1" x14ac:dyDescent="0.2"/>
    <row r="72" spans="1:19" x14ac:dyDescent="0.2">
      <c r="C72" s="1" t="s">
        <v>56</v>
      </c>
      <c r="F72" s="12"/>
      <c r="G72" s="12"/>
      <c r="H72" s="12"/>
      <c r="I72" s="14" t="s">
        <v>19</v>
      </c>
      <c r="J72" s="12">
        <f t="shared" ref="J72:R72" si="10">J66-1</f>
        <v>3.4727136499724365E-2</v>
      </c>
      <c r="K72" s="12">
        <f t="shared" si="10"/>
        <v>2.3940359254457366E-2</v>
      </c>
      <c r="L72" s="12">
        <f t="shared" si="10"/>
        <v>9.4053237486904084E-3</v>
      </c>
      <c r="M72" s="12">
        <f t="shared" si="10"/>
        <v>5.5075753790023718E-3</v>
      </c>
      <c r="N72" s="12">
        <f t="shared" si="10"/>
        <v>4.616517705732015E-3</v>
      </c>
      <c r="O72" s="12">
        <f t="shared" si="10"/>
        <v>4.9808751727895562E-3</v>
      </c>
      <c r="P72" s="12">
        <f t="shared" si="10"/>
        <v>8.0179495522947342E-4</v>
      </c>
      <c r="Q72" s="12">
        <f t="shared" si="10"/>
        <v>7.8006615765935372E-4</v>
      </c>
      <c r="R72" s="12">
        <f t="shared" si="10"/>
        <v>2.5129036606719168E-4</v>
      </c>
    </row>
    <row r="73" spans="1:19" x14ac:dyDescent="0.2">
      <c r="A73" s="1" t="s">
        <v>17</v>
      </c>
      <c r="B73" s="1">
        <f>SLOPE(J73:R73,J33:R33)</f>
        <v>-0.58352287464221564</v>
      </c>
      <c r="C73" s="1">
        <f>EXP(B73)</f>
        <v>0.55792938508144174</v>
      </c>
      <c r="I73" s="15" t="s">
        <v>20</v>
      </c>
      <c r="J73" s="1">
        <f t="shared" ref="J73:R73" si="11">LN(J72)</f>
        <v>-3.3602338659644326</v>
      </c>
      <c r="K73" s="1">
        <f t="shared" si="11"/>
        <v>-3.7321895725130525</v>
      </c>
      <c r="L73" s="1">
        <f t="shared" si="11"/>
        <v>-4.6664793937816871</v>
      </c>
      <c r="M73" s="1">
        <f t="shared" si="11"/>
        <v>-5.2016307927718364</v>
      </c>
      <c r="N73" s="1">
        <f t="shared" si="11"/>
        <v>-5.3781146014438779</v>
      </c>
      <c r="O73" s="1">
        <f t="shared" si="11"/>
        <v>-5.3021496658776597</v>
      </c>
      <c r="P73" s="1">
        <f t="shared" si="11"/>
        <v>-7.1286576495822542</v>
      </c>
      <c r="Q73" s="1">
        <f t="shared" si="11"/>
        <v>-7.1561318243654464</v>
      </c>
      <c r="R73" s="1">
        <f t="shared" si="11"/>
        <v>-8.2889014505316325</v>
      </c>
    </row>
    <row r="74" spans="1:19" x14ac:dyDescent="0.2">
      <c r="A74" s="1" t="s">
        <v>18</v>
      </c>
      <c r="B74" s="1">
        <f>INTERCEPT(J73:R73,J33:R33)</f>
        <v>1.4228868493919338</v>
      </c>
      <c r="C74" s="1">
        <f>EXP(B74)</f>
        <v>4.1490809396524355</v>
      </c>
      <c r="I74" s="16" t="s">
        <v>21</v>
      </c>
      <c r="J74" s="1">
        <f>_xlfn.FORECAST.LINEAR(J33,$J73:$R73,$J33:$R33)</f>
        <v>-3.2452961477457913</v>
      </c>
      <c r="K74" s="1">
        <f t="shared" ref="K74:R74" si="12">_xlfn.FORECAST.LINEAR(K33,$J73:$R73,$J33:$R33)</f>
        <v>-3.8288190223880072</v>
      </c>
      <c r="L74" s="1">
        <f t="shared" si="12"/>
        <v>-4.4123418970302231</v>
      </c>
      <c r="M74" s="1">
        <f t="shared" si="12"/>
        <v>-4.995864771672438</v>
      </c>
      <c r="N74" s="1">
        <f t="shared" si="12"/>
        <v>-5.5793876463146539</v>
      </c>
      <c r="O74" s="1">
        <f t="shared" si="12"/>
        <v>-6.1629105209568698</v>
      </c>
      <c r="P74" s="1">
        <f t="shared" si="12"/>
        <v>-6.7464333955990847</v>
      </c>
      <c r="Q74" s="1">
        <f t="shared" si="12"/>
        <v>-7.3299562702413015</v>
      </c>
      <c r="R74" s="1">
        <f t="shared" si="12"/>
        <v>-7.9134791448835164</v>
      </c>
    </row>
    <row r="75" spans="1:19" x14ac:dyDescent="0.2">
      <c r="I75" s="17" t="s">
        <v>22</v>
      </c>
      <c r="J75" s="1">
        <f>EXP(J74)</f>
        <v>3.8957025613464952E-2</v>
      </c>
      <c r="K75" s="1">
        <f t="shared" ref="K75:R75" si="13">EXP(K74)</f>
        <v>2.1735269345122474E-2</v>
      </c>
      <c r="L75" s="1">
        <f t="shared" si="13"/>
        <v>1.2126745460303691E-2</v>
      </c>
      <c r="M75" s="1">
        <f t="shared" si="13"/>
        <v>6.7658676377064086E-3</v>
      </c>
      <c r="N75" s="1">
        <f t="shared" si="13"/>
        <v>3.7748763706479628E-3</v>
      </c>
      <c r="O75" s="1">
        <f t="shared" si="13"/>
        <v>2.1061144522340823E-3</v>
      </c>
      <c r="P75" s="1">
        <f t="shared" si="13"/>
        <v>1.1750631412460999E-3</v>
      </c>
      <c r="Q75" s="1">
        <f t="shared" si="13"/>
        <v>6.5560225582730316E-4</v>
      </c>
      <c r="R75" s="1">
        <f t="shared" si="13"/>
        <v>3.6577976345173358E-4</v>
      </c>
    </row>
    <row r="76" spans="1:19" x14ac:dyDescent="0.2">
      <c r="I76" s="15" t="s">
        <v>23</v>
      </c>
      <c r="J76" s="12">
        <f>1+J75</f>
        <v>1.038957025613465</v>
      </c>
      <c r="K76" s="18">
        <f t="shared" ref="K76:R76" si="14">1+K75</f>
        <v>1.0217352693451225</v>
      </c>
      <c r="L76" s="18">
        <f t="shared" si="14"/>
        <v>1.0121267454603038</v>
      </c>
      <c r="M76" s="18">
        <f t="shared" si="14"/>
        <v>1.0067658676377065</v>
      </c>
      <c r="N76" s="18">
        <f t="shared" si="14"/>
        <v>1.003774876370648</v>
      </c>
      <c r="O76" s="18">
        <f t="shared" si="14"/>
        <v>1.0021061144522341</v>
      </c>
      <c r="P76" s="18">
        <f t="shared" si="14"/>
        <v>1.0011750631412462</v>
      </c>
      <c r="Q76" s="18">
        <f t="shared" si="14"/>
        <v>1.0006556022558273</v>
      </c>
      <c r="R76" s="18">
        <f t="shared" si="14"/>
        <v>1.0003657797634518</v>
      </c>
    </row>
    <row r="77" spans="1:19" x14ac:dyDescent="0.2">
      <c r="I77" s="16"/>
    </row>
    <row r="81" spans="1:20" x14ac:dyDescent="0.2">
      <c r="A81" s="21" t="s">
        <v>49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20" x14ac:dyDescent="0.2">
      <c r="A82" s="21" t="s">
        <v>50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2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20" s="26" customFormat="1" x14ac:dyDescent="0.2">
      <c r="A84" s="20" t="s">
        <v>0</v>
      </c>
      <c r="B84" s="21" t="s">
        <v>51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</row>
    <row r="85" spans="1:20" s="26" customFormat="1" x14ac:dyDescent="0.2">
      <c r="A85" s="20" t="s">
        <v>1</v>
      </c>
      <c r="B85" s="23" t="s">
        <v>27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 s="26" customFormat="1" x14ac:dyDescent="0.2">
      <c r="A86" s="24"/>
      <c r="B86" s="24">
        <v>0</v>
      </c>
      <c r="C86" s="24">
        <f t="shared" ref="C86:S86" si="15">B86+1</f>
        <v>1</v>
      </c>
      <c r="D86" s="24">
        <f t="shared" si="15"/>
        <v>2</v>
      </c>
      <c r="E86" s="24">
        <f t="shared" si="15"/>
        <v>3</v>
      </c>
      <c r="F86" s="24">
        <f t="shared" si="15"/>
        <v>4</v>
      </c>
      <c r="G86" s="24">
        <f t="shared" si="15"/>
        <v>5</v>
      </c>
      <c r="H86" s="24">
        <f t="shared" si="15"/>
        <v>6</v>
      </c>
      <c r="I86" s="24">
        <f t="shared" si="15"/>
        <v>7</v>
      </c>
      <c r="J86" s="24">
        <f t="shared" si="15"/>
        <v>8</v>
      </c>
      <c r="K86" s="24">
        <f t="shared" si="15"/>
        <v>9</v>
      </c>
      <c r="L86" s="24">
        <f t="shared" si="15"/>
        <v>10</v>
      </c>
      <c r="M86" s="24">
        <f t="shared" si="15"/>
        <v>11</v>
      </c>
      <c r="N86" s="24">
        <f t="shared" si="15"/>
        <v>12</v>
      </c>
      <c r="O86" s="24">
        <f t="shared" si="15"/>
        <v>13</v>
      </c>
      <c r="P86" s="24">
        <f t="shared" si="15"/>
        <v>14</v>
      </c>
      <c r="Q86" s="24">
        <f t="shared" si="15"/>
        <v>15</v>
      </c>
      <c r="R86" s="24">
        <f t="shared" si="15"/>
        <v>16</v>
      </c>
      <c r="S86" s="24">
        <f t="shared" si="15"/>
        <v>17</v>
      </c>
      <c r="T86" s="27" t="s">
        <v>28</v>
      </c>
    </row>
    <row r="87" spans="1:20" s="26" customFormat="1" x14ac:dyDescent="0.2">
      <c r="B87" s="20" t="s">
        <v>29</v>
      </c>
      <c r="C87" s="20" t="s">
        <v>29</v>
      </c>
      <c r="D87" s="20" t="s">
        <v>29</v>
      </c>
      <c r="E87" s="20" t="s">
        <v>29</v>
      </c>
      <c r="F87" s="20" t="s">
        <v>29</v>
      </c>
      <c r="G87" s="20" t="s">
        <v>29</v>
      </c>
      <c r="H87" s="20" t="s">
        <v>29</v>
      </c>
      <c r="I87" s="20" t="s">
        <v>29</v>
      </c>
      <c r="J87" s="20" t="s">
        <v>29</v>
      </c>
      <c r="K87" s="20" t="s">
        <v>29</v>
      </c>
      <c r="L87" s="20" t="s">
        <v>29</v>
      </c>
      <c r="M87" s="20" t="s">
        <v>29</v>
      </c>
      <c r="N87" s="20" t="s">
        <v>29</v>
      </c>
      <c r="O87" s="20" t="s">
        <v>29</v>
      </c>
      <c r="P87" s="20" t="s">
        <v>29</v>
      </c>
      <c r="Q87" s="20" t="s">
        <v>29</v>
      </c>
      <c r="R87" s="20" t="s">
        <v>29</v>
      </c>
      <c r="S87" s="20" t="s">
        <v>29</v>
      </c>
      <c r="T87" s="20" t="s">
        <v>29</v>
      </c>
    </row>
    <row r="89" spans="1:20" x14ac:dyDescent="0.2">
      <c r="A89" s="1">
        <f>A8</f>
        <v>1978</v>
      </c>
      <c r="B89" s="41">
        <f>SUM($C8:C8)</f>
        <v>3323.3772961548002</v>
      </c>
      <c r="C89" s="41">
        <f>SUM($C8:D8)</f>
        <v>11855.3571994428</v>
      </c>
      <c r="D89" s="41">
        <f>SUM($C8:E8)</f>
        <v>21227.272776435602</v>
      </c>
      <c r="E89" s="41">
        <f>SUM($C8:F8)</f>
        <v>31399.055655021803</v>
      </c>
      <c r="F89" s="41">
        <f>SUM($C8:G8)</f>
        <v>39029.5153413804</v>
      </c>
      <c r="G89" s="41">
        <f>SUM($C8:H8)</f>
        <v>42885.0301361772</v>
      </c>
      <c r="H89" s="41">
        <f>SUM($C8:I8)</f>
        <v>46136.543787557399</v>
      </c>
      <c r="I89" s="41">
        <f>SUM($C8:J8)</f>
        <v>50570.4467869773</v>
      </c>
      <c r="J89" s="41">
        <f>SUM($C8:K8)</f>
        <v>52758.273967669302</v>
      </c>
      <c r="K89" s="41">
        <f>SUM($C8:L8)</f>
        <v>53090.569233451504</v>
      </c>
      <c r="L89" s="41">
        <f>SUM($C8:M8)</f>
        <v>53290.083100839001</v>
      </c>
      <c r="M89" s="41">
        <f>SUM($C8:N8)</f>
        <v>53982.332716250203</v>
      </c>
      <c r="N89" s="41">
        <f>SUM($C8:O8)</f>
        <v>54293.322841414803</v>
      </c>
      <c r="O89" s="41">
        <f>SUM($C8:P8)</f>
        <v>54293.322841414803</v>
      </c>
      <c r="P89" s="41">
        <f>SUM($C8:Q8)</f>
        <v>54897.696247376305</v>
      </c>
      <c r="Q89" s="41">
        <f>SUM($C8:R8)</f>
        <v>54991.454074238907</v>
      </c>
      <c r="R89" s="41">
        <f>SUM($C8:S8)</f>
        <v>55067.144436817907</v>
      </c>
      <c r="S89" s="41">
        <f>SUM($C8:T8)</f>
        <v>55080.982279701704</v>
      </c>
      <c r="T89" s="42">
        <f>S89*S$69</f>
        <v>55106.410088615594</v>
      </c>
    </row>
    <row r="90" spans="1:20" x14ac:dyDescent="0.2">
      <c r="A90" s="1">
        <f t="shared" ref="A90:A106" si="16">A9</f>
        <v>1979</v>
      </c>
      <c r="B90" s="41">
        <f>SUM($C9:C9)</f>
        <v>3785.4721599449995</v>
      </c>
      <c r="C90" s="41">
        <f>SUM($C9:D9)</f>
        <v>14126.569858663799</v>
      </c>
      <c r="D90" s="41">
        <f>SUM($C9:E9)</f>
        <v>22457.2583646278</v>
      </c>
      <c r="E90" s="41">
        <f>SUM($C9:F9)</f>
        <v>30306.090811747999</v>
      </c>
      <c r="F90" s="41">
        <f>SUM($C9:G9)</f>
        <v>33144.575934506</v>
      </c>
      <c r="G90" s="41">
        <f>SUM($C9:H9)</f>
        <v>36721.802717839397</v>
      </c>
      <c r="H90" s="41">
        <f>SUM($C9:I9)</f>
        <v>38126.444591167994</v>
      </c>
      <c r="I90" s="41">
        <f>SUM($C9:J9)</f>
        <v>39847.193340518992</v>
      </c>
      <c r="J90" s="41">
        <f>SUM($C9:K9)</f>
        <v>40912.393910478291</v>
      </c>
      <c r="K90" s="41">
        <f>SUM($C9:L9)</f>
        <v>41067.759266661589</v>
      </c>
      <c r="L90" s="41">
        <f>SUM($C9:M9)</f>
        <v>41103.342154041187</v>
      </c>
      <c r="M90" s="41">
        <f>SUM($C9:N9)</f>
        <v>41362.22060859199</v>
      </c>
      <c r="N90" s="41">
        <f>SUM($C9:O9)</f>
        <v>41612.139911409693</v>
      </c>
      <c r="O90" s="41">
        <f>SUM($C9:P9)</f>
        <v>42031.542224151694</v>
      </c>
      <c r="P90" s="41">
        <f>SUM($C9:Q9)</f>
        <v>42039.242406849691</v>
      </c>
      <c r="Q90" s="41">
        <f>SUM($C9:R9)</f>
        <v>42039.242406849691</v>
      </c>
      <c r="R90" s="41">
        <f>SUM($C9:S9)</f>
        <v>42039.242406849691</v>
      </c>
      <c r="S90" s="42">
        <f t="shared" ref="S90:T90" si="17">R90*R$69</f>
        <v>42054.619510992961</v>
      </c>
      <c r="T90" s="42">
        <f t="shared" si="17"/>
        <v>42074.033776763346</v>
      </c>
    </row>
    <row r="91" spans="1:20" x14ac:dyDescent="0.2">
      <c r="A91" s="1">
        <f t="shared" si="16"/>
        <v>1980</v>
      </c>
      <c r="B91" s="41">
        <f>SUM($C10:C10)</f>
        <v>4676.8182374628004</v>
      </c>
      <c r="C91" s="41">
        <f>SUM($C10:D10)</f>
        <v>14665.963109495999</v>
      </c>
      <c r="D91" s="41">
        <f>SUM($C10:E10)</f>
        <v>23412.353323350999</v>
      </c>
      <c r="E91" s="41">
        <f>SUM($C10:F10)</f>
        <v>33639.933779919404</v>
      </c>
      <c r="F91" s="41">
        <f>SUM($C10:G10)</f>
        <v>42212.361085729601</v>
      </c>
      <c r="G91" s="41">
        <f>SUM($C10:H10)</f>
        <v>47998.605515916104</v>
      </c>
      <c r="H91" s="41">
        <f>SUM($C10:I10)</f>
        <v>51853.844633985107</v>
      </c>
      <c r="I91" s="41">
        <f>SUM($C10:J10)</f>
        <v>53299.340726755305</v>
      </c>
      <c r="J91" s="41">
        <f>SUM($C10:K10)</f>
        <v>54911.387986638103</v>
      </c>
      <c r="K91" s="41">
        <f>SUM($C10:L10)</f>
        <v>55536.951333332101</v>
      </c>
      <c r="L91" s="41">
        <f>SUM($C10:M10)</f>
        <v>56708.7458308071</v>
      </c>
      <c r="M91" s="41">
        <f>SUM($C10:N10)</f>
        <v>57298.185649304498</v>
      </c>
      <c r="N91" s="41">
        <f>SUM($C10:O10)</f>
        <v>57736.080387427995</v>
      </c>
      <c r="O91" s="41">
        <f>SUM($C10:P10)</f>
        <v>58209.100710666193</v>
      </c>
      <c r="P91" s="41">
        <f>SUM($C10:Q10)</f>
        <v>58579.407646062195</v>
      </c>
      <c r="Q91" s="41">
        <f>SUM($C10:R10)</f>
        <v>58610.342041118893</v>
      </c>
      <c r="R91" s="42">
        <f t="shared" ref="R91:T91" si="18">Q91*Q$69</f>
        <v>58648.767113575857</v>
      </c>
      <c r="S91" s="42">
        <f t="shared" si="18"/>
        <v>58670.219645737401</v>
      </c>
      <c r="T91" s="42">
        <f t="shared" si="18"/>
        <v>58697.304404802017</v>
      </c>
    </row>
    <row r="92" spans="1:20" x14ac:dyDescent="0.2">
      <c r="A92" s="1">
        <f t="shared" si="16"/>
        <v>1981</v>
      </c>
      <c r="B92" s="41">
        <f>SUM($C11:C11)</f>
        <v>5288.1017612324003</v>
      </c>
      <c r="C92" s="41">
        <f>SUM($C11:D11)</f>
        <v>13376.966223918</v>
      </c>
      <c r="D92" s="41">
        <f>SUM($C11:E11)</f>
        <v>26215.710871964402</v>
      </c>
      <c r="E92" s="41">
        <f>SUM($C11:F11)</f>
        <v>38045.400302991606</v>
      </c>
      <c r="F92" s="41">
        <f>SUM($C11:G11)</f>
        <v>45805.419824233504</v>
      </c>
      <c r="G92" s="41">
        <f>SUM($C11:H11)</f>
        <v>51987.755144643503</v>
      </c>
      <c r="H92" s="41">
        <f>SUM($C11:I11)</f>
        <v>56105.9027786105</v>
      </c>
      <c r="I92" s="41">
        <f>SUM($C11:J11)</f>
        <v>59122.238464472299</v>
      </c>
      <c r="J92" s="41">
        <f>SUM($C11:K11)</f>
        <v>60896.890210262296</v>
      </c>
      <c r="K92" s="41">
        <f>SUM($C11:L11)</f>
        <v>62681.582812413697</v>
      </c>
      <c r="L92" s="41">
        <f>SUM($C11:M11)</f>
        <v>65326.876178893195</v>
      </c>
      <c r="M92" s="41">
        <f>SUM($C11:N11)</f>
        <v>65593.055375270691</v>
      </c>
      <c r="N92" s="41">
        <f>SUM($C11:O11)</f>
        <v>65631.28359723989</v>
      </c>
      <c r="O92" s="41">
        <f>SUM($C11:P11)</f>
        <v>65676.32386423109</v>
      </c>
      <c r="P92" s="41">
        <f>SUM($C11:Q11)</f>
        <v>65790.783304638593</v>
      </c>
      <c r="Q92" s="42">
        <f t="shared" ref="Q92:S92" si="19">P92*P$69</f>
        <v>65868.091629133589</v>
      </c>
      <c r="R92" s="42">
        <f t="shared" si="19"/>
        <v>65911.274898592688</v>
      </c>
      <c r="S92" s="42">
        <f t="shared" si="19"/>
        <v>65935.383909133903</v>
      </c>
      <c r="T92" s="42">
        <f t="shared" ref="T92" si="20">S92*S$69</f>
        <v>65965.822588208146</v>
      </c>
    </row>
    <row r="93" spans="1:20" x14ac:dyDescent="0.2">
      <c r="A93" s="1">
        <f t="shared" si="16"/>
        <v>1982</v>
      </c>
      <c r="B93" s="41">
        <f>SUM($C12:C12)</f>
        <v>2294.0330926396005</v>
      </c>
      <c r="C93" s="41">
        <f>SUM($C12:D12)</f>
        <v>12162.808900973201</v>
      </c>
      <c r="D93" s="41">
        <f>SUM($C12:E12)</f>
        <v>22404.946358747202</v>
      </c>
      <c r="E93" s="41">
        <f>SUM($C12:F12)</f>
        <v>36213.3865147912</v>
      </c>
      <c r="F93" s="41">
        <f>SUM($C12:G12)</f>
        <v>44998.1006676502</v>
      </c>
      <c r="G93" s="41">
        <f>SUM($C12:H12)</f>
        <v>50406.6081523299</v>
      </c>
      <c r="H93" s="41">
        <f>SUM($C12:I12)</f>
        <v>52831.121325996297</v>
      </c>
      <c r="I93" s="41">
        <f>SUM($C12:J12)</f>
        <v>54427.991118083097</v>
      </c>
      <c r="J93" s="41">
        <f>SUM($C12:K12)</f>
        <v>56576.699450439897</v>
      </c>
      <c r="K93" s="41">
        <f>SUM($C12:L12)</f>
        <v>59872.648473155496</v>
      </c>
      <c r="L93" s="41">
        <f>SUM($C12:M12)</f>
        <v>60789.986786042995</v>
      </c>
      <c r="M93" s="41">
        <f>SUM($C12:N12)</f>
        <v>61085.482694063998</v>
      </c>
      <c r="N93" s="41">
        <f>SUM($C12:O12)</f>
        <v>61513.038156916999</v>
      </c>
      <c r="O93" s="41">
        <f>SUM($C12:P12)</f>
        <v>61871.828170749999</v>
      </c>
      <c r="P93" s="42">
        <f t="shared" ref="P93:S93" si="21">O93*O$69</f>
        <v>62002.137322246563</v>
      </c>
      <c r="Q93" s="42">
        <f t="shared" si="21"/>
        <v>62074.993748492416</v>
      </c>
      <c r="R93" s="42">
        <f t="shared" si="21"/>
        <v>62115.690254424393</v>
      </c>
      <c r="S93" s="42">
        <f t="shared" si="21"/>
        <v>62138.410916912297</v>
      </c>
      <c r="T93" s="42">
        <f t="shared" ref="T93" si="22">S93*S$69</f>
        <v>62167.09674591558</v>
      </c>
    </row>
    <row r="94" spans="1:20" x14ac:dyDescent="0.2">
      <c r="A94" s="1">
        <f t="shared" si="16"/>
        <v>1983</v>
      </c>
      <c r="B94" s="41">
        <f>SUM($C13:C13)</f>
        <v>3600.1127077404003</v>
      </c>
      <c r="C94" s="41">
        <f>SUM($C13:D13)</f>
        <v>11113.967974513202</v>
      </c>
      <c r="D94" s="41">
        <f>SUM($C13:E13)</f>
        <v>19360.7516462985</v>
      </c>
      <c r="E94" s="41">
        <f>SUM($C13:F13)</f>
        <v>28687.875714405498</v>
      </c>
      <c r="F94" s="41">
        <f>SUM($C13:G13)</f>
        <v>37271.703577601998</v>
      </c>
      <c r="G94" s="41">
        <f>SUM($C13:H13)</f>
        <v>41516.849131994997</v>
      </c>
      <c r="H94" s="41">
        <f>SUM($C13:I13)</f>
        <v>45613.257061221797</v>
      </c>
      <c r="I94" s="41">
        <f>SUM($C13:J13)</f>
        <v>48829.489298794397</v>
      </c>
      <c r="J94" s="41">
        <f>SUM($C13:K13)</f>
        <v>50843.495140061597</v>
      </c>
      <c r="K94" s="41">
        <f>SUM($C13:L13)</f>
        <v>51435.5029432351</v>
      </c>
      <c r="L94" s="41">
        <f>SUM($C13:M13)</f>
        <v>52623.816594883901</v>
      </c>
      <c r="M94" s="41">
        <f>SUM($C13:N13)</f>
        <v>53315.3087041525</v>
      </c>
      <c r="N94" s="41">
        <f>SUM($C13:O13)</f>
        <v>53682.741923043599</v>
      </c>
      <c r="O94" s="42">
        <f t="shared" ref="O94:S94" si="23">N94*N$69</f>
        <v>53885.387637040491</v>
      </c>
      <c r="P94" s="42">
        <f t="shared" si="23"/>
        <v>53998.876430707096</v>
      </c>
      <c r="Q94" s="42">
        <f t="shared" si="23"/>
        <v>54062.328520069525</v>
      </c>
      <c r="R94" s="42">
        <f t="shared" si="23"/>
        <v>54097.77190460256</v>
      </c>
      <c r="S94" s="42">
        <f t="shared" si="23"/>
        <v>54117.559774813089</v>
      </c>
      <c r="T94" s="42">
        <f t="shared" ref="T94" si="24">S94*S$69</f>
        <v>54142.542825439392</v>
      </c>
    </row>
    <row r="95" spans="1:20" x14ac:dyDescent="0.2">
      <c r="A95" s="1">
        <f t="shared" si="16"/>
        <v>1984</v>
      </c>
      <c r="B95" s="41">
        <f>SUM($C14:C14)</f>
        <v>3641.6041092630003</v>
      </c>
      <c r="C95" s="41">
        <f>SUM($C14:D14)</f>
        <v>11035.831097422499</v>
      </c>
      <c r="D95" s="41">
        <f>SUM($C14:E14)</f>
        <v>20873.836480450496</v>
      </c>
      <c r="E95" s="41">
        <f>SUM($C14:F14)</f>
        <v>30607.441398232295</v>
      </c>
      <c r="F95" s="41">
        <f>SUM($C14:G14)</f>
        <v>36984.407257825296</v>
      </c>
      <c r="G95" s="41">
        <f>SUM($C14:H14)</f>
        <v>41868.168060607699</v>
      </c>
      <c r="H95" s="41">
        <f>SUM($C14:I14)</f>
        <v>53787.811524431498</v>
      </c>
      <c r="I95" s="41">
        <f>SUM($C14:J14)</f>
        <v>57976.418750586199</v>
      </c>
      <c r="J95" s="41">
        <f>SUM($C14:K14)</f>
        <v>62468.348487597701</v>
      </c>
      <c r="K95" s="41">
        <f>SUM($C14:L14)</f>
        <v>64227.950875322502</v>
      </c>
      <c r="L95" s="41">
        <f>SUM($C14:M14)</f>
        <v>65171.859610026098</v>
      </c>
      <c r="M95" s="41">
        <f>SUM($C14:N14)</f>
        <v>66093.365743348098</v>
      </c>
      <c r="N95" s="42">
        <f t="shared" ref="N95:S95" si="25">M95*M$69</f>
        <v>66540.544707698122</v>
      </c>
      <c r="O95" s="42">
        <f t="shared" si="25"/>
        <v>66791.727037605262</v>
      </c>
      <c r="P95" s="42">
        <f t="shared" si="25"/>
        <v>66932.398059208834</v>
      </c>
      <c r="Q95" s="42">
        <f t="shared" si="25"/>
        <v>67011.047853123426</v>
      </c>
      <c r="R95" s="42">
        <f t="shared" si="25"/>
        <v>67054.980447261289</v>
      </c>
      <c r="S95" s="42">
        <f t="shared" si="25"/>
        <v>67079.507802147549</v>
      </c>
      <c r="T95" s="42">
        <f t="shared" ref="T95" si="26">S95*S$69</f>
        <v>67110.474659233892</v>
      </c>
    </row>
    <row r="96" spans="1:20" x14ac:dyDescent="0.2">
      <c r="A96" s="1">
        <f t="shared" si="16"/>
        <v>1985</v>
      </c>
      <c r="B96" s="41">
        <f>SUM($C15:C15)</f>
        <v>2462.5100068538995</v>
      </c>
      <c r="C96" s="41">
        <f>SUM($C15:D15)</f>
        <v>7495.5835992358989</v>
      </c>
      <c r="D96" s="41">
        <f>SUM($C15:E15)</f>
        <v>14475.9122993046</v>
      </c>
      <c r="E96" s="41">
        <f>SUM($C15:F15)</f>
        <v>22198.122874434001</v>
      </c>
      <c r="F96" s="41">
        <f>SUM($C15:G15)</f>
        <v>28899.723632796398</v>
      </c>
      <c r="G96" s="41">
        <f>SUM($C15:H15)</f>
        <v>36733.848926564999</v>
      </c>
      <c r="H96" s="41">
        <f>SUM($C15:I15)</f>
        <v>42313.115705595003</v>
      </c>
      <c r="I96" s="41">
        <f>SUM($C15:J15)</f>
        <v>45935.097182828002</v>
      </c>
      <c r="J96" s="41">
        <f>SUM($C15:K15)</f>
        <v>47235.231121827805</v>
      </c>
      <c r="K96" s="41">
        <f>SUM($C15:L15)</f>
        <v>50303.748997364404</v>
      </c>
      <c r="L96" s="41">
        <f>SUM($C15:M15)</f>
        <v>51673.981785988202</v>
      </c>
      <c r="M96" s="42">
        <f t="shared" ref="M96:S96" si="27">L96*L$69</f>
        <v>52300.619010027258</v>
      </c>
      <c r="N96" s="42">
        <f t="shared" si="27"/>
        <v>52654.478075619219</v>
      </c>
      <c r="O96" s="42">
        <f t="shared" si="27"/>
        <v>52853.242220715678</v>
      </c>
      <c r="P96" s="42">
        <f t="shared" si="27"/>
        <v>52964.557198004157</v>
      </c>
      <c r="Q96" s="42">
        <f t="shared" si="27"/>
        <v>53026.793896959956</v>
      </c>
      <c r="R96" s="42">
        <f t="shared" si="27"/>
        <v>53061.558382658091</v>
      </c>
      <c r="S96" s="42">
        <f t="shared" si="27"/>
        <v>53080.96722693168</v>
      </c>
      <c r="T96" s="42">
        <f t="shared" ref="T96" si="28">S96*S$69</f>
        <v>53105.471740753841</v>
      </c>
    </row>
    <row r="97" spans="1:20" x14ac:dyDescent="0.2">
      <c r="A97" s="1">
        <f t="shared" si="16"/>
        <v>1986</v>
      </c>
      <c r="B97" s="41">
        <f>SUM($C16:C16)</f>
        <v>2266.8313208879999</v>
      </c>
      <c r="C97" s="41">
        <f>SUM($C16:D16)</f>
        <v>8226.1723782385998</v>
      </c>
      <c r="D97" s="41">
        <f>SUM($C16:E16)</f>
        <v>14401.0546180607</v>
      </c>
      <c r="E97" s="41">
        <f>SUM($C16:F16)</f>
        <v>21451.802375027899</v>
      </c>
      <c r="F97" s="41">
        <f>SUM($C16:G16)</f>
        <v>29553.998935889897</v>
      </c>
      <c r="G97" s="41">
        <f>SUM($C16:H16)</f>
        <v>35892.959495572097</v>
      </c>
      <c r="H97" s="41">
        <f>SUM($C16:I16)</f>
        <v>42870.863208233095</v>
      </c>
      <c r="I97" s="41">
        <f>SUM($C16:J16)</f>
        <v>47267.019327635091</v>
      </c>
      <c r="J97" s="41">
        <f>SUM($C16:K16)</f>
        <v>50373.724906124495</v>
      </c>
      <c r="K97" s="41">
        <f>SUM($C16:L16)</f>
        <v>51277.151998353896</v>
      </c>
      <c r="L97" s="42">
        <f t="shared" ref="L97:S97" si="29">K97*K$69</f>
        <v>52391.674708288905</v>
      </c>
      <c r="M97" s="42">
        <f t="shared" si="29"/>
        <v>53027.015211715363</v>
      </c>
      <c r="N97" s="42">
        <f t="shared" si="29"/>
        <v>53385.78897786048</v>
      </c>
      <c r="O97" s="42">
        <f t="shared" si="29"/>
        <v>53587.313731201408</v>
      </c>
      <c r="P97" s="42">
        <f t="shared" si="29"/>
        <v>53700.174747107092</v>
      </c>
      <c r="Q97" s="42">
        <f t="shared" si="29"/>
        <v>53763.275843130898</v>
      </c>
      <c r="R97" s="42">
        <f t="shared" si="29"/>
        <v>53798.523168054322</v>
      </c>
      <c r="S97" s="42">
        <f t="shared" si="29"/>
        <v>53818.201579132787</v>
      </c>
      <c r="T97" s="42">
        <f t="shared" ref="T97" si="30">S97*S$69</f>
        <v>53843.046432822841</v>
      </c>
    </row>
    <row r="98" spans="1:20" x14ac:dyDescent="0.2">
      <c r="A98" s="1">
        <f t="shared" si="16"/>
        <v>1987</v>
      </c>
      <c r="B98" s="41">
        <f>SUM($C17:C17)</f>
        <v>2008.6684251907002</v>
      </c>
      <c r="C98" s="41">
        <f>SUM($C17:D17)</f>
        <v>5709.3831548320004</v>
      </c>
      <c r="D98" s="41">
        <f>SUM($C17:E17)</f>
        <v>11006.7919080796</v>
      </c>
      <c r="E98" s="41">
        <f>SUM($C17:F17)</f>
        <v>17892.452218334198</v>
      </c>
      <c r="F98" s="41">
        <f>SUM($C17:G17)</f>
        <v>24388.580952838696</v>
      </c>
      <c r="G98" s="41">
        <f>SUM($C17:H17)</f>
        <v>31938.720527851696</v>
      </c>
      <c r="H98" s="41">
        <f>SUM($C17:I17)</f>
        <v>37794.140617286896</v>
      </c>
      <c r="I98" s="41">
        <f>SUM($C17:J17)</f>
        <v>43544.986655494497</v>
      </c>
      <c r="J98" s="41">
        <f>SUM($C17:K17)</f>
        <v>47416.413176527996</v>
      </c>
      <c r="K98" s="42">
        <f t="shared" ref="K98:S98" si="31">J98*J$69</f>
        <v>49063.049429236613</v>
      </c>
      <c r="L98" s="42">
        <f t="shared" si="31"/>
        <v>50129.448023474128</v>
      </c>
      <c r="M98" s="42">
        <f t="shared" si="31"/>
        <v>50737.355079720328</v>
      </c>
      <c r="N98" s="42">
        <f t="shared" si="31"/>
        <v>51080.637308477031</v>
      </c>
      <c r="O98" s="42">
        <f t="shared" si="31"/>
        <v>51273.460399250442</v>
      </c>
      <c r="P98" s="42">
        <f t="shared" si="31"/>
        <v>51381.448175213358</v>
      </c>
      <c r="Q98" s="42">
        <f t="shared" si="31"/>
        <v>51441.824621107902</v>
      </c>
      <c r="R98" s="42">
        <f t="shared" si="31"/>
        <v>51475.549997373375</v>
      </c>
      <c r="S98" s="42">
        <f t="shared" si="31"/>
        <v>51494.378711874961</v>
      </c>
      <c r="T98" s="42">
        <f t="shared" ref="T98" si="32">S98*S$69</f>
        <v>51518.150786515464</v>
      </c>
    </row>
    <row r="99" spans="1:20" x14ac:dyDescent="0.2">
      <c r="A99" s="1">
        <f t="shared" si="16"/>
        <v>1988</v>
      </c>
      <c r="B99" s="41">
        <f>SUM($C18:C18)</f>
        <v>1859.6234842803001</v>
      </c>
      <c r="C99" s="41">
        <f>SUM($C18:D18)</f>
        <v>7141.6209003427011</v>
      </c>
      <c r="D99" s="41">
        <f>SUM($C18:E18)</f>
        <v>10792.016754875502</v>
      </c>
      <c r="E99" s="41">
        <f>SUM($C18:F18)</f>
        <v>18320.409516980901</v>
      </c>
      <c r="F99" s="41">
        <f>SUM($C18:G18)</f>
        <v>23476.6556734689</v>
      </c>
      <c r="G99" s="41">
        <f>SUM($C18:H18)</f>
        <v>29242.9838667765</v>
      </c>
      <c r="H99" s="41">
        <f>SUM($C18:I18)</f>
        <v>36104.776280440899</v>
      </c>
      <c r="I99" s="41">
        <f>SUM($C18:J18)</f>
        <v>38677.396023585199</v>
      </c>
      <c r="J99" s="42">
        <f t="shared" ref="J99:S99" si="33">I99*I$69</f>
        <v>40875.257158378226</v>
      </c>
      <c r="K99" s="42">
        <f t="shared" si="33"/>
        <v>42294.73779317856</v>
      </c>
      <c r="L99" s="42">
        <f t="shared" si="33"/>
        <v>43214.025310994628</v>
      </c>
      <c r="M99" s="42">
        <f t="shared" si="33"/>
        <v>43738.070796256186</v>
      </c>
      <c r="N99" s="42">
        <f t="shared" si="33"/>
        <v>44033.996793992294</v>
      </c>
      <c r="O99" s="42">
        <f t="shared" si="33"/>
        <v>44200.219687995123</v>
      </c>
      <c r="P99" s="42">
        <f t="shared" si="33"/>
        <v>44293.310409471931</v>
      </c>
      <c r="Q99" s="42">
        <f t="shared" si="33"/>
        <v>44345.357845937877</v>
      </c>
      <c r="R99" s="42">
        <f t="shared" si="33"/>
        <v>44374.43076257714</v>
      </c>
      <c r="S99" s="42">
        <f t="shared" si="33"/>
        <v>44390.66203136478</v>
      </c>
      <c r="T99" s="42">
        <f t="shared" ref="T99" si="34">S99*S$69</f>
        <v>44411.154717315134</v>
      </c>
    </row>
    <row r="100" spans="1:20" x14ac:dyDescent="0.2">
      <c r="A100" s="1">
        <f t="shared" si="16"/>
        <v>1989</v>
      </c>
      <c r="B100" s="41">
        <f>SUM($C19:C19)</f>
        <v>2331.0575530835999</v>
      </c>
      <c r="C100" s="41">
        <f>SUM($C19:D19)</f>
        <v>5847.8063516321999</v>
      </c>
      <c r="D100" s="41">
        <f>SUM($C19:E19)</f>
        <v>11157.820669971701</v>
      </c>
      <c r="E100" s="41">
        <f>SUM($C19:F19)</f>
        <v>17223.825152789701</v>
      </c>
      <c r="F100" s="41">
        <f>SUM($C19:G19)</f>
        <v>27373.015753860302</v>
      </c>
      <c r="G100" s="41">
        <f>SUM($C19:H19)</f>
        <v>36637.957203416707</v>
      </c>
      <c r="H100" s="41">
        <f>SUM($C19:I19)</f>
        <v>41899.527735193209</v>
      </c>
      <c r="I100" s="42">
        <f t="shared" ref="I100:S100" si="35">H100*H$69</f>
        <v>46463.603732666161</v>
      </c>
      <c r="J100" s="42">
        <f t="shared" si="35"/>
        <v>49103.919765425424</v>
      </c>
      <c r="K100" s="42">
        <f t="shared" si="35"/>
        <v>50809.158289790867</v>
      </c>
      <c r="L100" s="42">
        <f t="shared" si="35"/>
        <v>51913.509030418434</v>
      </c>
      <c r="M100" s="42">
        <f t="shared" si="35"/>
        <v>52543.050940381501</v>
      </c>
      <c r="N100" s="42">
        <f t="shared" si="35"/>
        <v>52898.550268325394</v>
      </c>
      <c r="O100" s="42">
        <f t="shared" si="35"/>
        <v>53098.235755774833</v>
      </c>
      <c r="P100" s="42">
        <f t="shared" si="35"/>
        <v>53210.066717488204</v>
      </c>
      <c r="Q100" s="42">
        <f t="shared" si="35"/>
        <v>53272.591905631176</v>
      </c>
      <c r="R100" s="42">
        <f t="shared" si="35"/>
        <v>53307.517537058273</v>
      </c>
      <c r="S100" s="42">
        <f t="shared" si="35"/>
        <v>53327.016348213176</v>
      </c>
      <c r="T100" s="42">
        <f t="shared" ref="T100" si="36">S100*S$69</f>
        <v>53351.63444915344</v>
      </c>
    </row>
    <row r="101" spans="1:20" x14ac:dyDescent="0.2">
      <c r="A101" s="1">
        <f t="shared" si="16"/>
        <v>1990</v>
      </c>
      <c r="B101" s="41">
        <f>SUM($C20:C20)</f>
        <v>2314.1976098466002</v>
      </c>
      <c r="C101" s="41">
        <f>SUM($C20:D20)</f>
        <v>6800.6163717984009</v>
      </c>
      <c r="D101" s="41">
        <f>SUM($C20:E20)</f>
        <v>10913.266886932401</v>
      </c>
      <c r="E101" s="41">
        <f>SUM($C20:F20)</f>
        <v>17912.693843827401</v>
      </c>
      <c r="F101" s="41">
        <f>SUM($C20:G20)</f>
        <v>29075.769962751801</v>
      </c>
      <c r="G101" s="41">
        <f>SUM($C20:H20)</f>
        <v>39133.278714248503</v>
      </c>
      <c r="H101" s="42">
        <f t="shared" ref="H101:S101" si="37">G101*G$69</f>
        <v>46325.787009133783</v>
      </c>
      <c r="I101" s="42">
        <f t="shared" si="37"/>
        <v>51372.011250340176</v>
      </c>
      <c r="J101" s="42">
        <f t="shared" si="37"/>
        <v>54291.249838026437</v>
      </c>
      <c r="K101" s="42">
        <f t="shared" si="37"/>
        <v>56176.629481892218</v>
      </c>
      <c r="L101" s="42">
        <f t="shared" si="37"/>
        <v>57397.643654582294</v>
      </c>
      <c r="M101" s="42">
        <f t="shared" si="37"/>
        <v>58093.690269202634</v>
      </c>
      <c r="N101" s="42">
        <f t="shared" si="37"/>
        <v>58486.744488149976</v>
      </c>
      <c r="O101" s="42">
        <f t="shared" si="37"/>
        <v>58707.524717914421</v>
      </c>
      <c r="P101" s="42">
        <f t="shared" si="37"/>
        <v>58831.169484177706</v>
      </c>
      <c r="Q101" s="42">
        <f t="shared" si="37"/>
        <v>58900.299822994966</v>
      </c>
      <c r="R101" s="42">
        <f t="shared" si="37"/>
        <v>58938.914992427824</v>
      </c>
      <c r="S101" s="42">
        <f t="shared" si="37"/>
        <v>58960.47365481186</v>
      </c>
      <c r="T101" s="42">
        <f t="shared" ref="T101" si="38">S101*S$69</f>
        <v>58987.692407918948</v>
      </c>
    </row>
    <row r="102" spans="1:20" x14ac:dyDescent="0.2">
      <c r="A102" s="1">
        <f t="shared" si="16"/>
        <v>1991</v>
      </c>
      <c r="B102" s="41">
        <f>SUM($C21:C21)</f>
        <v>2606.8578735305</v>
      </c>
      <c r="C102" s="41">
        <f>SUM($C21:D21)</f>
        <v>6558.8994979074996</v>
      </c>
      <c r="D102" s="41">
        <f>SUM($C21:E21)</f>
        <v>14786.9503952371</v>
      </c>
      <c r="E102" s="41">
        <f>SUM($C21:F21)</f>
        <v>22691.882679659298</v>
      </c>
      <c r="F102" s="41">
        <f>SUM($C21:G21)</f>
        <v>31999.090476311096</v>
      </c>
      <c r="G102" s="42">
        <f t="shared" ref="G102" si="39">F102*F$69</f>
        <v>42043.677979595122</v>
      </c>
      <c r="H102" s="42">
        <f t="shared" ref="H102:S102" si="40">G102*G$69</f>
        <v>49771.103652865357</v>
      </c>
      <c r="I102" s="42">
        <f t="shared" si="40"/>
        <v>55192.622983236717</v>
      </c>
      <c r="J102" s="42">
        <f t="shared" si="40"/>
        <v>58328.969621158496</v>
      </c>
      <c r="K102" s="42">
        <f t="shared" si="40"/>
        <v>60354.567711080745</v>
      </c>
      <c r="L102" s="42">
        <f t="shared" si="40"/>
        <v>61666.390496489519</v>
      </c>
      <c r="M102" s="42">
        <f t="shared" si="40"/>
        <v>62414.203117496145</v>
      </c>
      <c r="N102" s="42">
        <f t="shared" si="40"/>
        <v>62836.489354502053</v>
      </c>
      <c r="O102" s="42">
        <f t="shared" si="40"/>
        <v>63073.68933338084</v>
      </c>
      <c r="P102" s="42">
        <f t="shared" si="40"/>
        <v>63206.529742041595</v>
      </c>
      <c r="Q102" s="42">
        <f t="shared" si="40"/>
        <v>63280.801405427548</v>
      </c>
      <c r="R102" s="42">
        <f t="shared" si="40"/>
        <v>63322.288441579505</v>
      </c>
      <c r="S102" s="42">
        <f t="shared" si="40"/>
        <v>63345.450453266887</v>
      </c>
      <c r="T102" s="42">
        <f t="shared" ref="T102" si="41">S102*S$69</f>
        <v>63374.693504916017</v>
      </c>
    </row>
    <row r="103" spans="1:20" x14ac:dyDescent="0.2">
      <c r="A103" s="1">
        <f t="shared" si="16"/>
        <v>1992</v>
      </c>
      <c r="B103" s="41">
        <f>SUM($C22:C22)</f>
        <v>2594.6516759099995</v>
      </c>
      <c r="C103" s="41">
        <f>SUM($C22:D22)</f>
        <v>7998.1526249111994</v>
      </c>
      <c r="D103" s="41">
        <f>SUM($C22:E22)</f>
        <v>14576.619428706199</v>
      </c>
      <c r="E103" s="41">
        <f>SUM($C22:F22)</f>
        <v>30122.727313162199</v>
      </c>
      <c r="F103" s="42">
        <f t="shared" ref="F103:S103" si="42">E103*E$69</f>
        <v>46072.365459838715</v>
      </c>
      <c r="G103" s="42">
        <f t="shared" si="42"/>
        <v>60534.586087241376</v>
      </c>
      <c r="H103" s="42">
        <f t="shared" si="42"/>
        <v>71660.551681363751</v>
      </c>
      <c r="I103" s="42">
        <f t="shared" si="42"/>
        <v>79466.467918931914</v>
      </c>
      <c r="J103" s="42">
        <f t="shared" si="42"/>
        <v>83982.187158453453</v>
      </c>
      <c r="K103" s="42">
        <f t="shared" si="42"/>
        <v>86898.64803545046</v>
      </c>
      <c r="L103" s="42">
        <f t="shared" si="42"/>
        <v>88787.41355622797</v>
      </c>
      <c r="M103" s="42">
        <f t="shared" si="42"/>
        <v>89864.115920503071</v>
      </c>
      <c r="N103" s="42">
        <f t="shared" si="42"/>
        <v>90472.124634200707</v>
      </c>
      <c r="O103" s="42">
        <f t="shared" si="42"/>
        <v>90813.645719684675</v>
      </c>
      <c r="P103" s="42">
        <f t="shared" si="42"/>
        <v>91004.909651394963</v>
      </c>
      <c r="Q103" s="42">
        <f t="shared" si="42"/>
        <v>91111.846166398755</v>
      </c>
      <c r="R103" s="42">
        <f t="shared" si="42"/>
        <v>91171.57929827804</v>
      </c>
      <c r="S103" s="42">
        <f t="shared" si="42"/>
        <v>91204.928016987295</v>
      </c>
      <c r="T103" s="42">
        <f t="shared" ref="T103:T104" si="43">S103*S$69</f>
        <v>91247.0322312848</v>
      </c>
    </row>
    <row r="104" spans="1:20" x14ac:dyDescent="0.2">
      <c r="A104" s="1">
        <f t="shared" si="16"/>
        <v>1993</v>
      </c>
      <c r="B104" s="41">
        <f>SUM($C23:C23)</f>
        <v>3154.7492051357999</v>
      </c>
      <c r="C104" s="41">
        <f>SUM($C23:D23)</f>
        <v>8129.2706925136008</v>
      </c>
      <c r="D104" s="41">
        <f>SUM($C23:E23)</f>
        <v>16090.1999631255</v>
      </c>
      <c r="E104" s="42">
        <f t="shared" ref="D104:S105" si="44">D104*D$69</f>
        <v>28254.861963306143</v>
      </c>
      <c r="F104" s="42">
        <f t="shared" si="44"/>
        <v>43215.486860046891</v>
      </c>
      <c r="G104" s="42">
        <f t="shared" si="44"/>
        <v>56780.926777288048</v>
      </c>
      <c r="H104" s="42">
        <f t="shared" si="44"/>
        <v>67216.987855099549</v>
      </c>
      <c r="I104" s="42">
        <f t="shared" si="44"/>
        <v>74538.870880387447</v>
      </c>
      <c r="J104" s="42">
        <f t="shared" si="44"/>
        <v>78774.57711147549</v>
      </c>
      <c r="K104" s="42">
        <f t="shared" si="44"/>
        <v>81510.192603533767</v>
      </c>
      <c r="L104" s="42">
        <f t="shared" si="44"/>
        <v>83281.838594144385</v>
      </c>
      <c r="M104" s="42">
        <f t="shared" si="44"/>
        <v>84291.776252241674</v>
      </c>
      <c r="N104" s="42">
        <f t="shared" si="44"/>
        <v>84862.083253311517</v>
      </c>
      <c r="O104" s="42">
        <f t="shared" si="44"/>
        <v>85182.42712614841</v>
      </c>
      <c r="P104" s="42">
        <f t="shared" si="44"/>
        <v>85361.831066995161</v>
      </c>
      <c r="Q104" s="42">
        <f t="shared" si="44"/>
        <v>85462.136608351269</v>
      </c>
      <c r="R104" s="42">
        <f t="shared" si="44"/>
        <v>85518.165777899529</v>
      </c>
      <c r="S104" s="42">
        <f t="shared" si="44"/>
        <v>85549.446592348599</v>
      </c>
      <c r="T104" s="42">
        <f t="shared" si="43"/>
        <v>85588.939987175749</v>
      </c>
    </row>
    <row r="105" spans="1:20" x14ac:dyDescent="0.2">
      <c r="A105" s="1">
        <f t="shared" si="16"/>
        <v>1994</v>
      </c>
      <c r="B105" s="41">
        <f>SUM($C24:C24)</f>
        <v>2626.1460868002</v>
      </c>
      <c r="C105" s="41">
        <f>SUM($C24:D24)</f>
        <v>8329.6395121727001</v>
      </c>
      <c r="D105" s="42">
        <f t="shared" si="44"/>
        <v>16689.065031715421</v>
      </c>
      <c r="E105" s="42">
        <f t="shared" si="44"/>
        <v>29306.486547614117</v>
      </c>
      <c r="F105" s="42">
        <f t="shared" si="44"/>
        <v>44823.934583623937</v>
      </c>
      <c r="G105" s="42">
        <f t="shared" si="44"/>
        <v>58894.269910810828</v>
      </c>
      <c r="H105" s="42">
        <f t="shared" si="44"/>
        <v>69718.753285889921</v>
      </c>
      <c r="I105" s="42">
        <f t="shared" si="44"/>
        <v>77313.151257554826</v>
      </c>
      <c r="J105" s="42">
        <f t="shared" si="44"/>
        <v>81706.507269777998</v>
      </c>
      <c r="K105" s="42">
        <f t="shared" si="44"/>
        <v>84543.940300651302</v>
      </c>
      <c r="L105" s="42">
        <f t="shared" si="44"/>
        <v>86381.525614583908</v>
      </c>
      <c r="M105" s="42">
        <f t="shared" si="44"/>
        <v>87429.052388184675</v>
      </c>
      <c r="N105" s="42">
        <f t="shared" si="44"/>
        <v>88020.585784333234</v>
      </c>
      <c r="O105" s="42">
        <f t="shared" si="44"/>
        <v>88352.85261374111</v>
      </c>
      <c r="P105" s="42">
        <f t="shared" si="44"/>
        <v>88538.933833527015</v>
      </c>
      <c r="Q105" s="42">
        <f t="shared" si="44"/>
        <v>88642.97267124003</v>
      </c>
      <c r="R105" s="42">
        <f t="shared" si="44"/>
        <v>88701.087204086536</v>
      </c>
      <c r="S105" s="42">
        <f t="shared" si="44"/>
        <v>88733.532266781956</v>
      </c>
      <c r="T105" s="42">
        <f t="shared" ref="T105" si="45">S105*S$69</f>
        <v>88774.495575883397</v>
      </c>
    </row>
    <row r="106" spans="1:20" x14ac:dyDescent="0.2">
      <c r="A106" s="1">
        <f t="shared" si="16"/>
        <v>1995</v>
      </c>
      <c r="B106" s="41">
        <f>SUM($C25:C25)</f>
        <v>2827.4879511605</v>
      </c>
      <c r="C106" s="42">
        <f>B106*B$69</f>
        <v>8256.422026757089</v>
      </c>
      <c r="D106" s="42">
        <f t="shared" ref="D106:T106" si="46">C106*C$69</f>
        <v>16542.368242043536</v>
      </c>
      <c r="E106" s="42">
        <f>D106*D$69</f>
        <v>29048.882692339586</v>
      </c>
      <c r="F106" s="42">
        <f t="shared" si="46"/>
        <v>44429.932445614155</v>
      </c>
      <c r="G106" s="42">
        <f t="shared" si="46"/>
        <v>58376.589602802742</v>
      </c>
      <c r="H106" s="42">
        <f t="shared" si="46"/>
        <v>69105.925828657884</v>
      </c>
      <c r="I106" s="42">
        <f t="shared" si="46"/>
        <v>76633.569083997048</v>
      </c>
      <c r="J106" s="42">
        <f t="shared" si="46"/>
        <v>80988.307521080205</v>
      </c>
      <c r="K106" s="42">
        <f t="shared" si="46"/>
        <v>83800.799531246405</v>
      </c>
      <c r="L106" s="42">
        <f t="shared" si="46"/>
        <v>85622.232480394654</v>
      </c>
      <c r="M106" s="42">
        <f t="shared" si="46"/>
        <v>86660.551499427354</v>
      </c>
      <c r="N106" s="42">
        <f t="shared" si="46"/>
        <v>87246.885320283123</v>
      </c>
      <c r="O106" s="42">
        <f t="shared" si="46"/>
        <v>87576.231526091302</v>
      </c>
      <c r="P106" s="42">
        <f t="shared" si="46"/>
        <v>87760.677092980593</v>
      </c>
      <c r="Q106" s="42">
        <f t="shared" si="46"/>
        <v>87863.801429883359</v>
      </c>
      <c r="R106" s="42">
        <f t="shared" si="46"/>
        <v>87921.405136306348</v>
      </c>
      <c r="S106" s="42">
        <f t="shared" si="46"/>
        <v>87953.565007079451</v>
      </c>
      <c r="T106" s="42">
        <f t="shared" si="46"/>
        <v>87994.168248919595</v>
      </c>
    </row>
    <row r="112" spans="1:20" x14ac:dyDescent="0.2">
      <c r="A112" s="21" t="s">
        <v>52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3" x14ac:dyDescent="0.2">
      <c r="A113" s="21" t="s">
        <v>53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3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3" s="26" customFormat="1" x14ac:dyDescent="0.2">
      <c r="A115" s="20" t="s">
        <v>0</v>
      </c>
      <c r="B115" s="21" t="s">
        <v>54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7" t="s">
        <v>33</v>
      </c>
      <c r="V115" s="24"/>
      <c r="W115" s="24"/>
    </row>
    <row r="116" spans="1:23" s="26" customFormat="1" x14ac:dyDescent="0.2">
      <c r="A116" s="20" t="s">
        <v>1</v>
      </c>
      <c r="B116" s="23" t="s">
        <v>27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0" t="s">
        <v>34</v>
      </c>
      <c r="V116" s="20" t="s">
        <v>35</v>
      </c>
      <c r="W116" s="20" t="s">
        <v>36</v>
      </c>
    </row>
    <row r="117" spans="1:23" s="26" customFormat="1" x14ac:dyDescent="0.2">
      <c r="A117" s="24"/>
      <c r="B117" s="24">
        <v>0</v>
      </c>
      <c r="C117" s="24">
        <f t="shared" ref="C117:S117" si="47">B117+1</f>
        <v>1</v>
      </c>
      <c r="D117" s="24">
        <f t="shared" si="47"/>
        <v>2</v>
      </c>
      <c r="E117" s="24">
        <f t="shared" si="47"/>
        <v>3</v>
      </c>
      <c r="F117" s="24">
        <f t="shared" si="47"/>
        <v>4</v>
      </c>
      <c r="G117" s="24">
        <f t="shared" si="47"/>
        <v>5</v>
      </c>
      <c r="H117" s="24">
        <f t="shared" si="47"/>
        <v>6</v>
      </c>
      <c r="I117" s="24">
        <f t="shared" si="47"/>
        <v>7</v>
      </c>
      <c r="J117" s="24">
        <f t="shared" si="47"/>
        <v>8</v>
      </c>
      <c r="K117" s="24">
        <f t="shared" si="47"/>
        <v>9</v>
      </c>
      <c r="L117" s="24">
        <f t="shared" si="47"/>
        <v>10</v>
      </c>
      <c r="M117" s="24">
        <f t="shared" si="47"/>
        <v>11</v>
      </c>
      <c r="N117" s="24">
        <f t="shared" si="47"/>
        <v>12</v>
      </c>
      <c r="O117" s="24">
        <f t="shared" si="47"/>
        <v>13</v>
      </c>
      <c r="P117" s="24">
        <f t="shared" si="47"/>
        <v>14</v>
      </c>
      <c r="Q117" s="24">
        <f t="shared" si="47"/>
        <v>15</v>
      </c>
      <c r="R117" s="24">
        <f t="shared" si="47"/>
        <v>16</v>
      </c>
      <c r="S117" s="24">
        <f t="shared" si="47"/>
        <v>17</v>
      </c>
      <c r="T117" s="27" t="s">
        <v>37</v>
      </c>
      <c r="U117" s="27" t="s">
        <v>38</v>
      </c>
      <c r="V117" s="27" t="s">
        <v>39</v>
      </c>
      <c r="W117" s="24"/>
    </row>
    <row r="118" spans="1:23" s="26" customFormat="1" x14ac:dyDescent="0.2">
      <c r="B118" s="20" t="s">
        <v>29</v>
      </c>
      <c r="C118" s="20" t="s">
        <v>29</v>
      </c>
      <c r="D118" s="20" t="s">
        <v>29</v>
      </c>
      <c r="E118" s="20" t="s">
        <v>29</v>
      </c>
      <c r="F118" s="20" t="s">
        <v>29</v>
      </c>
      <c r="G118" s="20" t="s">
        <v>29</v>
      </c>
      <c r="H118" s="20" t="s">
        <v>29</v>
      </c>
      <c r="I118" s="20" t="s">
        <v>29</v>
      </c>
      <c r="J118" s="20" t="s">
        <v>29</v>
      </c>
      <c r="K118" s="20" t="s">
        <v>29</v>
      </c>
      <c r="L118" s="20" t="s">
        <v>29</v>
      </c>
      <c r="M118" s="20" t="s">
        <v>29</v>
      </c>
      <c r="N118" s="20" t="s">
        <v>29</v>
      </c>
      <c r="O118" s="20" t="s">
        <v>29</v>
      </c>
      <c r="P118" s="20" t="s">
        <v>29</v>
      </c>
      <c r="Q118" s="20" t="s">
        <v>29</v>
      </c>
      <c r="R118" s="20" t="s">
        <v>29</v>
      </c>
      <c r="S118" s="20" t="s">
        <v>29</v>
      </c>
      <c r="T118" s="20" t="s">
        <v>29</v>
      </c>
      <c r="U118" s="20" t="s">
        <v>29</v>
      </c>
      <c r="V118" s="20" t="s">
        <v>29</v>
      </c>
      <c r="W118" s="20" t="s">
        <v>29</v>
      </c>
    </row>
    <row r="120" spans="1:23" x14ac:dyDescent="0.2">
      <c r="A120" s="3">
        <f>A89</f>
        <v>1978</v>
      </c>
      <c r="B120" s="41">
        <f>B89</f>
        <v>3323.3772961548002</v>
      </c>
      <c r="C120" s="41">
        <f>C89-B89</f>
        <v>8531.9799032880001</v>
      </c>
      <c r="D120" s="41">
        <f t="shared" ref="D120:T135" si="48">D89-C89</f>
        <v>9371.915576992802</v>
      </c>
      <c r="E120" s="41">
        <f t="shared" si="48"/>
        <v>10171.7828785862</v>
      </c>
      <c r="F120" s="41">
        <f t="shared" si="48"/>
        <v>7630.4596863585975</v>
      </c>
      <c r="G120" s="41">
        <f t="shared" si="48"/>
        <v>3855.5147947967998</v>
      </c>
      <c r="H120" s="41">
        <f t="shared" si="48"/>
        <v>3251.513651380199</v>
      </c>
      <c r="I120" s="41">
        <f t="shared" si="48"/>
        <v>4433.9029994199009</v>
      </c>
      <c r="J120" s="41">
        <f t="shared" si="48"/>
        <v>2187.827180692002</v>
      </c>
      <c r="K120" s="41">
        <f t="shared" si="48"/>
        <v>332.29526578220248</v>
      </c>
      <c r="L120" s="41">
        <f t="shared" si="48"/>
        <v>199.51386738749716</v>
      </c>
      <c r="M120" s="41">
        <f t="shared" si="48"/>
        <v>692.24961541120138</v>
      </c>
      <c r="N120" s="41">
        <f t="shared" si="48"/>
        <v>310.99012516460061</v>
      </c>
      <c r="O120" s="41">
        <f t="shared" si="48"/>
        <v>0</v>
      </c>
      <c r="P120" s="41">
        <f t="shared" si="48"/>
        <v>604.3734059615017</v>
      </c>
      <c r="Q120" s="41">
        <f t="shared" si="48"/>
        <v>93.757826862602087</v>
      </c>
      <c r="R120" s="41">
        <f t="shared" si="48"/>
        <v>75.690362579000066</v>
      </c>
      <c r="S120" s="41">
        <f t="shared" si="48"/>
        <v>13.837842883796839</v>
      </c>
      <c r="T120" s="42">
        <f t="shared" si="48"/>
        <v>25.427808913889749</v>
      </c>
      <c r="U120" s="35">
        <f>S89</f>
        <v>55080.982279701704</v>
      </c>
      <c r="V120" s="36">
        <f t="shared" ref="V120:V137" si="49">W120-U120</f>
        <v>25.427808913889749</v>
      </c>
      <c r="W120" s="36">
        <f t="shared" ref="W120:W137" si="50">T89</f>
        <v>55106.410088615594</v>
      </c>
    </row>
    <row r="121" spans="1:23" x14ac:dyDescent="0.2">
      <c r="A121" s="3">
        <f t="shared" ref="A121:B137" si="51">A90</f>
        <v>1979</v>
      </c>
      <c r="B121" s="41">
        <f t="shared" si="51"/>
        <v>3785.4721599449995</v>
      </c>
      <c r="C121" s="41">
        <f t="shared" ref="C121:R137" si="52">C90-B90</f>
        <v>10341.097698718801</v>
      </c>
      <c r="D121" s="41">
        <f t="shared" si="52"/>
        <v>8330.6885059640008</v>
      </c>
      <c r="E121" s="41">
        <f t="shared" si="52"/>
        <v>7848.8324471201995</v>
      </c>
      <c r="F121" s="41">
        <f t="shared" si="52"/>
        <v>2838.4851227580002</v>
      </c>
      <c r="G121" s="41">
        <f t="shared" si="52"/>
        <v>3577.2267833333972</v>
      </c>
      <c r="H121" s="41">
        <f t="shared" si="52"/>
        <v>1404.6418733285973</v>
      </c>
      <c r="I121" s="41">
        <f t="shared" si="52"/>
        <v>1720.748749350998</v>
      </c>
      <c r="J121" s="41">
        <f t="shared" si="52"/>
        <v>1065.2005699592992</v>
      </c>
      <c r="K121" s="41">
        <f t="shared" si="52"/>
        <v>155.36535618329799</v>
      </c>
      <c r="L121" s="41">
        <f t="shared" si="52"/>
        <v>35.582887379598105</v>
      </c>
      <c r="M121" s="41">
        <f t="shared" si="52"/>
        <v>258.87845455080242</v>
      </c>
      <c r="N121" s="41">
        <f t="shared" si="52"/>
        <v>249.91930281770328</v>
      </c>
      <c r="O121" s="41">
        <f t="shared" si="52"/>
        <v>419.4023127420005</v>
      </c>
      <c r="P121" s="41">
        <f t="shared" si="52"/>
        <v>7.7001826979976613</v>
      </c>
      <c r="Q121" s="41">
        <f t="shared" si="52"/>
        <v>0</v>
      </c>
      <c r="R121" s="41">
        <f t="shared" si="52"/>
        <v>0</v>
      </c>
      <c r="S121" s="42">
        <f t="shared" si="48"/>
        <v>15.377104143270117</v>
      </c>
      <c r="T121" s="42">
        <f t="shared" si="48"/>
        <v>19.4142657703851</v>
      </c>
      <c r="U121" s="35">
        <f>R90</f>
        <v>42039.242406849691</v>
      </c>
      <c r="V121" s="36">
        <f t="shared" si="49"/>
        <v>34.791369913655217</v>
      </c>
      <c r="W121" s="36">
        <f t="shared" si="50"/>
        <v>42074.033776763346</v>
      </c>
    </row>
    <row r="122" spans="1:23" x14ac:dyDescent="0.2">
      <c r="A122" s="3">
        <f t="shared" si="51"/>
        <v>1980</v>
      </c>
      <c r="B122" s="41">
        <f t="shared" si="51"/>
        <v>4676.8182374628004</v>
      </c>
      <c r="C122" s="41">
        <f t="shared" si="52"/>
        <v>9989.1448720331973</v>
      </c>
      <c r="D122" s="41">
        <f t="shared" si="48"/>
        <v>8746.3902138550002</v>
      </c>
      <c r="E122" s="41">
        <f t="shared" si="48"/>
        <v>10227.580456568405</v>
      </c>
      <c r="F122" s="41">
        <f t="shared" si="48"/>
        <v>8572.4273058101971</v>
      </c>
      <c r="G122" s="41">
        <f t="shared" si="48"/>
        <v>5786.2444301865035</v>
      </c>
      <c r="H122" s="41">
        <f t="shared" si="48"/>
        <v>3855.2391180690029</v>
      </c>
      <c r="I122" s="41">
        <f t="shared" si="48"/>
        <v>1445.4960927701977</v>
      </c>
      <c r="J122" s="41">
        <f t="shared" si="48"/>
        <v>1612.0472598827982</v>
      </c>
      <c r="K122" s="41">
        <f t="shared" si="48"/>
        <v>625.56334669399803</v>
      </c>
      <c r="L122" s="41">
        <f t="shared" si="48"/>
        <v>1171.7944974749989</v>
      </c>
      <c r="M122" s="41">
        <f t="shared" si="48"/>
        <v>589.43981849739794</v>
      </c>
      <c r="N122" s="41">
        <f t="shared" si="48"/>
        <v>437.89473812349752</v>
      </c>
      <c r="O122" s="41">
        <f t="shared" si="48"/>
        <v>473.02032323819731</v>
      </c>
      <c r="P122" s="41">
        <f t="shared" si="48"/>
        <v>370.30693539600179</v>
      </c>
      <c r="Q122" s="41">
        <f t="shared" si="48"/>
        <v>30.934395056698122</v>
      </c>
      <c r="R122" s="42">
        <f t="shared" si="48"/>
        <v>38.425072456964699</v>
      </c>
      <c r="S122" s="42">
        <f t="shared" si="48"/>
        <v>21.452532161543786</v>
      </c>
      <c r="T122" s="42">
        <f t="shared" si="48"/>
        <v>27.084759064615355</v>
      </c>
      <c r="U122" s="35">
        <f>Q91</f>
        <v>58610.342041118893</v>
      </c>
      <c r="V122" s="36">
        <f t="shared" si="49"/>
        <v>86.96236368312384</v>
      </c>
      <c r="W122" s="36">
        <f t="shared" si="50"/>
        <v>58697.304404802017</v>
      </c>
    </row>
    <row r="123" spans="1:23" x14ac:dyDescent="0.2">
      <c r="A123" s="3">
        <f t="shared" si="51"/>
        <v>1981</v>
      </c>
      <c r="B123" s="41">
        <f t="shared" si="51"/>
        <v>5288.1017612324003</v>
      </c>
      <c r="C123" s="41">
        <f t="shared" si="52"/>
        <v>8088.8644626855994</v>
      </c>
      <c r="D123" s="41">
        <f t="shared" si="48"/>
        <v>12838.744648046402</v>
      </c>
      <c r="E123" s="41">
        <f t="shared" si="48"/>
        <v>11829.689431027204</v>
      </c>
      <c r="F123" s="41">
        <f t="shared" si="48"/>
        <v>7760.0195212418985</v>
      </c>
      <c r="G123" s="41">
        <f t="shared" si="48"/>
        <v>6182.3353204099985</v>
      </c>
      <c r="H123" s="41">
        <f t="shared" si="48"/>
        <v>4118.1476339669971</v>
      </c>
      <c r="I123" s="41">
        <f t="shared" si="48"/>
        <v>3016.335685861799</v>
      </c>
      <c r="J123" s="41">
        <f t="shared" si="48"/>
        <v>1774.6517457899972</v>
      </c>
      <c r="K123" s="41">
        <f t="shared" si="48"/>
        <v>1784.6926021514009</v>
      </c>
      <c r="L123" s="41">
        <f t="shared" si="48"/>
        <v>2645.2933664794982</v>
      </c>
      <c r="M123" s="41">
        <f t="shared" si="48"/>
        <v>266.17919637749583</v>
      </c>
      <c r="N123" s="41">
        <f t="shared" si="48"/>
        <v>38.228221969198785</v>
      </c>
      <c r="O123" s="41">
        <f t="shared" si="48"/>
        <v>45.040266991200042</v>
      </c>
      <c r="P123" s="41">
        <f t="shared" si="48"/>
        <v>114.45944040750328</v>
      </c>
      <c r="Q123" s="42">
        <f t="shared" si="48"/>
        <v>77.308324494995759</v>
      </c>
      <c r="R123" s="42">
        <f t="shared" si="48"/>
        <v>43.183269459099392</v>
      </c>
      <c r="S123" s="42">
        <f t="shared" si="48"/>
        <v>24.109010541214957</v>
      </c>
      <c r="T123" s="42">
        <f t="shared" si="48"/>
        <v>30.438679074242827</v>
      </c>
      <c r="U123" s="35">
        <f>P92</f>
        <v>65790.783304638593</v>
      </c>
      <c r="V123" s="36">
        <f t="shared" si="49"/>
        <v>175.03928356955294</v>
      </c>
      <c r="W123" s="36">
        <f t="shared" si="50"/>
        <v>65965.822588208146</v>
      </c>
    </row>
    <row r="124" spans="1:23" x14ac:dyDescent="0.2">
      <c r="A124" s="3">
        <f t="shared" si="51"/>
        <v>1982</v>
      </c>
      <c r="B124" s="41">
        <f t="shared" si="51"/>
        <v>2294.0330926396005</v>
      </c>
      <c r="C124" s="41">
        <f t="shared" si="52"/>
        <v>9868.7758083336012</v>
      </c>
      <c r="D124" s="41">
        <f t="shared" si="48"/>
        <v>10242.137457774001</v>
      </c>
      <c r="E124" s="41">
        <f t="shared" si="48"/>
        <v>13808.440156043998</v>
      </c>
      <c r="F124" s="41">
        <f t="shared" si="48"/>
        <v>8784.714152859</v>
      </c>
      <c r="G124" s="41">
        <f t="shared" si="48"/>
        <v>5408.5074846796997</v>
      </c>
      <c r="H124" s="41">
        <f t="shared" si="48"/>
        <v>2424.5131736663971</v>
      </c>
      <c r="I124" s="41">
        <f t="shared" si="48"/>
        <v>1596.8697920867999</v>
      </c>
      <c r="J124" s="41">
        <f t="shared" si="48"/>
        <v>2148.7083323568004</v>
      </c>
      <c r="K124" s="41">
        <f t="shared" si="48"/>
        <v>3295.9490227155984</v>
      </c>
      <c r="L124" s="41">
        <f t="shared" si="48"/>
        <v>917.33831288749934</v>
      </c>
      <c r="M124" s="41">
        <f t="shared" si="48"/>
        <v>295.49590802100283</v>
      </c>
      <c r="N124" s="41">
        <f t="shared" si="48"/>
        <v>427.55546285300079</v>
      </c>
      <c r="O124" s="41">
        <f t="shared" si="48"/>
        <v>358.79001383300056</v>
      </c>
      <c r="P124" s="42">
        <f t="shared" si="48"/>
        <v>130.30915149656357</v>
      </c>
      <c r="Q124" s="42">
        <f t="shared" si="48"/>
        <v>72.856426245853072</v>
      </c>
      <c r="R124" s="42">
        <f t="shared" si="48"/>
        <v>40.696505931977299</v>
      </c>
      <c r="S124" s="42">
        <f t="shared" si="48"/>
        <v>22.72066248790361</v>
      </c>
      <c r="T124" s="42">
        <f t="shared" si="48"/>
        <v>28.685829003283288</v>
      </c>
      <c r="U124" s="35">
        <f>O93</f>
        <v>61871.828170749999</v>
      </c>
      <c r="V124" s="36">
        <f t="shared" si="49"/>
        <v>295.26857516558084</v>
      </c>
      <c r="W124" s="36">
        <f t="shared" si="50"/>
        <v>62167.09674591558</v>
      </c>
    </row>
    <row r="125" spans="1:23" x14ac:dyDescent="0.2">
      <c r="A125" s="3">
        <f t="shared" si="51"/>
        <v>1983</v>
      </c>
      <c r="B125" s="41">
        <f t="shared" si="51"/>
        <v>3600.1127077404003</v>
      </c>
      <c r="C125" s="41">
        <f t="shared" si="52"/>
        <v>7513.8552667728018</v>
      </c>
      <c r="D125" s="41">
        <f t="shared" si="48"/>
        <v>8246.7836717852988</v>
      </c>
      <c r="E125" s="41">
        <f t="shared" si="48"/>
        <v>9327.1240681069976</v>
      </c>
      <c r="F125" s="41">
        <f t="shared" si="48"/>
        <v>8583.8278631965004</v>
      </c>
      <c r="G125" s="41">
        <f t="shared" si="48"/>
        <v>4245.1455543929987</v>
      </c>
      <c r="H125" s="41">
        <f t="shared" si="48"/>
        <v>4096.4079292267998</v>
      </c>
      <c r="I125" s="41">
        <f t="shared" si="48"/>
        <v>3216.2322375725998</v>
      </c>
      <c r="J125" s="41">
        <f t="shared" si="48"/>
        <v>2014.0058412672006</v>
      </c>
      <c r="K125" s="41">
        <f t="shared" si="48"/>
        <v>592.00780317350291</v>
      </c>
      <c r="L125" s="41">
        <f t="shared" si="48"/>
        <v>1188.3136516488012</v>
      </c>
      <c r="M125" s="41">
        <f t="shared" si="48"/>
        <v>691.49210926859814</v>
      </c>
      <c r="N125" s="41">
        <f t="shared" si="48"/>
        <v>367.43321889109939</v>
      </c>
      <c r="O125" s="42">
        <f t="shared" si="48"/>
        <v>202.64571399689157</v>
      </c>
      <c r="P125" s="42">
        <f t="shared" si="48"/>
        <v>113.48879366660549</v>
      </c>
      <c r="Q125" s="42">
        <f t="shared" si="48"/>
        <v>63.452089362428524</v>
      </c>
      <c r="R125" s="42">
        <f t="shared" si="48"/>
        <v>35.443384533034987</v>
      </c>
      <c r="S125" s="42">
        <f t="shared" si="48"/>
        <v>19.787870210529945</v>
      </c>
      <c r="T125" s="42">
        <f t="shared" si="48"/>
        <v>24.983050626302429</v>
      </c>
      <c r="U125" s="35">
        <f>N94</f>
        <v>53682.741923043599</v>
      </c>
      <c r="V125" s="36">
        <f t="shared" si="49"/>
        <v>459.80090239579295</v>
      </c>
      <c r="W125" s="36">
        <f t="shared" si="50"/>
        <v>54142.542825439392</v>
      </c>
    </row>
    <row r="126" spans="1:23" x14ac:dyDescent="0.2">
      <c r="A126" s="3">
        <f t="shared" si="51"/>
        <v>1984</v>
      </c>
      <c r="B126" s="41">
        <f t="shared" si="51"/>
        <v>3641.6041092630003</v>
      </c>
      <c r="C126" s="41">
        <f t="shared" si="52"/>
        <v>7394.2269881594984</v>
      </c>
      <c r="D126" s="41">
        <f t="shared" si="48"/>
        <v>9838.0053830279976</v>
      </c>
      <c r="E126" s="41">
        <f t="shared" si="48"/>
        <v>9733.6049177817986</v>
      </c>
      <c r="F126" s="41">
        <f t="shared" si="48"/>
        <v>6376.9658595930014</v>
      </c>
      <c r="G126" s="41">
        <f t="shared" si="48"/>
        <v>4883.7608027824026</v>
      </c>
      <c r="H126" s="41">
        <f t="shared" si="48"/>
        <v>11919.643463823799</v>
      </c>
      <c r="I126" s="41">
        <f t="shared" si="48"/>
        <v>4188.6072261547015</v>
      </c>
      <c r="J126" s="41">
        <f t="shared" si="48"/>
        <v>4491.9297370115019</v>
      </c>
      <c r="K126" s="41">
        <f t="shared" si="48"/>
        <v>1759.6023877248008</v>
      </c>
      <c r="L126" s="41">
        <f t="shared" si="48"/>
        <v>943.90873470359656</v>
      </c>
      <c r="M126" s="41">
        <f t="shared" si="48"/>
        <v>921.5061333220001</v>
      </c>
      <c r="N126" s="42">
        <f t="shared" si="48"/>
        <v>447.17896435002331</v>
      </c>
      <c r="O126" s="42">
        <f t="shared" si="48"/>
        <v>251.18232990714023</v>
      </c>
      <c r="P126" s="42">
        <f t="shared" si="48"/>
        <v>140.67102160357172</v>
      </c>
      <c r="Q126" s="42">
        <f t="shared" si="48"/>
        <v>78.64979391459201</v>
      </c>
      <c r="R126" s="42">
        <f t="shared" si="48"/>
        <v>43.932594137862907</v>
      </c>
      <c r="S126" s="42">
        <f t="shared" si="48"/>
        <v>24.527354886260582</v>
      </c>
      <c r="T126" s="42">
        <f t="shared" si="48"/>
        <v>30.966857086343225</v>
      </c>
      <c r="U126" s="35">
        <f>M95</f>
        <v>66093.365743348098</v>
      </c>
      <c r="V126" s="36">
        <f t="shared" si="49"/>
        <v>1017.108915885794</v>
      </c>
      <c r="W126" s="36">
        <f t="shared" si="50"/>
        <v>67110.474659233892</v>
      </c>
    </row>
    <row r="127" spans="1:23" x14ac:dyDescent="0.2">
      <c r="A127" s="3">
        <f t="shared" si="51"/>
        <v>1985</v>
      </c>
      <c r="B127" s="41">
        <f t="shared" si="51"/>
        <v>2462.5100068538995</v>
      </c>
      <c r="C127" s="41">
        <f t="shared" si="52"/>
        <v>5033.0735923819993</v>
      </c>
      <c r="D127" s="41">
        <f t="shared" si="48"/>
        <v>6980.3287000687014</v>
      </c>
      <c r="E127" s="41">
        <f t="shared" si="48"/>
        <v>7722.2105751294002</v>
      </c>
      <c r="F127" s="41">
        <f t="shared" si="48"/>
        <v>6701.6007583623978</v>
      </c>
      <c r="G127" s="41">
        <f t="shared" si="48"/>
        <v>7834.1252937686004</v>
      </c>
      <c r="H127" s="41">
        <f t="shared" si="48"/>
        <v>5579.2667790300038</v>
      </c>
      <c r="I127" s="41">
        <f t="shared" si="48"/>
        <v>3621.9814772329992</v>
      </c>
      <c r="J127" s="41">
        <f t="shared" si="48"/>
        <v>1300.1339389998029</v>
      </c>
      <c r="K127" s="41">
        <f t="shared" si="48"/>
        <v>3068.5178755365996</v>
      </c>
      <c r="L127" s="41">
        <f t="shared" si="48"/>
        <v>1370.2327886237981</v>
      </c>
      <c r="M127" s="42">
        <f t="shared" si="48"/>
        <v>626.63722403905558</v>
      </c>
      <c r="N127" s="42">
        <f t="shared" si="48"/>
        <v>353.85906559196155</v>
      </c>
      <c r="O127" s="42">
        <f t="shared" si="48"/>
        <v>198.76414509645838</v>
      </c>
      <c r="P127" s="42">
        <f t="shared" si="48"/>
        <v>111.31497728847899</v>
      </c>
      <c r="Q127" s="42">
        <f t="shared" si="48"/>
        <v>62.236698955799511</v>
      </c>
      <c r="R127" s="42">
        <f t="shared" si="48"/>
        <v>34.764485698135104</v>
      </c>
      <c r="S127" s="42">
        <f t="shared" si="48"/>
        <v>19.408844273588329</v>
      </c>
      <c r="T127" s="42">
        <f t="shared" si="48"/>
        <v>24.504513822161243</v>
      </c>
      <c r="U127" s="35">
        <f>L96</f>
        <v>51673.981785988202</v>
      </c>
      <c r="V127" s="36">
        <f t="shared" si="49"/>
        <v>1431.4899547656387</v>
      </c>
      <c r="W127" s="36">
        <f t="shared" si="50"/>
        <v>53105.471740753841</v>
      </c>
    </row>
    <row r="128" spans="1:23" x14ac:dyDescent="0.2">
      <c r="A128" s="3">
        <f t="shared" si="51"/>
        <v>1986</v>
      </c>
      <c r="B128" s="41">
        <f t="shared" si="51"/>
        <v>2266.8313208879999</v>
      </c>
      <c r="C128" s="41">
        <f t="shared" si="52"/>
        <v>5959.3410573505998</v>
      </c>
      <c r="D128" s="41">
        <f t="shared" si="48"/>
        <v>6174.8822398221</v>
      </c>
      <c r="E128" s="41">
        <f t="shared" si="48"/>
        <v>7050.7477569671992</v>
      </c>
      <c r="F128" s="41">
        <f t="shared" si="48"/>
        <v>8102.1965608619976</v>
      </c>
      <c r="G128" s="41">
        <f t="shared" si="48"/>
        <v>6338.9605596822003</v>
      </c>
      <c r="H128" s="41">
        <f t="shared" si="48"/>
        <v>6977.9037126609983</v>
      </c>
      <c r="I128" s="41">
        <f t="shared" si="48"/>
        <v>4396.156119401996</v>
      </c>
      <c r="J128" s="41">
        <f t="shared" si="48"/>
        <v>3106.7055784894037</v>
      </c>
      <c r="K128" s="41">
        <f t="shared" si="48"/>
        <v>903.42709222940175</v>
      </c>
      <c r="L128" s="42">
        <f t="shared" si="48"/>
        <v>1114.5227099350086</v>
      </c>
      <c r="M128" s="42">
        <f t="shared" si="48"/>
        <v>635.34050342645787</v>
      </c>
      <c r="N128" s="42">
        <f t="shared" si="48"/>
        <v>358.77376614511741</v>
      </c>
      <c r="O128" s="42">
        <f t="shared" si="48"/>
        <v>201.52475334092742</v>
      </c>
      <c r="P128" s="42">
        <f t="shared" si="48"/>
        <v>112.86101590568433</v>
      </c>
      <c r="Q128" s="42">
        <f t="shared" si="48"/>
        <v>63.101096023805439</v>
      </c>
      <c r="R128" s="42">
        <f t="shared" si="48"/>
        <v>35.247324923424458</v>
      </c>
      <c r="S128" s="42">
        <f t="shared" si="48"/>
        <v>19.678411078464705</v>
      </c>
      <c r="T128" s="42">
        <f t="shared" si="48"/>
        <v>24.844853690054151</v>
      </c>
      <c r="U128" s="35">
        <f>K97</f>
        <v>51277.151998353896</v>
      </c>
      <c r="V128" s="36">
        <f t="shared" si="49"/>
        <v>2565.8944344689444</v>
      </c>
      <c r="W128" s="36">
        <f t="shared" si="50"/>
        <v>53843.046432822841</v>
      </c>
    </row>
    <row r="129" spans="1:23" x14ac:dyDescent="0.2">
      <c r="A129" s="3">
        <f t="shared" si="51"/>
        <v>1987</v>
      </c>
      <c r="B129" s="41">
        <f t="shared" si="51"/>
        <v>2008.6684251907002</v>
      </c>
      <c r="C129" s="41">
        <f t="shared" si="52"/>
        <v>3700.7147296413004</v>
      </c>
      <c r="D129" s="41">
        <f t="shared" si="48"/>
        <v>5297.4087532475996</v>
      </c>
      <c r="E129" s="41">
        <f t="shared" si="48"/>
        <v>6885.6603102545978</v>
      </c>
      <c r="F129" s="41">
        <f t="shared" si="48"/>
        <v>6496.1287345044984</v>
      </c>
      <c r="G129" s="41">
        <f t="shared" si="48"/>
        <v>7550.1395750129996</v>
      </c>
      <c r="H129" s="41">
        <f t="shared" si="48"/>
        <v>5855.4200894351998</v>
      </c>
      <c r="I129" s="41">
        <f t="shared" si="48"/>
        <v>5750.8460382076009</v>
      </c>
      <c r="J129" s="41">
        <f t="shared" si="48"/>
        <v>3871.4265210334997</v>
      </c>
      <c r="K129" s="42">
        <f t="shared" si="48"/>
        <v>1646.6362527086167</v>
      </c>
      <c r="L129" s="42">
        <f t="shared" si="48"/>
        <v>1066.3985942375148</v>
      </c>
      <c r="M129" s="42">
        <f t="shared" si="48"/>
        <v>607.90705624620023</v>
      </c>
      <c r="N129" s="42">
        <f t="shared" si="48"/>
        <v>343.28222875670326</v>
      </c>
      <c r="O129" s="42">
        <f t="shared" si="48"/>
        <v>192.82309077341051</v>
      </c>
      <c r="P129" s="42">
        <f t="shared" si="48"/>
        <v>107.9877759629162</v>
      </c>
      <c r="Q129" s="42">
        <f t="shared" si="48"/>
        <v>60.376445894544304</v>
      </c>
      <c r="R129" s="42">
        <f t="shared" si="48"/>
        <v>33.725376265472732</v>
      </c>
      <c r="S129" s="42">
        <f t="shared" si="48"/>
        <v>18.828714501585637</v>
      </c>
      <c r="T129" s="42">
        <f t="shared" si="48"/>
        <v>23.772074640502979</v>
      </c>
      <c r="U129" s="35">
        <f>J98</f>
        <v>47416.413176527996</v>
      </c>
      <c r="V129" s="36">
        <f t="shared" si="49"/>
        <v>4101.7376099874673</v>
      </c>
      <c r="W129" s="36">
        <f t="shared" si="50"/>
        <v>51518.150786515464</v>
      </c>
    </row>
    <row r="130" spans="1:23" x14ac:dyDescent="0.2">
      <c r="A130" s="3">
        <f t="shared" si="51"/>
        <v>1988</v>
      </c>
      <c r="B130" s="41">
        <f t="shared" si="51"/>
        <v>1859.6234842803001</v>
      </c>
      <c r="C130" s="41">
        <f t="shared" si="52"/>
        <v>5281.9974160624006</v>
      </c>
      <c r="D130" s="41">
        <f t="shared" si="48"/>
        <v>3650.3958545328005</v>
      </c>
      <c r="E130" s="41">
        <f t="shared" si="48"/>
        <v>7528.392762105399</v>
      </c>
      <c r="F130" s="41">
        <f t="shared" si="48"/>
        <v>5156.2461564879995</v>
      </c>
      <c r="G130" s="41">
        <f t="shared" si="48"/>
        <v>5766.3281933075996</v>
      </c>
      <c r="H130" s="41">
        <f t="shared" si="48"/>
        <v>6861.7924136643996</v>
      </c>
      <c r="I130" s="41">
        <f t="shared" si="48"/>
        <v>2572.6197431442997</v>
      </c>
      <c r="J130" s="42">
        <f t="shared" si="48"/>
        <v>2197.8611347930273</v>
      </c>
      <c r="K130" s="42">
        <f t="shared" si="48"/>
        <v>1419.4806348003331</v>
      </c>
      <c r="L130" s="42">
        <f t="shared" si="48"/>
        <v>919.28751781606843</v>
      </c>
      <c r="M130" s="42">
        <f t="shared" si="48"/>
        <v>524.0454852615585</v>
      </c>
      <c r="N130" s="42">
        <f t="shared" si="48"/>
        <v>295.92599773610709</v>
      </c>
      <c r="O130" s="42">
        <f t="shared" si="48"/>
        <v>166.22289400282898</v>
      </c>
      <c r="P130" s="42">
        <f t="shared" si="48"/>
        <v>93.09072147680854</v>
      </c>
      <c r="Q130" s="42">
        <f t="shared" si="48"/>
        <v>52.047436465945793</v>
      </c>
      <c r="R130" s="42">
        <f t="shared" si="48"/>
        <v>29.072916639262985</v>
      </c>
      <c r="S130" s="42">
        <f t="shared" si="48"/>
        <v>16.231268787640147</v>
      </c>
      <c r="T130" s="42">
        <f t="shared" si="48"/>
        <v>20.492685950353916</v>
      </c>
      <c r="U130" s="35">
        <f>I99</f>
        <v>38677.396023585199</v>
      </c>
      <c r="V130" s="36">
        <f t="shared" si="49"/>
        <v>5733.7586937299347</v>
      </c>
      <c r="W130" s="36">
        <f t="shared" si="50"/>
        <v>44411.154717315134</v>
      </c>
    </row>
    <row r="131" spans="1:23" x14ac:dyDescent="0.2">
      <c r="A131" s="3">
        <f t="shared" si="51"/>
        <v>1989</v>
      </c>
      <c r="B131" s="41">
        <f t="shared" si="51"/>
        <v>2331.0575530835999</v>
      </c>
      <c r="C131" s="41">
        <f t="shared" si="52"/>
        <v>3516.7487985486</v>
      </c>
      <c r="D131" s="41">
        <f t="shared" si="48"/>
        <v>5310.0143183395012</v>
      </c>
      <c r="E131" s="41">
        <f t="shared" si="48"/>
        <v>6066.0044828179998</v>
      </c>
      <c r="F131" s="41">
        <f t="shared" si="48"/>
        <v>10149.190601070601</v>
      </c>
      <c r="G131" s="41">
        <f t="shared" si="48"/>
        <v>9264.9414495564051</v>
      </c>
      <c r="H131" s="41">
        <f t="shared" si="48"/>
        <v>5261.5705317765023</v>
      </c>
      <c r="I131" s="42">
        <f t="shared" si="48"/>
        <v>4564.0759974729517</v>
      </c>
      <c r="J131" s="42">
        <f t="shared" si="48"/>
        <v>2640.3160327592632</v>
      </c>
      <c r="K131" s="42">
        <f t="shared" si="48"/>
        <v>1705.2385243654426</v>
      </c>
      <c r="L131" s="42">
        <f t="shared" si="48"/>
        <v>1104.3507406275676</v>
      </c>
      <c r="M131" s="42">
        <f t="shared" si="48"/>
        <v>629.54190996306716</v>
      </c>
      <c r="N131" s="42">
        <f t="shared" si="48"/>
        <v>355.49932794389315</v>
      </c>
      <c r="O131" s="42">
        <f t="shared" si="48"/>
        <v>199.68548744943837</v>
      </c>
      <c r="P131" s="42">
        <f t="shared" si="48"/>
        <v>111.83096171337093</v>
      </c>
      <c r="Q131" s="42">
        <f t="shared" si="48"/>
        <v>62.525188142972183</v>
      </c>
      <c r="R131" s="42">
        <f t="shared" si="48"/>
        <v>34.92563142709696</v>
      </c>
      <c r="S131" s="42">
        <f t="shared" si="48"/>
        <v>19.498811154902796</v>
      </c>
      <c r="T131" s="42">
        <f t="shared" si="48"/>
        <v>24.618100940264412</v>
      </c>
      <c r="U131" s="35">
        <f>H100</f>
        <v>41899.527735193209</v>
      </c>
      <c r="V131" s="36">
        <f t="shared" si="49"/>
        <v>11452.106713960231</v>
      </c>
      <c r="W131" s="36">
        <f t="shared" si="50"/>
        <v>53351.63444915344</v>
      </c>
    </row>
    <row r="132" spans="1:23" x14ac:dyDescent="0.2">
      <c r="A132" s="3">
        <f t="shared" si="51"/>
        <v>1990</v>
      </c>
      <c r="B132" s="41">
        <f t="shared" si="51"/>
        <v>2314.1976098466002</v>
      </c>
      <c r="C132" s="41">
        <f t="shared" si="52"/>
        <v>4486.4187619518007</v>
      </c>
      <c r="D132" s="41">
        <f t="shared" si="48"/>
        <v>4112.6505151339998</v>
      </c>
      <c r="E132" s="41">
        <f t="shared" si="48"/>
        <v>6999.4269568950003</v>
      </c>
      <c r="F132" s="41">
        <f t="shared" si="48"/>
        <v>11163.0761189244</v>
      </c>
      <c r="G132" s="41">
        <f t="shared" si="48"/>
        <v>10057.508751496702</v>
      </c>
      <c r="H132" s="42">
        <f t="shared" si="48"/>
        <v>7192.5082948852796</v>
      </c>
      <c r="I132" s="42">
        <f t="shared" si="48"/>
        <v>5046.2242412063933</v>
      </c>
      <c r="J132" s="42">
        <f t="shared" si="48"/>
        <v>2919.2385876862609</v>
      </c>
      <c r="K132" s="42">
        <f t="shared" si="48"/>
        <v>1885.379643865781</v>
      </c>
      <c r="L132" s="42">
        <f t="shared" si="48"/>
        <v>1221.0141726900765</v>
      </c>
      <c r="M132" s="42">
        <f t="shared" si="48"/>
        <v>696.04661462033982</v>
      </c>
      <c r="N132" s="42">
        <f t="shared" si="48"/>
        <v>393.05421894734172</v>
      </c>
      <c r="O132" s="42">
        <f t="shared" si="48"/>
        <v>220.78022976444481</v>
      </c>
      <c r="P132" s="42">
        <f t="shared" si="48"/>
        <v>123.64476626328542</v>
      </c>
      <c r="Q132" s="42">
        <f t="shared" si="48"/>
        <v>69.130338817260053</v>
      </c>
      <c r="R132" s="42">
        <f t="shared" si="48"/>
        <v>38.615169432858238</v>
      </c>
      <c r="S132" s="42">
        <f t="shared" si="48"/>
        <v>21.558662384035415</v>
      </c>
      <c r="T132" s="42">
        <f t="shared" si="48"/>
        <v>27.21875310708856</v>
      </c>
      <c r="U132" s="35">
        <f>G101</f>
        <v>39133.278714248503</v>
      </c>
      <c r="V132" s="36">
        <f t="shared" si="49"/>
        <v>19854.413693670445</v>
      </c>
      <c r="W132" s="36">
        <f t="shared" si="50"/>
        <v>58987.692407918948</v>
      </c>
    </row>
    <row r="133" spans="1:23" x14ac:dyDescent="0.2">
      <c r="A133" s="3">
        <f t="shared" si="51"/>
        <v>1991</v>
      </c>
      <c r="B133" s="41">
        <f t="shared" si="51"/>
        <v>2606.8578735305</v>
      </c>
      <c r="C133" s="41">
        <f t="shared" si="52"/>
        <v>3952.0416243769996</v>
      </c>
      <c r="D133" s="41">
        <f t="shared" si="48"/>
        <v>8228.0508973296</v>
      </c>
      <c r="E133" s="41">
        <f t="shared" si="48"/>
        <v>7904.9322844221988</v>
      </c>
      <c r="F133" s="41">
        <f t="shared" si="48"/>
        <v>9307.2077966517973</v>
      </c>
      <c r="G133" s="42">
        <f t="shared" si="48"/>
        <v>10044.587503284027</v>
      </c>
      <c r="H133" s="42">
        <f t="shared" si="48"/>
        <v>7727.4256732702343</v>
      </c>
      <c r="I133" s="42">
        <f t="shared" si="48"/>
        <v>5421.5193303713604</v>
      </c>
      <c r="J133" s="42">
        <f t="shared" si="48"/>
        <v>3136.3466379217789</v>
      </c>
      <c r="K133" s="42">
        <f t="shared" si="48"/>
        <v>2025.5980899222486</v>
      </c>
      <c r="L133" s="42">
        <f t="shared" si="48"/>
        <v>1311.8227854087745</v>
      </c>
      <c r="M133" s="42">
        <f t="shared" si="48"/>
        <v>747.8126210066257</v>
      </c>
      <c r="N133" s="42">
        <f t="shared" si="48"/>
        <v>422.28623700590833</v>
      </c>
      <c r="O133" s="42">
        <f t="shared" si="48"/>
        <v>237.19997887878708</v>
      </c>
      <c r="P133" s="42">
        <f t="shared" si="48"/>
        <v>132.8404086607552</v>
      </c>
      <c r="Q133" s="42">
        <f t="shared" si="48"/>
        <v>74.271663385952706</v>
      </c>
      <c r="R133" s="42">
        <f t="shared" si="48"/>
        <v>41.487036151957</v>
      </c>
      <c r="S133" s="42">
        <f t="shared" si="48"/>
        <v>23.162011687381892</v>
      </c>
      <c r="T133" s="42">
        <f t="shared" si="48"/>
        <v>29.243051649129484</v>
      </c>
      <c r="U133" s="35">
        <f>F102</f>
        <v>31999.090476311096</v>
      </c>
      <c r="V133" s="36">
        <f t="shared" si="49"/>
        <v>31375.603028604921</v>
      </c>
      <c r="W133" s="36">
        <f t="shared" si="50"/>
        <v>63374.693504916017</v>
      </c>
    </row>
    <row r="134" spans="1:23" x14ac:dyDescent="0.2">
      <c r="A134" s="3">
        <f t="shared" si="51"/>
        <v>1992</v>
      </c>
      <c r="B134" s="41">
        <f t="shared" si="51"/>
        <v>2594.6516759099995</v>
      </c>
      <c r="C134" s="41">
        <f t="shared" si="52"/>
        <v>5403.5009490011998</v>
      </c>
      <c r="D134" s="41">
        <f t="shared" si="48"/>
        <v>6578.4668037949996</v>
      </c>
      <c r="E134" s="41">
        <f t="shared" si="48"/>
        <v>15546.107884456</v>
      </c>
      <c r="F134" s="42">
        <f t="shared" si="48"/>
        <v>15949.638146676516</v>
      </c>
      <c r="G134" s="42">
        <f t="shared" si="48"/>
        <v>14462.220627402661</v>
      </c>
      <c r="H134" s="42">
        <f t="shared" si="48"/>
        <v>11125.965594122375</v>
      </c>
      <c r="I134" s="42">
        <f t="shared" si="48"/>
        <v>7805.9162375681626</v>
      </c>
      <c r="J134" s="42">
        <f t="shared" si="48"/>
        <v>4515.7192395215388</v>
      </c>
      <c r="K134" s="42">
        <f t="shared" si="48"/>
        <v>2916.4608769970073</v>
      </c>
      <c r="L134" s="42">
        <f t="shared" si="48"/>
        <v>1888.7655207775097</v>
      </c>
      <c r="M134" s="42">
        <f t="shared" si="48"/>
        <v>1076.702364275101</v>
      </c>
      <c r="N134" s="42">
        <f t="shared" si="48"/>
        <v>608.00871369763627</v>
      </c>
      <c r="O134" s="42">
        <f t="shared" si="48"/>
        <v>341.52108548396791</v>
      </c>
      <c r="P134" s="42">
        <f t="shared" si="48"/>
        <v>191.26393171028758</v>
      </c>
      <c r="Q134" s="42">
        <f t="shared" si="48"/>
        <v>106.93651500379201</v>
      </c>
      <c r="R134" s="42">
        <f t="shared" si="48"/>
        <v>59.733131879285793</v>
      </c>
      <c r="S134" s="42">
        <f t="shared" si="48"/>
        <v>33.348718709254172</v>
      </c>
      <c r="T134" s="42">
        <f t="shared" si="48"/>
        <v>42.104214297505678</v>
      </c>
      <c r="U134" s="35">
        <f>E103</f>
        <v>30122.727313162199</v>
      </c>
      <c r="V134" s="36">
        <f t="shared" si="49"/>
        <v>61124.304918122602</v>
      </c>
      <c r="W134" s="36">
        <f t="shared" si="50"/>
        <v>91247.0322312848</v>
      </c>
    </row>
    <row r="135" spans="1:23" x14ac:dyDescent="0.2">
      <c r="A135" s="3">
        <f t="shared" si="51"/>
        <v>1993</v>
      </c>
      <c r="B135" s="41">
        <f t="shared" si="51"/>
        <v>3154.7492051357999</v>
      </c>
      <c r="C135" s="41">
        <f t="shared" si="52"/>
        <v>4974.5214873778004</v>
      </c>
      <c r="D135" s="41">
        <f t="shared" si="48"/>
        <v>7960.9292706118995</v>
      </c>
      <c r="E135" s="42">
        <f t="shared" si="48"/>
        <v>12164.662000180642</v>
      </c>
      <c r="F135" s="42">
        <f t="shared" si="48"/>
        <v>14960.624896740748</v>
      </c>
      <c r="G135" s="42">
        <f t="shared" si="48"/>
        <v>13565.439917241158</v>
      </c>
      <c r="H135" s="42">
        <f t="shared" si="48"/>
        <v>10436.061077811501</v>
      </c>
      <c r="I135" s="42">
        <f t="shared" si="48"/>
        <v>7321.8830252878979</v>
      </c>
      <c r="J135" s="42">
        <f t="shared" si="48"/>
        <v>4235.7062310880428</v>
      </c>
      <c r="K135" s="42">
        <f t="shared" si="48"/>
        <v>2735.6154920582776</v>
      </c>
      <c r="L135" s="42">
        <f t="shared" si="48"/>
        <v>1771.6459906106174</v>
      </c>
      <c r="M135" s="42">
        <f t="shared" si="48"/>
        <v>1009.9376580972894</v>
      </c>
      <c r="N135" s="42">
        <f t="shared" si="48"/>
        <v>570.30700106984295</v>
      </c>
      <c r="O135" s="42">
        <f t="shared" si="48"/>
        <v>320.34387283689284</v>
      </c>
      <c r="P135" s="42">
        <f t="shared" si="48"/>
        <v>179.40394084675063</v>
      </c>
      <c r="Q135" s="42">
        <f t="shared" si="48"/>
        <v>100.30554135610873</v>
      </c>
      <c r="R135" s="42">
        <f t="shared" si="48"/>
        <v>56.029169548259233</v>
      </c>
      <c r="S135" s="42">
        <f t="shared" ref="D135:T137" si="53">S104-R104</f>
        <v>31.280814449070022</v>
      </c>
      <c r="T135" s="42">
        <f t="shared" si="53"/>
        <v>39.493394827150041</v>
      </c>
      <c r="U135" s="35">
        <f>D104</f>
        <v>16090.1999631255</v>
      </c>
      <c r="V135" s="36">
        <f t="shared" si="49"/>
        <v>69498.740024050247</v>
      </c>
      <c r="W135" s="36">
        <f t="shared" si="50"/>
        <v>85588.939987175749</v>
      </c>
    </row>
    <row r="136" spans="1:23" x14ac:dyDescent="0.2">
      <c r="A136" s="3">
        <f t="shared" si="51"/>
        <v>1994</v>
      </c>
      <c r="B136" s="41">
        <f t="shared" si="51"/>
        <v>2626.1460868002</v>
      </c>
      <c r="C136" s="41">
        <f t="shared" si="52"/>
        <v>5703.4934253725005</v>
      </c>
      <c r="D136" s="42">
        <f t="shared" si="53"/>
        <v>8359.4255195427213</v>
      </c>
      <c r="E136" s="42">
        <f t="shared" si="53"/>
        <v>12617.421515898695</v>
      </c>
      <c r="F136" s="42">
        <f t="shared" si="53"/>
        <v>15517.44803600982</v>
      </c>
      <c r="G136" s="42">
        <f t="shared" si="53"/>
        <v>14070.335327186891</v>
      </c>
      <c r="H136" s="42">
        <f t="shared" si="53"/>
        <v>10824.483375079093</v>
      </c>
      <c r="I136" s="42">
        <f t="shared" si="53"/>
        <v>7594.3979716649046</v>
      </c>
      <c r="J136" s="42">
        <f t="shared" si="53"/>
        <v>4393.356012223172</v>
      </c>
      <c r="K136" s="42">
        <f t="shared" si="53"/>
        <v>2837.4330308733042</v>
      </c>
      <c r="L136" s="42">
        <f t="shared" si="53"/>
        <v>1837.5853139326064</v>
      </c>
      <c r="M136" s="42">
        <f t="shared" si="53"/>
        <v>1047.5267736007663</v>
      </c>
      <c r="N136" s="42">
        <f t="shared" si="53"/>
        <v>591.5333961485594</v>
      </c>
      <c r="O136" s="42">
        <f t="shared" si="53"/>
        <v>332.26682940787578</v>
      </c>
      <c r="P136" s="42">
        <f t="shared" si="53"/>
        <v>186.08121978590498</v>
      </c>
      <c r="Q136" s="42">
        <f t="shared" si="53"/>
        <v>104.0388377130148</v>
      </c>
      <c r="R136" s="42">
        <f t="shared" si="53"/>
        <v>58.114532846506336</v>
      </c>
      <c r="S136" s="42">
        <f t="shared" si="53"/>
        <v>32.445062695420347</v>
      </c>
      <c r="T136" s="42">
        <f t="shared" si="53"/>
        <v>40.963309101440245</v>
      </c>
      <c r="U136" s="35">
        <f>C105</f>
        <v>8329.6395121727001</v>
      </c>
      <c r="V136" s="36">
        <f t="shared" si="49"/>
        <v>80444.8560637107</v>
      </c>
      <c r="W136" s="36">
        <f t="shared" si="50"/>
        <v>88774.495575883397</v>
      </c>
    </row>
    <row r="137" spans="1:23" x14ac:dyDescent="0.2">
      <c r="A137" s="3">
        <f t="shared" si="51"/>
        <v>1995</v>
      </c>
      <c r="B137" s="41">
        <f t="shared" si="51"/>
        <v>2827.4879511605</v>
      </c>
      <c r="C137" s="42">
        <f t="shared" si="52"/>
        <v>5428.9340755965895</v>
      </c>
      <c r="D137" s="42">
        <f t="shared" si="53"/>
        <v>8285.9462152864471</v>
      </c>
      <c r="E137" s="42">
        <f t="shared" si="53"/>
        <v>12506.51445029605</v>
      </c>
      <c r="F137" s="42">
        <f t="shared" si="53"/>
        <v>15381.049753274569</v>
      </c>
      <c r="G137" s="42">
        <f t="shared" si="53"/>
        <v>13946.657157188587</v>
      </c>
      <c r="H137" s="42">
        <f t="shared" si="53"/>
        <v>10729.336225855142</v>
      </c>
      <c r="I137" s="42">
        <f t="shared" si="53"/>
        <v>7527.6432553391642</v>
      </c>
      <c r="J137" s="42">
        <f t="shared" si="53"/>
        <v>4354.7384370831569</v>
      </c>
      <c r="K137" s="42">
        <f t="shared" si="53"/>
        <v>2812.4920101661992</v>
      </c>
      <c r="L137" s="42">
        <f t="shared" si="53"/>
        <v>1821.4329491482495</v>
      </c>
      <c r="M137" s="42">
        <f t="shared" si="53"/>
        <v>1038.3190190327005</v>
      </c>
      <c r="N137" s="42">
        <f t="shared" si="53"/>
        <v>586.33382085576886</v>
      </c>
      <c r="O137" s="42">
        <f t="shared" si="53"/>
        <v>329.34620580817864</v>
      </c>
      <c r="P137" s="42">
        <f t="shared" si="53"/>
        <v>184.44556688929151</v>
      </c>
      <c r="Q137" s="42">
        <f t="shared" si="53"/>
        <v>103.12433690276521</v>
      </c>
      <c r="R137" s="42">
        <f t="shared" si="53"/>
        <v>57.60370642298949</v>
      </c>
      <c r="S137" s="42">
        <f t="shared" si="53"/>
        <v>32.159870773102739</v>
      </c>
      <c r="T137" s="42">
        <f t="shared" si="53"/>
        <v>40.603241840144619</v>
      </c>
      <c r="U137" s="38">
        <f>B106</f>
        <v>2827.4879511605</v>
      </c>
      <c r="V137" s="37">
        <f t="shared" si="49"/>
        <v>85166.6802977591</v>
      </c>
      <c r="W137" s="37">
        <f t="shared" si="50"/>
        <v>87994.168248919595</v>
      </c>
    </row>
    <row r="138" spans="1:23" x14ac:dyDescent="0.2">
      <c r="A138" s="3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41"/>
      <c r="V138" s="42"/>
      <c r="W138" s="41"/>
    </row>
    <row r="139" spans="1:23" x14ac:dyDescent="0.2">
      <c r="A139" s="25" t="s">
        <v>40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7">
        <f>SUM(V120:V137)</f>
        <v>374843.98465235764</v>
      </c>
      <c r="W139" s="38"/>
    </row>
    <row r="144" spans="1:23" x14ac:dyDescent="0.2">
      <c r="A144" s="21" t="s">
        <v>86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3" x14ac:dyDescent="0.2">
      <c r="A145" s="21" t="s">
        <v>87</v>
      </c>
      <c r="C145" s="3"/>
      <c r="D145" s="3"/>
      <c r="E145" s="3"/>
      <c r="F145" s="3"/>
      <c r="G145" s="60">
        <v>3.5999999999999997E-2</v>
      </c>
      <c r="H145" s="22" t="s">
        <v>88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3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M146" s="3"/>
      <c r="N146" s="3"/>
      <c r="O146" s="3"/>
      <c r="P146" s="3"/>
      <c r="Q146" s="3"/>
      <c r="R146" s="3"/>
      <c r="S146" s="3"/>
      <c r="T146" s="3"/>
    </row>
    <row r="147" spans="1:23" x14ac:dyDescent="0.2">
      <c r="A147" s="2" t="s">
        <v>0</v>
      </c>
      <c r="B147" s="31" t="s">
        <v>89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28" t="s">
        <v>33</v>
      </c>
      <c r="V147" s="5"/>
      <c r="W147" s="5"/>
    </row>
    <row r="148" spans="1:23" x14ac:dyDescent="0.2">
      <c r="A148" s="2" t="s">
        <v>1</v>
      </c>
      <c r="B148" s="29" t="s">
        <v>27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2" t="s">
        <v>34</v>
      </c>
      <c r="V148" s="20" t="s">
        <v>35</v>
      </c>
      <c r="W148" s="20" t="s">
        <v>36</v>
      </c>
    </row>
    <row r="149" spans="1:23" x14ac:dyDescent="0.2">
      <c r="A149" s="5"/>
      <c r="B149" s="5">
        <v>0</v>
      </c>
      <c r="C149" s="5">
        <f t="shared" ref="C149:S149" si="54">B149+1</f>
        <v>1</v>
      </c>
      <c r="D149" s="5">
        <f t="shared" si="54"/>
        <v>2</v>
      </c>
      <c r="E149" s="5">
        <f t="shared" si="54"/>
        <v>3</v>
      </c>
      <c r="F149" s="5">
        <f t="shared" si="54"/>
        <v>4</v>
      </c>
      <c r="G149" s="5">
        <f t="shared" si="54"/>
        <v>5</v>
      </c>
      <c r="H149" s="5">
        <f t="shared" si="54"/>
        <v>6</v>
      </c>
      <c r="I149" s="5">
        <f t="shared" si="54"/>
        <v>7</v>
      </c>
      <c r="J149" s="5">
        <f t="shared" si="54"/>
        <v>8</v>
      </c>
      <c r="K149" s="5">
        <f t="shared" si="54"/>
        <v>9</v>
      </c>
      <c r="L149" s="5">
        <f t="shared" si="54"/>
        <v>10</v>
      </c>
      <c r="M149" s="5">
        <f t="shared" si="54"/>
        <v>11</v>
      </c>
      <c r="N149" s="5">
        <f t="shared" si="54"/>
        <v>12</v>
      </c>
      <c r="O149" s="5">
        <f t="shared" si="54"/>
        <v>13</v>
      </c>
      <c r="P149" s="5">
        <f t="shared" si="54"/>
        <v>14</v>
      </c>
      <c r="Q149" s="5">
        <f t="shared" si="54"/>
        <v>15</v>
      </c>
      <c r="R149" s="5">
        <f t="shared" si="54"/>
        <v>16</v>
      </c>
      <c r="S149" s="5">
        <f t="shared" si="54"/>
        <v>17</v>
      </c>
      <c r="T149" s="28" t="s">
        <v>37</v>
      </c>
      <c r="U149" s="28" t="s">
        <v>38</v>
      </c>
      <c r="V149" s="27" t="s">
        <v>39</v>
      </c>
      <c r="W149" s="24"/>
    </row>
    <row r="150" spans="1:23" x14ac:dyDescent="0.2">
      <c r="B150" s="2" t="s">
        <v>29</v>
      </c>
      <c r="C150" s="2" t="s">
        <v>29</v>
      </c>
      <c r="D150" s="2" t="s">
        <v>29</v>
      </c>
      <c r="E150" s="2" t="s">
        <v>29</v>
      </c>
      <c r="F150" s="2" t="s">
        <v>29</v>
      </c>
      <c r="G150" s="2" t="s">
        <v>29</v>
      </c>
      <c r="H150" s="2" t="s">
        <v>29</v>
      </c>
      <c r="I150" s="2" t="s">
        <v>29</v>
      </c>
      <c r="J150" s="2" t="s">
        <v>29</v>
      </c>
      <c r="K150" s="2" t="s">
        <v>29</v>
      </c>
      <c r="L150" s="2" t="s">
        <v>29</v>
      </c>
      <c r="M150" s="2" t="s">
        <v>29</v>
      </c>
      <c r="N150" s="2" t="s">
        <v>29</v>
      </c>
      <c r="O150" s="2" t="s">
        <v>29</v>
      </c>
      <c r="P150" s="2" t="s">
        <v>29</v>
      </c>
      <c r="Q150" s="2" t="s">
        <v>29</v>
      </c>
      <c r="R150" s="2" t="s">
        <v>29</v>
      </c>
      <c r="S150" s="2" t="s">
        <v>29</v>
      </c>
      <c r="T150" s="2" t="s">
        <v>29</v>
      </c>
      <c r="U150" s="2" t="s">
        <v>29</v>
      </c>
      <c r="V150" s="20" t="s">
        <v>29</v>
      </c>
      <c r="W150" s="20" t="s">
        <v>29</v>
      </c>
    </row>
    <row r="151" spans="1:23" x14ac:dyDescent="0.2">
      <c r="V151" s="22"/>
      <c r="W151" s="22"/>
    </row>
    <row r="152" spans="1:23" x14ac:dyDescent="0.2">
      <c r="A152" s="3">
        <f t="shared" ref="A152:A169" si="55">A120</f>
        <v>1978</v>
      </c>
      <c r="B152" s="35">
        <f>'Payment data'!C18</f>
        <v>1043.181</v>
      </c>
      <c r="C152" s="35">
        <f>'Payment data'!D18</f>
        <v>2906.8560000000002</v>
      </c>
      <c r="D152" s="35">
        <f>'Payment data'!E18</f>
        <v>3511.0520000000001</v>
      </c>
      <c r="E152" s="35">
        <f>'Payment data'!F18</f>
        <v>4314.3109999999997</v>
      </c>
      <c r="F152" s="35">
        <f>'Payment data'!G18</f>
        <v>3831.9189999999999</v>
      </c>
      <c r="G152" s="35">
        <f>'Payment data'!H18</f>
        <v>2031.8879999999999</v>
      </c>
      <c r="H152" s="35">
        <f>'Payment data'!I18</f>
        <v>1864.319</v>
      </c>
      <c r="I152" s="35">
        <f>'Payment data'!J18</f>
        <v>2684.0569999999998</v>
      </c>
      <c r="J152" s="35">
        <f>'Payment data'!K18</f>
        <v>1431.4839999999999</v>
      </c>
      <c r="K152" s="35">
        <f>'Payment data'!L18</f>
        <v>230.31399999999999</v>
      </c>
      <c r="L152" s="35">
        <f>'Payment data'!M18</f>
        <v>144.875</v>
      </c>
      <c r="M152" s="35">
        <f>'Payment data'!N18</f>
        <v>527.74400000000003</v>
      </c>
      <c r="N152" s="35">
        <f>'Payment data'!O18</f>
        <v>250.10300000000001</v>
      </c>
      <c r="O152" s="35">
        <f>'Payment data'!P18</f>
        <v>0</v>
      </c>
      <c r="P152" s="35">
        <f>'Payment data'!Q18</f>
        <v>529.02700000000004</v>
      </c>
      <c r="Q152" s="35">
        <f>'Payment data'!R18</f>
        <v>83.893000000000001</v>
      </c>
      <c r="R152" s="35">
        <f>'Payment data'!S18</f>
        <v>71.045000000000002</v>
      </c>
      <c r="S152" s="35">
        <f>'Payment data'!T18</f>
        <v>13.337999999999999</v>
      </c>
      <c r="T152" s="36">
        <f t="shared" ref="T152:T169" si="56">S152*((1+G$145)*C$73)/(1-((1+G$145)*C$73))</f>
        <v>18.269746805752643</v>
      </c>
      <c r="U152" s="35">
        <f>SUM($B152:S152)</f>
        <v>25469.405999999995</v>
      </c>
      <c r="V152" s="36">
        <f t="shared" ref="V152:V169" si="57">W152-U152</f>
        <v>18.26974680575222</v>
      </c>
      <c r="W152" s="36">
        <f t="shared" ref="W152:W169" si="58">SUM(B152:T152)</f>
        <v>25487.675746805748</v>
      </c>
    </row>
    <row r="153" spans="1:23" x14ac:dyDescent="0.2">
      <c r="A153" s="3">
        <f t="shared" si="55"/>
        <v>1979</v>
      </c>
      <c r="B153" s="35">
        <f>'Payment data'!C19</f>
        <v>1289.7149999999999</v>
      </c>
      <c r="C153" s="35">
        <f>'Payment data'!D19</f>
        <v>3874.1419999999998</v>
      </c>
      <c r="D153" s="35">
        <f>'Payment data'!E19</f>
        <v>3533.42</v>
      </c>
      <c r="E153" s="35">
        <f>'Payment data'!F19</f>
        <v>3941.5830000000001</v>
      </c>
      <c r="F153" s="35">
        <f>'Payment data'!G19</f>
        <v>1495.905</v>
      </c>
      <c r="G153" s="35">
        <f>'Payment data'!H19</f>
        <v>2051.0729999999999</v>
      </c>
      <c r="H153" s="35">
        <f>'Payment data'!I19</f>
        <v>850.298</v>
      </c>
      <c r="I153" s="35">
        <f>'Payment data'!J19</f>
        <v>1125.877</v>
      </c>
      <c r="J153" s="35">
        <f>'Payment data'!K19</f>
        <v>738.29100000000005</v>
      </c>
      <c r="K153" s="35">
        <f>'Payment data'!L19</f>
        <v>112.81699999999999</v>
      </c>
      <c r="L153" s="35">
        <f>'Payment data'!M19</f>
        <v>27.126999999999999</v>
      </c>
      <c r="M153" s="35">
        <f>'Payment data'!N19</f>
        <v>208.19399999999999</v>
      </c>
      <c r="N153" s="35">
        <f>'Payment data'!O19</f>
        <v>214.381</v>
      </c>
      <c r="O153" s="35">
        <f>'Payment data'!P19</f>
        <v>367.11599999999999</v>
      </c>
      <c r="P153" s="35">
        <f>'Payment data'!Q19</f>
        <v>6.89</v>
      </c>
      <c r="Q153" s="35">
        <f>'Payment data'!R19</f>
        <v>0</v>
      </c>
      <c r="R153" s="35">
        <f>'Payment data'!S19</f>
        <v>0</v>
      </c>
      <c r="S153" s="36">
        <f>S121*C$173</f>
        <v>15.651444782478137</v>
      </c>
      <c r="T153" s="36">
        <f t="shared" si="56"/>
        <v>21.438591491984841</v>
      </c>
      <c r="U153" s="35">
        <f>SUM($B153:R153)</f>
        <v>19836.829000000005</v>
      </c>
      <c r="V153" s="36">
        <f t="shared" si="57"/>
        <v>37.090036274461454</v>
      </c>
      <c r="W153" s="36">
        <f t="shared" si="58"/>
        <v>19873.919036274467</v>
      </c>
    </row>
    <row r="154" spans="1:23" x14ac:dyDescent="0.2">
      <c r="A154" s="3">
        <f t="shared" si="55"/>
        <v>1980</v>
      </c>
      <c r="B154" s="35">
        <f>'Payment data'!C20</f>
        <v>1752.1020000000001</v>
      </c>
      <c r="C154" s="35">
        <f>'Payment data'!D20</f>
        <v>4236.8459999999995</v>
      </c>
      <c r="D154" s="35">
        <f>'Payment data'!E20</f>
        <v>4392.3249999999998</v>
      </c>
      <c r="E154" s="35">
        <f>'Payment data'!F20</f>
        <v>5390.0190000000002</v>
      </c>
      <c r="F154" s="35">
        <f>'Payment data'!G20</f>
        <v>4915.1689999999999</v>
      </c>
      <c r="G154" s="35">
        <f>'Payment data'!H20</f>
        <v>3502.6950000000002</v>
      </c>
      <c r="H154" s="35">
        <f>'Payment data'!I20</f>
        <v>2522.4630000000002</v>
      </c>
      <c r="I154" s="35">
        <f>'Payment data'!J20</f>
        <v>1001.874</v>
      </c>
      <c r="J154" s="35">
        <f>'Payment data'!K20</f>
        <v>1170.5719999999999</v>
      </c>
      <c r="K154" s="35">
        <f>'Payment data'!L20</f>
        <v>476.90499999999997</v>
      </c>
      <c r="L154" s="35">
        <f>'Payment data'!M20</f>
        <v>942.375</v>
      </c>
      <c r="M154" s="35">
        <f>'Payment data'!N20</f>
        <v>505.62200000000001</v>
      </c>
      <c r="N154" s="35">
        <f>'Payment data'!O20</f>
        <v>383.303</v>
      </c>
      <c r="O154" s="35">
        <f>'Payment data'!P20</f>
        <v>423.25099999999998</v>
      </c>
      <c r="P154" s="35">
        <f>'Payment data'!Q20</f>
        <v>347.58</v>
      </c>
      <c r="Q154" s="35">
        <f>'Payment data'!R20</f>
        <v>29.817</v>
      </c>
      <c r="R154" s="36">
        <f>R122*C$173</f>
        <v>39.110608487757062</v>
      </c>
      <c r="S154" s="36">
        <f>S122*D$173</f>
        <v>22.621333102925263</v>
      </c>
      <c r="T154" s="36">
        <f t="shared" si="56"/>
        <v>30.985607152424301</v>
      </c>
      <c r="U154" s="35">
        <f>SUM($B154:Q154)</f>
        <v>31992.917999999998</v>
      </c>
      <c r="V154" s="36">
        <f t="shared" si="57"/>
        <v>92.717548743104999</v>
      </c>
      <c r="W154" s="36">
        <f t="shared" si="58"/>
        <v>32085.635548743103</v>
      </c>
    </row>
    <row r="155" spans="1:23" x14ac:dyDescent="0.2">
      <c r="A155" s="3">
        <f t="shared" si="55"/>
        <v>1981</v>
      </c>
      <c r="B155" s="35">
        <f>'Payment data'!C21</f>
        <v>2242.922</v>
      </c>
      <c r="C155" s="35">
        <f>'Payment data'!D21</f>
        <v>4062.1239999999998</v>
      </c>
      <c r="D155" s="35">
        <f>'Payment data'!E21</f>
        <v>6766.1239999999998</v>
      </c>
      <c r="E155" s="35">
        <f>'Payment data'!F21</f>
        <v>6782.7839999999997</v>
      </c>
      <c r="F155" s="35">
        <f>'Payment data'!G21</f>
        <v>4697.5169999999998</v>
      </c>
      <c r="G155" s="35">
        <f>'Payment data'!H21</f>
        <v>4045.07</v>
      </c>
      <c r="H155" s="35">
        <f>'Payment data'!I21</f>
        <v>2854.29</v>
      </c>
      <c r="I155" s="35">
        <f>'Payment data'!J21</f>
        <v>2190.2820000000002</v>
      </c>
      <c r="J155" s="35">
        <f>'Payment data'!K21</f>
        <v>1352.925</v>
      </c>
      <c r="K155" s="35">
        <f>'Payment data'!L21</f>
        <v>1435.277</v>
      </c>
      <c r="L155" s="35">
        <f>'Payment data'!M21</f>
        <v>2269.1350000000002</v>
      </c>
      <c r="M155" s="35">
        <f>'Payment data'!N21</f>
        <v>232.995</v>
      </c>
      <c r="N155" s="35">
        <f>'Payment data'!O21</f>
        <v>34.206000000000003</v>
      </c>
      <c r="O155" s="35">
        <f>'Payment data'!P21</f>
        <v>42.276000000000003</v>
      </c>
      <c r="P155" s="35">
        <f>'Payment data'!Q21</f>
        <v>110.325</v>
      </c>
      <c r="Q155" s="36">
        <f>Q123*C$173</f>
        <v>78.687570870675685</v>
      </c>
      <c r="R155" s="36">
        <f>R123*D$173</f>
        <v>45.536028826415645</v>
      </c>
      <c r="S155" s="36">
        <f>S123*E$173</f>
        <v>26.337756329952594</v>
      </c>
      <c r="T155" s="36">
        <f t="shared" si="56"/>
        <v>36.076183804156756</v>
      </c>
      <c r="U155" s="35">
        <f>SUM($B155:P155)</f>
        <v>39118.252</v>
      </c>
      <c r="V155" s="36">
        <f t="shared" si="57"/>
        <v>186.63753983119386</v>
      </c>
      <c r="W155" s="36">
        <f t="shared" si="58"/>
        <v>39304.889539831194</v>
      </c>
    </row>
    <row r="156" spans="1:23" x14ac:dyDescent="0.2">
      <c r="A156" s="3">
        <f t="shared" si="55"/>
        <v>1982</v>
      </c>
      <c r="B156" s="35">
        <f>'Payment data'!C22</f>
        <v>1152.0340000000001</v>
      </c>
      <c r="C156" s="35">
        <f>'Payment data'!D22</f>
        <v>5200.9260000000004</v>
      </c>
      <c r="D156" s="35">
        <f>'Payment data'!E22</f>
        <v>5872.53</v>
      </c>
      <c r="E156" s="35">
        <f>'Payment data'!F22</f>
        <v>8358.92</v>
      </c>
      <c r="F156" s="35">
        <f>'Payment data'!G22</f>
        <v>5747.7929999999997</v>
      </c>
      <c r="G156" s="35">
        <f>'Payment data'!H22</f>
        <v>3748.6390000000001</v>
      </c>
      <c r="H156" s="35">
        <f>'Payment data'!I22</f>
        <v>1760.5360000000001</v>
      </c>
      <c r="I156" s="35">
        <f>'Payment data'!J22</f>
        <v>1217.3910000000001</v>
      </c>
      <c r="J156" s="35">
        <f>'Payment data'!K22</f>
        <v>1728.0239999999999</v>
      </c>
      <c r="K156" s="35">
        <f>'Payment data'!L22</f>
        <v>2827.268</v>
      </c>
      <c r="L156" s="35">
        <f>'Payment data'!M22</f>
        <v>802.97500000000002</v>
      </c>
      <c r="M156" s="35">
        <f>'Payment data'!N22</f>
        <v>264.40499999999997</v>
      </c>
      <c r="N156" s="35">
        <f>'Payment data'!O22</f>
        <v>401.315</v>
      </c>
      <c r="O156" s="35">
        <f>'Payment data'!P22</f>
        <v>345.83</v>
      </c>
      <c r="P156" s="36">
        <f>P124*C$173</f>
        <v>132.63397778265383</v>
      </c>
      <c r="Q156" s="36">
        <f>Q124*D$173</f>
        <v>76.82587185444622</v>
      </c>
      <c r="R156" s="36">
        <f>R124*E$173</f>
        <v>44.458674688640826</v>
      </c>
      <c r="S156" s="36">
        <f>S124*F$173</f>
        <v>25.71462138618616</v>
      </c>
      <c r="T156" s="36">
        <f t="shared" si="56"/>
        <v>35.222643719554142</v>
      </c>
      <c r="U156" s="35">
        <f>SUM($B156:O156)</f>
        <v>39428.586000000003</v>
      </c>
      <c r="V156" s="36">
        <f t="shared" si="57"/>
        <v>314.85578943147993</v>
      </c>
      <c r="W156" s="36">
        <f t="shared" si="58"/>
        <v>39743.441789431483</v>
      </c>
    </row>
    <row r="157" spans="1:23" x14ac:dyDescent="0.2">
      <c r="A157" s="3">
        <f t="shared" si="55"/>
        <v>1983</v>
      </c>
      <c r="B157" s="35">
        <f>'Payment data'!C23</f>
        <v>1897.289</v>
      </c>
      <c r="C157" s="35">
        <f>'Payment data'!D23</f>
        <v>4308.2160000000003</v>
      </c>
      <c r="D157" s="35">
        <f>'Payment data'!E23</f>
        <v>4992.1790000000001</v>
      </c>
      <c r="E157" s="35">
        <f>'Payment data'!F23</f>
        <v>6102.6890000000003</v>
      </c>
      <c r="F157" s="35">
        <f>'Payment data'!G23</f>
        <v>5949.4549999999999</v>
      </c>
      <c r="G157" s="35">
        <f>'Payment data'!H23</f>
        <v>3082.57</v>
      </c>
      <c r="H157" s="35">
        <f>'Payment data'!I23</f>
        <v>3122.9409999999998</v>
      </c>
      <c r="I157" s="35">
        <f>'Payment data'!J23</f>
        <v>2586.5430000000001</v>
      </c>
      <c r="J157" s="35">
        <f>'Payment data'!K23</f>
        <v>1727.616</v>
      </c>
      <c r="K157" s="35">
        <f>'Payment data'!L23</f>
        <v>518.20299999999997</v>
      </c>
      <c r="L157" s="35">
        <f>'Payment data'!M23</f>
        <v>1063.2840000000001</v>
      </c>
      <c r="M157" s="35">
        <f>'Payment data'!N23</f>
        <v>649.053</v>
      </c>
      <c r="N157" s="35">
        <f>'Payment data'!O23</f>
        <v>354.161</v>
      </c>
      <c r="O157" s="36">
        <f>O125*C$173</f>
        <v>206.26108618873587</v>
      </c>
      <c r="P157" s="36">
        <f>P125*D$173</f>
        <v>119.67201753383549</v>
      </c>
      <c r="Q157" s="36">
        <f>Q125*E$173</f>
        <v>69.31788699486799</v>
      </c>
      <c r="R157" s="36">
        <f>R125*F$173</f>
        <v>40.113848546327993</v>
      </c>
      <c r="S157" s="36">
        <f>S125*G$173</f>
        <v>23.201600923455672</v>
      </c>
      <c r="T157" s="36">
        <f t="shared" si="56"/>
        <v>31.780429926499611</v>
      </c>
      <c r="U157" s="35">
        <f>SUM($B157:N157)</f>
        <v>36354.199000000001</v>
      </c>
      <c r="V157" s="36">
        <f t="shared" si="57"/>
        <v>490.34687011372444</v>
      </c>
      <c r="W157" s="36">
        <f t="shared" si="58"/>
        <v>36844.545870113725</v>
      </c>
    </row>
    <row r="158" spans="1:23" x14ac:dyDescent="0.2">
      <c r="A158" s="3">
        <f t="shared" si="55"/>
        <v>1984</v>
      </c>
      <c r="B158" s="35">
        <f>'Payment data'!C24</f>
        <v>2087.9850000000001</v>
      </c>
      <c r="C158" s="35">
        <f>'Payment data'!D24</f>
        <v>4476.085</v>
      </c>
      <c r="D158" s="35">
        <f>'Payment data'!E24</f>
        <v>6436.9560000000001</v>
      </c>
      <c r="E158" s="35">
        <f>'Payment data'!F24</f>
        <v>6746.366</v>
      </c>
      <c r="F158" s="35">
        <f>'Payment data'!G24</f>
        <v>4630.57</v>
      </c>
      <c r="G158" s="35">
        <f>'Payment data'!H24</f>
        <v>3723.1880000000001</v>
      </c>
      <c r="H158" s="35">
        <f>'Payment data'!I24</f>
        <v>9585.9590000000007</v>
      </c>
      <c r="I158" s="35">
        <f>'Payment data'!J24</f>
        <v>3592.991</v>
      </c>
      <c r="J158" s="35">
        <f>'Payment data'!K24</f>
        <v>3931.9270000000001</v>
      </c>
      <c r="K158" s="35">
        <f>'Payment data'!L24</f>
        <v>1574.4639999999999</v>
      </c>
      <c r="L158" s="35">
        <f>'Payment data'!M24</f>
        <v>885.97799999999995</v>
      </c>
      <c r="M158" s="35">
        <f>'Payment data'!N24</f>
        <v>888.22</v>
      </c>
      <c r="N158" s="36">
        <f t="shared" ref="N158:S158" si="59">N126*C$173</f>
        <v>455.15701807048646</v>
      </c>
      <c r="O158" s="36">
        <f t="shared" si="59"/>
        <v>264.8675276004987</v>
      </c>
      <c r="P158" s="36">
        <f t="shared" si="59"/>
        <v>153.67528598266813</v>
      </c>
      <c r="Q158" s="36">
        <f t="shared" si="59"/>
        <v>89.013675269902279</v>
      </c>
      <c r="R158" s="36">
        <f t="shared" si="59"/>
        <v>51.511683969729503</v>
      </c>
      <c r="S158" s="36">
        <f t="shared" si="59"/>
        <v>29.794038160675957</v>
      </c>
      <c r="T158" s="36">
        <f t="shared" si="56"/>
        <v>40.810431362759175</v>
      </c>
      <c r="U158" s="35">
        <f>SUM($B158:M158)</f>
        <v>48560.689000000013</v>
      </c>
      <c r="V158" s="36">
        <f t="shared" si="57"/>
        <v>1084.8296604167263</v>
      </c>
      <c r="W158" s="36">
        <f t="shared" si="58"/>
        <v>49645.518660416739</v>
      </c>
    </row>
    <row r="159" spans="1:23" x14ac:dyDescent="0.2">
      <c r="A159" s="3">
        <f t="shared" si="55"/>
        <v>1985</v>
      </c>
      <c r="B159" s="35">
        <f>'Payment data'!C25</f>
        <v>1490.6769999999999</v>
      </c>
      <c r="C159" s="35">
        <f>'Payment data'!D25</f>
        <v>3293.114</v>
      </c>
      <c r="D159" s="35">
        <f>'Payment data'!E25</f>
        <v>4838.0690000000004</v>
      </c>
      <c r="E159" s="35">
        <f>'Payment data'!F25</f>
        <v>5607.4059999999999</v>
      </c>
      <c r="F159" s="35">
        <f>'Payment data'!G25</f>
        <v>5109.0379999999996</v>
      </c>
      <c r="G159" s="35">
        <f>'Payment data'!H25</f>
        <v>6300.3230000000003</v>
      </c>
      <c r="H159" s="35">
        <f>'Payment data'!I25</f>
        <v>4785.8999999999996</v>
      </c>
      <c r="I159" s="35">
        <f>'Payment data'!J25</f>
        <v>3170.4340000000002</v>
      </c>
      <c r="J159" s="35">
        <f>'Payment data'!K25</f>
        <v>1163.3389999999999</v>
      </c>
      <c r="K159" s="35">
        <f>'Payment data'!L25</f>
        <v>2880.1930000000002</v>
      </c>
      <c r="L159" s="35">
        <f>'Payment data'!M25</f>
        <v>1320.7380000000001</v>
      </c>
      <c r="M159" s="36">
        <f t="shared" ref="M159:S159" si="60">M127*C$173</f>
        <v>637.8169660108008</v>
      </c>
      <c r="N159" s="36">
        <f t="shared" si="60"/>
        <v>373.13841247119217</v>
      </c>
      <c r="O159" s="36">
        <f t="shared" si="60"/>
        <v>217.13880010681052</v>
      </c>
      <c r="P159" s="36">
        <f t="shared" si="60"/>
        <v>125.98323209585507</v>
      </c>
      <c r="Q159" s="36">
        <f t="shared" si="60"/>
        <v>72.973545743053393</v>
      </c>
      <c r="R159" s="36">
        <f t="shared" si="60"/>
        <v>42.229356501328958</v>
      </c>
      <c r="S159" s="36">
        <f t="shared" si="60"/>
        <v>24.425197588974605</v>
      </c>
      <c r="T159" s="36">
        <f t="shared" si="56"/>
        <v>33.456453413633675</v>
      </c>
      <c r="U159" s="35">
        <f>SUM($B159:L159)</f>
        <v>39959.231</v>
      </c>
      <c r="V159" s="36">
        <f t="shared" si="57"/>
        <v>1527.1619639316486</v>
      </c>
      <c r="W159" s="36">
        <f t="shared" si="58"/>
        <v>41486.392963931648</v>
      </c>
    </row>
    <row r="160" spans="1:23" x14ac:dyDescent="0.2">
      <c r="A160" s="3">
        <f t="shared" si="55"/>
        <v>1986</v>
      </c>
      <c r="B160" s="35">
        <f>'Payment data'!C26</f>
        <v>1483.1759999999999</v>
      </c>
      <c r="C160" s="35">
        <f>'Payment data'!D26</f>
        <v>4130.4219999999996</v>
      </c>
      <c r="D160" s="35">
        <f>'Payment data'!E26</f>
        <v>4483.8289999999997</v>
      </c>
      <c r="E160" s="35">
        <f>'Payment data'!F26</f>
        <v>5375.2139999999999</v>
      </c>
      <c r="F160" s="35">
        <f>'Payment data'!G26</f>
        <v>6515.91</v>
      </c>
      <c r="G160" s="35">
        <f>'Payment data'!H26</f>
        <v>5437.5659999999998</v>
      </c>
      <c r="H160" s="35">
        <f>'Payment data'!I26</f>
        <v>6107.9780000000001</v>
      </c>
      <c r="I160" s="35">
        <f>'Payment data'!J26</f>
        <v>3933.61</v>
      </c>
      <c r="J160" s="35">
        <f>'Payment data'!K26</f>
        <v>2916.0369999999998</v>
      </c>
      <c r="K160" s="35">
        <f>'Payment data'!L26</f>
        <v>870.79399999999998</v>
      </c>
      <c r="L160" s="36">
        <f t="shared" ref="L160:S160" si="61">L128*C$173</f>
        <v>1134.406744653551</v>
      </c>
      <c r="M160" s="36">
        <f t="shared" si="61"/>
        <v>669.95583801310397</v>
      </c>
      <c r="N160" s="36">
        <f t="shared" si="61"/>
        <v>391.94043298275096</v>
      </c>
      <c r="O160" s="36">
        <f t="shared" si="61"/>
        <v>228.08017745369219</v>
      </c>
      <c r="P160" s="36">
        <f t="shared" si="61"/>
        <v>132.33138397410897</v>
      </c>
      <c r="Q160" s="36">
        <f t="shared" si="61"/>
        <v>76.650599774493898</v>
      </c>
      <c r="R160" s="36">
        <f t="shared" si="61"/>
        <v>44.357245779388343</v>
      </c>
      <c r="S160" s="36">
        <f t="shared" si="61"/>
        <v>25.655955534869861</v>
      </c>
      <c r="T160" s="36">
        <f t="shared" si="56"/>
        <v>35.142286076002435</v>
      </c>
      <c r="U160" s="35">
        <f>SUM($B160:K160)</f>
        <v>41254.536</v>
      </c>
      <c r="V160" s="36">
        <f t="shared" si="57"/>
        <v>2738.5206642419653</v>
      </c>
      <c r="W160" s="36">
        <f t="shared" si="58"/>
        <v>43993.056664241965</v>
      </c>
    </row>
    <row r="161" spans="1:23" x14ac:dyDescent="0.2">
      <c r="A161" s="3">
        <f t="shared" si="55"/>
        <v>1987</v>
      </c>
      <c r="B161" s="35">
        <f>'Payment data'!C27</f>
        <v>1392.2090000000001</v>
      </c>
      <c r="C161" s="35">
        <f>'Payment data'!D27</f>
        <v>2687.2370000000001</v>
      </c>
      <c r="D161" s="35">
        <f>'Payment data'!E27</f>
        <v>4038.5369999999998</v>
      </c>
      <c r="E161" s="35">
        <f>'Payment data'!F27</f>
        <v>5537.5529999999999</v>
      </c>
      <c r="F161" s="35">
        <f>'Payment data'!G27</f>
        <v>5572.3850000000002</v>
      </c>
      <c r="G161" s="35">
        <f>'Payment data'!H27</f>
        <v>6608.8739999999998</v>
      </c>
      <c r="H161" s="35">
        <f>'Payment data'!I27</f>
        <v>5239.3360000000002</v>
      </c>
      <c r="I161" s="35">
        <f>'Payment data'!J27</f>
        <v>5397.8980000000001</v>
      </c>
      <c r="J161" s="35">
        <f>'Payment data'!K27</f>
        <v>3731.585</v>
      </c>
      <c r="K161" s="36">
        <f t="shared" ref="K161:S161" si="62">K129*C$173</f>
        <v>1676.0136463909562</v>
      </c>
      <c r="L161" s="36">
        <f t="shared" si="62"/>
        <v>1124.4993196645589</v>
      </c>
      <c r="M161" s="36">
        <f t="shared" si="62"/>
        <v>664.10472927954299</v>
      </c>
      <c r="N161" s="36">
        <f t="shared" si="62"/>
        <v>388.51739229806481</v>
      </c>
      <c r="O161" s="36">
        <f t="shared" si="62"/>
        <v>226.0882223985501</v>
      </c>
      <c r="P161" s="36">
        <f t="shared" si="62"/>
        <v>131.17565807016265</v>
      </c>
      <c r="Q161" s="36">
        <f t="shared" si="62"/>
        <v>75.981166106890186</v>
      </c>
      <c r="R161" s="36">
        <f t="shared" si="62"/>
        <v>43.969848501164172</v>
      </c>
      <c r="S161" s="36">
        <f t="shared" si="62"/>
        <v>25.43188735457689</v>
      </c>
      <c r="T161" s="36">
        <f t="shared" si="56"/>
        <v>34.835368328125817</v>
      </c>
      <c r="U161" s="35">
        <f>SUM($B161:J161)</f>
        <v>40205.614000000001</v>
      </c>
      <c r="V161" s="36">
        <f t="shared" si="57"/>
        <v>4390.617238392595</v>
      </c>
      <c r="W161" s="36">
        <f>SUM(B161:T161)</f>
        <v>44596.231238392596</v>
      </c>
    </row>
    <row r="162" spans="1:23" x14ac:dyDescent="0.2">
      <c r="A162" s="3">
        <f t="shared" si="55"/>
        <v>1988</v>
      </c>
      <c r="B162" s="35">
        <f>'Payment data'!C28</f>
        <v>1350.347</v>
      </c>
      <c r="C162" s="35">
        <f>'Payment data'!D28</f>
        <v>4026.788</v>
      </c>
      <c r="D162" s="35">
        <f>'Payment data'!E28</f>
        <v>2935.7040000000002</v>
      </c>
      <c r="E162" s="35">
        <f>'Payment data'!F28</f>
        <v>6457.8620000000001</v>
      </c>
      <c r="F162" s="35">
        <f>'Payment data'!G28</f>
        <v>4513.424</v>
      </c>
      <c r="G162" s="35">
        <f>'Payment data'!H28</f>
        <v>5159.6180000000004</v>
      </c>
      <c r="H162" s="35">
        <f>'Payment data'!I28</f>
        <v>6440.6620000000003</v>
      </c>
      <c r="I162" s="35">
        <f>'Payment data'!J28</f>
        <v>2479.6930000000002</v>
      </c>
      <c r="J162" s="36">
        <f t="shared" ref="J162:S162" si="63">J130*C$173</f>
        <v>2237.0728500153291</v>
      </c>
      <c r="K162" s="36">
        <f t="shared" si="63"/>
        <v>1496.8183723566258</v>
      </c>
      <c r="L162" s="36">
        <f t="shared" si="63"/>
        <v>1004.270606627161</v>
      </c>
      <c r="M162" s="36">
        <f t="shared" si="63"/>
        <v>593.1002782078009</v>
      </c>
      <c r="N162" s="36">
        <f t="shared" si="63"/>
        <v>346.97806430400698</v>
      </c>
      <c r="O162" s="36">
        <f t="shared" si="63"/>
        <v>201.91542341455178</v>
      </c>
      <c r="P162" s="36">
        <f t="shared" si="63"/>
        <v>117.15067799608219</v>
      </c>
      <c r="Q162" s="36">
        <f t="shared" si="63"/>
        <v>67.857445926393908</v>
      </c>
      <c r="R162" s="36">
        <f t="shared" si="63"/>
        <v>39.268699994175087</v>
      </c>
      <c r="S162" s="36">
        <f t="shared" si="63"/>
        <v>22.712772248607745</v>
      </c>
      <c r="T162" s="36">
        <f t="shared" si="56"/>
        <v>31.110856068285248</v>
      </c>
      <c r="U162" s="35">
        <f>SUM($B162:I162)</f>
        <v>33364.098000000005</v>
      </c>
      <c r="V162" s="36">
        <f>W162-U162</f>
        <v>6158.2560471590186</v>
      </c>
      <c r="W162" s="36">
        <f>SUM(B162:T162)</f>
        <v>39522.354047159024</v>
      </c>
    </row>
    <row r="163" spans="1:23" x14ac:dyDescent="0.2">
      <c r="A163" s="3">
        <f t="shared" si="55"/>
        <v>1989</v>
      </c>
      <c r="B163" s="35">
        <f>'Payment data'!C29</f>
        <v>1777.107</v>
      </c>
      <c r="C163" s="35">
        <f>'Payment data'!D29</f>
        <v>2828.223</v>
      </c>
      <c r="D163" s="35">
        <f>'Payment data'!E29</f>
        <v>4554.9350000000004</v>
      </c>
      <c r="E163" s="35">
        <f>'Payment data'!F29</f>
        <v>5309.7640000000001</v>
      </c>
      <c r="F163" s="35">
        <f>'Payment data'!G29</f>
        <v>9081.3330000000005</v>
      </c>
      <c r="G163" s="35">
        <f>'Payment data'!H29</f>
        <v>8696.3220000000001</v>
      </c>
      <c r="H163" s="35">
        <f>'Payment data'!I29</f>
        <v>5071.5150000000003</v>
      </c>
      <c r="I163" s="36">
        <f t="shared" ref="I163:S163" si="64">I131*C$173</f>
        <v>4645.5030018604266</v>
      </c>
      <c r="J163" s="36">
        <f t="shared" si="64"/>
        <v>2784.1686950648191</v>
      </c>
      <c r="K163" s="36">
        <f t="shared" si="64"/>
        <v>1862.8784728600328</v>
      </c>
      <c r="L163" s="36">
        <f t="shared" si="64"/>
        <v>1249.873818068075</v>
      </c>
      <c r="M163" s="36">
        <f t="shared" si="64"/>
        <v>738.1481687594902</v>
      </c>
      <c r="N163" s="36">
        <f t="shared" si="64"/>
        <v>431.83460230308668</v>
      </c>
      <c r="O163" s="36">
        <f t="shared" si="64"/>
        <v>251.29561646493178</v>
      </c>
      <c r="P163" s="36">
        <f t="shared" si="64"/>
        <v>145.80090687707221</v>
      </c>
      <c r="Q163" s="36">
        <f t="shared" si="64"/>
        <v>84.452581271115662</v>
      </c>
      <c r="R163" s="36">
        <f t="shared" si="64"/>
        <v>48.872206025355432</v>
      </c>
      <c r="S163" s="36">
        <f t="shared" si="64"/>
        <v>28.267380506752321</v>
      </c>
      <c r="T163" s="36">
        <f t="shared" si="56"/>
        <v>38.719289602656524</v>
      </c>
      <c r="U163" s="35">
        <f>SUM($B163:H163)</f>
        <v>37319.199000000001</v>
      </c>
      <c r="V163" s="36">
        <f t="shared" si="57"/>
        <v>12309.814739663809</v>
      </c>
      <c r="W163" s="36">
        <f t="shared" si="58"/>
        <v>49629.013739663809</v>
      </c>
    </row>
    <row r="164" spans="1:23" x14ac:dyDescent="0.2">
      <c r="A164" s="3">
        <f t="shared" si="55"/>
        <v>1990</v>
      </c>
      <c r="B164" s="35">
        <f>'Payment data'!C30</f>
        <v>1861.1130000000001</v>
      </c>
      <c r="C164" s="35">
        <f>'Payment data'!D30</f>
        <v>3848.4540000000002</v>
      </c>
      <c r="D164" s="35">
        <f>'Payment data'!E30</f>
        <v>3599.9319999999998</v>
      </c>
      <c r="E164" s="35">
        <f>'Payment data'!F30</f>
        <v>6262.9750000000004</v>
      </c>
      <c r="F164" s="35">
        <f>'Payment data'!G30</f>
        <v>10477.962</v>
      </c>
      <c r="G164" s="35">
        <f>'Payment data'!H30</f>
        <v>9694.2170000000006</v>
      </c>
      <c r="H164" s="36">
        <f t="shared" ref="H164:S164" si="65">H132*C$173</f>
        <v>7320.8287708827966</v>
      </c>
      <c r="I164" s="36">
        <f t="shared" si="65"/>
        <v>5321.1582955702406</v>
      </c>
      <c r="J164" s="36">
        <f t="shared" si="65"/>
        <v>3189.1061833515237</v>
      </c>
      <c r="K164" s="36">
        <f t="shared" si="65"/>
        <v>2133.8208662288166</v>
      </c>
      <c r="L164" s="36">
        <f t="shared" si="65"/>
        <v>1431.6590545233742</v>
      </c>
      <c r="M164" s="36">
        <f t="shared" si="65"/>
        <v>845.50655762821305</v>
      </c>
      <c r="N164" s="36">
        <f t="shared" si="65"/>
        <v>494.64186664804276</v>
      </c>
      <c r="O164" s="36">
        <f t="shared" si="65"/>
        <v>287.84477238681984</v>
      </c>
      <c r="P164" s="36">
        <f t="shared" si="65"/>
        <v>167.00660936390807</v>
      </c>
      <c r="Q164" s="36">
        <f t="shared" si="65"/>
        <v>96.735607152359691</v>
      </c>
      <c r="R164" s="36">
        <f t="shared" si="65"/>
        <v>55.980319980526353</v>
      </c>
      <c r="S164" s="36">
        <f t="shared" si="65"/>
        <v>32.37866948258187</v>
      </c>
      <c r="T164" s="36">
        <f t="shared" si="56"/>
        <v>44.350734244558453</v>
      </c>
      <c r="U164" s="35">
        <f>SUM($B164:G164)</f>
        <v>35744.653000000006</v>
      </c>
      <c r="V164" s="36">
        <f t="shared" si="57"/>
        <v>21421.018307443781</v>
      </c>
      <c r="W164" s="36">
        <f t="shared" si="58"/>
        <v>57165.671307443787</v>
      </c>
    </row>
    <row r="165" spans="1:23" x14ac:dyDescent="0.2">
      <c r="A165" s="3">
        <f t="shared" si="55"/>
        <v>1991</v>
      </c>
      <c r="B165" s="35">
        <f>'Payment data'!C31</f>
        <v>2236.165</v>
      </c>
      <c r="C165" s="35">
        <f>'Payment data'!D31</f>
        <v>3459.346</v>
      </c>
      <c r="D165" s="35">
        <f>'Payment data'!E31</f>
        <v>7362.3280000000004</v>
      </c>
      <c r="E165" s="35">
        <f>'Payment data'!F31</f>
        <v>7419.7809999999999</v>
      </c>
      <c r="F165" s="35">
        <f>'Payment data'!G31</f>
        <v>8971.018</v>
      </c>
      <c r="G165" s="36">
        <f t="shared" ref="G165:S165" si="66">G133*C$173</f>
        <v>10223.791502330743</v>
      </c>
      <c r="H165" s="36">
        <f t="shared" si="66"/>
        <v>8148.4399541654402</v>
      </c>
      <c r="I165" s="36">
        <f t="shared" si="66"/>
        <v>5922.7090559085555</v>
      </c>
      <c r="J165" s="36">
        <f t="shared" si="66"/>
        <v>3549.6309305652576</v>
      </c>
      <c r="K165" s="36">
        <f t="shared" si="66"/>
        <v>2375.0468349383541</v>
      </c>
      <c r="L165" s="36">
        <f t="shared" si="66"/>
        <v>1593.5064465678322</v>
      </c>
      <c r="M165" s="36">
        <f t="shared" si="66"/>
        <v>941.09009120504788</v>
      </c>
      <c r="N165" s="36">
        <f t="shared" si="66"/>
        <v>550.56055473236779</v>
      </c>
      <c r="O165" s="36">
        <f t="shared" si="66"/>
        <v>320.38528933270061</v>
      </c>
      <c r="P165" s="36">
        <f t="shared" si="66"/>
        <v>185.88651243464361</v>
      </c>
      <c r="Q165" s="36">
        <f t="shared" si="66"/>
        <v>107.67145510162339</v>
      </c>
      <c r="R165" s="36">
        <f t="shared" si="66"/>
        <v>62.308830086363592</v>
      </c>
      <c r="S165" s="36">
        <f t="shared" si="66"/>
        <v>36.039040432674192</v>
      </c>
      <c r="T165" s="36">
        <f t="shared" si="56"/>
        <v>49.364533200422819</v>
      </c>
      <c r="U165" s="35">
        <f>SUM($B165:F165)</f>
        <v>29448.637999999999</v>
      </c>
      <c r="V165" s="36">
        <f t="shared" si="57"/>
        <v>34066.431031002016</v>
      </c>
      <c r="W165" s="36">
        <f t="shared" si="58"/>
        <v>63515.069031002015</v>
      </c>
    </row>
    <row r="166" spans="1:23" x14ac:dyDescent="0.2">
      <c r="A166" s="3">
        <f t="shared" si="55"/>
        <v>1992</v>
      </c>
      <c r="B166" s="35">
        <f>'Payment data'!C32</f>
        <v>2271.1799999999998</v>
      </c>
      <c r="C166" s="35">
        <f>'Payment data'!D32</f>
        <v>4834.9660000000003</v>
      </c>
      <c r="D166" s="35">
        <f>'Payment data'!E32</f>
        <v>6174.7250000000004</v>
      </c>
      <c r="E166" s="35">
        <f>'Payment data'!F32</f>
        <v>14984.56</v>
      </c>
      <c r="F166" s="36">
        <f t="shared" ref="F166:S166" si="67">F134*C$173</f>
        <v>16234.193280304253</v>
      </c>
      <c r="G166" s="36">
        <f t="shared" si="67"/>
        <v>15250.167567954335</v>
      </c>
      <c r="H166" s="36">
        <f t="shared" si="67"/>
        <v>12154.500088358423</v>
      </c>
      <c r="I166" s="36">
        <f t="shared" si="67"/>
        <v>8834.521472611721</v>
      </c>
      <c r="J166" s="36">
        <f t="shared" si="67"/>
        <v>5294.754542204143</v>
      </c>
      <c r="K166" s="36">
        <f t="shared" si="67"/>
        <v>3542.7035269931202</v>
      </c>
      <c r="L166" s="36">
        <f t="shared" si="67"/>
        <v>2376.9303516444766</v>
      </c>
      <c r="M166" s="36">
        <f t="shared" si="67"/>
        <v>1403.7631327034171</v>
      </c>
      <c r="N166" s="36">
        <f t="shared" si="67"/>
        <v>821.23551855105643</v>
      </c>
      <c r="O166" s="36">
        <f t="shared" si="67"/>
        <v>477.89798408128195</v>
      </c>
      <c r="P166" s="36">
        <f t="shared" si="67"/>
        <v>277.27487034576302</v>
      </c>
      <c r="Q166" s="36">
        <f t="shared" si="67"/>
        <v>160.60653547276456</v>
      </c>
      <c r="R166" s="36">
        <f t="shared" si="67"/>
        <v>92.942045968338448</v>
      </c>
      <c r="S166" s="36">
        <f t="shared" si="67"/>
        <v>53.757102290422687</v>
      </c>
      <c r="T166" s="36">
        <f t="shared" si="56"/>
        <v>73.63387673241624</v>
      </c>
      <c r="U166" s="35">
        <f>SUM($B166:E166)</f>
        <v>28265.431</v>
      </c>
      <c r="V166" s="36">
        <f t="shared" si="57"/>
        <v>67048.881896215928</v>
      </c>
      <c r="W166" s="36">
        <f t="shared" si="58"/>
        <v>95314.312896215924</v>
      </c>
    </row>
    <row r="167" spans="1:23" x14ac:dyDescent="0.2">
      <c r="A167" s="3">
        <f t="shared" si="55"/>
        <v>1993</v>
      </c>
      <c r="B167" s="35">
        <f>'Payment data'!C33</f>
        <v>2822.819</v>
      </c>
      <c r="C167" s="35">
        <f>'Payment data'!D33</f>
        <v>4669.2190000000001</v>
      </c>
      <c r="D167" s="35">
        <f>'Payment data'!E33</f>
        <v>7673.3689999999997</v>
      </c>
      <c r="E167" s="36">
        <f t="shared" ref="E167:S167" si="68">E135*C$173</f>
        <v>12381.689934555376</v>
      </c>
      <c r="F167" s="36">
        <f t="shared" si="68"/>
        <v>15775.726458238996</v>
      </c>
      <c r="G167" s="36">
        <f t="shared" si="68"/>
        <v>14819.490432347906</v>
      </c>
      <c r="H167" s="36">
        <f t="shared" si="68"/>
        <v>11811.247120188949</v>
      </c>
      <c r="I167" s="36">
        <f t="shared" si="68"/>
        <v>8585.0274008040669</v>
      </c>
      <c r="J167" s="36">
        <f t="shared" si="68"/>
        <v>5145.2263675257745</v>
      </c>
      <c r="K167" s="36">
        <f t="shared" si="68"/>
        <v>3442.6546979878485</v>
      </c>
      <c r="L167" s="36">
        <f t="shared" si="68"/>
        <v>2309.8039052745867</v>
      </c>
      <c r="M167" s="36">
        <f t="shared" si="68"/>
        <v>1364.1197201068853</v>
      </c>
      <c r="N167" s="36">
        <f t="shared" si="68"/>
        <v>798.04315956800201</v>
      </c>
      <c r="O167" s="36">
        <f t="shared" si="68"/>
        <v>464.40175631991093</v>
      </c>
      <c r="P167" s="36">
        <f t="shared" si="68"/>
        <v>269.44440248997898</v>
      </c>
      <c r="Q167" s="36">
        <f t="shared" si="68"/>
        <v>156.0708762841785</v>
      </c>
      <c r="R167" s="36">
        <f t="shared" si="68"/>
        <v>90.317286997218147</v>
      </c>
      <c r="S167" s="36">
        <f t="shared" si="68"/>
        <v>52.238957999227445</v>
      </c>
      <c r="T167" s="36">
        <f t="shared" si="56"/>
        <v>71.554396164509825</v>
      </c>
      <c r="U167" s="35">
        <f>SUM($B167:D167)</f>
        <v>15165.406999999999</v>
      </c>
      <c r="V167" s="36">
        <f t="shared" si="57"/>
        <v>77537.056872853456</v>
      </c>
      <c r="W167" s="36">
        <f t="shared" si="58"/>
        <v>92702.463872853448</v>
      </c>
    </row>
    <row r="168" spans="1:23" x14ac:dyDescent="0.2">
      <c r="A168" s="3">
        <f t="shared" si="55"/>
        <v>1994</v>
      </c>
      <c r="B168" s="35">
        <f>'Payment data'!C34</f>
        <v>2464.971</v>
      </c>
      <c r="C168" s="35">
        <f>'Payment data'!D34</f>
        <v>5497.4750000000004</v>
      </c>
      <c r="D168" s="36">
        <f>D136*C$173</f>
        <v>8508.5647930415525</v>
      </c>
      <c r="E168" s="36">
        <f t="shared" ref="E168:S168" si="69">E136*D$173</f>
        <v>13304.858040153184</v>
      </c>
      <c r="F168" s="36">
        <f t="shared" si="69"/>
        <v>16951.950995104264</v>
      </c>
      <c r="G168" s="36">
        <f t="shared" si="69"/>
        <v>15924.41883716721</v>
      </c>
      <c r="H168" s="36">
        <f t="shared" si="69"/>
        <v>12691.883502324612</v>
      </c>
      <c r="I168" s="36">
        <f t="shared" si="69"/>
        <v>9225.1196276322498</v>
      </c>
      <c r="J168" s="36">
        <f t="shared" si="69"/>
        <v>5528.8500007847797</v>
      </c>
      <c r="K168" s="36">
        <f t="shared" si="69"/>
        <v>3699.3360583326166</v>
      </c>
      <c r="L168" s="36">
        <f t="shared" si="69"/>
        <v>2482.020889127788</v>
      </c>
      <c r="M168" s="36">
        <f t="shared" si="69"/>
        <v>1465.8273080432568</v>
      </c>
      <c r="N168" s="36">
        <f t="shared" si="69"/>
        <v>857.54456815580886</v>
      </c>
      <c r="O168" s="36">
        <f t="shared" si="69"/>
        <v>499.02715009766962</v>
      </c>
      <c r="P168" s="36">
        <f t="shared" si="69"/>
        <v>289.53394438009599</v>
      </c>
      <c r="Q168" s="36">
        <f t="shared" si="69"/>
        <v>167.70738599810821</v>
      </c>
      <c r="R168" s="36">
        <f t="shared" si="69"/>
        <v>97.051265895144354</v>
      </c>
      <c r="S168" s="36">
        <f t="shared" si="69"/>
        <v>56.133849581016555</v>
      </c>
      <c r="T168" s="36">
        <f t="shared" si="56"/>
        <v>76.889430130257651</v>
      </c>
      <c r="U168" s="35">
        <f>SUM($B168:C168)</f>
        <v>7962.4459999999999</v>
      </c>
      <c r="V168" s="36">
        <f t="shared" si="57"/>
        <v>91826.717645949597</v>
      </c>
      <c r="W168" s="36">
        <f t="shared" si="58"/>
        <v>99789.163645949593</v>
      </c>
    </row>
    <row r="169" spans="1:23" x14ac:dyDescent="0.2">
      <c r="A169" s="5">
        <f t="shared" si="55"/>
        <v>1995</v>
      </c>
      <c r="B169" s="38">
        <f>'Payment data'!C35</f>
        <v>2725.355</v>
      </c>
      <c r="C169" s="37">
        <f t="shared" ref="C169:S169" si="70">C137*C$173</f>
        <v>5525.7908849568357</v>
      </c>
      <c r="D169" s="37">
        <f t="shared" si="70"/>
        <v>8737.3904393871308</v>
      </c>
      <c r="E169" s="37">
        <f t="shared" si="70"/>
        <v>13662.673114096569</v>
      </c>
      <c r="F169" s="37">
        <f t="shared" si="70"/>
        <v>17407.849403076154</v>
      </c>
      <c r="G169" s="37">
        <f t="shared" si="70"/>
        <v>16352.683241532155</v>
      </c>
      <c r="H169" s="37">
        <f t="shared" si="70"/>
        <v>13033.213505257341</v>
      </c>
      <c r="I169" s="37">
        <f t="shared" si="70"/>
        <v>9473.2159885055371</v>
      </c>
      <c r="J169" s="37">
        <f t="shared" si="70"/>
        <v>5677.5404915725976</v>
      </c>
      <c r="K169" s="37">
        <f t="shared" si="70"/>
        <v>3798.8243956947108</v>
      </c>
      <c r="L169" s="37">
        <f t="shared" si="70"/>
        <v>2548.7712809990899</v>
      </c>
      <c r="M169" s="37">
        <f t="shared" si="70"/>
        <v>1505.2486310692445</v>
      </c>
      <c r="N169" s="37">
        <f t="shared" si="70"/>
        <v>880.60699934736374</v>
      </c>
      <c r="O169" s="37">
        <f t="shared" si="70"/>
        <v>512.44776954908912</v>
      </c>
      <c r="P169" s="37">
        <f t="shared" si="70"/>
        <v>297.32054453807808</v>
      </c>
      <c r="Q169" s="37">
        <f t="shared" si="70"/>
        <v>172.21763560321529</v>
      </c>
      <c r="R169" s="37">
        <f t="shared" si="70"/>
        <v>99.661320491562606</v>
      </c>
      <c r="S169" s="37">
        <f t="shared" si="70"/>
        <v>57.64348895319192</v>
      </c>
      <c r="T169" s="37">
        <f t="shared" si="56"/>
        <v>78.957261071751077</v>
      </c>
      <c r="U169" s="38">
        <f>SUM(B169:$B169)</f>
        <v>2725.355</v>
      </c>
      <c r="V169" s="37">
        <f t="shared" si="57"/>
        <v>99822.056395701627</v>
      </c>
      <c r="W169" s="37">
        <f t="shared" si="58"/>
        <v>102547.41139570162</v>
      </c>
    </row>
    <row r="170" spans="1:23" x14ac:dyDescent="0.2">
      <c r="A170" s="3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6"/>
      <c r="W170" s="36"/>
    </row>
    <row r="171" spans="1:23" x14ac:dyDescent="0.2">
      <c r="A171" s="25" t="s">
        <v>40</v>
      </c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7">
        <f>SUM(V152:V169)</f>
        <v>421071.27999417193</v>
      </c>
      <c r="W171" s="37"/>
    </row>
    <row r="173" spans="1:23" x14ac:dyDescent="0.2">
      <c r="A173" s="1" t="s">
        <v>90</v>
      </c>
      <c r="C173" s="61">
        <f>(1+G145)^0.5</f>
        <v>1.0178408519999578</v>
      </c>
      <c r="D173" s="61">
        <f>C173*(1+$G$145)</f>
        <v>1.0544831226719562</v>
      </c>
      <c r="E173" s="61">
        <f t="shared" ref="E173:S173" si="71">D173*(1+$G$145)</f>
        <v>1.0924445150881468</v>
      </c>
      <c r="F173" s="61">
        <f t="shared" si="71"/>
        <v>1.13177251763132</v>
      </c>
      <c r="G173" s="61">
        <f t="shared" si="71"/>
        <v>1.1725163282660476</v>
      </c>
      <c r="H173" s="61">
        <f t="shared" si="71"/>
        <v>1.2147269160836254</v>
      </c>
      <c r="I173" s="61">
        <f t="shared" si="71"/>
        <v>1.258457085062636</v>
      </c>
      <c r="J173" s="61">
        <f t="shared" si="71"/>
        <v>1.303761540124891</v>
      </c>
      <c r="K173" s="61">
        <f t="shared" si="71"/>
        <v>1.3506969555693871</v>
      </c>
      <c r="L173" s="61">
        <f t="shared" si="71"/>
        <v>1.399322045969885</v>
      </c>
      <c r="M173" s="61">
        <f t="shared" si="71"/>
        <v>1.4496976396248009</v>
      </c>
      <c r="N173" s="61">
        <f t="shared" si="71"/>
        <v>1.5018867546512937</v>
      </c>
      <c r="O173" s="61">
        <f t="shared" si="71"/>
        <v>1.5559546778187403</v>
      </c>
      <c r="P173" s="61">
        <f t="shared" si="71"/>
        <v>1.611969046220215</v>
      </c>
      <c r="Q173" s="61">
        <f t="shared" si="71"/>
        <v>1.6699999318841428</v>
      </c>
      <c r="R173" s="61">
        <f t="shared" si="71"/>
        <v>1.730119929431972</v>
      </c>
      <c r="S173" s="61">
        <f t="shared" si="71"/>
        <v>1.7924042468915231</v>
      </c>
    </row>
    <row r="174" spans="1:23" x14ac:dyDescent="0.2">
      <c r="A174" s="1" t="s">
        <v>91</v>
      </c>
    </row>
  </sheetData>
  <conditionalFormatting sqref="B35:B51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5:C50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4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E4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5:F4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5:G4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5:H4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5:I4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5:J4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5:K4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5:L4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5:M4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N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5:O3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4325-4F23-0341-AFD9-D2C9DD50AD47}">
  <dimension ref="A1:K41"/>
  <sheetViews>
    <sheetView workbookViewId="0">
      <selection activeCell="F40" sqref="F40"/>
    </sheetView>
  </sheetViews>
  <sheetFormatPr baseColWidth="10" defaultColWidth="10.83203125" defaultRowHeight="16" x14ac:dyDescent="0.2"/>
  <cols>
    <col min="1" max="3" width="10.83203125" style="1"/>
    <col min="4" max="4" width="11.6640625" style="1" bestFit="1" customWidth="1"/>
    <col min="5" max="5" width="11.33203125" style="1" customWidth="1"/>
    <col min="6" max="16384" width="10.83203125" style="1"/>
  </cols>
  <sheetData>
    <row r="1" spans="1:11" ht="15.75" x14ac:dyDescent="0.25">
      <c r="A1" s="21" t="s">
        <v>57</v>
      </c>
      <c r="B1" s="3"/>
      <c r="C1" s="3"/>
      <c r="D1" s="3"/>
      <c r="E1" s="3"/>
      <c r="F1" s="3"/>
      <c r="G1" s="3"/>
      <c r="H1" s="3"/>
      <c r="I1" s="3"/>
      <c r="J1" s="3"/>
      <c r="K1" s="6"/>
    </row>
    <row r="2" spans="1:11" ht="15.75" x14ac:dyDescent="0.25">
      <c r="A2" s="21" t="s">
        <v>58</v>
      </c>
      <c r="B2" s="3"/>
      <c r="C2" s="3"/>
      <c r="D2" s="3"/>
      <c r="E2" s="3"/>
      <c r="F2" s="3"/>
      <c r="G2" s="3"/>
      <c r="H2" s="3"/>
      <c r="I2" s="3"/>
      <c r="J2" s="3"/>
      <c r="K2" s="6"/>
    </row>
    <row r="3" spans="1:11" ht="15.75" x14ac:dyDescent="0.25">
      <c r="A3" s="21" t="s">
        <v>59</v>
      </c>
      <c r="B3" s="3"/>
      <c r="C3" s="3"/>
      <c r="D3" s="3"/>
      <c r="E3" s="3"/>
      <c r="F3" s="3"/>
      <c r="G3" s="3"/>
      <c r="H3" s="3"/>
      <c r="I3" s="3"/>
      <c r="J3" s="3"/>
      <c r="K3" s="6"/>
    </row>
    <row r="4" spans="1:11" ht="15.75" x14ac:dyDescent="0.25">
      <c r="A4" s="21" t="s">
        <v>60</v>
      </c>
      <c r="B4" s="3"/>
      <c r="C4" s="3"/>
      <c r="D4" s="3"/>
      <c r="E4" s="3"/>
      <c r="F4" s="3"/>
      <c r="G4" s="3"/>
      <c r="H4" s="3"/>
      <c r="I4" s="3"/>
      <c r="J4" s="3"/>
      <c r="K4" s="6"/>
    </row>
    <row r="7" spans="1:11" x14ac:dyDescent="0.2">
      <c r="A7" s="2" t="s">
        <v>61</v>
      </c>
      <c r="B7" s="3"/>
      <c r="C7" s="2" t="s">
        <v>62</v>
      </c>
      <c r="D7" s="3"/>
      <c r="E7" s="2" t="s">
        <v>44</v>
      </c>
      <c r="F7" s="3"/>
      <c r="G7" s="2" t="s">
        <v>63</v>
      </c>
      <c r="H7" s="3"/>
      <c r="I7" s="3"/>
      <c r="J7" s="29" t="s">
        <v>64</v>
      </c>
      <c r="K7" s="5"/>
    </row>
    <row r="8" spans="1:11" x14ac:dyDescent="0.2">
      <c r="A8" s="2" t="s">
        <v>65</v>
      </c>
      <c r="C8" s="2" t="s">
        <v>66</v>
      </c>
      <c r="E8" s="2" t="s">
        <v>67</v>
      </c>
      <c r="G8" s="2" t="s">
        <v>68</v>
      </c>
      <c r="J8" s="2" t="s">
        <v>69</v>
      </c>
      <c r="K8" s="2" t="s">
        <v>70</v>
      </c>
    </row>
    <row r="9" spans="1:11" x14ac:dyDescent="0.2">
      <c r="A9" s="2" t="s">
        <v>71</v>
      </c>
      <c r="C9" s="2" t="s">
        <v>72</v>
      </c>
      <c r="E9" s="2" t="s">
        <v>73</v>
      </c>
      <c r="G9" s="2" t="s">
        <v>74</v>
      </c>
      <c r="J9" s="2" t="s">
        <v>66</v>
      </c>
    </row>
    <row r="10" spans="1:11" x14ac:dyDescent="0.2">
      <c r="A10" s="28" t="s">
        <v>75</v>
      </c>
      <c r="B10" s="5"/>
      <c r="C10" s="5"/>
      <c r="D10" s="5"/>
      <c r="E10" s="5"/>
      <c r="F10" s="5"/>
      <c r="G10" s="5"/>
      <c r="J10" s="3"/>
    </row>
    <row r="11" spans="1:11" x14ac:dyDescent="0.2">
      <c r="G11" s="2" t="s">
        <v>76</v>
      </c>
    </row>
    <row r="13" spans="1:11" x14ac:dyDescent="0.2">
      <c r="A13" s="3">
        <v>0</v>
      </c>
      <c r="B13" s="3"/>
      <c r="C13" s="43">
        <f>J13/J$32</f>
        <v>2.6611220922430481E-2</v>
      </c>
      <c r="D13" s="3"/>
      <c r="E13" s="43">
        <f>C13</f>
        <v>2.6611220922430481E-2</v>
      </c>
      <c r="F13" s="3"/>
      <c r="G13" s="3"/>
      <c r="H13" s="3"/>
      <c r="I13" s="3"/>
      <c r="J13" s="4" cm="1">
        <f t="array" ref="J13:J30">TRANSPOSE('Tables 3.2 and 3.3'!B57:S57)</f>
        <v>2725.355</v>
      </c>
      <c r="K13" s="4" cm="1">
        <f t="array" ref="K13:K30">TRANSPOSE('Table 3.4 - 3.5 and 3.7 - 3.9'!B137:S137)</f>
        <v>2827.4879511605</v>
      </c>
    </row>
    <row r="14" spans="1:11" x14ac:dyDescent="0.2">
      <c r="A14" s="3">
        <f t="shared" ref="A14:A30" si="0">A13+1</f>
        <v>1</v>
      </c>
      <c r="B14" s="3"/>
      <c r="C14" s="43">
        <f>J14/J$32</f>
        <v>5.281308015023059E-2</v>
      </c>
      <c r="D14" s="3"/>
      <c r="E14" s="43">
        <f>$E$13*K14/$K$13</f>
        <v>5.109502376472231E-2</v>
      </c>
      <c r="F14" s="3"/>
      <c r="G14" s="45">
        <f t="shared" ref="G14:G30" si="1">(C14/E14)^(1/A14)-1</f>
        <v>3.3624730138485326E-2</v>
      </c>
      <c r="H14" s="3"/>
      <c r="I14" s="3"/>
      <c r="J14" s="4">
        <v>5408.7857326196572</v>
      </c>
      <c r="K14" s="4">
        <v>5428.9340755965895</v>
      </c>
    </row>
    <row r="15" spans="1:11" x14ac:dyDescent="0.2">
      <c r="A15" s="3">
        <f t="shared" si="0"/>
        <v>2</v>
      </c>
      <c r="B15" s="3"/>
      <c r="C15" s="43">
        <f t="shared" ref="C15:C30" si="2">J15/J$32</f>
        <v>8.3012134695342285E-2</v>
      </c>
      <c r="D15" s="3"/>
      <c r="E15" s="43">
        <f t="shared" ref="E15:E30" si="3">$E$13*K15/$K$13</f>
        <v>7.798411490873508E-2</v>
      </c>
      <c r="F15" s="3"/>
      <c r="G15" s="45">
        <f t="shared" si="1"/>
        <v>3.1733939917377052E-2</v>
      </c>
      <c r="H15" s="3"/>
      <c r="I15" s="3"/>
      <c r="J15" s="4">
        <v>8501.5842381711227</v>
      </c>
      <c r="K15" s="4">
        <v>8285.9462152864471</v>
      </c>
    </row>
    <row r="16" spans="1:11" x14ac:dyDescent="0.2">
      <c r="A16" s="3">
        <f t="shared" si="0"/>
        <v>3</v>
      </c>
      <c r="B16" s="3"/>
      <c r="C16" s="43">
        <f>J16/J$32</f>
        <v>0.13062694493501917</v>
      </c>
      <c r="D16" s="3"/>
      <c r="E16" s="43">
        <f t="shared" si="3"/>
        <v>0.11770646763315085</v>
      </c>
      <c r="F16" s="3"/>
      <c r="G16" s="45">
        <f>(C16/E16)^(1/A16)-1</f>
        <v>3.5326859406311639E-2</v>
      </c>
      <c r="H16" s="3"/>
      <c r="I16" s="3"/>
      <c r="J16" s="4">
        <v>13377.995641428999</v>
      </c>
      <c r="K16" s="4">
        <v>12506.51445029605</v>
      </c>
    </row>
    <row r="17" spans="1:11" x14ac:dyDescent="0.2">
      <c r="A17" s="3">
        <f t="shared" si="0"/>
        <v>4</v>
      </c>
      <c r="B17" s="3"/>
      <c r="C17" s="43">
        <f t="shared" si="2"/>
        <v>0.16550216990357275</v>
      </c>
      <c r="D17" s="3"/>
      <c r="E17" s="43">
        <f t="shared" si="3"/>
        <v>0.14476047999967245</v>
      </c>
      <c r="F17" s="3"/>
      <c r="G17" s="45">
        <f t="shared" si="1"/>
        <v>3.4042572482732014E-2</v>
      </c>
      <c r="H17" s="3"/>
      <c r="I17" s="3"/>
      <c r="J17" s="4">
        <v>16949.69830855681</v>
      </c>
      <c r="K17" s="4">
        <v>15381.049753274569</v>
      </c>
    </row>
    <row r="18" spans="1:11" x14ac:dyDescent="0.2">
      <c r="A18" s="3">
        <f t="shared" si="0"/>
        <v>5</v>
      </c>
      <c r="B18" s="3"/>
      <c r="C18" s="43">
        <f t="shared" si="2"/>
        <v>0.15677064690817549</v>
      </c>
      <c r="D18" s="3"/>
      <c r="E18" s="43">
        <f t="shared" si="3"/>
        <v>0.13126053272376065</v>
      </c>
      <c r="F18" s="3"/>
      <c r="G18" s="45">
        <f t="shared" si="1"/>
        <v>3.6158317617409841E-2</v>
      </c>
      <c r="H18" s="3"/>
      <c r="I18" s="3"/>
      <c r="J18" s="4">
        <v>16055.470271350787</v>
      </c>
      <c r="K18" s="4">
        <v>13946.657157188587</v>
      </c>
    </row>
    <row r="19" spans="1:11" x14ac:dyDescent="0.2">
      <c r="A19" s="3">
        <f t="shared" si="0"/>
        <v>6</v>
      </c>
      <c r="B19" s="3"/>
      <c r="C19" s="43">
        <f t="shared" si="2"/>
        <v>0.12490045298733365</v>
      </c>
      <c r="D19" s="3"/>
      <c r="E19" s="43">
        <f t="shared" si="3"/>
        <v>0.10098035485529831</v>
      </c>
      <c r="F19" s="3"/>
      <c r="G19" s="45">
        <f t="shared" si="1"/>
        <v>3.6067029531505312E-2</v>
      </c>
      <c r="H19" s="3"/>
      <c r="I19" s="3"/>
      <c r="J19" s="4">
        <v>12791.52411095782</v>
      </c>
      <c r="K19" s="4">
        <v>10729.336225855142</v>
      </c>
    </row>
    <row r="20" spans="1:11" x14ac:dyDescent="0.2">
      <c r="A20" s="3">
        <f t="shared" si="0"/>
        <v>7</v>
      </c>
      <c r="B20" s="3"/>
      <c r="C20" s="43">
        <f t="shared" si="2"/>
        <v>9.1555763660127729E-2</v>
      </c>
      <c r="D20" s="3"/>
      <c r="E20" s="43">
        <f t="shared" si="3"/>
        <v>7.0847261298091838E-2</v>
      </c>
      <c r="F20" s="3"/>
      <c r="G20" s="45">
        <f t="shared" si="1"/>
        <v>3.7310911106388511E-2</v>
      </c>
      <c r="H20" s="3"/>
      <c r="I20" s="3"/>
      <c r="J20" s="4">
        <v>9376.5693425823411</v>
      </c>
      <c r="K20" s="4">
        <v>7527.6432553391642</v>
      </c>
    </row>
    <row r="21" spans="1:11" x14ac:dyDescent="0.2">
      <c r="A21" s="3">
        <f t="shared" si="0"/>
        <v>8</v>
      </c>
      <c r="B21" s="3"/>
      <c r="C21" s="43">
        <f t="shared" si="2"/>
        <v>5.8822680671685883E-2</v>
      </c>
      <c r="D21" s="3"/>
      <c r="E21" s="43">
        <f t="shared" si="3"/>
        <v>4.0985110674320042E-2</v>
      </c>
      <c r="F21" s="3"/>
      <c r="G21" s="46">
        <f t="shared" si="1"/>
        <v>4.6200293477783649E-2</v>
      </c>
      <c r="H21" s="3"/>
      <c r="I21" s="3"/>
      <c r="J21" s="4">
        <v>6024.2514745670924</v>
      </c>
      <c r="K21" s="4">
        <v>4354.7384370831569</v>
      </c>
    </row>
    <row r="22" spans="1:11" x14ac:dyDescent="0.2">
      <c r="A22" s="3">
        <f t="shared" si="0"/>
        <v>9</v>
      </c>
      <c r="B22" s="3"/>
      <c r="C22" s="43">
        <f t="shared" si="2"/>
        <v>4.002026399143805E-2</v>
      </c>
      <c r="D22" s="3"/>
      <c r="E22" s="43">
        <f t="shared" si="3"/>
        <v>2.6470084936837588E-2</v>
      </c>
      <c r="F22" s="3"/>
      <c r="G22" s="46">
        <f t="shared" si="1"/>
        <v>4.7001199815664974E-2</v>
      </c>
      <c r="H22" s="3"/>
      <c r="I22" s="3"/>
      <c r="J22" s="4">
        <v>4098.6254215210211</v>
      </c>
      <c r="K22" s="4">
        <v>2812.4920101661992</v>
      </c>
    </row>
    <row r="23" spans="1:11" x14ac:dyDescent="0.2">
      <c r="A23" s="3">
        <f t="shared" si="0"/>
        <v>10</v>
      </c>
      <c r="B23" s="3"/>
      <c r="C23" s="43">
        <f t="shared" si="2"/>
        <v>2.7957593664320522E-2</v>
      </c>
      <c r="D23" s="3"/>
      <c r="E23" s="43">
        <f t="shared" si="3"/>
        <v>1.7142621097743012E-2</v>
      </c>
      <c r="F23" s="3"/>
      <c r="G23" s="46">
        <f t="shared" si="1"/>
        <v>5.0128043139775924E-2</v>
      </c>
      <c r="H23" s="3"/>
      <c r="I23" s="3"/>
      <c r="J23" s="4">
        <v>2863.2420851010393</v>
      </c>
      <c r="K23" s="4">
        <v>1821.4329491482495</v>
      </c>
    </row>
    <row r="24" spans="1:11" x14ac:dyDescent="0.2">
      <c r="A24" s="3">
        <f t="shared" si="0"/>
        <v>11</v>
      </c>
      <c r="B24" s="3"/>
      <c r="C24" s="43">
        <f t="shared" si="2"/>
        <v>1.705720146132966E-2</v>
      </c>
      <c r="D24" s="3"/>
      <c r="E24" s="43">
        <f t="shared" si="3"/>
        <v>9.7722562503227608E-3</v>
      </c>
      <c r="F24" s="3"/>
      <c r="G24" s="47">
        <f t="shared" si="1"/>
        <v>5.1942701436457517E-2</v>
      </c>
      <c r="H24" s="3"/>
      <c r="I24" s="3"/>
      <c r="J24" s="4">
        <v>1746.8920131153573</v>
      </c>
      <c r="K24" s="4">
        <v>1038.3190190327005</v>
      </c>
    </row>
    <row r="25" spans="1:11" x14ac:dyDescent="0.2">
      <c r="A25" s="3">
        <f t="shared" si="0"/>
        <v>12</v>
      </c>
      <c r="B25" s="3"/>
      <c r="C25" s="43">
        <f t="shared" si="2"/>
        <v>1.0283026910823183E-2</v>
      </c>
      <c r="D25" s="3"/>
      <c r="E25" s="43">
        <f t="shared" si="3"/>
        <v>5.5183467129122869E-3</v>
      </c>
      <c r="F25" s="3"/>
      <c r="G25" s="47">
        <f t="shared" si="1"/>
        <v>5.3236737370217613E-2</v>
      </c>
      <c r="H25" s="3"/>
      <c r="I25" s="3"/>
      <c r="J25" s="4">
        <v>1053.1233755954599</v>
      </c>
      <c r="K25" s="4">
        <v>586.33382085576886</v>
      </c>
    </row>
    <row r="26" spans="1:11" x14ac:dyDescent="0.2">
      <c r="A26" s="3">
        <f t="shared" si="0"/>
        <v>13</v>
      </c>
      <c r="B26" s="3"/>
      <c r="C26" s="43">
        <f t="shared" si="2"/>
        <v>6.1549941638814245E-3</v>
      </c>
      <c r="D26" s="3"/>
      <c r="E26" s="43">
        <f t="shared" si="3"/>
        <v>3.0996788648130296E-3</v>
      </c>
      <c r="F26" s="3"/>
      <c r="G26" s="47">
        <f t="shared" si="1"/>
        <v>5.4183529195039215E-2</v>
      </c>
      <c r="H26" s="3"/>
      <c r="I26" s="3"/>
      <c r="J26" s="4">
        <v>630.3560504946945</v>
      </c>
      <c r="K26" s="4">
        <v>329.34620580817864</v>
      </c>
    </row>
    <row r="27" spans="1:11" x14ac:dyDescent="0.2">
      <c r="A27" s="3">
        <f t="shared" si="0"/>
        <v>14</v>
      </c>
      <c r="B27" s="3"/>
      <c r="C27" s="43">
        <f t="shared" si="2"/>
        <v>3.6684596261823731E-3</v>
      </c>
      <c r="D27" s="3"/>
      <c r="E27" s="43">
        <f t="shared" si="3"/>
        <v>1.7359302014494239E-3</v>
      </c>
      <c r="F27" s="3"/>
      <c r="G27" s="47">
        <f t="shared" si="1"/>
        <v>5.4898853535505054E-2</v>
      </c>
      <c r="H27" s="3"/>
      <c r="I27" s="3"/>
      <c r="J27" s="4">
        <v>375.70071713947982</v>
      </c>
      <c r="K27" s="4">
        <v>184.44556688929151</v>
      </c>
    </row>
    <row r="28" spans="1:11" x14ac:dyDescent="0.2">
      <c r="A28" s="3">
        <f t="shared" si="0"/>
        <v>15</v>
      </c>
      <c r="B28" s="3"/>
      <c r="C28" s="43">
        <f t="shared" si="2"/>
        <v>2.1809212651617768E-3</v>
      </c>
      <c r="D28" s="3"/>
      <c r="E28" s="43">
        <f t="shared" si="3"/>
        <v>9.7056629743454549E-4</v>
      </c>
      <c r="F28" s="3"/>
      <c r="G28" s="47">
        <f t="shared" si="1"/>
        <v>5.5458071284183896E-2</v>
      </c>
      <c r="H28" s="3"/>
      <c r="I28" s="3"/>
      <c r="J28" s="4">
        <v>223.35633122360741</v>
      </c>
      <c r="K28" s="4">
        <v>103.12433690276521</v>
      </c>
    </row>
    <row r="29" spans="1:11" x14ac:dyDescent="0.2">
      <c r="A29" s="3">
        <f t="shared" si="0"/>
        <v>16</v>
      </c>
      <c r="B29" s="3"/>
      <c r="C29" s="43">
        <f t="shared" si="2"/>
        <v>1.294623401816024E-3</v>
      </c>
      <c r="D29" s="3"/>
      <c r="E29" s="43">
        <f t="shared" si="3"/>
        <v>5.4214376296240032E-4</v>
      </c>
      <c r="F29" s="3"/>
      <c r="G29" s="47">
        <f t="shared" si="1"/>
        <v>5.5909778310189395E-2</v>
      </c>
      <c r="H29" s="3"/>
      <c r="I29" s="3"/>
      <c r="J29" s="4">
        <v>132.58724098157836</v>
      </c>
      <c r="K29" s="4">
        <v>57.60370642298949</v>
      </c>
    </row>
    <row r="30" spans="1:11" x14ac:dyDescent="0.2">
      <c r="A30" s="5">
        <f t="shared" si="0"/>
        <v>17</v>
      </c>
      <c r="B30" s="5"/>
      <c r="C30" s="44">
        <f t="shared" si="2"/>
        <v>7.6782068112894709E-4</v>
      </c>
      <c r="D30" s="5"/>
      <c r="E30" s="44">
        <f t="shared" si="3"/>
        <v>3.0267624151275211E-4</v>
      </c>
      <c r="F30" s="5"/>
      <c r="G30" s="48">
        <f t="shared" si="1"/>
        <v>5.6285366244583024E-2</v>
      </c>
      <c r="H30" s="3"/>
      <c r="I30" s="3"/>
      <c r="J30" s="4">
        <v>78.635397395628388</v>
      </c>
      <c r="K30" s="4">
        <v>32.159870773102739</v>
      </c>
    </row>
    <row r="31" spans="1:11" x14ac:dyDescent="0.2">
      <c r="A31" s="2" t="s">
        <v>6</v>
      </c>
    </row>
    <row r="32" spans="1:11" x14ac:dyDescent="0.2">
      <c r="A32" s="28" t="s">
        <v>77</v>
      </c>
      <c r="B32" s="5"/>
      <c r="C32" s="5"/>
      <c r="D32" s="5"/>
      <c r="E32" s="5"/>
      <c r="F32" s="5"/>
      <c r="G32" s="44">
        <f>SUMPRODUCT(E14:E30,G14:G30)/SUM(E13:E30)</f>
        <v>3.5605136404259094E-2</v>
      </c>
      <c r="J32" s="4">
        <f>SUM(J13:J30)</f>
        <v>102413.75275280249</v>
      </c>
      <c r="K32" s="4">
        <f>SUM(K13:K30)</f>
        <v>87953.565007079451</v>
      </c>
    </row>
    <row r="34" spans="1:9" x14ac:dyDescent="0.2">
      <c r="A34" s="59" t="s">
        <v>85</v>
      </c>
      <c r="B34" s="58"/>
      <c r="C34" s="58"/>
      <c r="D34" s="58"/>
      <c r="E34" s="58"/>
      <c r="F34" s="58"/>
      <c r="G34" s="58"/>
      <c r="H34" s="58"/>
      <c r="I34" s="58"/>
    </row>
    <row r="35" spans="1:9" x14ac:dyDescent="0.2">
      <c r="A35" s="59" t="s">
        <v>150</v>
      </c>
      <c r="B35" s="58"/>
      <c r="C35" s="58"/>
      <c r="D35" s="58"/>
      <c r="E35" s="58"/>
    </row>
    <row r="37" spans="1:9" ht="15.75" x14ac:dyDescent="0.25">
      <c r="A37" s="21" t="s">
        <v>82</v>
      </c>
    </row>
    <row r="38" spans="1:9" ht="15.75" x14ac:dyDescent="0.25">
      <c r="A38" s="26" t="s">
        <v>83</v>
      </c>
      <c r="B38" s="26" t="s">
        <v>78</v>
      </c>
      <c r="C38" s="26" t="s">
        <v>84</v>
      </c>
    </row>
    <row r="39" spans="1:9" ht="15.75" x14ac:dyDescent="0.25">
      <c r="A39" s="55" t="s">
        <v>8</v>
      </c>
      <c r="B39" s="49" t="s">
        <v>79</v>
      </c>
      <c r="C39" s="50">
        <f>('Table 3.4 - 3.5 and 3.7 - 3.9'!B8/'Table 3.4 - 3.5 and 3.7 - 3.9'!B25)^(1/17)-1</f>
        <v>6.8221492424166197E-2</v>
      </c>
    </row>
    <row r="40" spans="1:9" ht="15.75" x14ac:dyDescent="0.25">
      <c r="A40" s="56" t="s">
        <v>9</v>
      </c>
      <c r="B40" s="51" t="s">
        <v>80</v>
      </c>
      <c r="C40" s="52">
        <f>('Table 3.4 - 3.5 and 3.7 - 3.9'!B19/'Table 3.4 - 3.5 and 3.7 - 3.9'!B25)^(1/6)-1</f>
        <v>3.9864988526305822E-2</v>
      </c>
    </row>
    <row r="41" spans="1:9" ht="15.75" x14ac:dyDescent="0.25">
      <c r="A41" s="57" t="s">
        <v>12</v>
      </c>
      <c r="B41" s="53" t="s">
        <v>81</v>
      </c>
      <c r="C41" s="54">
        <f>('Table 3.4 - 3.5 and 3.7 - 3.9'!B22/'Table 3.4 - 3.5 and 3.7 - 3.9'!B25)^(1/3)-1</f>
        <v>3.2642373688429149E-2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F421-4085-D148-B5A0-530C7EB0692A}">
  <dimension ref="A1:V156"/>
  <sheetViews>
    <sheetView workbookViewId="0">
      <selection activeCell="A87" sqref="A87"/>
    </sheetView>
  </sheetViews>
  <sheetFormatPr baseColWidth="10" defaultColWidth="10.83203125" defaultRowHeight="16" x14ac:dyDescent="0.2"/>
  <cols>
    <col min="1" max="16384" width="10.83203125" style="1"/>
  </cols>
  <sheetData>
    <row r="1" spans="1:19" ht="15.75" x14ac:dyDescent="0.25">
      <c r="A1" s="21" t="s">
        <v>92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75" x14ac:dyDescent="0.25">
      <c r="A2" s="21" t="s">
        <v>93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.75" x14ac:dyDescent="0.25">
      <c r="A4" s="20" t="s">
        <v>0</v>
      </c>
      <c r="B4" s="21" t="s">
        <v>94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19" ht="15.75" x14ac:dyDescent="0.25">
      <c r="A5" s="20" t="s">
        <v>1</v>
      </c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19" ht="15.75" x14ac:dyDescent="0.25">
      <c r="A6" s="24"/>
      <c r="B6" s="24">
        <v>0</v>
      </c>
      <c r="C6" s="24">
        <f t="shared" ref="C6:S6" si="0">B6+1</f>
        <v>1</v>
      </c>
      <c r="D6" s="24">
        <f t="shared" si="0"/>
        <v>2</v>
      </c>
      <c r="E6" s="24">
        <f t="shared" si="0"/>
        <v>3</v>
      </c>
      <c r="F6" s="24">
        <f t="shared" si="0"/>
        <v>4</v>
      </c>
      <c r="G6" s="24">
        <f t="shared" si="0"/>
        <v>5</v>
      </c>
      <c r="H6" s="24">
        <f t="shared" si="0"/>
        <v>6</v>
      </c>
      <c r="I6" s="24">
        <f t="shared" si="0"/>
        <v>7</v>
      </c>
      <c r="J6" s="24">
        <f t="shared" si="0"/>
        <v>8</v>
      </c>
      <c r="K6" s="24">
        <f t="shared" si="0"/>
        <v>9</v>
      </c>
      <c r="L6" s="24">
        <f t="shared" si="0"/>
        <v>10</v>
      </c>
      <c r="M6" s="24">
        <f t="shared" si="0"/>
        <v>11</v>
      </c>
      <c r="N6" s="24">
        <f t="shared" si="0"/>
        <v>12</v>
      </c>
      <c r="O6" s="24">
        <f t="shared" si="0"/>
        <v>13</v>
      </c>
      <c r="P6" s="24">
        <f t="shared" si="0"/>
        <v>14</v>
      </c>
      <c r="Q6" s="24">
        <f t="shared" si="0"/>
        <v>15</v>
      </c>
      <c r="R6" s="24">
        <f t="shared" si="0"/>
        <v>16</v>
      </c>
      <c r="S6" s="24">
        <f t="shared" si="0"/>
        <v>17</v>
      </c>
    </row>
    <row r="7" spans="1:19" x14ac:dyDescent="0.2"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</row>
    <row r="9" spans="1:19" x14ac:dyDescent="0.2">
      <c r="A9" s="1">
        <v>1978</v>
      </c>
      <c r="B9" s="62">
        <v>9268</v>
      </c>
      <c r="C9" s="62">
        <v>18263</v>
      </c>
      <c r="D9" s="62">
        <v>20182</v>
      </c>
      <c r="E9" s="62">
        <v>22383</v>
      </c>
      <c r="F9" s="62">
        <v>22782</v>
      </c>
      <c r="G9" s="62">
        <v>26348</v>
      </c>
      <c r="H9" s="62">
        <v>26172</v>
      </c>
      <c r="I9" s="62">
        <v>26184</v>
      </c>
      <c r="J9" s="62">
        <v>25455</v>
      </c>
      <c r="K9" s="62">
        <v>25740</v>
      </c>
      <c r="L9" s="62">
        <v>25711</v>
      </c>
      <c r="M9" s="62">
        <v>25452</v>
      </c>
      <c r="N9" s="62">
        <v>25460</v>
      </c>
      <c r="O9" s="62">
        <v>25422</v>
      </c>
      <c r="P9" s="62">
        <v>25386</v>
      </c>
      <c r="Q9" s="62">
        <v>25520</v>
      </c>
      <c r="R9" s="62">
        <v>25646</v>
      </c>
      <c r="S9" s="62">
        <v>25469</v>
      </c>
    </row>
    <row r="10" spans="1:19" x14ac:dyDescent="0.2">
      <c r="A10" s="1">
        <v>1979</v>
      </c>
      <c r="B10" s="62">
        <v>9848</v>
      </c>
      <c r="C10" s="62">
        <v>16123</v>
      </c>
      <c r="D10" s="62">
        <v>17099</v>
      </c>
      <c r="E10" s="62">
        <v>18544</v>
      </c>
      <c r="F10" s="62">
        <v>20534</v>
      </c>
      <c r="G10" s="62">
        <v>21554</v>
      </c>
      <c r="H10" s="62">
        <v>23219</v>
      </c>
      <c r="I10" s="62">
        <v>22381</v>
      </c>
      <c r="J10" s="62">
        <v>21584</v>
      </c>
      <c r="K10" s="62">
        <v>21408</v>
      </c>
      <c r="L10" s="62">
        <v>20857</v>
      </c>
      <c r="M10" s="62">
        <v>21163</v>
      </c>
      <c r="N10" s="62">
        <v>20482</v>
      </c>
      <c r="O10" s="62">
        <v>19971</v>
      </c>
      <c r="P10" s="62">
        <v>19958</v>
      </c>
      <c r="Q10" s="62">
        <v>19947</v>
      </c>
      <c r="R10" s="62">
        <v>19991</v>
      </c>
    </row>
    <row r="11" spans="1:19" x14ac:dyDescent="0.2">
      <c r="A11" s="1">
        <v>1980</v>
      </c>
      <c r="B11" s="62">
        <v>13990</v>
      </c>
      <c r="C11" s="62">
        <v>22484</v>
      </c>
      <c r="D11" s="62">
        <v>24950</v>
      </c>
      <c r="E11" s="62">
        <v>33255</v>
      </c>
      <c r="F11" s="62">
        <v>33295</v>
      </c>
      <c r="G11" s="62">
        <v>34308</v>
      </c>
      <c r="H11" s="62">
        <v>34022</v>
      </c>
      <c r="I11" s="62">
        <v>34023</v>
      </c>
      <c r="J11" s="62">
        <v>33842</v>
      </c>
      <c r="K11" s="62">
        <v>33933</v>
      </c>
      <c r="L11" s="62">
        <v>33570</v>
      </c>
      <c r="M11" s="62">
        <v>31881</v>
      </c>
      <c r="N11" s="62">
        <v>32203</v>
      </c>
      <c r="O11" s="62">
        <v>32345</v>
      </c>
      <c r="P11" s="62">
        <v>32250</v>
      </c>
      <c r="Q11" s="62">
        <v>32168</v>
      </c>
    </row>
    <row r="12" spans="1:19" x14ac:dyDescent="0.2">
      <c r="A12" s="1">
        <v>1981</v>
      </c>
      <c r="B12" s="62">
        <v>16550</v>
      </c>
      <c r="C12" s="62">
        <v>28056</v>
      </c>
      <c r="D12" s="62">
        <v>39995</v>
      </c>
      <c r="E12" s="62">
        <v>42459</v>
      </c>
      <c r="F12" s="62">
        <v>42797</v>
      </c>
      <c r="G12" s="62">
        <v>42755</v>
      </c>
      <c r="H12" s="62">
        <v>42435</v>
      </c>
      <c r="I12" s="62">
        <v>42302</v>
      </c>
      <c r="J12" s="62">
        <v>42095</v>
      </c>
      <c r="K12" s="62">
        <v>41606</v>
      </c>
      <c r="L12" s="62">
        <v>40440</v>
      </c>
      <c r="M12" s="62">
        <v>40432</v>
      </c>
      <c r="N12" s="62">
        <v>40326</v>
      </c>
      <c r="O12" s="62">
        <v>40337</v>
      </c>
      <c r="P12" s="62">
        <v>40096</v>
      </c>
    </row>
    <row r="13" spans="1:19" x14ac:dyDescent="0.2">
      <c r="A13" s="1">
        <v>1982</v>
      </c>
      <c r="B13" s="62">
        <v>11100</v>
      </c>
      <c r="C13" s="62">
        <v>31620</v>
      </c>
      <c r="D13" s="62">
        <v>40852</v>
      </c>
      <c r="E13" s="62">
        <v>38831</v>
      </c>
      <c r="F13" s="62">
        <v>39516</v>
      </c>
      <c r="G13" s="62">
        <v>39870</v>
      </c>
      <c r="H13" s="62">
        <v>40358</v>
      </c>
      <c r="I13" s="62">
        <v>40355</v>
      </c>
      <c r="J13" s="62">
        <v>40116</v>
      </c>
      <c r="K13" s="62">
        <v>39888</v>
      </c>
      <c r="L13" s="62">
        <v>39898</v>
      </c>
      <c r="M13" s="62">
        <v>40147</v>
      </c>
      <c r="N13" s="62">
        <v>39827</v>
      </c>
      <c r="O13" s="62">
        <v>40200</v>
      </c>
    </row>
    <row r="14" spans="1:19" x14ac:dyDescent="0.2">
      <c r="A14" s="1">
        <v>1983</v>
      </c>
      <c r="B14" s="62">
        <v>15677</v>
      </c>
      <c r="C14" s="62">
        <v>33074</v>
      </c>
      <c r="D14" s="62">
        <v>35592</v>
      </c>
      <c r="E14" s="62">
        <v>35721</v>
      </c>
      <c r="F14" s="62">
        <v>38652</v>
      </c>
      <c r="G14" s="62">
        <v>39418</v>
      </c>
      <c r="H14" s="62">
        <v>39223</v>
      </c>
      <c r="I14" s="62">
        <v>39696</v>
      </c>
      <c r="J14" s="62">
        <v>37769</v>
      </c>
      <c r="K14" s="62">
        <v>37894</v>
      </c>
      <c r="L14" s="62">
        <v>37369</v>
      </c>
      <c r="M14" s="62">
        <v>37345</v>
      </c>
      <c r="N14" s="62">
        <v>37075</v>
      </c>
    </row>
    <row r="15" spans="1:19" x14ac:dyDescent="0.2">
      <c r="A15" s="1">
        <v>1984</v>
      </c>
      <c r="B15" s="62">
        <v>20375</v>
      </c>
      <c r="C15" s="62">
        <v>33555</v>
      </c>
      <c r="D15" s="62">
        <v>41756</v>
      </c>
      <c r="E15" s="62">
        <v>45125</v>
      </c>
      <c r="F15" s="62">
        <v>47284</v>
      </c>
      <c r="G15" s="62">
        <v>51710</v>
      </c>
      <c r="H15" s="62">
        <v>52147</v>
      </c>
      <c r="I15" s="62">
        <v>51187</v>
      </c>
      <c r="J15" s="62">
        <v>51950</v>
      </c>
      <c r="K15" s="62">
        <v>50967</v>
      </c>
      <c r="L15" s="62">
        <v>51461</v>
      </c>
      <c r="M15" s="62">
        <v>51382</v>
      </c>
    </row>
    <row r="16" spans="1:19" x14ac:dyDescent="0.2">
      <c r="A16" s="1">
        <v>1985</v>
      </c>
      <c r="B16" s="62">
        <v>9800</v>
      </c>
      <c r="C16" s="62">
        <v>24663</v>
      </c>
      <c r="D16" s="62">
        <v>36061</v>
      </c>
      <c r="E16" s="62">
        <v>37927</v>
      </c>
      <c r="F16" s="62">
        <v>40042</v>
      </c>
      <c r="G16" s="62">
        <v>40562</v>
      </c>
      <c r="H16" s="62">
        <v>40362</v>
      </c>
      <c r="I16" s="62">
        <v>40884</v>
      </c>
      <c r="J16" s="62">
        <v>40597</v>
      </c>
      <c r="K16" s="62">
        <v>41304</v>
      </c>
      <c r="L16" s="62">
        <v>42378</v>
      </c>
    </row>
    <row r="17" spans="1:19" x14ac:dyDescent="0.2">
      <c r="A17" s="1">
        <v>1986</v>
      </c>
      <c r="B17" s="62">
        <v>11380</v>
      </c>
      <c r="C17" s="62">
        <v>26843</v>
      </c>
      <c r="D17" s="62">
        <v>34931</v>
      </c>
      <c r="E17" s="62">
        <v>37805</v>
      </c>
      <c r="F17" s="62">
        <v>41277</v>
      </c>
      <c r="G17" s="62">
        <v>44901</v>
      </c>
      <c r="H17" s="62">
        <v>45867</v>
      </c>
      <c r="I17" s="62">
        <v>45404</v>
      </c>
      <c r="J17" s="62">
        <v>45347</v>
      </c>
      <c r="K17" s="62">
        <v>44383</v>
      </c>
    </row>
    <row r="18" spans="1:19" x14ac:dyDescent="0.2">
      <c r="A18" s="1">
        <v>1987</v>
      </c>
      <c r="B18" s="62">
        <v>10226</v>
      </c>
      <c r="C18" s="62">
        <v>20511</v>
      </c>
      <c r="D18" s="62">
        <v>26882</v>
      </c>
      <c r="E18" s="62">
        <v>32326</v>
      </c>
      <c r="F18" s="62">
        <v>35257</v>
      </c>
      <c r="G18" s="62">
        <v>40557</v>
      </c>
      <c r="H18" s="62">
        <v>43753</v>
      </c>
      <c r="I18" s="62">
        <v>44609</v>
      </c>
      <c r="J18" s="62">
        <v>44196</v>
      </c>
    </row>
    <row r="19" spans="1:19" x14ac:dyDescent="0.2">
      <c r="A19" s="1">
        <v>1988</v>
      </c>
      <c r="B19" s="62">
        <v>8170</v>
      </c>
      <c r="C19" s="62">
        <v>18567</v>
      </c>
      <c r="D19" s="62">
        <v>26472</v>
      </c>
      <c r="E19" s="62">
        <v>33002</v>
      </c>
      <c r="F19" s="62">
        <v>36321</v>
      </c>
      <c r="G19" s="62">
        <v>37047</v>
      </c>
      <c r="H19" s="62">
        <v>39675</v>
      </c>
      <c r="I19" s="62">
        <v>40398</v>
      </c>
    </row>
    <row r="20" spans="1:19" x14ac:dyDescent="0.2">
      <c r="A20" s="1">
        <v>1989</v>
      </c>
      <c r="B20" s="62">
        <v>10433</v>
      </c>
      <c r="C20" s="62">
        <v>19484</v>
      </c>
      <c r="D20" s="62">
        <v>32103</v>
      </c>
      <c r="E20" s="62">
        <v>38936</v>
      </c>
      <c r="F20" s="62">
        <v>45851</v>
      </c>
      <c r="G20" s="62">
        <v>45133</v>
      </c>
      <c r="H20" s="62">
        <v>45501</v>
      </c>
    </row>
    <row r="21" spans="1:19" x14ac:dyDescent="0.2">
      <c r="A21" s="1">
        <v>1990</v>
      </c>
      <c r="B21" s="62">
        <v>9661</v>
      </c>
      <c r="C21" s="62">
        <v>23808</v>
      </c>
      <c r="D21" s="62">
        <v>32966</v>
      </c>
      <c r="E21" s="62">
        <v>42907</v>
      </c>
      <c r="F21" s="62">
        <v>46930</v>
      </c>
      <c r="G21" s="62">
        <v>49300</v>
      </c>
    </row>
    <row r="22" spans="1:19" x14ac:dyDescent="0.2">
      <c r="A22" s="1">
        <v>1991</v>
      </c>
      <c r="B22" s="62">
        <v>14275</v>
      </c>
      <c r="C22" s="62">
        <v>25551</v>
      </c>
      <c r="D22" s="62">
        <v>33754</v>
      </c>
      <c r="E22" s="62">
        <v>38674</v>
      </c>
      <c r="F22" s="62">
        <v>41132</v>
      </c>
    </row>
    <row r="23" spans="1:19" x14ac:dyDescent="0.2">
      <c r="A23" s="1">
        <v>1992</v>
      </c>
      <c r="B23" s="62">
        <v>13245</v>
      </c>
      <c r="C23" s="62">
        <v>29206</v>
      </c>
      <c r="D23" s="62">
        <v>36987</v>
      </c>
      <c r="E23" s="62">
        <v>44075</v>
      </c>
    </row>
    <row r="24" spans="1:19" x14ac:dyDescent="0.2">
      <c r="A24" s="1">
        <v>1993</v>
      </c>
      <c r="B24" s="62">
        <v>14711</v>
      </c>
      <c r="C24" s="62">
        <v>27082</v>
      </c>
      <c r="D24" s="62">
        <v>34230</v>
      </c>
    </row>
    <row r="25" spans="1:19" x14ac:dyDescent="0.2">
      <c r="A25" s="1">
        <v>1994</v>
      </c>
      <c r="B25" s="62">
        <v>12476</v>
      </c>
      <c r="C25" s="62">
        <v>23126</v>
      </c>
    </row>
    <row r="26" spans="1:19" x14ac:dyDescent="0.2">
      <c r="A26" s="1">
        <v>1995</v>
      </c>
      <c r="B26" s="62">
        <v>9715</v>
      </c>
    </row>
    <row r="29" spans="1:19" ht="15.75" x14ac:dyDescent="0.25">
      <c r="A29" s="2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x14ac:dyDescent="0.25">
      <c r="A30" s="21" t="s">
        <v>95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5.75" x14ac:dyDescent="0.25">
      <c r="A32" s="20" t="s">
        <v>0</v>
      </c>
      <c r="B32" s="21" t="s">
        <v>141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spans="1:19" ht="15.75" x14ac:dyDescent="0.25">
      <c r="A33" s="20" t="s">
        <v>1</v>
      </c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spans="1:19" ht="15.75" x14ac:dyDescent="0.25">
      <c r="A34" s="24"/>
      <c r="B34" s="24">
        <v>0</v>
      </c>
      <c r="C34" s="24">
        <f t="shared" ref="C34:S34" si="1">B34+1</f>
        <v>1</v>
      </c>
      <c r="D34" s="24">
        <f t="shared" si="1"/>
        <v>2</v>
      </c>
      <c r="E34" s="24">
        <f t="shared" si="1"/>
        <v>3</v>
      </c>
      <c r="F34" s="24">
        <f t="shared" si="1"/>
        <v>4</v>
      </c>
      <c r="G34" s="24">
        <f t="shared" si="1"/>
        <v>5</v>
      </c>
      <c r="H34" s="24">
        <f t="shared" si="1"/>
        <v>6</v>
      </c>
      <c r="I34" s="24">
        <f t="shared" si="1"/>
        <v>7</v>
      </c>
      <c r="J34" s="24">
        <f t="shared" si="1"/>
        <v>8</v>
      </c>
      <c r="K34" s="24">
        <f t="shared" si="1"/>
        <v>9</v>
      </c>
      <c r="L34" s="24">
        <f t="shared" si="1"/>
        <v>10</v>
      </c>
      <c r="M34" s="24">
        <f t="shared" si="1"/>
        <v>11</v>
      </c>
      <c r="N34" s="24">
        <f t="shared" si="1"/>
        <v>12</v>
      </c>
      <c r="O34" s="24">
        <f t="shared" si="1"/>
        <v>13</v>
      </c>
      <c r="P34" s="24">
        <f t="shared" si="1"/>
        <v>14</v>
      </c>
      <c r="Q34" s="24">
        <f t="shared" si="1"/>
        <v>15</v>
      </c>
      <c r="R34" s="24">
        <f t="shared" si="1"/>
        <v>16</v>
      </c>
      <c r="S34" s="24">
        <f t="shared" si="1"/>
        <v>17</v>
      </c>
    </row>
    <row r="35" spans="1:19" x14ac:dyDescent="0.2">
      <c r="B35" s="2" t="s">
        <v>29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29</v>
      </c>
      <c r="M35" s="2" t="s">
        <v>29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</row>
    <row r="37" spans="1:19" x14ac:dyDescent="0.2">
      <c r="A37" s="1">
        <v>1978</v>
      </c>
      <c r="B37" s="62">
        <v>9268</v>
      </c>
      <c r="C37" s="62">
        <f t="shared" ref="C37:S37" si="2">C9-B9</f>
        <v>8995</v>
      </c>
      <c r="D37" s="62">
        <f t="shared" si="2"/>
        <v>1919</v>
      </c>
      <c r="E37" s="62">
        <f t="shared" si="2"/>
        <v>2201</v>
      </c>
      <c r="F37" s="62">
        <f t="shared" si="2"/>
        <v>399</v>
      </c>
      <c r="G37" s="62">
        <f t="shared" si="2"/>
        <v>3566</v>
      </c>
      <c r="H37" s="62">
        <f t="shared" si="2"/>
        <v>-176</v>
      </c>
      <c r="I37" s="62">
        <f t="shared" si="2"/>
        <v>12</v>
      </c>
      <c r="J37" s="62">
        <f t="shared" si="2"/>
        <v>-729</v>
      </c>
      <c r="K37" s="62">
        <f t="shared" si="2"/>
        <v>285</v>
      </c>
      <c r="L37" s="62">
        <f t="shared" si="2"/>
        <v>-29</v>
      </c>
      <c r="M37" s="62">
        <f t="shared" si="2"/>
        <v>-259</v>
      </c>
      <c r="N37" s="62">
        <f t="shared" si="2"/>
        <v>8</v>
      </c>
      <c r="O37" s="62">
        <f t="shared" si="2"/>
        <v>-38</v>
      </c>
      <c r="P37" s="62">
        <f t="shared" si="2"/>
        <v>-36</v>
      </c>
      <c r="Q37" s="62">
        <f t="shared" si="2"/>
        <v>134</v>
      </c>
      <c r="R37" s="62">
        <f t="shared" si="2"/>
        <v>126</v>
      </c>
      <c r="S37" s="62">
        <f t="shared" si="2"/>
        <v>-177</v>
      </c>
    </row>
    <row r="38" spans="1:19" x14ac:dyDescent="0.2">
      <c r="A38" s="1">
        <v>1979</v>
      </c>
      <c r="B38" s="62">
        <v>9848</v>
      </c>
      <c r="C38" s="62">
        <f t="shared" ref="C38:D53" si="3">C10-B10</f>
        <v>6275</v>
      </c>
      <c r="D38" s="62">
        <f t="shared" si="3"/>
        <v>976</v>
      </c>
      <c r="E38" s="62">
        <f t="shared" ref="E38:F38" si="4">E10-D10</f>
        <v>1445</v>
      </c>
      <c r="F38" s="62">
        <f t="shared" si="4"/>
        <v>1990</v>
      </c>
      <c r="G38" s="62">
        <f t="shared" ref="G38:H38" si="5">G10-F10</f>
        <v>1020</v>
      </c>
      <c r="H38" s="62">
        <f t="shared" si="5"/>
        <v>1665</v>
      </c>
      <c r="I38" s="62">
        <f t="shared" ref="I38:J38" si="6">I10-H10</f>
        <v>-838</v>
      </c>
      <c r="J38" s="62">
        <f t="shared" si="6"/>
        <v>-797</v>
      </c>
      <c r="K38" s="62">
        <f t="shared" ref="K38:L38" si="7">K10-J10</f>
        <v>-176</v>
      </c>
      <c r="L38" s="62">
        <f t="shared" si="7"/>
        <v>-551</v>
      </c>
      <c r="M38" s="62">
        <f t="shared" ref="M38:N38" si="8">M10-L10</f>
        <v>306</v>
      </c>
      <c r="N38" s="62">
        <f t="shared" si="8"/>
        <v>-681</v>
      </c>
      <c r="O38" s="62">
        <f t="shared" ref="O38:P38" si="9">O10-N10</f>
        <v>-511</v>
      </c>
      <c r="P38" s="62">
        <f t="shared" si="9"/>
        <v>-13</v>
      </c>
      <c r="Q38" s="62">
        <f t="shared" ref="Q38:R38" si="10">Q10-P10</f>
        <v>-11</v>
      </c>
      <c r="R38" s="62">
        <f t="shared" si="10"/>
        <v>44</v>
      </c>
    </row>
    <row r="39" spans="1:19" x14ac:dyDescent="0.2">
      <c r="A39" s="1">
        <v>1980</v>
      </c>
      <c r="B39" s="62">
        <v>13990</v>
      </c>
      <c r="C39" s="62">
        <f t="shared" si="3"/>
        <v>8494</v>
      </c>
      <c r="D39" s="62">
        <f t="shared" si="3"/>
        <v>2466</v>
      </c>
      <c r="E39" s="62">
        <f t="shared" ref="E39:F39" si="11">E11-D11</f>
        <v>8305</v>
      </c>
      <c r="F39" s="62">
        <f t="shared" si="11"/>
        <v>40</v>
      </c>
      <c r="G39" s="62">
        <f t="shared" ref="G39:H39" si="12">G11-F11</f>
        <v>1013</v>
      </c>
      <c r="H39" s="62">
        <f t="shared" si="12"/>
        <v>-286</v>
      </c>
      <c r="I39" s="62">
        <f t="shared" ref="I39:J39" si="13">I11-H11</f>
        <v>1</v>
      </c>
      <c r="J39" s="62">
        <f t="shared" si="13"/>
        <v>-181</v>
      </c>
      <c r="K39" s="62">
        <f t="shared" ref="K39:L39" si="14">K11-J11</f>
        <v>91</v>
      </c>
      <c r="L39" s="62">
        <f t="shared" si="14"/>
        <v>-363</v>
      </c>
      <c r="M39" s="62">
        <f t="shared" ref="M39:N39" si="15">M11-L11</f>
        <v>-1689</v>
      </c>
      <c r="N39" s="62">
        <f t="shared" si="15"/>
        <v>322</v>
      </c>
      <c r="O39" s="62">
        <f t="shared" ref="O39:P39" si="16">O11-N11</f>
        <v>142</v>
      </c>
      <c r="P39" s="62">
        <f t="shared" si="16"/>
        <v>-95</v>
      </c>
      <c r="Q39" s="62">
        <f t="shared" ref="Q39" si="17">Q11-P11</f>
        <v>-82</v>
      </c>
    </row>
    <row r="40" spans="1:19" x14ac:dyDescent="0.2">
      <c r="A40" s="1">
        <v>1981</v>
      </c>
      <c r="B40" s="62">
        <v>16550</v>
      </c>
      <c r="C40" s="62">
        <f t="shared" si="3"/>
        <v>11506</v>
      </c>
      <c r="D40" s="62">
        <f t="shared" si="3"/>
        <v>11939</v>
      </c>
      <c r="E40" s="62">
        <f t="shared" ref="E40:F40" si="18">E12-D12</f>
        <v>2464</v>
      </c>
      <c r="F40" s="62">
        <f t="shared" si="18"/>
        <v>338</v>
      </c>
      <c r="G40" s="62">
        <f t="shared" ref="G40:H40" si="19">G12-F12</f>
        <v>-42</v>
      </c>
      <c r="H40" s="62">
        <f t="shared" si="19"/>
        <v>-320</v>
      </c>
      <c r="I40" s="62">
        <f t="shared" ref="I40:J40" si="20">I12-H12</f>
        <v>-133</v>
      </c>
      <c r="J40" s="62">
        <f t="shared" si="20"/>
        <v>-207</v>
      </c>
      <c r="K40" s="62">
        <f t="shared" ref="K40:L40" si="21">K12-J12</f>
        <v>-489</v>
      </c>
      <c r="L40" s="62">
        <f t="shared" si="21"/>
        <v>-1166</v>
      </c>
      <c r="M40" s="62">
        <f t="shared" ref="M40:N40" si="22">M12-L12</f>
        <v>-8</v>
      </c>
      <c r="N40" s="62">
        <f t="shared" si="22"/>
        <v>-106</v>
      </c>
      <c r="O40" s="62">
        <f t="shared" ref="O40:P40" si="23">O12-N12</f>
        <v>11</v>
      </c>
      <c r="P40" s="62">
        <f t="shared" si="23"/>
        <v>-241</v>
      </c>
    </row>
    <row r="41" spans="1:19" x14ac:dyDescent="0.2">
      <c r="A41" s="1">
        <v>1982</v>
      </c>
      <c r="B41" s="62">
        <v>11100</v>
      </c>
      <c r="C41" s="62">
        <f t="shared" si="3"/>
        <v>20520</v>
      </c>
      <c r="D41" s="62">
        <f t="shared" si="3"/>
        <v>9232</v>
      </c>
      <c r="E41" s="62">
        <f t="shared" ref="E41:F41" si="24">E13-D13</f>
        <v>-2021</v>
      </c>
      <c r="F41" s="62">
        <f t="shared" si="24"/>
        <v>685</v>
      </c>
      <c r="G41" s="62">
        <f t="shared" ref="G41:H41" si="25">G13-F13</f>
        <v>354</v>
      </c>
      <c r="H41" s="62">
        <f t="shared" si="25"/>
        <v>488</v>
      </c>
      <c r="I41" s="62">
        <f t="shared" ref="I41:J41" si="26">I13-H13</f>
        <v>-3</v>
      </c>
      <c r="J41" s="62">
        <f t="shared" si="26"/>
        <v>-239</v>
      </c>
      <c r="K41" s="62">
        <f t="shared" ref="K41:L41" si="27">K13-J13</f>
        <v>-228</v>
      </c>
      <c r="L41" s="62">
        <f t="shared" si="27"/>
        <v>10</v>
      </c>
      <c r="M41" s="62">
        <f t="shared" ref="M41:N41" si="28">M13-L13</f>
        <v>249</v>
      </c>
      <c r="N41" s="62">
        <f t="shared" si="28"/>
        <v>-320</v>
      </c>
      <c r="O41" s="62">
        <f t="shared" ref="O41" si="29">O13-N13</f>
        <v>373</v>
      </c>
    </row>
    <row r="42" spans="1:19" x14ac:dyDescent="0.2">
      <c r="A42" s="1">
        <v>1983</v>
      </c>
      <c r="B42" s="62">
        <v>15677</v>
      </c>
      <c r="C42" s="62">
        <f t="shared" si="3"/>
        <v>17397</v>
      </c>
      <c r="D42" s="62">
        <f t="shared" si="3"/>
        <v>2518</v>
      </c>
      <c r="E42" s="62">
        <f t="shared" ref="E42:F42" si="30">E14-D14</f>
        <v>129</v>
      </c>
      <c r="F42" s="62">
        <f t="shared" si="30"/>
        <v>2931</v>
      </c>
      <c r="G42" s="62">
        <f t="shared" ref="G42:H42" si="31">G14-F14</f>
        <v>766</v>
      </c>
      <c r="H42" s="62">
        <f t="shared" si="31"/>
        <v>-195</v>
      </c>
      <c r="I42" s="62">
        <f t="shared" ref="I42:J42" si="32">I14-H14</f>
        <v>473</v>
      </c>
      <c r="J42" s="62">
        <f t="shared" si="32"/>
        <v>-1927</v>
      </c>
      <c r="K42" s="62">
        <f t="shared" ref="K42:L42" si="33">K14-J14</f>
        <v>125</v>
      </c>
      <c r="L42" s="62">
        <f t="shared" si="33"/>
        <v>-525</v>
      </c>
      <c r="M42" s="62">
        <f t="shared" ref="M42:N42" si="34">M14-L14</f>
        <v>-24</v>
      </c>
      <c r="N42" s="62">
        <f t="shared" si="34"/>
        <v>-270</v>
      </c>
    </row>
    <row r="43" spans="1:19" x14ac:dyDescent="0.2">
      <c r="A43" s="1">
        <v>1984</v>
      </c>
      <c r="B43" s="62">
        <v>20375</v>
      </c>
      <c r="C43" s="62">
        <f t="shared" si="3"/>
        <v>13180</v>
      </c>
      <c r="D43" s="62">
        <f t="shared" si="3"/>
        <v>8201</v>
      </c>
      <c r="E43" s="62">
        <f t="shared" ref="E43:F43" si="35">E15-D15</f>
        <v>3369</v>
      </c>
      <c r="F43" s="62">
        <f t="shared" si="35"/>
        <v>2159</v>
      </c>
      <c r="G43" s="62">
        <f t="shared" ref="G43:H43" si="36">G15-F15</f>
        <v>4426</v>
      </c>
      <c r="H43" s="62">
        <f t="shared" si="36"/>
        <v>437</v>
      </c>
      <c r="I43" s="62">
        <f t="shared" ref="I43:J43" si="37">I15-H15</f>
        <v>-960</v>
      </c>
      <c r="J43" s="62">
        <f t="shared" si="37"/>
        <v>763</v>
      </c>
      <c r="K43" s="62">
        <f t="shared" ref="K43:L43" si="38">K15-J15</f>
        <v>-983</v>
      </c>
      <c r="L43" s="62">
        <f t="shared" si="38"/>
        <v>494</v>
      </c>
      <c r="M43" s="62">
        <f t="shared" ref="M43" si="39">M15-L15</f>
        <v>-79</v>
      </c>
    </row>
    <row r="44" spans="1:19" x14ac:dyDescent="0.2">
      <c r="A44" s="1">
        <v>1985</v>
      </c>
      <c r="B44" s="62">
        <v>9800</v>
      </c>
      <c r="C44" s="62">
        <f t="shared" si="3"/>
        <v>14863</v>
      </c>
      <c r="D44" s="62">
        <f t="shared" si="3"/>
        <v>11398</v>
      </c>
      <c r="E44" s="62">
        <f t="shared" ref="E44:F44" si="40">E16-D16</f>
        <v>1866</v>
      </c>
      <c r="F44" s="62">
        <f t="shared" si="40"/>
        <v>2115</v>
      </c>
      <c r="G44" s="62">
        <f t="shared" ref="G44:H44" si="41">G16-F16</f>
        <v>520</v>
      </c>
      <c r="H44" s="62">
        <f t="shared" si="41"/>
        <v>-200</v>
      </c>
      <c r="I44" s="62">
        <f t="shared" ref="I44:J44" si="42">I16-H16</f>
        <v>522</v>
      </c>
      <c r="J44" s="62">
        <f t="shared" si="42"/>
        <v>-287</v>
      </c>
      <c r="K44" s="62">
        <f t="shared" ref="K44:L44" si="43">K16-J16</f>
        <v>707</v>
      </c>
      <c r="L44" s="62">
        <f t="shared" si="43"/>
        <v>1074</v>
      </c>
    </row>
    <row r="45" spans="1:19" x14ac:dyDescent="0.2">
      <c r="A45" s="1">
        <v>1986</v>
      </c>
      <c r="B45" s="62">
        <v>11380</v>
      </c>
      <c r="C45" s="62">
        <f t="shared" si="3"/>
        <v>15463</v>
      </c>
      <c r="D45" s="62">
        <f t="shared" si="3"/>
        <v>8088</v>
      </c>
      <c r="E45" s="62">
        <f t="shared" ref="E45:F45" si="44">E17-D17</f>
        <v>2874</v>
      </c>
      <c r="F45" s="62">
        <f t="shared" si="44"/>
        <v>3472</v>
      </c>
      <c r="G45" s="62">
        <f t="shared" ref="G45:H45" si="45">G17-F17</f>
        <v>3624</v>
      </c>
      <c r="H45" s="62">
        <f t="shared" si="45"/>
        <v>966</v>
      </c>
      <c r="I45" s="62">
        <f t="shared" ref="I45:J45" si="46">I17-H17</f>
        <v>-463</v>
      </c>
      <c r="J45" s="62">
        <f t="shared" si="46"/>
        <v>-57</v>
      </c>
      <c r="K45" s="62">
        <f t="shared" ref="K45" si="47">K17-J17</f>
        <v>-964</v>
      </c>
    </row>
    <row r="46" spans="1:19" x14ac:dyDescent="0.2">
      <c r="A46" s="1">
        <v>1987</v>
      </c>
      <c r="B46" s="62">
        <v>10226</v>
      </c>
      <c r="C46" s="62">
        <f t="shared" si="3"/>
        <v>10285</v>
      </c>
      <c r="D46" s="62">
        <f t="shared" si="3"/>
        <v>6371</v>
      </c>
      <c r="E46" s="62">
        <f t="shared" ref="E46:F46" si="48">E18-D18</f>
        <v>5444</v>
      </c>
      <c r="F46" s="62">
        <f t="shared" si="48"/>
        <v>2931</v>
      </c>
      <c r="G46" s="62">
        <f t="shared" ref="G46:H46" si="49">G18-F18</f>
        <v>5300</v>
      </c>
      <c r="H46" s="62">
        <f t="shared" si="49"/>
        <v>3196</v>
      </c>
      <c r="I46" s="62">
        <f t="shared" ref="I46:J46" si="50">I18-H18</f>
        <v>856</v>
      </c>
      <c r="J46" s="62">
        <f t="shared" si="50"/>
        <v>-413</v>
      </c>
    </row>
    <row r="47" spans="1:19" x14ac:dyDescent="0.2">
      <c r="A47" s="1">
        <v>1988</v>
      </c>
      <c r="B47" s="62">
        <v>8170</v>
      </c>
      <c r="C47" s="62">
        <f t="shared" si="3"/>
        <v>10397</v>
      </c>
      <c r="D47" s="62">
        <f t="shared" si="3"/>
        <v>7905</v>
      </c>
      <c r="E47" s="62">
        <f t="shared" ref="E47:F47" si="51">E19-D19</f>
        <v>6530</v>
      </c>
      <c r="F47" s="62">
        <f t="shared" si="51"/>
        <v>3319</v>
      </c>
      <c r="G47" s="62">
        <f t="shared" ref="G47:H47" si="52">G19-F19</f>
        <v>726</v>
      </c>
      <c r="H47" s="62">
        <f t="shared" si="52"/>
        <v>2628</v>
      </c>
      <c r="I47" s="62">
        <f t="shared" ref="I47" si="53">I19-H19</f>
        <v>723</v>
      </c>
    </row>
    <row r="48" spans="1:19" x14ac:dyDescent="0.2">
      <c r="A48" s="1">
        <v>1989</v>
      </c>
      <c r="B48" s="62">
        <v>10433</v>
      </c>
      <c r="C48" s="62">
        <f t="shared" si="3"/>
        <v>9051</v>
      </c>
      <c r="D48" s="62">
        <f t="shared" si="3"/>
        <v>12619</v>
      </c>
      <c r="E48" s="62">
        <f t="shared" ref="E48:F48" si="54">E20-D20</f>
        <v>6833</v>
      </c>
      <c r="F48" s="62">
        <f t="shared" si="54"/>
        <v>6915</v>
      </c>
      <c r="G48" s="62">
        <f t="shared" ref="G48:H48" si="55">G20-F20</f>
        <v>-718</v>
      </c>
      <c r="H48" s="62">
        <f t="shared" si="55"/>
        <v>368</v>
      </c>
    </row>
    <row r="49" spans="1:18" x14ac:dyDescent="0.2">
      <c r="A49" s="1">
        <v>1990</v>
      </c>
      <c r="B49" s="62">
        <v>9661</v>
      </c>
      <c r="C49" s="62">
        <f t="shared" si="3"/>
        <v>14147</v>
      </c>
      <c r="D49" s="62">
        <f t="shared" si="3"/>
        <v>9158</v>
      </c>
      <c r="E49" s="62">
        <f t="shared" ref="E49:F49" si="56">E21-D21</f>
        <v>9941</v>
      </c>
      <c r="F49" s="62">
        <f t="shared" si="56"/>
        <v>4023</v>
      </c>
      <c r="G49" s="62">
        <f t="shared" ref="G49" si="57">G21-F21</f>
        <v>2370</v>
      </c>
    </row>
    <row r="50" spans="1:18" x14ac:dyDescent="0.2">
      <c r="A50" s="1">
        <v>1991</v>
      </c>
      <c r="B50" s="62">
        <v>14275</v>
      </c>
      <c r="C50" s="62">
        <f t="shared" si="3"/>
        <v>11276</v>
      </c>
      <c r="D50" s="62">
        <f t="shared" si="3"/>
        <v>8203</v>
      </c>
      <c r="E50" s="62">
        <f t="shared" ref="E50:F50" si="58">E22-D22</f>
        <v>4920</v>
      </c>
      <c r="F50" s="62">
        <f t="shared" si="58"/>
        <v>2458</v>
      </c>
    </row>
    <row r="51" spans="1:18" x14ac:dyDescent="0.2">
      <c r="A51" s="1">
        <v>1992</v>
      </c>
      <c r="B51" s="62">
        <v>13245</v>
      </c>
      <c r="C51" s="62">
        <f t="shared" si="3"/>
        <v>15961</v>
      </c>
      <c r="D51" s="62">
        <f t="shared" si="3"/>
        <v>7781</v>
      </c>
      <c r="E51" s="62">
        <f t="shared" ref="E51" si="59">E23-D23</f>
        <v>7088</v>
      </c>
    </row>
    <row r="52" spans="1:18" x14ac:dyDescent="0.2">
      <c r="A52" s="1">
        <v>1993</v>
      </c>
      <c r="B52" s="62">
        <v>14711</v>
      </c>
      <c r="C52" s="62">
        <f t="shared" si="3"/>
        <v>12371</v>
      </c>
      <c r="D52" s="62">
        <f t="shared" si="3"/>
        <v>7148</v>
      </c>
    </row>
    <row r="53" spans="1:18" x14ac:dyDescent="0.2">
      <c r="A53" s="1">
        <v>1994</v>
      </c>
      <c r="B53" s="62">
        <v>12476</v>
      </c>
      <c r="C53" s="62">
        <f t="shared" si="3"/>
        <v>10650</v>
      </c>
    </row>
    <row r="54" spans="1:18" x14ac:dyDescent="0.2">
      <c r="A54" s="1">
        <v>1995</v>
      </c>
      <c r="B54" s="62">
        <v>9715</v>
      </c>
    </row>
    <row r="57" spans="1:18" ht="15.75" x14ac:dyDescent="0.25">
      <c r="A57" s="21" t="s">
        <v>96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5.75" x14ac:dyDescent="0.25">
      <c r="A58" s="21" t="s">
        <v>97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60" spans="1:18" x14ac:dyDescent="0.2">
      <c r="A60" s="2" t="s">
        <v>0</v>
      </c>
      <c r="B60" s="31" t="s">
        <v>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2">
      <c r="A61" s="28" t="s">
        <v>1</v>
      </c>
      <c r="B61" s="29" t="s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">
      <c r="B62" s="5">
        <v>0</v>
      </c>
      <c r="C62" s="5">
        <f t="shared" ref="C62:R62" si="60">B62+1</f>
        <v>1</v>
      </c>
      <c r="D62" s="5">
        <f t="shared" si="60"/>
        <v>2</v>
      </c>
      <c r="E62" s="5">
        <f t="shared" si="60"/>
        <v>3</v>
      </c>
      <c r="F62" s="5">
        <f t="shared" si="60"/>
        <v>4</v>
      </c>
      <c r="G62" s="5">
        <f t="shared" si="60"/>
        <v>5</v>
      </c>
      <c r="H62" s="5">
        <f t="shared" si="60"/>
        <v>6</v>
      </c>
      <c r="I62" s="5">
        <f t="shared" si="60"/>
        <v>7</v>
      </c>
      <c r="J62" s="5">
        <f t="shared" si="60"/>
        <v>8</v>
      </c>
      <c r="K62" s="5">
        <f t="shared" si="60"/>
        <v>9</v>
      </c>
      <c r="L62" s="5">
        <f t="shared" si="60"/>
        <v>10</v>
      </c>
      <c r="M62" s="5">
        <f t="shared" si="60"/>
        <v>11</v>
      </c>
      <c r="N62" s="5">
        <f t="shared" si="60"/>
        <v>12</v>
      </c>
      <c r="O62" s="5">
        <f t="shared" si="60"/>
        <v>13</v>
      </c>
      <c r="P62" s="5">
        <f t="shared" si="60"/>
        <v>14</v>
      </c>
      <c r="Q62" s="5">
        <f t="shared" si="60"/>
        <v>15</v>
      </c>
      <c r="R62" s="5">
        <f t="shared" si="60"/>
        <v>16</v>
      </c>
    </row>
    <row r="64" spans="1:18" x14ac:dyDescent="0.2">
      <c r="A64" s="3">
        <f>A37</f>
        <v>1978</v>
      </c>
      <c r="B64" s="6">
        <f>SUM($B37:C37)/SUM($B37:B37)</f>
        <v>1.9705438066465257</v>
      </c>
      <c r="C64" s="6">
        <f>SUM($B37:D37)/SUM($B37:C37)</f>
        <v>1.1050758363905164</v>
      </c>
      <c r="D64" s="6">
        <f>SUM($B37:E37)/SUM($B37:D37)</f>
        <v>1.1090575760578734</v>
      </c>
      <c r="E64" s="6">
        <f>SUM($B37:F37)/SUM($B37:E37)</f>
        <v>1.0178260286824823</v>
      </c>
      <c r="F64" s="6">
        <f>SUM($B37:G37)/SUM($B37:F37)</f>
        <v>1.1565270827846545</v>
      </c>
      <c r="G64" s="6">
        <f>SUM($B37:H37)/SUM($B37:G37)</f>
        <v>0.99332017610444812</v>
      </c>
      <c r="H64" s="6">
        <f>SUM($B37:I37)/SUM($B37:H37)</f>
        <v>1.0004585052728105</v>
      </c>
      <c r="I64" s="6">
        <f>SUM($B37:J37)/SUM($B37:I37)</f>
        <v>0.97215857011915674</v>
      </c>
      <c r="J64" s="6">
        <f>SUM($B37:K37)/SUM($B37:J37)</f>
        <v>1.0111962286387743</v>
      </c>
      <c r="K64" s="6">
        <f>SUM($B37:L37)/SUM($B37:K37)</f>
        <v>0.99887334887334889</v>
      </c>
      <c r="L64" s="6">
        <f>SUM($B37:M37)/SUM($B37:L37)</f>
        <v>0.98992649060713311</v>
      </c>
      <c r="M64" s="6">
        <f>SUM($B37:N37)/SUM($B37:M37)</f>
        <v>1.0003143171460003</v>
      </c>
      <c r="N64" s="6">
        <f>SUM($B37:O37)/SUM($B37:N37)</f>
        <v>0.9985074626865672</v>
      </c>
      <c r="O64" s="6">
        <f>SUM($B37:P37)/SUM($B37:O37)</f>
        <v>0.99858390370545203</v>
      </c>
      <c r="P64" s="6">
        <f>SUM($B37:Q37)/SUM($B37:P37)</f>
        <v>1.0052784999606081</v>
      </c>
      <c r="Q64" s="6">
        <f>SUM($B37:R37)/SUM($B37:Q37)</f>
        <v>1.0049373040752352</v>
      </c>
      <c r="R64" s="6">
        <f>SUM($B37:S37)/SUM($B37:R37)</f>
        <v>0.99309833892224908</v>
      </c>
    </row>
    <row r="65" spans="1:18" x14ac:dyDescent="0.2">
      <c r="A65" s="3">
        <f t="shared" ref="A65:A80" si="61">A38</f>
        <v>1979</v>
      </c>
      <c r="B65" s="6">
        <f>SUM($B38:C38)/SUM($B38:B38)</f>
        <v>1.6371852152721365</v>
      </c>
      <c r="C65" s="6">
        <f>SUM($B38:D38)/SUM($B38:C38)</f>
        <v>1.0605346399553433</v>
      </c>
      <c r="D65" s="6">
        <f>SUM($B38:E38)/SUM($B38:D38)</f>
        <v>1.0845078659570735</v>
      </c>
      <c r="E65" s="6">
        <f>SUM($B38:F38)/SUM($B38:E38)</f>
        <v>1.1073123382226058</v>
      </c>
      <c r="F65" s="6">
        <f>SUM($B38:G38)/SUM($B38:F38)</f>
        <v>1.0496737118924711</v>
      </c>
      <c r="G65" s="6">
        <f>SUM($B38:H38)/SUM($B38:G38)</f>
        <v>1.0772478426278185</v>
      </c>
      <c r="H65" s="6">
        <f>SUM($B38:I38)/SUM($B38:H38)</f>
        <v>0.96390886773762863</v>
      </c>
      <c r="I65" s="6">
        <f>SUM($B38:J38)/SUM($B38:I38)</f>
        <v>0.96438943746928196</v>
      </c>
      <c r="J65" s="6">
        <f>SUM($B38:K38)/SUM($B38:J38)</f>
        <v>0.99184581171237951</v>
      </c>
      <c r="K65" s="6">
        <f>SUM($B38:L38)/SUM($B38:K38)</f>
        <v>0.97426195814648731</v>
      </c>
      <c r="L65" s="6">
        <f>SUM($B38:M38)/SUM($B38:L38)</f>
        <v>1.014671333365297</v>
      </c>
      <c r="M65" s="6">
        <f>SUM($B38:N38)/SUM($B38:M38)</f>
        <v>0.96782119737277328</v>
      </c>
      <c r="N65" s="6">
        <f>SUM($B38:O38)/SUM($B38:N38)</f>
        <v>0.97505126452494872</v>
      </c>
      <c r="O65" s="6">
        <f>SUM($B38:P38)/SUM($B38:O38)</f>
        <v>0.99934905613139047</v>
      </c>
      <c r="P65" s="6">
        <f>SUM($B38:Q38)/SUM($B38:P38)</f>
        <v>0.9994488425693957</v>
      </c>
      <c r="Q65" s="6">
        <f>SUM($B38:R38)/SUM($B38:Q38)</f>
        <v>1.00220584549055</v>
      </c>
      <c r="R65" s="6"/>
    </row>
    <row r="66" spans="1:18" x14ac:dyDescent="0.2">
      <c r="A66" s="3">
        <f t="shared" si="61"/>
        <v>1980</v>
      </c>
      <c r="B66" s="6">
        <f>SUM($B39:C39)/SUM($B39:B39)</f>
        <v>1.6071479628305934</v>
      </c>
      <c r="C66" s="6">
        <f>SUM($B39:D39)/SUM($B39:C39)</f>
        <v>1.109677993239637</v>
      </c>
      <c r="D66" s="6">
        <f>SUM($B39:E39)/SUM($B39:D39)</f>
        <v>1.3328657314629258</v>
      </c>
      <c r="E66" s="6">
        <f>SUM($B39:F39)/SUM($B39:E39)</f>
        <v>1.0012028266426101</v>
      </c>
      <c r="F66" s="6">
        <f>SUM($B39:G39)/SUM($B39:F39)</f>
        <v>1.0304249887370476</v>
      </c>
      <c r="G66" s="6">
        <f>SUM($B39:H39)/SUM($B39:G39)</f>
        <v>0.99166375189460187</v>
      </c>
      <c r="H66" s="6">
        <f>SUM($B39:I39)/SUM($B39:H39)</f>
        <v>1.0000293927458703</v>
      </c>
      <c r="I66" s="6">
        <f>SUM($B39:J39)/SUM($B39:I39)</f>
        <v>0.99468006936484143</v>
      </c>
      <c r="J66" s="6">
        <f>SUM($B39:K39)/SUM($B39:J39)</f>
        <v>1.0026889663731458</v>
      </c>
      <c r="K66" s="6">
        <f>SUM($B39:L39)/SUM($B39:K39)</f>
        <v>0.98930244894350627</v>
      </c>
      <c r="L66" s="6">
        <f>SUM($B39:M39)/SUM($B39:L39)</f>
        <v>0.9496872207327971</v>
      </c>
      <c r="M66" s="6">
        <f>SUM($B39:N39)/SUM($B39:M39)</f>
        <v>1.010100059596625</v>
      </c>
      <c r="N66" s="6">
        <f>SUM($B39:O39)/SUM($B39:N39)</f>
        <v>1.004409527062696</v>
      </c>
      <c r="O66" s="6">
        <f>SUM($B39:P39)/SUM($B39:O39)</f>
        <v>0.99706291544288139</v>
      </c>
      <c r="P66" s="6">
        <f>SUM($B39:Q39)/SUM($B39:P39)</f>
        <v>0.99745736434108523</v>
      </c>
      <c r="Q66" s="6"/>
      <c r="R66" s="6"/>
    </row>
    <row r="67" spans="1:18" x14ac:dyDescent="0.2">
      <c r="A67" s="3">
        <f t="shared" si="61"/>
        <v>1981</v>
      </c>
      <c r="B67" s="6">
        <f>SUM($B40:C40)/SUM($B40:B40)</f>
        <v>1.6952265861027189</v>
      </c>
      <c r="C67" s="6">
        <f>SUM($B40:D40)/SUM($B40:C40)</f>
        <v>1.4255417735956659</v>
      </c>
      <c r="D67" s="6">
        <f>SUM($B40:E40)/SUM($B40:D40)</f>
        <v>1.0616077009626204</v>
      </c>
      <c r="E67" s="6">
        <f>SUM($B40:F40)/SUM($B40:E40)</f>
        <v>1.0079606208342164</v>
      </c>
      <c r="F67" s="6">
        <f>SUM($B40:G40)/SUM($B40:F40)</f>
        <v>0.99901862280066356</v>
      </c>
      <c r="G67" s="6">
        <f>SUM($B40:H40)/SUM($B40:G40)</f>
        <v>0.99251549526371186</v>
      </c>
      <c r="H67" s="6">
        <f>SUM($B40:I40)/SUM($B40:H40)</f>
        <v>0.996865794744904</v>
      </c>
      <c r="I67" s="6">
        <f>SUM($B40:J40)/SUM($B40:I40)</f>
        <v>0.99510661434447545</v>
      </c>
      <c r="J67" s="6">
        <f>SUM($B40:K40)/SUM($B40:J40)</f>
        <v>0.98838341845824917</v>
      </c>
      <c r="K67" s="6">
        <f>SUM($B40:L40)/SUM($B40:K40)</f>
        <v>0.97197519588520886</v>
      </c>
      <c r="L67" s="6">
        <f>SUM($B40:M40)/SUM($B40:L40)</f>
        <v>0.99980217606330368</v>
      </c>
      <c r="M67" s="6">
        <f>SUM($B40:N40)/SUM($B40:M40)</f>
        <v>0.99737831420656908</v>
      </c>
      <c r="N67" s="6">
        <f>SUM($B40:O40)/SUM($B40:N40)</f>
        <v>1.0002727768685216</v>
      </c>
      <c r="O67" s="6">
        <f>SUM($B40:P40)/SUM($B40:O40)</f>
        <v>0.99402533653965341</v>
      </c>
    </row>
    <row r="68" spans="1:18" x14ac:dyDescent="0.2">
      <c r="A68" s="3">
        <f t="shared" si="61"/>
        <v>1982</v>
      </c>
      <c r="B68" s="6">
        <f>SUM($B41:C41)/SUM($B41:B41)</f>
        <v>2.8486486486486489</v>
      </c>
      <c r="C68" s="6">
        <f>SUM($B41:D41)/SUM($B41:C41)</f>
        <v>1.291967109424415</v>
      </c>
      <c r="D68" s="6">
        <f>SUM($B41:E41)/SUM($B41:D41)</f>
        <v>0.95052873788309022</v>
      </c>
      <c r="E68" s="6">
        <f>SUM($B41:F41)/SUM($B41:E41)</f>
        <v>1.0176405449254462</v>
      </c>
      <c r="F68" s="6">
        <f>SUM($B41:G41)/SUM($B41:F41)</f>
        <v>1.008958396598846</v>
      </c>
      <c r="G68" s="6">
        <f>SUM($B41:H41)/SUM($B41:G41)</f>
        <v>1.0122397792826687</v>
      </c>
      <c r="H68" s="6">
        <f>SUM($B41:I41)/SUM($B41:H41)</f>
        <v>0.99992566529560434</v>
      </c>
      <c r="I68" s="6">
        <f>SUM($B41:J41)/SUM($B41:I41)</f>
        <v>0.99407756164044103</v>
      </c>
      <c r="J68" s="6">
        <f>SUM($B41:K41)/SUM($B41:J41)</f>
        <v>0.99431648220161528</v>
      </c>
      <c r="K68" s="6">
        <f>SUM($B41:L41)/SUM($B41:K41)</f>
        <v>1.0002507019655034</v>
      </c>
      <c r="L68" s="6">
        <f>SUM($B41:M41)/SUM($B41:L41)</f>
        <v>1.0062409143315454</v>
      </c>
      <c r="M68" s="6">
        <f>SUM($B41:N41)/SUM($B41:M41)</f>
        <v>0.99202929235061155</v>
      </c>
      <c r="N68" s="6">
        <f>SUM($B41:O41)/SUM($B41:N41)</f>
        <v>1.0093655058126396</v>
      </c>
      <c r="O68" s="6"/>
    </row>
    <row r="69" spans="1:18" x14ac:dyDescent="0.2">
      <c r="A69" s="3">
        <f t="shared" si="61"/>
        <v>1983</v>
      </c>
      <c r="B69" s="6">
        <f>SUM($B42:C42)/SUM($B42:B42)</f>
        <v>2.1097148689162468</v>
      </c>
      <c r="C69" s="6">
        <f>SUM($B42:D42)/SUM($B42:C42)</f>
        <v>1.0761323093668742</v>
      </c>
      <c r="D69" s="6">
        <f>SUM($B42:E42)/SUM($B42:D42)</f>
        <v>1.0036244099797706</v>
      </c>
      <c r="E69" s="6">
        <f>SUM($B42:F42)/SUM($B42:E42)</f>
        <v>1.0820525741160663</v>
      </c>
      <c r="F69" s="6">
        <f>SUM($B42:G42)/SUM($B42:F42)</f>
        <v>1.0198178619476352</v>
      </c>
      <c r="G69" s="6">
        <f>SUM($B42:H42)/SUM($B42:G42)</f>
        <v>0.99505302146227614</v>
      </c>
      <c r="H69" s="6">
        <f>SUM($B42:I42)/SUM($B42:H42)</f>
        <v>1.012059250949698</v>
      </c>
      <c r="I69" s="6">
        <f>SUM($B42:J42)/SUM($B42:I42)</f>
        <v>0.9514560661023781</v>
      </c>
      <c r="J69" s="6">
        <f>SUM($B42:K42)/SUM($B42:J42)</f>
        <v>1.0033095925229685</v>
      </c>
      <c r="K69" s="6">
        <f>SUM($B42:L42)/SUM($B42:K42)</f>
        <v>0.98614556394152109</v>
      </c>
      <c r="L69" s="6">
        <f>SUM($B42:M42)/SUM($B42:L42)</f>
        <v>0.99935775642912572</v>
      </c>
      <c r="M69" s="6">
        <f>SUM($B42:N42)/SUM($B42:M42)</f>
        <v>0.99277011648145663</v>
      </c>
    </row>
    <row r="70" spans="1:18" ht="15" x14ac:dyDescent="0.2">
      <c r="A70" s="3">
        <f t="shared" si="61"/>
        <v>1984</v>
      </c>
      <c r="B70" s="6">
        <f>SUM($B43:C43)/SUM($B43:B43)</f>
        <v>1.6468711656441717</v>
      </c>
      <c r="C70" s="6">
        <f>SUM($B43:D43)/SUM($B43:C43)</f>
        <v>1.2444047086872299</v>
      </c>
      <c r="D70" s="6">
        <f>SUM($B43:E43)/SUM($B43:D43)</f>
        <v>1.0806830156145224</v>
      </c>
      <c r="E70" s="6">
        <f>SUM($B43:F43)/SUM($B43:E43)</f>
        <v>1.0478448753462604</v>
      </c>
      <c r="F70" s="6">
        <f>SUM($B43:G43)/SUM($B43:F43)</f>
        <v>1.093604601979528</v>
      </c>
      <c r="G70" s="6">
        <f>SUM($B43:H43)/SUM($B43:G43)</f>
        <v>1.0084509766002707</v>
      </c>
      <c r="H70" s="6">
        <f>SUM($B43:I43)/SUM($B43:H43)</f>
        <v>0.98159050376819379</v>
      </c>
      <c r="I70" s="6">
        <f>SUM($B43:J43)/SUM($B43:I43)</f>
        <v>1.0149061285091918</v>
      </c>
      <c r="J70" s="6">
        <f>SUM($B43:K43)/SUM($B43:J43)</f>
        <v>0.98107795957651589</v>
      </c>
      <c r="K70" s="6">
        <f>SUM($B43:L43)/SUM($B43:K43)</f>
        <v>1.0096925461573174</v>
      </c>
      <c r="L70" s="6">
        <f>SUM($B43:M43)/SUM($B43:L43)</f>
        <v>0.99846485688191056</v>
      </c>
    </row>
    <row r="71" spans="1:18" ht="16" customHeight="1" x14ac:dyDescent="0.2">
      <c r="A71" s="3">
        <f t="shared" si="61"/>
        <v>1985</v>
      </c>
      <c r="B71" s="6">
        <f>SUM($B44:C44)/SUM($B44:B44)</f>
        <v>2.5166326530612246</v>
      </c>
      <c r="C71" s="6">
        <f>SUM($B44:D44)/SUM($B44:C44)</f>
        <v>1.4621497790212059</v>
      </c>
      <c r="D71" s="6">
        <f>SUM($B44:E44)/SUM($B44:D44)</f>
        <v>1.0517456531987466</v>
      </c>
      <c r="E71" s="6">
        <f>SUM($B44:F44)/SUM($B44:E44)</f>
        <v>1.0557650222796424</v>
      </c>
      <c r="F71" s="6">
        <f>SUM($B44:G44)/SUM($B44:F44)</f>
        <v>1.0129863643174666</v>
      </c>
      <c r="G71" s="6">
        <f>SUM($B44:H44)/SUM($B44:G44)</f>
        <v>0.99506927666288647</v>
      </c>
      <c r="H71" s="6">
        <f>SUM($B44:I44)/SUM($B44:H44)</f>
        <v>1.0129329567414895</v>
      </c>
      <c r="I71" s="6">
        <f>SUM($B44:J44)/SUM($B44:I44)</f>
        <v>0.99298013892965464</v>
      </c>
      <c r="J71" s="6">
        <f>SUM($B44:K44)/SUM($B44:J44)</f>
        <v>1.0174150799320147</v>
      </c>
      <c r="K71" s="6">
        <f>SUM($B44:L44)/SUM($B44:K44)</f>
        <v>1.0260023242300988</v>
      </c>
      <c r="L71" s="7"/>
    </row>
    <row r="72" spans="1:18" ht="15" x14ac:dyDescent="0.2">
      <c r="A72" s="3">
        <f t="shared" si="61"/>
        <v>1986</v>
      </c>
      <c r="B72" s="6">
        <f>SUM($B45:C45)/SUM($B45:B45)</f>
        <v>2.3587873462214413</v>
      </c>
      <c r="C72" s="6">
        <f>SUM($B45:D45)/SUM($B45:C45)</f>
        <v>1.3013076034720412</v>
      </c>
      <c r="D72" s="6">
        <f>SUM($B45:E45)/SUM($B45:D45)</f>
        <v>1.0822764879333544</v>
      </c>
      <c r="E72" s="6">
        <f>SUM($B45:F45)/SUM($B45:E45)</f>
        <v>1.0918397037428911</v>
      </c>
      <c r="F72" s="6">
        <f>SUM($B45:G45)/SUM($B45:F45)</f>
        <v>1.0877970782760376</v>
      </c>
      <c r="G72" s="6">
        <f>SUM($B45:H45)/SUM($B45:G45)</f>
        <v>1.021513997461081</v>
      </c>
      <c r="H72" s="6">
        <f>SUM($B45:I45)/SUM($B45:H45)</f>
        <v>0.98990559661630362</v>
      </c>
      <c r="I72" s="6">
        <f>SUM($B45:J45)/SUM($B45:I45)</f>
        <v>0.9987446039996476</v>
      </c>
      <c r="J72" s="6">
        <f>SUM($B45:K45)/SUM($B45:J45)</f>
        <v>0.97874170286898798</v>
      </c>
      <c r="K72" s="7"/>
      <c r="L72" s="7"/>
    </row>
    <row r="73" spans="1:18" x14ac:dyDescent="0.2">
      <c r="A73" s="3">
        <f t="shared" si="61"/>
        <v>1987</v>
      </c>
      <c r="B73" s="6">
        <f>SUM($B46:C46)/SUM($B46:B46)</f>
        <v>2.0057696068844124</v>
      </c>
      <c r="C73" s="6">
        <f>SUM($B46:D46)/SUM($B46:C46)</f>
        <v>1.3106138169762567</v>
      </c>
      <c r="D73" s="6">
        <f>SUM($B46:E46)/SUM($B46:D46)</f>
        <v>1.202514693847184</v>
      </c>
      <c r="E73" s="6">
        <f>SUM($B46:F46)/SUM($B46:E46)</f>
        <v>1.0906700488770649</v>
      </c>
      <c r="F73" s="6">
        <f>SUM($B46:G46)/SUM($B46:F46)</f>
        <v>1.1503247582040446</v>
      </c>
      <c r="G73" s="6">
        <f>SUM($B46:H46)/SUM($B46:G46)</f>
        <v>1.0788026727815174</v>
      </c>
      <c r="H73" s="6">
        <f>SUM($B46:I46)/SUM($B46:H46)</f>
        <v>1.0195643727287271</v>
      </c>
      <c r="I73" s="6">
        <f>SUM($B46:J46)/SUM($B46:I46)</f>
        <v>0.99074177856486356</v>
      </c>
      <c r="J73" s="7"/>
      <c r="K73" s="7"/>
      <c r="L73" s="7"/>
    </row>
    <row r="74" spans="1:18" x14ac:dyDescent="0.2">
      <c r="A74" s="3">
        <f t="shared" si="61"/>
        <v>1988</v>
      </c>
      <c r="B74" s="6">
        <f>SUM($B47:C47)/SUM($B47:B47)</f>
        <v>2.2725826193390453</v>
      </c>
      <c r="C74" s="6">
        <f>SUM($B47:D47)/SUM($B47:C47)</f>
        <v>1.4257553724349652</v>
      </c>
      <c r="D74" s="6">
        <f>SUM($B47:E47)/SUM($B47:D47)</f>
        <v>1.2466757328498035</v>
      </c>
      <c r="E74" s="6">
        <f>SUM($B47:F47)/SUM($B47:E47)</f>
        <v>1.1005696624447003</v>
      </c>
      <c r="F74" s="6">
        <f>SUM($B47:G47)/SUM($B47:F47)</f>
        <v>1.019988436441728</v>
      </c>
      <c r="G74" s="6">
        <f>SUM($B47:H47)/SUM($B47:G47)</f>
        <v>1.0709369179690664</v>
      </c>
      <c r="H74" s="6">
        <f>SUM($B47:I47)/SUM($B47:H47)</f>
        <v>1.0182230623818525</v>
      </c>
      <c r="I74" s="7"/>
      <c r="J74" s="7"/>
      <c r="K74" s="7"/>
      <c r="L74" s="7"/>
    </row>
    <row r="75" spans="1:18" x14ac:dyDescent="0.2">
      <c r="A75" s="3">
        <f t="shared" si="61"/>
        <v>1989</v>
      </c>
      <c r="B75" s="6">
        <f>SUM($B48:C48)/SUM($B48:B48)</f>
        <v>1.8675357040161027</v>
      </c>
      <c r="C75" s="6">
        <f>SUM($B48:D48)/SUM($B48:C48)</f>
        <v>1.6476596181482241</v>
      </c>
      <c r="D75" s="6">
        <f>SUM($B48:E48)/SUM($B48:D48)</f>
        <v>1.2128461514500202</v>
      </c>
      <c r="E75" s="6">
        <f>SUM($B48:F48)/SUM($B48:E48)</f>
        <v>1.1775991370454078</v>
      </c>
      <c r="F75" s="6">
        <f>SUM($B48:G48)/SUM($B48:F48)</f>
        <v>0.98434058144860526</v>
      </c>
      <c r="G75" s="6">
        <f>SUM($B48:H48)/SUM($B48:G48)</f>
        <v>1.0081536791261383</v>
      </c>
      <c r="H75" s="7"/>
      <c r="I75" s="7"/>
      <c r="J75" s="7"/>
      <c r="K75" s="7"/>
      <c r="L75" s="7"/>
    </row>
    <row r="76" spans="1:18" x14ac:dyDescent="0.2">
      <c r="A76" s="3">
        <f t="shared" si="61"/>
        <v>1990</v>
      </c>
      <c r="B76" s="6">
        <f>SUM($B49:C49)/SUM($B49:B49)</f>
        <v>2.4643411655108167</v>
      </c>
      <c r="C76" s="6">
        <f>SUM($B49:D49)/SUM($B49:C49)</f>
        <v>1.38466061827957</v>
      </c>
      <c r="D76" s="6">
        <f>SUM($B49:E49)/SUM($B49:D49)</f>
        <v>1.301553115330947</v>
      </c>
      <c r="E76" s="6">
        <f>SUM($B49:F49)/SUM($B49:E49)</f>
        <v>1.0937609247908266</v>
      </c>
      <c r="F76" s="6">
        <f>SUM($B49:G49)/SUM($B49:F49)</f>
        <v>1.0505007457916045</v>
      </c>
      <c r="G76" s="7"/>
      <c r="H76" s="7"/>
      <c r="I76" s="7"/>
      <c r="J76" s="7"/>
      <c r="K76" s="7"/>
      <c r="L76" s="7"/>
    </row>
    <row r="77" spans="1:18" x14ac:dyDescent="0.2">
      <c r="A77" s="3">
        <f t="shared" si="61"/>
        <v>1991</v>
      </c>
      <c r="B77" s="6">
        <f>SUM($B50:C50)/SUM($B50:B50)</f>
        <v>1.7899124343257442</v>
      </c>
      <c r="C77" s="6">
        <f>SUM($B50:D50)/SUM($B50:C50)</f>
        <v>1.3210441861375288</v>
      </c>
      <c r="D77" s="6">
        <f>SUM($B50:E50)/SUM($B50:D50)</f>
        <v>1.1457605024589679</v>
      </c>
      <c r="E77" s="6">
        <f>SUM($B50:F50)/SUM($B50:E50)</f>
        <v>1.0635569116202099</v>
      </c>
      <c r="F77" s="7"/>
      <c r="G77" s="7"/>
      <c r="H77" s="7"/>
      <c r="I77" s="7"/>
      <c r="J77" s="7"/>
      <c r="K77" s="7"/>
      <c r="L77" s="7"/>
    </row>
    <row r="78" spans="1:18" x14ac:dyDescent="0.2">
      <c r="A78" s="3">
        <f t="shared" si="61"/>
        <v>1992</v>
      </c>
      <c r="B78" s="6">
        <f>SUM($B51:C51)/SUM($B51:B51)</f>
        <v>2.2050585126462816</v>
      </c>
      <c r="C78" s="6">
        <f>SUM($B51:D51)/SUM($B51:C51)</f>
        <v>1.2664178593439703</v>
      </c>
      <c r="D78" s="6">
        <f>SUM($B51:E51)/SUM($B51:D51)</f>
        <v>1.1916348987482088</v>
      </c>
      <c r="E78" s="7"/>
      <c r="F78" s="7"/>
      <c r="G78" s="7"/>
      <c r="H78" s="7"/>
      <c r="I78" s="7"/>
      <c r="J78" s="7"/>
      <c r="K78" s="7"/>
      <c r="L78" s="7"/>
    </row>
    <row r="79" spans="1:18" x14ac:dyDescent="0.2">
      <c r="A79" s="3">
        <f t="shared" si="61"/>
        <v>1993</v>
      </c>
      <c r="B79" s="6">
        <f>SUM($B52:C52)/SUM($B52:B52)</f>
        <v>1.8409353544966351</v>
      </c>
      <c r="C79" s="6">
        <f>SUM($B52:D52)/SUM($B52:C52)</f>
        <v>1.2639391477734288</v>
      </c>
      <c r="D79" s="7"/>
      <c r="E79" s="7"/>
      <c r="F79" s="7"/>
      <c r="G79" s="7"/>
      <c r="H79" s="7"/>
      <c r="I79" s="7"/>
      <c r="J79" s="7"/>
      <c r="K79" s="7"/>
      <c r="L79" s="7"/>
    </row>
    <row r="80" spans="1:18" x14ac:dyDescent="0.2">
      <c r="A80" s="3">
        <f t="shared" si="61"/>
        <v>1994</v>
      </c>
      <c r="B80" s="6">
        <f>SUM($B53:C53)/SUM($B53:B53)</f>
        <v>1.8536389868547611</v>
      </c>
      <c r="C80" s="6"/>
      <c r="D80" s="7"/>
      <c r="E80" s="7"/>
      <c r="F80" s="7"/>
      <c r="G80" s="7"/>
      <c r="H80" s="7"/>
      <c r="I80" s="7"/>
      <c r="J80" s="7"/>
      <c r="K80" s="7"/>
      <c r="L80" s="7"/>
    </row>
    <row r="81" spans="1:18" x14ac:dyDescent="0.2">
      <c r="A81" s="3"/>
    </row>
    <row r="83" spans="1:18" x14ac:dyDescent="0.2">
      <c r="A83" s="2" t="s">
        <v>6</v>
      </c>
    </row>
    <row r="84" spans="1:18" x14ac:dyDescent="0.2">
      <c r="A84" s="2" t="s">
        <v>7</v>
      </c>
    </row>
    <row r="86" spans="1:18" x14ac:dyDescent="0.2">
      <c r="A86" s="2" t="s">
        <v>8</v>
      </c>
      <c r="B86" s="8">
        <f>SUM($B37:C53)/SUM($B37:B53)</f>
        <v>1.9983237445841324</v>
      </c>
      <c r="C86" s="8">
        <f>SUM($B37:D52)/SUM($B37:C52)</f>
        <v>1.2906114467647722</v>
      </c>
      <c r="D86" s="8">
        <f>SUM($B37:E51)/SUM($B37:D51)</f>
        <v>1.1277367858138674</v>
      </c>
      <c r="E86" s="8">
        <f>SUM($B37:F50)/SUM($B37:E50)</f>
        <v>1.0678355878247421</v>
      </c>
      <c r="F86" s="8">
        <f>SUM($B37:G49)/SUM($B37:F49)</f>
        <v>1.0467344018200424</v>
      </c>
      <c r="G86" s="8">
        <f>SUM($B37:H48)/SUM($B37:G48)</f>
        <v>1.0184654959572392</v>
      </c>
      <c r="H86" s="8">
        <f>SUM($B37:I47)/SUM($B37:H47)</f>
        <v>1.0004447222007664</v>
      </c>
      <c r="I86" s="8">
        <f>SUM($B37:J46)/SUM($B37:I46)</f>
        <v>0.98947354822039923</v>
      </c>
      <c r="J86" s="8">
        <f>SUM($B37:K45)/SUM($B37:J45)</f>
        <v>0.99518235893197149</v>
      </c>
      <c r="K86" s="8">
        <f>SUM($B37:L44)/SUM($B37:K44)</f>
        <v>0.99639270342283259</v>
      </c>
      <c r="L86" s="8">
        <f>SUM($B37:M43)/SUM($B37:L43)</f>
        <v>0.99396725309459055</v>
      </c>
      <c r="M86" s="8">
        <f>SUM($B37:N42)/SUM($B37:M42)</f>
        <v>0.99466958558191632</v>
      </c>
      <c r="N86" s="8">
        <f>SUM($B37:O41)/SUM($B37:N41)</f>
        <v>0.99985470441824909</v>
      </c>
      <c r="O86" s="8">
        <f>SUM($B37:P40)/SUM($B37:O40)</f>
        <v>0.99673936057590518</v>
      </c>
      <c r="P86" s="8">
        <f>SUM($B37:Q39)/SUM($B37:P39)</f>
        <v>1.0005283913704668</v>
      </c>
      <c r="Q86" s="8">
        <f>SUM($B37:R38)/SUM($B37:Q38)</f>
        <v>1.0037389755207073</v>
      </c>
      <c r="R86" s="8">
        <f>SUM($B37:S37)/SUM($B37:R37)</f>
        <v>0.99309833892224908</v>
      </c>
    </row>
    <row r="87" spans="1:18" ht="15" x14ac:dyDescent="0.2">
      <c r="A87" s="97" t="s">
        <v>151</v>
      </c>
      <c r="B87" s="96">
        <f ca="1">SUM(OFFSET($B$37:$S$54,,,17-B34,2+B34))/SUM(OFFSET($B$37:$S$54,,,17-B34,1+B34))</f>
        <v>1.9983237445841324</v>
      </c>
      <c r="C87" s="96">
        <f t="shared" ref="C87:R87" ca="1" si="62">SUM(OFFSET($B$37:$S$54,,,17-C34,2+C34))/SUM(OFFSET($B$37:$S$54,,,17-C34,1+C34))</f>
        <v>1.2906114467647722</v>
      </c>
      <c r="D87" s="96">
        <f t="shared" ca="1" si="62"/>
        <v>1.1277367858138674</v>
      </c>
      <c r="E87" s="96">
        <f t="shared" ca="1" si="62"/>
        <v>1.0678355878247421</v>
      </c>
      <c r="F87" s="96">
        <f t="shared" ca="1" si="62"/>
        <v>1.0467344018200424</v>
      </c>
      <c r="G87" s="96">
        <f t="shared" ca="1" si="62"/>
        <v>1.0184654959572392</v>
      </c>
      <c r="H87" s="96">
        <f t="shared" ca="1" si="62"/>
        <v>1.0004447222007664</v>
      </c>
      <c r="I87" s="96">
        <f t="shared" ca="1" si="62"/>
        <v>0.98947354822039923</v>
      </c>
      <c r="J87" s="96">
        <f t="shared" ca="1" si="62"/>
        <v>0.99518235893197149</v>
      </c>
      <c r="K87" s="96">
        <f t="shared" ca="1" si="62"/>
        <v>0.99639270342283259</v>
      </c>
      <c r="L87" s="96">
        <f t="shared" ca="1" si="62"/>
        <v>0.99396725309459055</v>
      </c>
      <c r="M87" s="96">
        <f t="shared" ca="1" si="62"/>
        <v>0.99466958558191632</v>
      </c>
      <c r="N87" s="96">
        <f t="shared" ca="1" si="62"/>
        <v>0.99985470441824909</v>
      </c>
      <c r="O87" s="96">
        <f t="shared" ca="1" si="62"/>
        <v>0.99673936057590518</v>
      </c>
      <c r="P87" s="96">
        <f t="shared" ca="1" si="62"/>
        <v>1.0005283913704668</v>
      </c>
      <c r="Q87" s="96">
        <f t="shared" ca="1" si="62"/>
        <v>1.0037389755207073</v>
      </c>
      <c r="R87" s="96">
        <f t="shared" ca="1" si="62"/>
        <v>0.99309833892224908</v>
      </c>
    </row>
    <row r="88" spans="1:18" x14ac:dyDescent="0.2">
      <c r="A88" s="2" t="s">
        <v>9</v>
      </c>
    </row>
    <row r="89" spans="1:18" x14ac:dyDescent="0.2">
      <c r="A89" s="2" t="s">
        <v>10</v>
      </c>
      <c r="B89" s="9">
        <f>SUM($B48:C53)/SUM($B48:B53)</f>
        <v>1.982018956965816</v>
      </c>
      <c r="C89" s="9">
        <f>SUM($B47:D52)/SUM($B47:C52)</f>
        <v>1.3675346908098929</v>
      </c>
      <c r="D89" s="9">
        <f>SUM($B46:E51)/SUM($B46:D51)</f>
        <v>1.2154532574908545</v>
      </c>
      <c r="E89" s="9">
        <f>SUM($B45:F50)/SUM($B45:E50)</f>
        <v>1.1033668678739101</v>
      </c>
      <c r="F89" s="9">
        <f>SUM($B44:G49)/SUM($B44:F49)</f>
        <v>1.0481198967754541</v>
      </c>
      <c r="G89" s="9">
        <f>SUM($B43:H48)/SUM($B43:G48)</f>
        <v>1.028452156515717</v>
      </c>
      <c r="H89" s="9">
        <f>SUM($B42:I47)/SUM($B42:H47)</f>
        <v>1.0044095055300792</v>
      </c>
      <c r="I89" s="9">
        <f>SUM($B41:J46)/SUM($B41:I46)</f>
        <v>0.9917599710073054</v>
      </c>
      <c r="J89" s="9">
        <f>SUM($B40:K45)/SUM($B40:J45)</f>
        <v>0.99289575529134388</v>
      </c>
      <c r="K89" s="9">
        <f>SUM($B39:L44)/SUM($B39:K44)</f>
        <v>0.99806182611811456</v>
      </c>
      <c r="L89" s="9">
        <f>SUM($B38:M43)/SUM($B38:L43)</f>
        <v>0.99443189695655088</v>
      </c>
      <c r="M89" s="9">
        <f>SUM($B37:N42)/SUM($B37:M42)</f>
        <v>0.99466958558191632</v>
      </c>
      <c r="N89" s="6"/>
      <c r="O89" s="6"/>
      <c r="P89" s="6"/>
      <c r="Q89" s="6"/>
      <c r="R89" s="6"/>
    </row>
    <row r="90" spans="1:18" ht="15" x14ac:dyDescent="0.2">
      <c r="A90" s="2" t="s">
        <v>11</v>
      </c>
      <c r="B90" s="98">
        <f ca="1">SUM(OFFSET($B$48:$S$53,-B34,,,2+B34))/SUM(OFFSET($B$48:$S$53,-B34,,,1+B34))</f>
        <v>1.982018956965816</v>
      </c>
      <c r="C90" s="98">
        <f t="shared" ref="C90:L90" ca="1" si="63">SUM(OFFSET($B$48:$S$53,-C34,,,2+C34))/SUM(OFFSET($B$48:$S$53,-C34,,,1+C34))</f>
        <v>1.3675346908098929</v>
      </c>
      <c r="D90" s="98">
        <f t="shared" ca="1" si="63"/>
        <v>1.2154532574908545</v>
      </c>
      <c r="E90" s="98">
        <f t="shared" ca="1" si="63"/>
        <v>1.1033668678739101</v>
      </c>
      <c r="F90" s="98">
        <f t="shared" ca="1" si="63"/>
        <v>1.0481198967754541</v>
      </c>
      <c r="G90" s="98">
        <f t="shared" ca="1" si="63"/>
        <v>1.028452156515717</v>
      </c>
      <c r="H90" s="98">
        <f t="shared" ca="1" si="63"/>
        <v>1.0044095055300792</v>
      </c>
      <c r="I90" s="98">
        <f t="shared" ca="1" si="63"/>
        <v>0.9917599710073054</v>
      </c>
      <c r="J90" s="98">
        <f t="shared" ca="1" si="63"/>
        <v>0.99289575529134388</v>
      </c>
      <c r="K90" s="98">
        <f t="shared" ca="1" si="63"/>
        <v>0.99806182611811456</v>
      </c>
      <c r="L90" s="98">
        <f t="shared" ca="1" si="63"/>
        <v>0.99443189695655088</v>
      </c>
      <c r="M90" s="98">
        <f ca="1">SUM(OFFSET($B$48:$S$53,-M34,,,2+M34))/SUM(OFFSET($B$48:$S$53,-M34,,,1+M34))</f>
        <v>0.99466958558191632</v>
      </c>
    </row>
    <row r="91" spans="1:18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2">
      <c r="A92" s="2" t="s">
        <v>12</v>
      </c>
      <c r="B92" s="10">
        <f>SUM($B51:C53)/SUM($B51:B53)</f>
        <v>1.9641373169766521</v>
      </c>
      <c r="C92" s="10">
        <f>SUM($B50:D52)/SUM($B50:C52)</f>
        <v>1.2826525250797298</v>
      </c>
      <c r="D92" s="10">
        <f>SUM($B49:E51)/SUM($B49:D51)</f>
        <v>1.2116443441619178</v>
      </c>
      <c r="E92" s="10">
        <f>SUM($B48:F50)/SUM($B48:E50)</f>
        <v>1.1111544429416598</v>
      </c>
      <c r="F92" s="10">
        <f>SUM($B47:G49)/SUM($B47:F49)</f>
        <v>1.0184195442363402</v>
      </c>
      <c r="G92" s="10">
        <f>SUM($B46:H48)/SUM($B46:G48)</f>
        <v>1.0504493347564303</v>
      </c>
      <c r="H92" s="10">
        <f>SUM($B45:I47)/SUM($B45:H47)</f>
        <v>1.0086314242623458</v>
      </c>
      <c r="I92" s="10">
        <f>SUM($B44:J46)/SUM($B44:I46)</f>
        <v>0.99421682697082436</v>
      </c>
      <c r="J92" s="10">
        <f>SUM($B43:K45)/SUM($B43:J45)</f>
        <v>0.99100758553671664</v>
      </c>
      <c r="K92" s="10">
        <f>SUM($B42:L44)/SUM($B42:K44)</f>
        <v>1.0080129066953483</v>
      </c>
      <c r="L92" s="10">
        <f>SUM($B41:M43)/SUM($B41:L43)</f>
        <v>1.0011341743831956</v>
      </c>
      <c r="M92" s="10">
        <f>SUM($B40:N42)/SUM($B40:M42)</f>
        <v>0.99409789355856315</v>
      </c>
      <c r="N92" s="10">
        <f>SUM($B39:O41)/SUM($B39:N41)</f>
        <v>1.0046815479369149</v>
      </c>
      <c r="O92" s="10">
        <f>SUM($B38:P40)/SUM($B38:O40)</f>
        <v>0.99623325742285729</v>
      </c>
      <c r="P92" s="10">
        <f>SUM($B37:Q39)/SUM($B37:P39)</f>
        <v>1.0005283913704668</v>
      </c>
      <c r="Q92" s="6"/>
      <c r="R92" s="6"/>
    </row>
    <row r="93" spans="1:18" ht="15" x14ac:dyDescent="0.2">
      <c r="A93" s="3"/>
      <c r="B93" s="99">
        <f ca="1">SUM(OFFSET($B$51:$S$53,-B34,,,2+B34))/SUM(OFFSET($B$51:$S$53,-B34,,,1+B34))</f>
        <v>1.9641373169766521</v>
      </c>
      <c r="C93" s="99">
        <f t="shared" ref="C93:P93" ca="1" si="64">SUM(OFFSET($B$51:$S$53,-C34,,,2+C34))/SUM(OFFSET($B$51:$S$53,-C34,,,1+C34))</f>
        <v>1.2826525250797298</v>
      </c>
      <c r="D93" s="99">
        <f t="shared" ca="1" si="64"/>
        <v>1.2116443441619178</v>
      </c>
      <c r="E93" s="99">
        <f t="shared" ca="1" si="64"/>
        <v>1.1111544429416598</v>
      </c>
      <c r="F93" s="99">
        <f t="shared" ca="1" si="64"/>
        <v>1.0184195442363402</v>
      </c>
      <c r="G93" s="99">
        <f t="shared" ca="1" si="64"/>
        <v>1.0504493347564303</v>
      </c>
      <c r="H93" s="99">
        <f t="shared" ca="1" si="64"/>
        <v>1.0086314242623458</v>
      </c>
      <c r="I93" s="99">
        <f t="shared" ca="1" si="64"/>
        <v>0.99421682697082436</v>
      </c>
      <c r="J93" s="99">
        <f t="shared" ca="1" si="64"/>
        <v>0.99100758553671664</v>
      </c>
      <c r="K93" s="99">
        <f t="shared" ca="1" si="64"/>
        <v>1.0080129066953483</v>
      </c>
      <c r="L93" s="99">
        <f t="shared" ca="1" si="64"/>
        <v>1.0011341743831956</v>
      </c>
      <c r="M93" s="99">
        <f t="shared" ca="1" si="64"/>
        <v>0.99409789355856315</v>
      </c>
      <c r="N93" s="99">
        <f t="shared" ca="1" si="64"/>
        <v>1.0046815479369149</v>
      </c>
      <c r="O93" s="99">
        <f t="shared" ca="1" si="64"/>
        <v>0.99623325742285729</v>
      </c>
      <c r="P93" s="99">
        <f t="shared" ca="1" si="64"/>
        <v>1.0005283913704668</v>
      </c>
      <c r="Q93" s="3"/>
      <c r="R93" s="3"/>
    </row>
    <row r="94" spans="1:18" x14ac:dyDescent="0.2">
      <c r="A94" s="2" t="s">
        <v>13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2">
      <c r="A95" s="2" t="s">
        <v>14</v>
      </c>
      <c r="B95" s="9">
        <f>B89</f>
        <v>1.982018956965816</v>
      </c>
      <c r="C95" s="9">
        <f>C89</f>
        <v>1.3675346908098929</v>
      </c>
      <c r="D95" s="9">
        <f t="shared" ref="D95:G95" si="65">D89</f>
        <v>1.2154532574908545</v>
      </c>
      <c r="E95" s="9">
        <f t="shared" si="65"/>
        <v>1.1033668678739101</v>
      </c>
      <c r="F95" s="9">
        <f t="shared" si="65"/>
        <v>1.0481198967754541</v>
      </c>
      <c r="G95" s="9">
        <f t="shared" si="65"/>
        <v>1.028452156515717</v>
      </c>
      <c r="H95" s="9">
        <f>H89</f>
        <v>1.0044095055300792</v>
      </c>
      <c r="I95" s="9">
        <f t="shared" ref="I95:M95" si="66">I89</f>
        <v>0.9917599710073054</v>
      </c>
      <c r="J95" s="9">
        <f t="shared" si="66"/>
        <v>0.99289575529134388</v>
      </c>
      <c r="K95" s="9">
        <f t="shared" si="66"/>
        <v>0.99806182611811456</v>
      </c>
      <c r="L95" s="9">
        <f t="shared" si="66"/>
        <v>0.99443189695655088</v>
      </c>
      <c r="M95" s="9">
        <f t="shared" si="66"/>
        <v>0.99466958558191632</v>
      </c>
      <c r="N95" s="8">
        <f t="shared" ref="N95:R95" si="67">N86</f>
        <v>0.99985470441824909</v>
      </c>
      <c r="O95" s="8">
        <f t="shared" si="67"/>
        <v>0.99673936057590518</v>
      </c>
      <c r="P95" s="8">
        <f t="shared" si="67"/>
        <v>1.0005283913704668</v>
      </c>
      <c r="Q95" s="8">
        <f t="shared" si="67"/>
        <v>1.0037389755207073</v>
      </c>
      <c r="R95" s="8">
        <f t="shared" si="67"/>
        <v>0.99309833892224908</v>
      </c>
    </row>
    <row r="96" spans="1:18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22" x14ac:dyDescent="0.2">
      <c r="A97" s="2" t="s">
        <v>15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22" x14ac:dyDescent="0.2">
      <c r="A98" s="2" t="s">
        <v>16</v>
      </c>
      <c r="B98" s="9">
        <f>B95</f>
        <v>1.982018956965816</v>
      </c>
      <c r="C98" s="9">
        <f t="shared" ref="C98:H98" si="68">C95</f>
        <v>1.3675346908098929</v>
      </c>
      <c r="D98" s="9">
        <f t="shared" si="68"/>
        <v>1.2154532574908545</v>
      </c>
      <c r="E98" s="9">
        <f t="shared" si="68"/>
        <v>1.1033668678739101</v>
      </c>
      <c r="F98" s="9">
        <f t="shared" si="68"/>
        <v>1.0481198967754541</v>
      </c>
      <c r="G98" s="9">
        <f t="shared" si="68"/>
        <v>1.028452156515717</v>
      </c>
      <c r="H98" s="9">
        <f t="shared" si="68"/>
        <v>1.0044095055300792</v>
      </c>
      <c r="I98" s="11">
        <f>(SUM(K9:K17)+SUM(J9:J18)+SUM(I9:I19))/(SUM(J9:J17)+SUM(I9:I18)+SUM(H9:H19))</f>
        <v>0.995216012308621</v>
      </c>
      <c r="J98" s="11">
        <f>(SUM(L9:L16)+SUM(K9:K17)+SUM(J9:J18))/(SUM(K9:K16)+SUM(J9:J17)+SUM(I9:I18))</f>
        <v>0.99336095511133804</v>
      </c>
      <c r="K98" s="11">
        <f>(SUM(M9:M15)+SUM(L9:L16)+SUM(K9:K17))/(SUM(L9:L15)+SUM(K9:K16)+SUM(J9:J17))</f>
        <v>0.99524069568495044</v>
      </c>
      <c r="L98" s="11">
        <f>(SUM(N9:N14)+SUM(M9:M15)+SUM(L9:L16))/(SUM(M9:M14)+SUM(L9:L15)+SUM(K9:K16))</f>
        <v>0.99511555034355004</v>
      </c>
      <c r="M98" s="11">
        <f>(SUM(O9:O13)+SUM(N9:N14)+SUM(M9:M15))/(SUM(N9:N13)+SUM(M9:M14)+SUM(L9:L15))</f>
        <v>0.99573857992397652</v>
      </c>
      <c r="N98" s="11">
        <f>(SUM(P9:P12)+SUM(O9:O13)+SUM(N9:N14))/(SUM(O9:O12)+SUM(N9:N13)+SUM(M9:M14))</f>
        <v>0.99692254326946461</v>
      </c>
      <c r="O98" s="11">
        <f>(SUM(Q9:Q11)+SUM(P9:P12)+SUM(O9:O13))/(SUM(P9:P11)+SUM(O9:O12)+SUM(N9:N13))</f>
        <v>0.99896318018346342</v>
      </c>
      <c r="P98" s="11">
        <f>(SUM(R9:R10)+SUM(Q9:Q11)+SUM(P9:P12))/(SUM(Q9:Q10)+SUM(P9:P11)+SUM(O9:O12))</f>
        <v>0.99927841549996688</v>
      </c>
      <c r="Q98" s="11">
        <f>(SUM(S9:S9)+SUM(R9:R10)+SUM(Q9:Q11))/(SUM(R9:R9)+SUM(Q9:Q10)+SUM(P9:P11))</f>
        <v>1.0002286375221072</v>
      </c>
      <c r="R98" s="6"/>
    </row>
    <row r="99" spans="1:22" x14ac:dyDescent="0.2">
      <c r="I99" s="16"/>
    </row>
    <row r="102" spans="1:22" ht="15.75" x14ac:dyDescent="0.25">
      <c r="A102" s="21" t="s">
        <v>98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22" ht="15.75" x14ac:dyDescent="0.25">
      <c r="A103" s="21" t="s">
        <v>99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2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22" ht="15.75" x14ac:dyDescent="0.25">
      <c r="A105" s="20" t="s">
        <v>0</v>
      </c>
      <c r="B105" s="21" t="s">
        <v>100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U105" s="27" t="s">
        <v>33</v>
      </c>
      <c r="V105" s="24"/>
    </row>
    <row r="106" spans="1:22" ht="15.75" x14ac:dyDescent="0.25">
      <c r="A106" s="20" t="s">
        <v>1</v>
      </c>
      <c r="B106" s="23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U106" s="20" t="s">
        <v>34</v>
      </c>
      <c r="V106" s="20" t="s">
        <v>35</v>
      </c>
    </row>
    <row r="107" spans="1:22" ht="15.75" x14ac:dyDescent="0.25">
      <c r="A107" s="24"/>
      <c r="B107" s="24">
        <v>0</v>
      </c>
      <c r="C107" s="24">
        <f t="shared" ref="C107:S107" si="69">B107+1</f>
        <v>1</v>
      </c>
      <c r="D107" s="24">
        <f t="shared" si="69"/>
        <v>2</v>
      </c>
      <c r="E107" s="24">
        <f t="shared" si="69"/>
        <v>3</v>
      </c>
      <c r="F107" s="24">
        <f t="shared" si="69"/>
        <v>4</v>
      </c>
      <c r="G107" s="24">
        <f t="shared" si="69"/>
        <v>5</v>
      </c>
      <c r="H107" s="24">
        <f t="shared" si="69"/>
        <v>6</v>
      </c>
      <c r="I107" s="24">
        <f t="shared" si="69"/>
        <v>7</v>
      </c>
      <c r="J107" s="24">
        <f t="shared" si="69"/>
        <v>8</v>
      </c>
      <c r="K107" s="24">
        <f t="shared" si="69"/>
        <v>9</v>
      </c>
      <c r="L107" s="24">
        <f t="shared" si="69"/>
        <v>10</v>
      </c>
      <c r="M107" s="24">
        <f t="shared" si="69"/>
        <v>11</v>
      </c>
      <c r="N107" s="24">
        <f t="shared" si="69"/>
        <v>12</v>
      </c>
      <c r="O107" s="24">
        <f t="shared" si="69"/>
        <v>13</v>
      </c>
      <c r="P107" s="24">
        <f t="shared" si="69"/>
        <v>14</v>
      </c>
      <c r="Q107" s="24">
        <f t="shared" si="69"/>
        <v>15</v>
      </c>
      <c r="R107" s="24">
        <f t="shared" si="69"/>
        <v>16</v>
      </c>
      <c r="S107" s="24">
        <f t="shared" si="69"/>
        <v>17</v>
      </c>
      <c r="T107" s="64" t="s">
        <v>28</v>
      </c>
      <c r="U107" s="27" t="s">
        <v>38</v>
      </c>
      <c r="V107" s="27" t="s">
        <v>39</v>
      </c>
    </row>
    <row r="108" spans="1:22" ht="15.75" x14ac:dyDescent="0.25">
      <c r="B108" s="2" t="s">
        <v>29</v>
      </c>
      <c r="C108" s="2" t="s">
        <v>29</v>
      </c>
      <c r="D108" s="2" t="s">
        <v>29</v>
      </c>
      <c r="E108" s="2" t="s">
        <v>29</v>
      </c>
      <c r="F108" s="2" t="s">
        <v>29</v>
      </c>
      <c r="G108" s="2" t="s">
        <v>29</v>
      </c>
      <c r="H108" s="2" t="s">
        <v>29</v>
      </c>
      <c r="I108" s="2" t="s">
        <v>29</v>
      </c>
      <c r="J108" s="2" t="s">
        <v>29</v>
      </c>
      <c r="K108" s="2" t="s">
        <v>29</v>
      </c>
      <c r="L108" s="2" t="s">
        <v>29</v>
      </c>
      <c r="M108" s="2" t="s">
        <v>29</v>
      </c>
      <c r="N108" s="2" t="s">
        <v>29</v>
      </c>
      <c r="O108" s="2" t="s">
        <v>29</v>
      </c>
      <c r="P108" s="2" t="s">
        <v>29</v>
      </c>
      <c r="Q108" s="2" t="s">
        <v>29</v>
      </c>
      <c r="R108" s="2" t="s">
        <v>29</v>
      </c>
      <c r="S108" s="2" t="s">
        <v>29</v>
      </c>
      <c r="T108" s="20" t="s">
        <v>29</v>
      </c>
      <c r="U108" s="20" t="s">
        <v>29</v>
      </c>
      <c r="V108" s="20" t="s">
        <v>29</v>
      </c>
    </row>
    <row r="110" spans="1:22" ht="15.75" x14ac:dyDescent="0.25">
      <c r="A110" s="1">
        <v>1978</v>
      </c>
      <c r="B110" s="41">
        <f t="shared" ref="B110:R111" si="70">B9</f>
        <v>9268</v>
      </c>
      <c r="C110" s="41">
        <f t="shared" si="70"/>
        <v>18263</v>
      </c>
      <c r="D110" s="41">
        <f t="shared" si="70"/>
        <v>20182</v>
      </c>
      <c r="E110" s="41">
        <f t="shared" si="70"/>
        <v>22383</v>
      </c>
      <c r="F110" s="41">
        <f t="shared" si="70"/>
        <v>22782</v>
      </c>
      <c r="G110" s="41">
        <f t="shared" si="70"/>
        <v>26348</v>
      </c>
      <c r="H110" s="41">
        <f t="shared" si="70"/>
        <v>26172</v>
      </c>
      <c r="I110" s="41">
        <f t="shared" si="70"/>
        <v>26184</v>
      </c>
      <c r="J110" s="41">
        <f t="shared" si="70"/>
        <v>25455</v>
      </c>
      <c r="K110" s="41">
        <f t="shared" si="70"/>
        <v>25740</v>
      </c>
      <c r="L110" s="41">
        <f t="shared" si="70"/>
        <v>25711</v>
      </c>
      <c r="M110" s="41">
        <f t="shared" si="70"/>
        <v>25452</v>
      </c>
      <c r="N110" s="41">
        <f t="shared" si="70"/>
        <v>25460</v>
      </c>
      <c r="O110" s="41">
        <f t="shared" si="70"/>
        <v>25422</v>
      </c>
      <c r="P110" s="41">
        <f t="shared" si="70"/>
        <v>25386</v>
      </c>
      <c r="Q110" s="41">
        <f t="shared" si="70"/>
        <v>25520</v>
      </c>
      <c r="R110" s="41">
        <f t="shared" si="70"/>
        <v>25646</v>
      </c>
      <c r="S110" s="41">
        <f>S9</f>
        <v>25469</v>
      </c>
      <c r="T110" s="42">
        <f>S110</f>
        <v>25469</v>
      </c>
      <c r="U110" s="35">
        <f>'Table 3.4 - 3.5 and 3.7 - 3.9'!U152</f>
        <v>25469.405999999995</v>
      </c>
      <c r="V110" s="36">
        <f>T110-U110</f>
        <v>-0.40599999999540159</v>
      </c>
    </row>
    <row r="111" spans="1:22" ht="15.75" x14ac:dyDescent="0.25">
      <c r="A111" s="1">
        <v>1979</v>
      </c>
      <c r="B111" s="41">
        <f t="shared" ref="B111:Q111" si="71">B10</f>
        <v>9848</v>
      </c>
      <c r="C111" s="41">
        <f t="shared" si="71"/>
        <v>16123</v>
      </c>
      <c r="D111" s="41">
        <f t="shared" si="71"/>
        <v>17099</v>
      </c>
      <c r="E111" s="41">
        <f t="shared" si="71"/>
        <v>18544</v>
      </c>
      <c r="F111" s="41">
        <f t="shared" si="71"/>
        <v>20534</v>
      </c>
      <c r="G111" s="41">
        <f t="shared" si="71"/>
        <v>21554</v>
      </c>
      <c r="H111" s="41">
        <f t="shared" si="71"/>
        <v>23219</v>
      </c>
      <c r="I111" s="41">
        <f t="shared" si="71"/>
        <v>22381</v>
      </c>
      <c r="J111" s="41">
        <f t="shared" si="71"/>
        <v>21584</v>
      </c>
      <c r="K111" s="41">
        <f t="shared" si="71"/>
        <v>21408</v>
      </c>
      <c r="L111" s="41">
        <f t="shared" si="71"/>
        <v>20857</v>
      </c>
      <c r="M111" s="41">
        <f t="shared" si="71"/>
        <v>21163</v>
      </c>
      <c r="N111" s="41">
        <f t="shared" si="71"/>
        <v>20482</v>
      </c>
      <c r="O111" s="41">
        <f t="shared" si="71"/>
        <v>19971</v>
      </c>
      <c r="P111" s="41">
        <f t="shared" si="71"/>
        <v>19958</v>
      </c>
      <c r="Q111" s="41">
        <f t="shared" si="71"/>
        <v>19947</v>
      </c>
      <c r="R111" s="41">
        <f t="shared" si="70"/>
        <v>19991</v>
      </c>
      <c r="S111" s="42">
        <f t="shared" ref="S111:T126" si="72">R111</f>
        <v>19991</v>
      </c>
      <c r="T111" s="42">
        <f t="shared" si="72"/>
        <v>19991</v>
      </c>
      <c r="U111" s="35">
        <f>'Table 3.4 - 3.5 and 3.7 - 3.9'!U153</f>
        <v>19836.829000000005</v>
      </c>
      <c r="V111" s="36">
        <f t="shared" ref="V111:V127" si="73">T111-U111</f>
        <v>154.17099999999482</v>
      </c>
    </row>
    <row r="112" spans="1:22" ht="15.75" x14ac:dyDescent="0.25">
      <c r="A112" s="1">
        <v>1980</v>
      </c>
      <c r="B112" s="41">
        <f t="shared" ref="B112:Q112" si="74">B11</f>
        <v>13990</v>
      </c>
      <c r="C112" s="41">
        <f t="shared" si="74"/>
        <v>22484</v>
      </c>
      <c r="D112" s="41">
        <f t="shared" si="74"/>
        <v>24950</v>
      </c>
      <c r="E112" s="41">
        <f t="shared" si="74"/>
        <v>33255</v>
      </c>
      <c r="F112" s="41">
        <f t="shared" si="74"/>
        <v>33295</v>
      </c>
      <c r="G112" s="41">
        <f t="shared" si="74"/>
        <v>34308</v>
      </c>
      <c r="H112" s="41">
        <f t="shared" si="74"/>
        <v>34022</v>
      </c>
      <c r="I112" s="41">
        <f t="shared" si="74"/>
        <v>34023</v>
      </c>
      <c r="J112" s="41">
        <f t="shared" si="74"/>
        <v>33842</v>
      </c>
      <c r="K112" s="41">
        <f t="shared" si="74"/>
        <v>33933</v>
      </c>
      <c r="L112" s="41">
        <f t="shared" si="74"/>
        <v>33570</v>
      </c>
      <c r="M112" s="41">
        <f t="shared" si="74"/>
        <v>31881</v>
      </c>
      <c r="N112" s="41">
        <f t="shared" si="74"/>
        <v>32203</v>
      </c>
      <c r="O112" s="41">
        <f t="shared" si="74"/>
        <v>32345</v>
      </c>
      <c r="P112" s="41">
        <f t="shared" si="74"/>
        <v>32250</v>
      </c>
      <c r="Q112" s="41">
        <f t="shared" si="74"/>
        <v>32168</v>
      </c>
      <c r="R112" s="42">
        <f t="shared" ref="R112" si="75">Q112*Q$98</f>
        <v>32175.354811811147</v>
      </c>
      <c r="S112" s="42">
        <f t="shared" si="72"/>
        <v>32175.354811811147</v>
      </c>
      <c r="T112" s="42">
        <f t="shared" si="72"/>
        <v>32175.354811811147</v>
      </c>
      <c r="U112" s="35">
        <f>'Table 3.4 - 3.5 and 3.7 - 3.9'!U154</f>
        <v>31992.917999999998</v>
      </c>
      <c r="V112" s="36">
        <f t="shared" si="73"/>
        <v>182.4368118111488</v>
      </c>
    </row>
    <row r="113" spans="1:22" x14ac:dyDescent="0.2">
      <c r="A113" s="1">
        <v>1981</v>
      </c>
      <c r="B113" s="41">
        <f t="shared" ref="B113:P113" si="76">B12</f>
        <v>16550</v>
      </c>
      <c r="C113" s="41">
        <f t="shared" si="76"/>
        <v>28056</v>
      </c>
      <c r="D113" s="41">
        <f t="shared" si="76"/>
        <v>39995</v>
      </c>
      <c r="E113" s="41">
        <f t="shared" si="76"/>
        <v>42459</v>
      </c>
      <c r="F113" s="41">
        <f t="shared" si="76"/>
        <v>42797</v>
      </c>
      <c r="G113" s="41">
        <f t="shared" si="76"/>
        <v>42755</v>
      </c>
      <c r="H113" s="41">
        <f t="shared" si="76"/>
        <v>42435</v>
      </c>
      <c r="I113" s="41">
        <f t="shared" si="76"/>
        <v>42302</v>
      </c>
      <c r="J113" s="41">
        <f t="shared" si="76"/>
        <v>42095</v>
      </c>
      <c r="K113" s="41">
        <f t="shared" si="76"/>
        <v>41606</v>
      </c>
      <c r="L113" s="41">
        <f t="shared" si="76"/>
        <v>40440</v>
      </c>
      <c r="M113" s="41">
        <f t="shared" si="76"/>
        <v>40432</v>
      </c>
      <c r="N113" s="41">
        <f t="shared" si="76"/>
        <v>40326</v>
      </c>
      <c r="O113" s="41">
        <f t="shared" si="76"/>
        <v>40337</v>
      </c>
      <c r="P113" s="41">
        <f t="shared" si="76"/>
        <v>40096</v>
      </c>
      <c r="Q113" s="42">
        <f t="shared" ref="Q113:R113" si="77">P113*P$98</f>
        <v>40067.067347886674</v>
      </c>
      <c r="R113" s="42">
        <f t="shared" si="77"/>
        <v>40076.228182883198</v>
      </c>
      <c r="S113" s="42">
        <f t="shared" si="72"/>
        <v>40076.228182883198</v>
      </c>
      <c r="T113" s="42">
        <f t="shared" si="72"/>
        <v>40076.228182883198</v>
      </c>
      <c r="U113" s="35">
        <f>'Table 3.4 - 3.5 and 3.7 - 3.9'!U155</f>
        <v>39118.252</v>
      </c>
      <c r="V113" s="36">
        <f t="shared" si="73"/>
        <v>957.97618288319791</v>
      </c>
    </row>
    <row r="114" spans="1:22" x14ac:dyDescent="0.2">
      <c r="A114" s="1">
        <v>1982</v>
      </c>
      <c r="B114" s="41">
        <f t="shared" ref="B114:O114" si="78">B13</f>
        <v>11100</v>
      </c>
      <c r="C114" s="41">
        <f t="shared" si="78"/>
        <v>31620</v>
      </c>
      <c r="D114" s="41">
        <f t="shared" si="78"/>
        <v>40852</v>
      </c>
      <c r="E114" s="41">
        <f t="shared" si="78"/>
        <v>38831</v>
      </c>
      <c r="F114" s="41">
        <f t="shared" si="78"/>
        <v>39516</v>
      </c>
      <c r="G114" s="41">
        <f t="shared" si="78"/>
        <v>39870</v>
      </c>
      <c r="H114" s="41">
        <f t="shared" si="78"/>
        <v>40358</v>
      </c>
      <c r="I114" s="41">
        <f t="shared" si="78"/>
        <v>40355</v>
      </c>
      <c r="J114" s="41">
        <f t="shared" si="78"/>
        <v>40116</v>
      </c>
      <c r="K114" s="41">
        <f t="shared" si="78"/>
        <v>39888</v>
      </c>
      <c r="L114" s="41">
        <f t="shared" si="78"/>
        <v>39898</v>
      </c>
      <c r="M114" s="41">
        <f t="shared" si="78"/>
        <v>40147</v>
      </c>
      <c r="N114" s="41">
        <f t="shared" si="78"/>
        <v>39827</v>
      </c>
      <c r="O114" s="41">
        <f t="shared" si="78"/>
        <v>40200</v>
      </c>
      <c r="P114" s="42">
        <f t="shared" ref="P114:R114" si="79">O114*O$98</f>
        <v>40158.319843375226</v>
      </c>
      <c r="Q114" s="42">
        <f t="shared" si="79"/>
        <v>40129.342222228872</v>
      </c>
      <c r="R114" s="42">
        <f t="shared" si="79"/>
        <v>40138.517295598358</v>
      </c>
      <c r="S114" s="42">
        <f t="shared" si="72"/>
        <v>40138.517295598358</v>
      </c>
      <c r="T114" s="42">
        <f t="shared" si="72"/>
        <v>40138.517295598358</v>
      </c>
      <c r="U114" s="35">
        <f>'Table 3.4 - 3.5 and 3.7 - 3.9'!U156</f>
        <v>39428.586000000003</v>
      </c>
      <c r="V114" s="36">
        <f t="shared" si="73"/>
        <v>709.93129559835506</v>
      </c>
    </row>
    <row r="115" spans="1:22" x14ac:dyDescent="0.2">
      <c r="A115" s="1">
        <v>1983</v>
      </c>
      <c r="B115" s="41">
        <f t="shared" ref="B115:N115" si="80">B14</f>
        <v>15677</v>
      </c>
      <c r="C115" s="41">
        <f t="shared" si="80"/>
        <v>33074</v>
      </c>
      <c r="D115" s="41">
        <f t="shared" si="80"/>
        <v>35592</v>
      </c>
      <c r="E115" s="41">
        <f t="shared" si="80"/>
        <v>35721</v>
      </c>
      <c r="F115" s="41">
        <f t="shared" si="80"/>
        <v>38652</v>
      </c>
      <c r="G115" s="41">
        <f t="shared" si="80"/>
        <v>39418</v>
      </c>
      <c r="H115" s="41">
        <f t="shared" si="80"/>
        <v>39223</v>
      </c>
      <c r="I115" s="41">
        <f t="shared" si="80"/>
        <v>39696</v>
      </c>
      <c r="J115" s="41">
        <f t="shared" si="80"/>
        <v>37769</v>
      </c>
      <c r="K115" s="41">
        <f t="shared" si="80"/>
        <v>37894</v>
      </c>
      <c r="L115" s="41">
        <f t="shared" si="80"/>
        <v>37369</v>
      </c>
      <c r="M115" s="41">
        <f t="shared" si="80"/>
        <v>37345</v>
      </c>
      <c r="N115" s="41">
        <f t="shared" si="80"/>
        <v>37075</v>
      </c>
      <c r="O115" s="42">
        <f t="shared" ref="O115:R115" si="81">N115*N$98</f>
        <v>36960.903291715404</v>
      </c>
      <c r="P115" s="42">
        <f t="shared" si="81"/>
        <v>36922.581494745464</v>
      </c>
      <c r="Q115" s="42">
        <f t="shared" si="81"/>
        <v>36895.938732237642</v>
      </c>
      <c r="R115" s="42">
        <f t="shared" si="81"/>
        <v>36904.3745282452</v>
      </c>
      <c r="S115" s="42">
        <f t="shared" si="72"/>
        <v>36904.3745282452</v>
      </c>
      <c r="T115" s="42">
        <f t="shared" si="72"/>
        <v>36904.3745282452</v>
      </c>
      <c r="U115" s="35">
        <f>'Table 3.4 - 3.5 and 3.7 - 3.9'!U157</f>
        <v>36354.199000000001</v>
      </c>
      <c r="V115" s="36">
        <f t="shared" si="73"/>
        <v>550.17552824519953</v>
      </c>
    </row>
    <row r="116" spans="1:22" x14ac:dyDescent="0.2">
      <c r="A116" s="1">
        <v>1984</v>
      </c>
      <c r="B116" s="41">
        <f t="shared" ref="B116:M116" si="82">B15</f>
        <v>20375</v>
      </c>
      <c r="C116" s="41">
        <f t="shared" si="82"/>
        <v>33555</v>
      </c>
      <c r="D116" s="41">
        <f t="shared" si="82"/>
        <v>41756</v>
      </c>
      <c r="E116" s="41">
        <f t="shared" si="82"/>
        <v>45125</v>
      </c>
      <c r="F116" s="41">
        <f t="shared" si="82"/>
        <v>47284</v>
      </c>
      <c r="G116" s="41">
        <f t="shared" si="82"/>
        <v>51710</v>
      </c>
      <c r="H116" s="41">
        <f t="shared" si="82"/>
        <v>52147</v>
      </c>
      <c r="I116" s="41">
        <f t="shared" si="82"/>
        <v>51187</v>
      </c>
      <c r="J116" s="41">
        <f t="shared" si="82"/>
        <v>51950</v>
      </c>
      <c r="K116" s="41">
        <f t="shared" si="82"/>
        <v>50967</v>
      </c>
      <c r="L116" s="41">
        <f t="shared" si="82"/>
        <v>51461</v>
      </c>
      <c r="M116" s="41">
        <f t="shared" si="82"/>
        <v>51382</v>
      </c>
      <c r="N116" s="42">
        <f t="shared" ref="N116:Q116" si="83">M116*M$98</f>
        <v>51163.039713653765</v>
      </c>
      <c r="O116" s="42">
        <f t="shared" si="83"/>
        <v>51005.587672732334</v>
      </c>
      <c r="P116" s="42">
        <f t="shared" si="83"/>
        <v>50952.704068679152</v>
      </c>
      <c r="Q116" s="42">
        <f t="shared" si="83"/>
        <v>50915.937387188416</v>
      </c>
      <c r="R116" s="42">
        <f t="shared" ref="R116" si="84">Q116*Q$98</f>
        <v>50927.578680948391</v>
      </c>
      <c r="S116" s="42">
        <f t="shared" si="72"/>
        <v>50927.578680948391</v>
      </c>
      <c r="T116" s="42">
        <f t="shared" si="72"/>
        <v>50927.578680948391</v>
      </c>
      <c r="U116" s="35">
        <f>'Table 3.4 - 3.5 and 3.7 - 3.9'!U158</f>
        <v>48560.689000000013</v>
      </c>
      <c r="V116" s="36">
        <f t="shared" si="73"/>
        <v>2366.8896809483776</v>
      </c>
    </row>
    <row r="117" spans="1:22" x14ac:dyDescent="0.2">
      <c r="A117" s="1">
        <v>1985</v>
      </c>
      <c r="B117" s="41">
        <f t="shared" ref="B117:L117" si="85">B16</f>
        <v>9800</v>
      </c>
      <c r="C117" s="41">
        <f t="shared" si="85"/>
        <v>24663</v>
      </c>
      <c r="D117" s="41">
        <f t="shared" si="85"/>
        <v>36061</v>
      </c>
      <c r="E117" s="41">
        <f t="shared" si="85"/>
        <v>37927</v>
      </c>
      <c r="F117" s="41">
        <f t="shared" si="85"/>
        <v>40042</v>
      </c>
      <c r="G117" s="41">
        <f t="shared" si="85"/>
        <v>40562</v>
      </c>
      <c r="H117" s="41">
        <f t="shared" si="85"/>
        <v>40362</v>
      </c>
      <c r="I117" s="41">
        <f t="shared" si="85"/>
        <v>40884</v>
      </c>
      <c r="J117" s="41">
        <f t="shared" si="85"/>
        <v>40597</v>
      </c>
      <c r="K117" s="41">
        <f t="shared" si="85"/>
        <v>41304</v>
      </c>
      <c r="L117" s="41">
        <f t="shared" si="85"/>
        <v>42378</v>
      </c>
      <c r="M117" s="42">
        <f t="shared" ref="M117:Q117" si="86">L117*L$98</f>
        <v>42171.00679245896</v>
      </c>
      <c r="N117" s="42">
        <f t="shared" si="86"/>
        <v>41991.298417487451</v>
      </c>
      <c r="O117" s="42">
        <f t="shared" si="86"/>
        <v>41862.072013548634</v>
      </c>
      <c r="P117" s="42">
        <f t="shared" si="86"/>
        <v>41818.668587723703</v>
      </c>
      <c r="Q117" s="42">
        <f t="shared" si="86"/>
        <v>41788.492884658779</v>
      </c>
      <c r="R117" s="42">
        <f t="shared" ref="R117" si="87">Q117*Q$98</f>
        <v>41798.04730212452</v>
      </c>
      <c r="S117" s="42">
        <f t="shared" si="72"/>
        <v>41798.04730212452</v>
      </c>
      <c r="T117" s="42">
        <f t="shared" si="72"/>
        <v>41798.04730212452</v>
      </c>
      <c r="U117" s="35">
        <f>'Table 3.4 - 3.5 and 3.7 - 3.9'!U159</f>
        <v>39959.231</v>
      </c>
      <c r="V117" s="36">
        <f t="shared" si="73"/>
        <v>1838.81630212452</v>
      </c>
    </row>
    <row r="118" spans="1:22" x14ac:dyDescent="0.2">
      <c r="A118" s="1">
        <v>1986</v>
      </c>
      <c r="B118" s="41">
        <f t="shared" ref="B118:K118" si="88">B17</f>
        <v>11380</v>
      </c>
      <c r="C118" s="41">
        <f t="shared" si="88"/>
        <v>26843</v>
      </c>
      <c r="D118" s="41">
        <f t="shared" si="88"/>
        <v>34931</v>
      </c>
      <c r="E118" s="41">
        <f t="shared" si="88"/>
        <v>37805</v>
      </c>
      <c r="F118" s="41">
        <f t="shared" si="88"/>
        <v>41277</v>
      </c>
      <c r="G118" s="41">
        <f t="shared" si="88"/>
        <v>44901</v>
      </c>
      <c r="H118" s="41">
        <f t="shared" si="88"/>
        <v>45867</v>
      </c>
      <c r="I118" s="41">
        <f t="shared" si="88"/>
        <v>45404</v>
      </c>
      <c r="J118" s="41">
        <f t="shared" si="88"/>
        <v>45347</v>
      </c>
      <c r="K118" s="41">
        <f t="shared" si="88"/>
        <v>44383</v>
      </c>
      <c r="L118" s="42">
        <f t="shared" ref="L118:Q118" si="89">K118*K$98</f>
        <v>44171.767796585154</v>
      </c>
      <c r="M118" s="42">
        <f t="shared" si="89"/>
        <v>43956.013020546336</v>
      </c>
      <c r="N118" s="42">
        <f t="shared" si="89"/>
        <v>43768.697984198632</v>
      </c>
      <c r="O118" s="42">
        <f t="shared" si="89"/>
        <v>43634.00171000039</v>
      </c>
      <c r="P118" s="42">
        <f t="shared" si="89"/>
        <v>43588.761112352673</v>
      </c>
      <c r="Q118" s="42">
        <f t="shared" si="89"/>
        <v>43557.308137958353</v>
      </c>
      <c r="R118" s="42">
        <f t="shared" ref="R118" si="90">Q118*Q$98</f>
        <v>43567.266972960679</v>
      </c>
      <c r="S118" s="42">
        <f t="shared" si="72"/>
        <v>43567.266972960679</v>
      </c>
      <c r="T118" s="42">
        <f t="shared" si="72"/>
        <v>43567.266972960679</v>
      </c>
      <c r="U118" s="35">
        <f>'Table 3.4 - 3.5 and 3.7 - 3.9'!U160</f>
        <v>41254.536</v>
      </c>
      <c r="V118" s="36">
        <f t="shared" si="73"/>
        <v>2312.7309729606786</v>
      </c>
    </row>
    <row r="119" spans="1:22" x14ac:dyDescent="0.2">
      <c r="A119" s="1">
        <v>1987</v>
      </c>
      <c r="B119" s="41">
        <f t="shared" ref="B119:J119" si="91">B18</f>
        <v>10226</v>
      </c>
      <c r="C119" s="41">
        <f t="shared" si="91"/>
        <v>20511</v>
      </c>
      <c r="D119" s="41">
        <f t="shared" si="91"/>
        <v>26882</v>
      </c>
      <c r="E119" s="41">
        <f t="shared" si="91"/>
        <v>32326</v>
      </c>
      <c r="F119" s="41">
        <f t="shared" si="91"/>
        <v>35257</v>
      </c>
      <c r="G119" s="41">
        <f t="shared" si="91"/>
        <v>40557</v>
      </c>
      <c r="H119" s="41">
        <f t="shared" si="91"/>
        <v>43753</v>
      </c>
      <c r="I119" s="41">
        <f t="shared" si="91"/>
        <v>44609</v>
      </c>
      <c r="J119" s="41">
        <f t="shared" si="91"/>
        <v>44196</v>
      </c>
      <c r="K119" s="42">
        <f t="shared" ref="K119:Q119" si="92">J119*J$98</f>
        <v>43902.580772100693</v>
      </c>
      <c r="L119" s="42">
        <f t="shared" si="92"/>
        <v>43693.635029990219</v>
      </c>
      <c r="M119" s="42">
        <f t="shared" si="92"/>
        <v>43480.215669378937</v>
      </c>
      <c r="N119" s="42">
        <f t="shared" si="92"/>
        <v>43294.928205415614</v>
      </c>
      <c r="O119" s="42">
        <f t="shared" si="92"/>
        <v>43161.689937211813</v>
      </c>
      <c r="P119" s="42">
        <f t="shared" si="92"/>
        <v>43116.939041769707</v>
      </c>
      <c r="Q119" s="42">
        <f t="shared" si="92"/>
        <v>43085.826526868295</v>
      </c>
      <c r="R119" s="42">
        <f t="shared" ref="R119" si="93">Q119*Q$98</f>
        <v>43095.677563483339</v>
      </c>
      <c r="S119" s="42">
        <f t="shared" si="72"/>
        <v>43095.677563483339</v>
      </c>
      <c r="T119" s="42">
        <f t="shared" si="72"/>
        <v>43095.677563483339</v>
      </c>
      <c r="U119" s="35">
        <f>'Table 3.4 - 3.5 and 3.7 - 3.9'!U161</f>
        <v>40205.614000000001</v>
      </c>
      <c r="V119" s="36">
        <f t="shared" si="73"/>
        <v>2890.0635634833379</v>
      </c>
    </row>
    <row r="120" spans="1:22" x14ac:dyDescent="0.2">
      <c r="A120" s="1">
        <v>1988</v>
      </c>
      <c r="B120" s="41">
        <f t="shared" ref="B120:I120" si="94">B19</f>
        <v>8170</v>
      </c>
      <c r="C120" s="41">
        <f t="shared" si="94"/>
        <v>18567</v>
      </c>
      <c r="D120" s="41">
        <f t="shared" si="94"/>
        <v>26472</v>
      </c>
      <c r="E120" s="41">
        <f t="shared" si="94"/>
        <v>33002</v>
      </c>
      <c r="F120" s="41">
        <f t="shared" si="94"/>
        <v>36321</v>
      </c>
      <c r="G120" s="41">
        <f t="shared" si="94"/>
        <v>37047</v>
      </c>
      <c r="H120" s="41">
        <f t="shared" si="94"/>
        <v>39675</v>
      </c>
      <c r="I120" s="41">
        <f t="shared" si="94"/>
        <v>40398</v>
      </c>
      <c r="J120" s="42">
        <f t="shared" ref="J120:Q120" si="95">I120*I$98</f>
        <v>40204.736465243674</v>
      </c>
      <c r="K120" s="42">
        <f t="shared" si="95"/>
        <v>39937.815415114099</v>
      </c>
      <c r="L120" s="42">
        <f t="shared" si="95"/>
        <v>39747.739197875293</v>
      </c>
      <c r="M120" s="42">
        <f t="shared" si="95"/>
        <v>39553.593366805566</v>
      </c>
      <c r="N120" s="42">
        <f t="shared" si="95"/>
        <v>39385.038889953394</v>
      </c>
      <c r="O120" s="42">
        <f t="shared" si="95"/>
        <v>39263.833136939109</v>
      </c>
      <c r="P120" s="42">
        <f t="shared" si="95"/>
        <v>39223.123616669545</v>
      </c>
      <c r="Q120" s="42">
        <f t="shared" si="95"/>
        <v>39194.820818624874</v>
      </c>
      <c r="R120" s="42">
        <f t="shared" ref="R120" si="96">Q120*Q$98</f>
        <v>39203.782225336283</v>
      </c>
      <c r="S120" s="42">
        <f t="shared" si="72"/>
        <v>39203.782225336283</v>
      </c>
      <c r="T120" s="42">
        <f t="shared" si="72"/>
        <v>39203.782225336283</v>
      </c>
      <c r="U120" s="35">
        <f>'Table 3.4 - 3.5 and 3.7 - 3.9'!U162</f>
        <v>33364.098000000005</v>
      </c>
      <c r="V120" s="36">
        <f t="shared" si="73"/>
        <v>5839.6842253362774</v>
      </c>
    </row>
    <row r="121" spans="1:22" x14ac:dyDescent="0.2">
      <c r="A121" s="1">
        <v>1989</v>
      </c>
      <c r="B121" s="41">
        <f t="shared" ref="B121:H121" si="97">B20</f>
        <v>10433</v>
      </c>
      <c r="C121" s="41">
        <f t="shared" si="97"/>
        <v>19484</v>
      </c>
      <c r="D121" s="41">
        <f t="shared" si="97"/>
        <v>32103</v>
      </c>
      <c r="E121" s="41">
        <f t="shared" si="97"/>
        <v>38936</v>
      </c>
      <c r="F121" s="41">
        <f t="shared" si="97"/>
        <v>45851</v>
      </c>
      <c r="G121" s="41">
        <f t="shared" si="97"/>
        <v>45133</v>
      </c>
      <c r="H121" s="41">
        <f t="shared" si="97"/>
        <v>45501</v>
      </c>
      <c r="I121" s="42">
        <f t="shared" ref="I121:Q121" si="98">H121*H$98</f>
        <v>45701.636911124137</v>
      </c>
      <c r="J121" s="42">
        <f t="shared" si="98"/>
        <v>45483.000842665446</v>
      </c>
      <c r="K121" s="42">
        <f t="shared" si="98"/>
        <v>45181.037158399937</v>
      </c>
      <c r="L121" s="42">
        <f t="shared" si="98"/>
        <v>44966.006853293547</v>
      </c>
      <c r="M121" s="42">
        <f t="shared" si="98"/>
        <v>44746.372656567051</v>
      </c>
      <c r="N121" s="42">
        <f t="shared" si="98"/>
        <v>44555.689565799126</v>
      </c>
      <c r="O121" s="42">
        <f t="shared" si="98"/>
        <v>44418.571359061214</v>
      </c>
      <c r="P121" s="42">
        <f t="shared" si="98"/>
        <v>44372.517304053894</v>
      </c>
      <c r="Q121" s="42">
        <f t="shared" si="98"/>
        <v>44340.498783339834</v>
      </c>
      <c r="R121" s="42">
        <f t="shared" ref="R121" si="99">Q121*Q$98</f>
        <v>44350.636685110658</v>
      </c>
      <c r="S121" s="42">
        <f t="shared" si="72"/>
        <v>44350.636685110658</v>
      </c>
      <c r="T121" s="42">
        <f t="shared" si="72"/>
        <v>44350.636685110658</v>
      </c>
      <c r="U121" s="35">
        <f>'Table 3.4 - 3.5 and 3.7 - 3.9'!U163</f>
        <v>37319.199000000001</v>
      </c>
      <c r="V121" s="36">
        <f t="shared" si="73"/>
        <v>7031.4376851106572</v>
      </c>
    </row>
    <row r="122" spans="1:22" x14ac:dyDescent="0.2">
      <c r="A122" s="1">
        <v>1990</v>
      </c>
      <c r="B122" s="41">
        <f t="shared" ref="B122:G122" si="100">B21</f>
        <v>9661</v>
      </c>
      <c r="C122" s="41">
        <f t="shared" si="100"/>
        <v>23808</v>
      </c>
      <c r="D122" s="41">
        <f t="shared" si="100"/>
        <v>32966</v>
      </c>
      <c r="E122" s="41">
        <f t="shared" si="100"/>
        <v>42907</v>
      </c>
      <c r="F122" s="41">
        <f t="shared" si="100"/>
        <v>46930</v>
      </c>
      <c r="G122" s="41">
        <f t="shared" si="100"/>
        <v>49300</v>
      </c>
      <c r="H122" s="42">
        <f t="shared" ref="H122:Q122" si="101">G122*G$98</f>
        <v>50702.691316224846</v>
      </c>
      <c r="I122" s="42">
        <f t="shared" si="101"/>
        <v>50926.265113973641</v>
      </c>
      <c r="J122" s="42">
        <f t="shared" si="101"/>
        <v>50682.634488500487</v>
      </c>
      <c r="K122" s="42">
        <f t="shared" si="101"/>
        <v>50346.150203055688</v>
      </c>
      <c r="L122" s="42">
        <f t="shared" si="101"/>
        <v>50106.537553148148</v>
      </c>
      <c r="M122" s="42">
        <f t="shared" si="101"/>
        <v>49861.794693010779</v>
      </c>
      <c r="N122" s="42">
        <f t="shared" si="101"/>
        <v>49649.312640079421</v>
      </c>
      <c r="O122" s="42">
        <f t="shared" si="101"/>
        <v>49496.519028728755</v>
      </c>
      <c r="P122" s="42">
        <f t="shared" si="101"/>
        <v>49445.200056950191</v>
      </c>
      <c r="Q122" s="42">
        <f t="shared" si="101"/>
        <v>49409.521166988059</v>
      </c>
      <c r="R122" s="42">
        <f t="shared" ref="R122" si="102">Q122*Q$98</f>
        <v>49420.818037476187</v>
      </c>
      <c r="S122" s="42">
        <f t="shared" si="72"/>
        <v>49420.818037476187</v>
      </c>
      <c r="T122" s="42">
        <f t="shared" si="72"/>
        <v>49420.818037476187</v>
      </c>
      <c r="U122" s="35">
        <f>'Table 3.4 - 3.5 and 3.7 - 3.9'!U164</f>
        <v>35744.653000000006</v>
      </c>
      <c r="V122" s="36">
        <f t="shared" si="73"/>
        <v>13676.165037476181</v>
      </c>
    </row>
    <row r="123" spans="1:22" x14ac:dyDescent="0.2">
      <c r="A123" s="1">
        <v>1991</v>
      </c>
      <c r="B123" s="41">
        <f t="shared" ref="B123:F123" si="103">B22</f>
        <v>14275</v>
      </c>
      <c r="C123" s="41">
        <f t="shared" si="103"/>
        <v>25551</v>
      </c>
      <c r="D123" s="41">
        <f t="shared" si="103"/>
        <v>33754</v>
      </c>
      <c r="E123" s="41">
        <f t="shared" si="103"/>
        <v>38674</v>
      </c>
      <c r="F123" s="41">
        <f t="shared" si="103"/>
        <v>41132</v>
      </c>
      <c r="G123" s="42">
        <f t="shared" ref="G123:Q123" si="104">F123*F$98</f>
        <v>43111.267594167977</v>
      </c>
      <c r="H123" s="42">
        <f t="shared" si="104"/>
        <v>44337.876127348201</v>
      </c>
      <c r="I123" s="42">
        <f t="shared" si="104"/>
        <v>44533.384237323713</v>
      </c>
      <c r="J123" s="42">
        <f t="shared" si="104"/>
        <v>44320.337075276904</v>
      </c>
      <c r="K123" s="42">
        <f t="shared" si="104"/>
        <v>44026.092367953512</v>
      </c>
      <c r="L123" s="42">
        <f t="shared" si="104"/>
        <v>43816.558796571939</v>
      </c>
      <c r="M123" s="42">
        <f t="shared" si="104"/>
        <v>43602.539021011202</v>
      </c>
      <c r="N123" s="42">
        <f t="shared" si="104"/>
        <v>43416.730285861464</v>
      </c>
      <c r="O123" s="42">
        <f t="shared" si="104"/>
        <v>43283.1171770254</v>
      </c>
      <c r="P123" s="42">
        <f t="shared" si="104"/>
        <v>43238.240383414784</v>
      </c>
      <c r="Q123" s="42">
        <f t="shared" si="104"/>
        <v>43207.040339345403</v>
      </c>
      <c r="R123" s="42">
        <f t="shared" ref="R123" si="105">Q123*Q$98</f>
        <v>43216.919089986179</v>
      </c>
      <c r="S123" s="42">
        <f t="shared" si="72"/>
        <v>43216.919089986179</v>
      </c>
      <c r="T123" s="42">
        <f t="shared" si="72"/>
        <v>43216.919089986179</v>
      </c>
      <c r="U123" s="35">
        <f>'Table 3.4 - 3.5 and 3.7 - 3.9'!U165</f>
        <v>29448.637999999999</v>
      </c>
      <c r="V123" s="36">
        <f t="shared" si="73"/>
        <v>13768.28108998618</v>
      </c>
    </row>
    <row r="124" spans="1:22" x14ac:dyDescent="0.2">
      <c r="A124" s="1">
        <v>1992</v>
      </c>
      <c r="B124" s="41">
        <f t="shared" ref="B124:E124" si="106">B23</f>
        <v>13245</v>
      </c>
      <c r="C124" s="41">
        <f t="shared" si="106"/>
        <v>29206</v>
      </c>
      <c r="D124" s="41">
        <f t="shared" si="106"/>
        <v>36987</v>
      </c>
      <c r="E124" s="41">
        <f t="shared" si="106"/>
        <v>44075</v>
      </c>
      <c r="F124" s="42">
        <f t="shared" ref="F124:Q124" si="107">E124*E$98</f>
        <v>48630.894701542587</v>
      </c>
      <c r="G124" s="42">
        <f t="shared" si="107"/>
        <v>50971.008334678794</v>
      </c>
      <c r="H124" s="42">
        <f t="shared" si="107"/>
        <v>52421.243441580991</v>
      </c>
      <c r="I124" s="42">
        <f t="shared" si="107"/>
        <v>52652.395204430271</v>
      </c>
      <c r="J124" s="42">
        <f t="shared" si="107"/>
        <v>52400.506793850655</v>
      </c>
      <c r="K124" s="42">
        <f t="shared" si="107"/>
        <v>52052.617477057647</v>
      </c>
      <c r="L124" s="42">
        <f t="shared" si="107"/>
        <v>51804.883230089465</v>
      </c>
      <c r="M124" s="42">
        <f t="shared" si="107"/>
        <v>51551.844885993822</v>
      </c>
      <c r="N124" s="42">
        <f t="shared" si="107"/>
        <v>51332.160819240598</v>
      </c>
      <c r="O124" s="42">
        <f t="shared" si="107"/>
        <v>51174.188315434505</v>
      </c>
      <c r="P124" s="42">
        <f t="shared" si="107"/>
        <v>51121.129902893888</v>
      </c>
      <c r="Q124" s="42">
        <f t="shared" si="107"/>
        <v>51084.241687931783</v>
      </c>
      <c r="R124" s="42">
        <f t="shared" ref="R124" si="108">Q124*Q$98</f>
        <v>51095.921462370039</v>
      </c>
      <c r="S124" s="42">
        <f t="shared" si="72"/>
        <v>51095.921462370039</v>
      </c>
      <c r="T124" s="42">
        <f t="shared" si="72"/>
        <v>51095.921462370039</v>
      </c>
      <c r="U124" s="35">
        <f>'Table 3.4 - 3.5 and 3.7 - 3.9'!U166</f>
        <v>28265.431</v>
      </c>
      <c r="V124" s="36">
        <f t="shared" si="73"/>
        <v>22830.490462370039</v>
      </c>
    </row>
    <row r="125" spans="1:22" x14ac:dyDescent="0.2">
      <c r="A125" s="1">
        <v>1993</v>
      </c>
      <c r="B125" s="41">
        <f t="shared" ref="B125:D125" si="109">B24</f>
        <v>14711</v>
      </c>
      <c r="C125" s="41">
        <f t="shared" si="109"/>
        <v>27082</v>
      </c>
      <c r="D125" s="41">
        <f t="shared" si="109"/>
        <v>34230</v>
      </c>
      <c r="E125" s="42">
        <f t="shared" ref="E125:Q125" si="110">D125*D$98</f>
        <v>41604.965003911951</v>
      </c>
      <c r="F125" s="42">
        <f t="shared" si="110"/>
        <v>45905.539924369972</v>
      </c>
      <c r="G125" s="42">
        <f t="shared" si="110"/>
        <v>48114.509766952142</v>
      </c>
      <c r="H125" s="42">
        <f t="shared" si="110"/>
        <v>49483.471329518456</v>
      </c>
      <c r="I125" s="42">
        <f t="shared" si="110"/>
        <v>49701.668969993487</v>
      </c>
      <c r="J125" s="42">
        <f t="shared" si="110"/>
        <v>49463.896797400048</v>
      </c>
      <c r="K125" s="42">
        <f t="shared" si="110"/>
        <v>49135.503766193964</v>
      </c>
      <c r="L125" s="42">
        <f t="shared" si="110"/>
        <v>48901.652951097385</v>
      </c>
      <c r="M125" s="42">
        <f t="shared" si="110"/>
        <v>48662.795289140566</v>
      </c>
      <c r="N125" s="42">
        <f t="shared" si="110"/>
        <v>48455.42267634</v>
      </c>
      <c r="O125" s="42">
        <f t="shared" si="110"/>
        <v>48306.30320969376</v>
      </c>
      <c r="P125" s="42">
        <f t="shared" si="110"/>
        <v>48256.218277262327</v>
      </c>
      <c r="Q125" s="42">
        <f t="shared" si="110"/>
        <v>48221.397338123243</v>
      </c>
      <c r="R125" s="42">
        <f t="shared" ref="R125" si="111">Q125*Q$98</f>
        <v>48232.422558923179</v>
      </c>
      <c r="S125" s="42">
        <f t="shared" si="72"/>
        <v>48232.422558923179</v>
      </c>
      <c r="T125" s="42">
        <f t="shared" si="72"/>
        <v>48232.422558923179</v>
      </c>
      <c r="U125" s="35">
        <f>'Table 3.4 - 3.5 and 3.7 - 3.9'!U167</f>
        <v>15165.406999999999</v>
      </c>
      <c r="V125" s="36">
        <f t="shared" si="73"/>
        <v>33067.01555892318</v>
      </c>
    </row>
    <row r="126" spans="1:22" x14ac:dyDescent="0.2">
      <c r="A126" s="1">
        <v>1994</v>
      </c>
      <c r="B126" s="41">
        <f t="shared" ref="B126:C126" si="112">B25</f>
        <v>12476</v>
      </c>
      <c r="C126" s="41">
        <f t="shared" si="112"/>
        <v>23126</v>
      </c>
      <c r="D126" s="42">
        <f t="shared" ref="D126:Q126" si="113">C126*C$98</f>
        <v>31625.607259669581</v>
      </c>
      <c r="E126" s="42">
        <f t="shared" si="113"/>
        <v>38439.447363891813</v>
      </c>
      <c r="F126" s="42">
        <f t="shared" si="113"/>
        <v>42412.812640701341</v>
      </c>
      <c r="G126" s="42">
        <f t="shared" si="113"/>
        <v>44453.712806928568</v>
      </c>
      <c r="H126" s="42">
        <f t="shared" si="113"/>
        <v>45718.51680141603</v>
      </c>
      <c r="I126" s="42">
        <f t="shared" si="113"/>
        <v>45920.112854078892</v>
      </c>
      <c r="J126" s="42">
        <f t="shared" si="113"/>
        <v>45700.431599398245</v>
      </c>
      <c r="K126" s="42">
        <f t="shared" si="113"/>
        <v>45397.024382578616</v>
      </c>
      <c r="L126" s="42">
        <f t="shared" si="113"/>
        <v>45180.966128544198</v>
      </c>
      <c r="M126" s="42">
        <f t="shared" si="113"/>
        <v>44960.281974059551</v>
      </c>
      <c r="N126" s="42">
        <f t="shared" si="113"/>
        <v>44768.687325831619</v>
      </c>
      <c r="O126" s="42">
        <f t="shared" si="113"/>
        <v>44630.913627703507</v>
      </c>
      <c r="P126" s="42">
        <f t="shared" si="113"/>
        <v>44584.639412024168</v>
      </c>
      <c r="Q126" s="42">
        <f t="shared" si="113"/>
        <v>44552.467827284883</v>
      </c>
      <c r="R126" s="42">
        <f t="shared" ref="R126" si="114">Q126*Q$98</f>
        <v>44562.654193132672</v>
      </c>
      <c r="S126" s="42">
        <f t="shared" si="72"/>
        <v>44562.654193132672</v>
      </c>
      <c r="T126" s="42">
        <f t="shared" si="72"/>
        <v>44562.654193132672</v>
      </c>
      <c r="U126" s="35">
        <f>'Table 3.4 - 3.5 and 3.7 - 3.9'!U168</f>
        <v>7962.4459999999999</v>
      </c>
      <c r="V126" s="36">
        <f t="shared" si="73"/>
        <v>36600.208193132668</v>
      </c>
    </row>
    <row r="127" spans="1:22" x14ac:dyDescent="0.2">
      <c r="A127" s="1">
        <v>1995</v>
      </c>
      <c r="B127" s="41">
        <f t="shared" ref="B127" si="115">B26</f>
        <v>9715</v>
      </c>
      <c r="C127" s="42">
        <f>B127*B$98</f>
        <v>19255.314166922901</v>
      </c>
      <c r="D127" s="42">
        <f t="shared" ref="D127:P127" si="116">C127*C$98</f>
        <v>26332.310105710258</v>
      </c>
      <c r="E127" s="42">
        <f t="shared" si="116"/>
        <v>32005.692095244882</v>
      </c>
      <c r="F127" s="42">
        <f t="shared" si="116"/>
        <v>35314.020241267106</v>
      </c>
      <c r="G127" s="42">
        <f t="shared" si="116"/>
        <v>37013.327250003174</v>
      </c>
      <c r="H127" s="42">
        <f t="shared" si="116"/>
        <v>38066.436230087718</v>
      </c>
      <c r="I127" s="42">
        <f t="shared" si="116"/>
        <v>38234.290391154696</v>
      </c>
      <c r="J127" s="42">
        <f t="shared" si="116"/>
        <v>38051.3780165348</v>
      </c>
      <c r="K127" s="42">
        <f t="shared" si="116"/>
        <v>37798.753209807583</v>
      </c>
      <c r="L127" s="42">
        <f t="shared" si="116"/>
        <v>37618.857440552652</v>
      </c>
      <c r="M127" s="42">
        <f t="shared" si="116"/>
        <v>37435.110025251102</v>
      </c>
      <c r="N127" s="42">
        <f t="shared" si="116"/>
        <v>37275.583295841352</v>
      </c>
      <c r="O127" s="42">
        <f t="shared" si="116"/>
        <v>37160.869301142935</v>
      </c>
      <c r="P127" s="42">
        <f t="shared" si="116"/>
        <v>37122.340175451784</v>
      </c>
      <c r="Q127" s="42">
        <f>P127*P$98</f>
        <v>37095.55327017622</v>
      </c>
      <c r="R127" s="42">
        <f>Q127*Q$98</f>
        <v>37104.034705557111</v>
      </c>
      <c r="S127" s="42">
        <f>R127</f>
        <v>37104.034705557111</v>
      </c>
      <c r="T127" s="42">
        <f>S127</f>
        <v>37104.034705557111</v>
      </c>
      <c r="U127" s="35">
        <f>'Table 3.4 - 3.5 and 3.7 - 3.9'!U169</f>
        <v>2725.355</v>
      </c>
      <c r="V127" s="36">
        <f t="shared" si="73"/>
        <v>34378.679705557108</v>
      </c>
    </row>
    <row r="128" spans="1:22" x14ac:dyDescent="0.2">
      <c r="U128" s="41"/>
      <c r="V128" s="42"/>
    </row>
    <row r="129" spans="1:22" x14ac:dyDescent="0.2">
      <c r="U129" s="38"/>
      <c r="V129" s="37">
        <f>SUM(V110:V127)</f>
        <v>179154.74729594711</v>
      </c>
    </row>
    <row r="130" spans="1:22" x14ac:dyDescent="0.2">
      <c r="A130" s="26" t="s">
        <v>142</v>
      </c>
    </row>
    <row r="132" spans="1:22" x14ac:dyDescent="0.2">
      <c r="A132" s="20" t="s">
        <v>0</v>
      </c>
      <c r="B132" s="100" t="s">
        <v>143</v>
      </c>
      <c r="C132" s="10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U132" s="20"/>
      <c r="V132" s="22"/>
    </row>
    <row r="133" spans="1:22" x14ac:dyDescent="0.2">
      <c r="A133" s="20" t="s">
        <v>1</v>
      </c>
      <c r="B133" s="20" t="s">
        <v>144</v>
      </c>
      <c r="C133" s="20" t="s">
        <v>145</v>
      </c>
      <c r="D133" s="22" t="s">
        <v>147</v>
      </c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U133" s="20"/>
      <c r="V133" s="20"/>
    </row>
    <row r="134" spans="1:22" x14ac:dyDescent="0.2">
      <c r="A134" s="24"/>
      <c r="B134" s="27" t="s">
        <v>126</v>
      </c>
      <c r="C134" s="27" t="s">
        <v>126</v>
      </c>
      <c r="D134" s="24" t="s">
        <v>145</v>
      </c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0"/>
      <c r="U134" s="20"/>
      <c r="V134" s="20"/>
    </row>
    <row r="135" spans="1:22" x14ac:dyDescent="0.2">
      <c r="B135" s="20" t="s">
        <v>29</v>
      </c>
      <c r="C135" s="20" t="s">
        <v>29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0"/>
      <c r="U135" s="20"/>
      <c r="V135" s="20"/>
    </row>
    <row r="137" spans="1:22" x14ac:dyDescent="0.2">
      <c r="A137" s="1">
        <v>1978</v>
      </c>
      <c r="B137" s="36">
        <f>V110</f>
        <v>-0.40599999999540159</v>
      </c>
      <c r="C137" s="36">
        <f>'Tables 3.2 and 3.3'!V40</f>
        <v>28.434239916292427</v>
      </c>
      <c r="D137" s="89">
        <f>B137/C137</f>
        <v>-1.4278559975249037E-2</v>
      </c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2"/>
      <c r="U137" s="35"/>
      <c r="V137" s="36"/>
    </row>
    <row r="138" spans="1:22" x14ac:dyDescent="0.2">
      <c r="A138" s="1">
        <v>1979</v>
      </c>
      <c r="B138" s="36">
        <f>V111</f>
        <v>154.17099999999482</v>
      </c>
      <c r="C138" s="36">
        <f>'Tables 3.2 and 3.3'!V41</f>
        <v>37.405836345264106</v>
      </c>
      <c r="D138" s="89">
        <f t="shared" ref="D138:D156" si="117">B138/C138</f>
        <v>4.1215760710965679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2"/>
      <c r="T138" s="42"/>
      <c r="U138" s="35"/>
      <c r="V138" s="36"/>
    </row>
    <row r="139" spans="1:22" x14ac:dyDescent="0.2">
      <c r="A139" s="1">
        <v>1980</v>
      </c>
      <c r="B139" s="36">
        <f t="shared" ref="B139:B156" si="118">V112</f>
        <v>182.4368118111488</v>
      </c>
      <c r="C139" s="36">
        <f>'Tables 3.2 and 3.3'!V42</f>
        <v>101.91092869063505</v>
      </c>
      <c r="D139" s="89">
        <f t="shared" si="117"/>
        <v>1.7901594476188261</v>
      </c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/>
      <c r="S139" s="42"/>
      <c r="T139" s="42"/>
      <c r="U139" s="35"/>
      <c r="V139" s="36"/>
    </row>
    <row r="140" spans="1:22" x14ac:dyDescent="0.2">
      <c r="A140" s="1">
        <v>1981</v>
      </c>
      <c r="B140" s="36">
        <f t="shared" si="118"/>
        <v>957.97618288319791</v>
      </c>
      <c r="C140" s="36">
        <f>'Tables 3.2 and 3.3'!V43</f>
        <v>210.55842747081624</v>
      </c>
      <c r="D140" s="89">
        <f t="shared" si="117"/>
        <v>4.5496929018240078</v>
      </c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2"/>
      <c r="R140" s="42"/>
      <c r="S140" s="42"/>
      <c r="T140" s="42"/>
      <c r="U140" s="35"/>
      <c r="V140" s="36"/>
    </row>
    <row r="141" spans="1:22" x14ac:dyDescent="0.2">
      <c r="A141" s="1">
        <v>1982</v>
      </c>
      <c r="B141" s="36">
        <f t="shared" si="118"/>
        <v>709.93129559835506</v>
      </c>
      <c r="C141" s="36">
        <f>'Tables 3.2 and 3.3'!V44</f>
        <v>358.80928303716064</v>
      </c>
      <c r="D141" s="89">
        <f t="shared" si="117"/>
        <v>1.9785756087164277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2"/>
      <c r="Q141" s="42"/>
      <c r="R141" s="42"/>
      <c r="S141" s="42"/>
      <c r="T141" s="42"/>
      <c r="U141" s="35"/>
      <c r="V141" s="36"/>
    </row>
    <row r="142" spans="1:22" x14ac:dyDescent="0.2">
      <c r="A142" s="1">
        <v>1983</v>
      </c>
      <c r="B142" s="36">
        <f t="shared" si="118"/>
        <v>550.17552824519953</v>
      </c>
      <c r="C142" s="36">
        <f>'Tables 3.2 and 3.3'!V45</f>
        <v>559.8493479511817</v>
      </c>
      <c r="D142" s="89">
        <f t="shared" si="117"/>
        <v>0.98272067344298186</v>
      </c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2"/>
      <c r="P142" s="42"/>
      <c r="Q142" s="42"/>
      <c r="R142" s="42"/>
      <c r="S142" s="42"/>
      <c r="T142" s="42"/>
      <c r="U142" s="35"/>
      <c r="V142" s="36"/>
    </row>
    <row r="143" spans="1:22" x14ac:dyDescent="0.2">
      <c r="A143" s="1">
        <v>1984</v>
      </c>
      <c r="B143" s="36">
        <f t="shared" si="118"/>
        <v>2366.8896809483776</v>
      </c>
      <c r="C143" s="36">
        <f>'Tables 3.2 and 3.3'!V46</f>
        <v>1267.5228116118815</v>
      </c>
      <c r="D143" s="89">
        <f t="shared" si="117"/>
        <v>1.8673349775365817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42"/>
      <c r="O143" s="42"/>
      <c r="P143" s="42"/>
      <c r="Q143" s="42"/>
      <c r="R143" s="42"/>
      <c r="S143" s="42"/>
      <c r="T143" s="42"/>
      <c r="U143" s="35"/>
      <c r="V143" s="36"/>
    </row>
    <row r="144" spans="1:22" x14ac:dyDescent="0.2">
      <c r="A144" s="1">
        <v>1985</v>
      </c>
      <c r="B144" s="36">
        <f t="shared" si="118"/>
        <v>1838.81630212452</v>
      </c>
      <c r="C144" s="36">
        <f>'Tables 3.2 and 3.3'!V47</f>
        <v>1772.602817073348</v>
      </c>
      <c r="D144" s="89">
        <f t="shared" si="117"/>
        <v>1.0373538191485523</v>
      </c>
      <c r="E144" s="41"/>
      <c r="F144" s="41"/>
      <c r="G144" s="41"/>
      <c r="H144" s="41"/>
      <c r="I144" s="41"/>
      <c r="J144" s="41"/>
      <c r="K144" s="41"/>
      <c r="L144" s="41"/>
      <c r="M144" s="42"/>
      <c r="N144" s="42"/>
      <c r="O144" s="42"/>
      <c r="P144" s="42"/>
      <c r="Q144" s="42"/>
      <c r="R144" s="42"/>
      <c r="S144" s="42"/>
      <c r="T144" s="42"/>
      <c r="U144" s="35"/>
      <c r="V144" s="36"/>
    </row>
    <row r="145" spans="1:22" x14ac:dyDescent="0.2">
      <c r="A145" s="1">
        <v>1986</v>
      </c>
      <c r="B145" s="36">
        <f t="shared" si="118"/>
        <v>2312.7309729606786</v>
      </c>
      <c r="C145" s="36">
        <f>'Tables 3.2 and 3.3'!V48</f>
        <v>3124.3847967215115</v>
      </c>
      <c r="D145" s="89">
        <f t="shared" si="117"/>
        <v>0.74021963472216357</v>
      </c>
      <c r="E145" s="41"/>
      <c r="F145" s="41"/>
      <c r="G145" s="41"/>
      <c r="H145" s="41"/>
      <c r="I145" s="41"/>
      <c r="J145" s="41"/>
      <c r="K145" s="41"/>
      <c r="L145" s="42"/>
      <c r="M145" s="42"/>
      <c r="N145" s="42"/>
      <c r="O145" s="42"/>
      <c r="P145" s="42"/>
      <c r="Q145" s="42"/>
      <c r="R145" s="42"/>
      <c r="S145" s="42"/>
      <c r="T145" s="42"/>
      <c r="U145" s="35"/>
      <c r="V145" s="36"/>
    </row>
    <row r="146" spans="1:22" x14ac:dyDescent="0.2">
      <c r="A146" s="1">
        <v>1987</v>
      </c>
      <c r="B146" s="36">
        <f t="shared" si="118"/>
        <v>2890.0635634833379</v>
      </c>
      <c r="C146" s="36">
        <f>'Tables 3.2 and 3.3'!V49</f>
        <v>4988.4323269274682</v>
      </c>
      <c r="D146" s="89">
        <f t="shared" si="117"/>
        <v>0.57935306606903869</v>
      </c>
      <c r="E146" s="41"/>
      <c r="F146" s="41"/>
      <c r="G146" s="41"/>
      <c r="H146" s="41"/>
      <c r="I146" s="41"/>
      <c r="J146" s="41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35"/>
      <c r="V146" s="36"/>
    </row>
    <row r="147" spans="1:22" x14ac:dyDescent="0.2">
      <c r="A147" s="1">
        <v>1988</v>
      </c>
      <c r="B147" s="36">
        <f t="shared" si="118"/>
        <v>5839.6842253362774</v>
      </c>
      <c r="C147" s="36">
        <f>'Tables 3.2 and 3.3'!V50</f>
        <v>6791.7694566274149</v>
      </c>
      <c r="D147" s="89">
        <f t="shared" si="117"/>
        <v>0.85981779308452644</v>
      </c>
      <c r="E147" s="41"/>
      <c r="F147" s="41"/>
      <c r="G147" s="41"/>
      <c r="H147" s="41"/>
      <c r="I147" s="41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35"/>
      <c r="V147" s="36"/>
    </row>
    <row r="148" spans="1:22" x14ac:dyDescent="0.2">
      <c r="A148" s="1">
        <v>1989</v>
      </c>
      <c r="B148" s="36">
        <f t="shared" si="118"/>
        <v>7031.4376851106572</v>
      </c>
      <c r="C148" s="36">
        <f>'Tables 3.2 and 3.3'!V51</f>
        <v>13152.312258232581</v>
      </c>
      <c r="D148" s="89">
        <f t="shared" si="117"/>
        <v>0.53461608476558076</v>
      </c>
      <c r="E148" s="41"/>
      <c r="F148" s="41"/>
      <c r="G148" s="41"/>
      <c r="H148" s="41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35"/>
      <c r="V148" s="36"/>
    </row>
    <row r="149" spans="1:22" x14ac:dyDescent="0.2">
      <c r="A149" s="1">
        <v>1990</v>
      </c>
      <c r="B149" s="36">
        <f t="shared" si="118"/>
        <v>13676.165037476181</v>
      </c>
      <c r="C149" s="36">
        <f>'Tables 3.2 and 3.3'!V52</f>
        <v>22409.830270913488</v>
      </c>
      <c r="D149" s="89">
        <f t="shared" si="117"/>
        <v>0.61027526188928616</v>
      </c>
      <c r="E149" s="41"/>
      <c r="F149" s="41"/>
      <c r="G149" s="41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35"/>
      <c r="V149" s="36"/>
    </row>
    <row r="150" spans="1:22" x14ac:dyDescent="0.2">
      <c r="A150" s="1">
        <v>1991</v>
      </c>
      <c r="B150" s="36">
        <f t="shared" si="118"/>
        <v>13768.28108998618</v>
      </c>
      <c r="C150" s="36">
        <f>'Tables 3.2 and 3.3'!V53</f>
        <v>34842.093490836291</v>
      </c>
      <c r="D150" s="89">
        <f>B150/C150</f>
        <v>0.39516227960318551</v>
      </c>
      <c r="E150" s="41"/>
      <c r="F150" s="41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35"/>
      <c r="V150" s="36"/>
    </row>
    <row r="151" spans="1:22" x14ac:dyDescent="0.2">
      <c r="A151" s="1">
        <v>1992</v>
      </c>
      <c r="B151" s="36">
        <f t="shared" si="118"/>
        <v>22830.490462370039</v>
      </c>
      <c r="C151" s="36">
        <f>'Tables 3.2 and 3.3'!V54</f>
        <v>68290.428950017478</v>
      </c>
      <c r="D151" s="89">
        <f t="shared" si="117"/>
        <v>0.33431464428316782</v>
      </c>
      <c r="E151" s="41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35"/>
      <c r="V151" s="36"/>
    </row>
    <row r="152" spans="1:22" x14ac:dyDescent="0.2">
      <c r="A152" s="1">
        <v>1993</v>
      </c>
      <c r="B152" s="36">
        <f t="shared" si="118"/>
        <v>33067.01555892318</v>
      </c>
      <c r="C152" s="36">
        <f>'Tables 3.2 and 3.3'!V55</f>
        <v>78300.924643740407</v>
      </c>
      <c r="D152" s="89">
        <f t="shared" si="117"/>
        <v>0.42230683365967953</v>
      </c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35"/>
      <c r="V152" s="36"/>
    </row>
    <row r="153" spans="1:22" x14ac:dyDescent="0.2">
      <c r="A153" s="1">
        <v>1994</v>
      </c>
      <c r="B153" s="36">
        <f t="shared" si="118"/>
        <v>36600.208193132668</v>
      </c>
      <c r="C153" s="36">
        <f>'Tables 3.2 and 3.3'!V56</f>
        <v>92401.488312778907</v>
      </c>
      <c r="D153" s="89">
        <f t="shared" si="117"/>
        <v>0.39609976918597906</v>
      </c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35"/>
      <c r="V153" s="36"/>
    </row>
    <row r="154" spans="1:22" x14ac:dyDescent="0.2">
      <c r="A154" s="1">
        <v>1995</v>
      </c>
      <c r="B154" s="36">
        <f t="shared" si="118"/>
        <v>34378.679705557108</v>
      </c>
      <c r="C154" s="36">
        <f>'Tables 3.2 and 3.3'!V57</f>
        <v>99802.733250713252</v>
      </c>
      <c r="D154" s="89">
        <f t="shared" si="117"/>
        <v>0.34446631455668492</v>
      </c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35"/>
      <c r="V154" s="36"/>
    </row>
    <row r="155" spans="1:22" x14ac:dyDescent="0.2">
      <c r="B155" s="36"/>
      <c r="C155" s="42"/>
      <c r="D155" s="89"/>
      <c r="U155" s="41"/>
      <c r="V155" s="42"/>
    </row>
    <row r="156" spans="1:22" x14ac:dyDescent="0.2">
      <c r="B156" s="37">
        <f t="shared" si="118"/>
        <v>179154.74729594711</v>
      </c>
      <c r="C156" s="37">
        <f>SUM(C137:C154)</f>
        <v>428441.49144960538</v>
      </c>
      <c r="D156" s="89">
        <f t="shared" si="117"/>
        <v>0.41815452254586283</v>
      </c>
      <c r="U156" s="35"/>
      <c r="V156" s="36"/>
    </row>
  </sheetData>
  <mergeCells count="1">
    <mergeCell ref="B132:C132"/>
  </mergeCells>
  <phoneticPr fontId="8" type="noConversion"/>
  <conditionalFormatting sqref="B64:B80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7:S54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64:C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4:D7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7:D15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4:E7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4:F76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4:G75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4:H7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I7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4:J7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4:K7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4:L7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4:M6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4:N6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4:O6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D491-247D-754E-BC79-BAEC761AE8BD}">
  <dimension ref="A1:W173"/>
  <sheetViews>
    <sheetView zoomScaleNormal="100" workbookViewId="0">
      <selection activeCell="M68" sqref="M68"/>
    </sheetView>
  </sheetViews>
  <sheetFormatPr baseColWidth="10" defaultColWidth="10.83203125" defaultRowHeight="16" x14ac:dyDescent="0.2"/>
  <cols>
    <col min="1" max="1" width="10.83203125" style="1"/>
    <col min="2" max="2" width="12.83203125" style="1" bestFit="1" customWidth="1"/>
    <col min="3" max="3" width="11.6640625" style="1" bestFit="1" customWidth="1"/>
    <col min="4" max="16384" width="10.83203125" style="1"/>
  </cols>
  <sheetData>
    <row r="1" spans="1:16" ht="15.75" x14ac:dyDescent="0.25">
      <c r="A1" s="26" t="s">
        <v>101</v>
      </c>
    </row>
    <row r="2" spans="1:16" ht="15.75" x14ac:dyDescent="0.25">
      <c r="A2" s="26" t="s">
        <v>102</v>
      </c>
    </row>
    <row r="4" spans="1:16" ht="15.75" x14ac:dyDescent="0.25">
      <c r="A4" s="20" t="s">
        <v>0</v>
      </c>
      <c r="B4" s="26" t="s">
        <v>103</v>
      </c>
      <c r="C4" s="26"/>
      <c r="D4" s="26"/>
      <c r="E4" s="26"/>
      <c r="F4" s="26"/>
      <c r="G4" s="26"/>
      <c r="H4" s="26"/>
      <c r="I4" s="26"/>
      <c r="J4" s="26"/>
      <c r="K4" s="26"/>
      <c r="L4" s="26"/>
      <c r="N4" s="65"/>
      <c r="O4" s="26" t="s">
        <v>104</v>
      </c>
      <c r="P4" s="26"/>
    </row>
    <row r="5" spans="1:16" ht="15.75" x14ac:dyDescent="0.25">
      <c r="A5" s="20" t="s">
        <v>1</v>
      </c>
      <c r="B5" s="26">
        <v>0</v>
      </c>
      <c r="C5" s="26">
        <v>1</v>
      </c>
      <c r="D5" s="26">
        <v>2</v>
      </c>
      <c r="E5" s="26">
        <v>3</v>
      </c>
      <c r="F5" s="26">
        <v>4</v>
      </c>
      <c r="G5" s="26">
        <v>5</v>
      </c>
      <c r="H5" s="26">
        <v>6</v>
      </c>
      <c r="I5" s="26">
        <v>7</v>
      </c>
      <c r="J5" s="26">
        <v>8</v>
      </c>
      <c r="K5" s="26">
        <v>9</v>
      </c>
      <c r="L5" s="26">
        <v>10</v>
      </c>
      <c r="M5" s="66" t="s">
        <v>105</v>
      </c>
      <c r="N5" s="65" t="s">
        <v>106</v>
      </c>
      <c r="O5" s="26" t="s">
        <v>107</v>
      </c>
      <c r="P5" s="26" t="s">
        <v>36</v>
      </c>
    </row>
    <row r="6" spans="1:16" ht="15" x14ac:dyDescent="0.2">
      <c r="A6" s="67"/>
      <c r="N6" s="68"/>
    </row>
    <row r="7" spans="1:16" ht="15.75" x14ac:dyDescent="0.25">
      <c r="A7" s="3">
        <v>1978</v>
      </c>
      <c r="B7" s="69">
        <v>368</v>
      </c>
      <c r="C7" s="69">
        <v>191</v>
      </c>
      <c r="D7" s="69">
        <v>28</v>
      </c>
      <c r="E7" s="69">
        <v>8</v>
      </c>
      <c r="F7" s="69">
        <v>6</v>
      </c>
      <c r="G7" s="69">
        <v>5</v>
      </c>
      <c r="H7" s="69">
        <v>3</v>
      </c>
      <c r="I7" s="69">
        <v>1</v>
      </c>
      <c r="J7" s="69">
        <v>0</v>
      </c>
      <c r="K7" s="69">
        <v>0</v>
      </c>
      <c r="L7" s="69">
        <v>1</v>
      </c>
      <c r="M7" s="63">
        <v>0.18940291640372273</v>
      </c>
      <c r="N7" s="70">
        <f>SUM(B7:L7)</f>
        <v>611</v>
      </c>
      <c r="O7" s="63">
        <f>P7-N7</f>
        <v>0.18940291640376472</v>
      </c>
      <c r="P7" s="63">
        <f>SUM(B7:M7)</f>
        <v>611.18940291640376</v>
      </c>
    </row>
    <row r="8" spans="1:16" ht="15.75" x14ac:dyDescent="0.25">
      <c r="A8" s="3">
        <v>1979</v>
      </c>
      <c r="B8" s="69">
        <v>393</v>
      </c>
      <c r="C8" s="69">
        <v>151</v>
      </c>
      <c r="D8" s="69">
        <v>25</v>
      </c>
      <c r="E8" s="69">
        <v>6</v>
      </c>
      <c r="F8" s="69">
        <v>4</v>
      </c>
      <c r="G8" s="69">
        <v>5</v>
      </c>
      <c r="H8" s="69">
        <v>4</v>
      </c>
      <c r="I8" s="69">
        <v>1</v>
      </c>
      <c r="J8" s="69">
        <v>2</v>
      </c>
      <c r="K8" s="69">
        <v>1</v>
      </c>
      <c r="L8" s="69">
        <v>0</v>
      </c>
      <c r="M8" s="63">
        <v>0.18432054834279993</v>
      </c>
      <c r="N8" s="70">
        <f t="shared" ref="N8:N14" si="0">SUM(B8:L8)</f>
        <v>592</v>
      </c>
      <c r="O8" s="63">
        <f t="shared" ref="O8:O24" si="1">P8-N8</f>
        <v>0.18432054834283917</v>
      </c>
      <c r="P8" s="63">
        <f t="shared" ref="P8:P24" si="2">SUM(B8:M8)</f>
        <v>592.18432054834284</v>
      </c>
    </row>
    <row r="9" spans="1:16" ht="15.75" x14ac:dyDescent="0.25">
      <c r="A9" s="3">
        <v>1980</v>
      </c>
      <c r="B9" s="69">
        <v>517</v>
      </c>
      <c r="C9" s="69">
        <v>185</v>
      </c>
      <c r="D9" s="69">
        <v>29</v>
      </c>
      <c r="E9" s="69">
        <v>17</v>
      </c>
      <c r="F9" s="69">
        <v>11</v>
      </c>
      <c r="G9" s="69">
        <v>10</v>
      </c>
      <c r="H9" s="69">
        <v>8</v>
      </c>
      <c r="I9" s="69">
        <v>1</v>
      </c>
      <c r="J9" s="69">
        <v>0</v>
      </c>
      <c r="K9" s="69">
        <v>0</v>
      </c>
      <c r="L9" s="69">
        <v>1</v>
      </c>
      <c r="M9" s="63">
        <v>0.23785482525118667</v>
      </c>
      <c r="N9" s="70">
        <f t="shared" si="0"/>
        <v>779</v>
      </c>
      <c r="O9" s="63">
        <f t="shared" si="1"/>
        <v>0.23785482525113366</v>
      </c>
      <c r="P9" s="63">
        <f t="shared" si="2"/>
        <v>779.23785482525113</v>
      </c>
    </row>
    <row r="10" spans="1:16" ht="15.75" x14ac:dyDescent="0.25">
      <c r="A10" s="3">
        <v>1981</v>
      </c>
      <c r="B10" s="69">
        <v>578</v>
      </c>
      <c r="C10" s="69">
        <v>254</v>
      </c>
      <c r="D10" s="69">
        <v>49</v>
      </c>
      <c r="E10" s="69">
        <v>22</v>
      </c>
      <c r="F10" s="69">
        <v>17</v>
      </c>
      <c r="G10" s="69">
        <v>6</v>
      </c>
      <c r="H10" s="69">
        <v>3</v>
      </c>
      <c r="I10" s="69">
        <v>0</v>
      </c>
      <c r="J10" s="69">
        <v>1</v>
      </c>
      <c r="K10" s="69">
        <v>0</v>
      </c>
      <c r="L10" s="69">
        <v>0</v>
      </c>
      <c r="M10" s="63">
        <v>0.2819020151125175</v>
      </c>
      <c r="N10" s="70">
        <f t="shared" si="0"/>
        <v>930</v>
      </c>
      <c r="O10" s="63">
        <f t="shared" si="1"/>
        <v>0.28190201511256419</v>
      </c>
      <c r="P10" s="63">
        <f t="shared" si="2"/>
        <v>930.28190201511256</v>
      </c>
    </row>
    <row r="11" spans="1:16" ht="15.75" x14ac:dyDescent="0.25">
      <c r="A11" s="3">
        <v>1982</v>
      </c>
      <c r="B11" s="69">
        <v>622</v>
      </c>
      <c r="C11" s="69">
        <v>206</v>
      </c>
      <c r="D11" s="69">
        <v>39</v>
      </c>
      <c r="E11" s="69">
        <v>16</v>
      </c>
      <c r="F11" s="69">
        <v>3</v>
      </c>
      <c r="G11" s="69">
        <v>7</v>
      </c>
      <c r="H11" s="69">
        <v>0</v>
      </c>
      <c r="I11" s="69">
        <v>1</v>
      </c>
      <c r="J11" s="69">
        <v>0</v>
      </c>
      <c r="K11" s="69">
        <v>0</v>
      </c>
      <c r="L11" s="69">
        <v>0</v>
      </c>
      <c r="M11" s="63">
        <v>0.28054671696293809</v>
      </c>
      <c r="N11" s="70">
        <f t="shared" si="0"/>
        <v>894</v>
      </c>
      <c r="O11" s="63">
        <f t="shared" si="1"/>
        <v>0.28054671696293099</v>
      </c>
      <c r="P11" s="63">
        <f t="shared" si="2"/>
        <v>894.28054671696293</v>
      </c>
    </row>
    <row r="12" spans="1:16" ht="15.75" x14ac:dyDescent="0.25">
      <c r="A12" s="3">
        <v>1983</v>
      </c>
      <c r="B12" s="69">
        <v>660</v>
      </c>
      <c r="C12" s="69">
        <v>243</v>
      </c>
      <c r="D12" s="69">
        <v>28</v>
      </c>
      <c r="E12" s="69">
        <v>12</v>
      </c>
      <c r="F12" s="69">
        <v>12</v>
      </c>
      <c r="G12" s="69">
        <v>4</v>
      </c>
      <c r="H12" s="69">
        <v>4</v>
      </c>
      <c r="I12" s="69">
        <v>1</v>
      </c>
      <c r="J12" s="69">
        <v>0</v>
      </c>
      <c r="K12" s="69">
        <v>0</v>
      </c>
      <c r="L12" s="69">
        <v>0</v>
      </c>
      <c r="M12" s="63">
        <v>0.30595855726755206</v>
      </c>
      <c r="N12" s="70">
        <f t="shared" si="0"/>
        <v>964</v>
      </c>
      <c r="O12" s="63">
        <f t="shared" si="1"/>
        <v>0.30595855726755872</v>
      </c>
      <c r="P12" s="63">
        <f t="shared" si="2"/>
        <v>964.30595855726756</v>
      </c>
    </row>
    <row r="13" spans="1:16" ht="15.75" x14ac:dyDescent="0.25">
      <c r="A13" s="3">
        <v>1984</v>
      </c>
      <c r="B13" s="69">
        <v>666</v>
      </c>
      <c r="C13" s="69">
        <v>234</v>
      </c>
      <c r="D13" s="69">
        <v>53</v>
      </c>
      <c r="E13" s="69">
        <v>10</v>
      </c>
      <c r="F13" s="69">
        <v>8</v>
      </c>
      <c r="G13" s="69">
        <v>4</v>
      </c>
      <c r="H13" s="69">
        <v>6</v>
      </c>
      <c r="I13" s="69">
        <v>1</v>
      </c>
      <c r="J13" s="69">
        <v>0</v>
      </c>
      <c r="K13" s="69">
        <v>0</v>
      </c>
      <c r="L13" s="69">
        <v>0</v>
      </c>
      <c r="M13" s="63">
        <v>0.30494208365536751</v>
      </c>
      <c r="N13" s="70">
        <f t="shared" si="0"/>
        <v>982</v>
      </c>
      <c r="O13" s="63">
        <f t="shared" si="1"/>
        <v>0.30494208365541908</v>
      </c>
      <c r="P13" s="63">
        <f t="shared" si="2"/>
        <v>982.30494208365542</v>
      </c>
    </row>
    <row r="14" spans="1:16" ht="15.75" x14ac:dyDescent="0.25">
      <c r="A14" s="3">
        <v>1985</v>
      </c>
      <c r="B14" s="69">
        <v>573</v>
      </c>
      <c r="C14" s="69">
        <v>266</v>
      </c>
      <c r="D14" s="69">
        <v>62</v>
      </c>
      <c r="E14" s="69">
        <v>12</v>
      </c>
      <c r="F14" s="69">
        <v>5</v>
      </c>
      <c r="G14" s="69">
        <v>7</v>
      </c>
      <c r="H14" s="69">
        <v>6</v>
      </c>
      <c r="I14" s="69">
        <v>5</v>
      </c>
      <c r="J14" s="69">
        <v>1</v>
      </c>
      <c r="K14" s="69">
        <v>0</v>
      </c>
      <c r="L14" s="69">
        <v>1</v>
      </c>
      <c r="M14" s="63">
        <v>0.28427378687428151</v>
      </c>
      <c r="N14" s="70">
        <f t="shared" si="0"/>
        <v>938</v>
      </c>
      <c r="O14" s="63">
        <f t="shared" si="1"/>
        <v>0.28427378687433702</v>
      </c>
      <c r="P14" s="63">
        <f t="shared" si="2"/>
        <v>938.28427378687434</v>
      </c>
    </row>
    <row r="15" spans="1:16" ht="15.75" x14ac:dyDescent="0.25">
      <c r="A15" s="3">
        <v>1986</v>
      </c>
      <c r="B15" s="69">
        <v>582</v>
      </c>
      <c r="C15" s="69">
        <v>281</v>
      </c>
      <c r="D15" s="69">
        <v>32</v>
      </c>
      <c r="E15" s="69">
        <v>27</v>
      </c>
      <c r="F15" s="69">
        <v>12</v>
      </c>
      <c r="G15" s="69">
        <v>13</v>
      </c>
      <c r="H15" s="69">
        <v>6</v>
      </c>
      <c r="I15" s="69">
        <v>2</v>
      </c>
      <c r="J15" s="69">
        <v>1</v>
      </c>
      <c r="K15" s="69">
        <v>0</v>
      </c>
      <c r="L15" s="63">
        <v>0.20627264980278712</v>
      </c>
      <c r="M15" s="63">
        <v>0.29240557577175796</v>
      </c>
      <c r="N15" s="70">
        <f>SUM(B15:K15)</f>
        <v>956</v>
      </c>
      <c r="O15" s="63">
        <f t="shared" si="1"/>
        <v>0.49867822557462205</v>
      </c>
      <c r="P15" s="63">
        <f t="shared" si="2"/>
        <v>956.49867822557462</v>
      </c>
    </row>
    <row r="16" spans="1:16" ht="15.75" x14ac:dyDescent="0.25">
      <c r="A16" s="3">
        <v>1987</v>
      </c>
      <c r="B16" s="69">
        <v>545</v>
      </c>
      <c r="C16" s="69">
        <v>220</v>
      </c>
      <c r="D16" s="69">
        <v>43</v>
      </c>
      <c r="E16" s="69">
        <v>18</v>
      </c>
      <c r="F16" s="69">
        <v>12</v>
      </c>
      <c r="G16" s="69">
        <v>9</v>
      </c>
      <c r="H16" s="69">
        <v>5</v>
      </c>
      <c r="I16" s="69">
        <v>2</v>
      </c>
      <c r="J16" s="69">
        <v>0</v>
      </c>
      <c r="K16" s="63">
        <v>0.31183656851278074</v>
      </c>
      <c r="L16" s="63">
        <v>0.18284887265252858</v>
      </c>
      <c r="M16" s="63">
        <v>0.25920077110706241</v>
      </c>
      <c r="N16" s="70">
        <f>SUM(B16:J16)</f>
        <v>854</v>
      </c>
      <c r="O16" s="63">
        <f t="shared" si="1"/>
        <v>0.75388621227250496</v>
      </c>
      <c r="P16" s="63">
        <f t="shared" si="2"/>
        <v>854.7538862122725</v>
      </c>
    </row>
    <row r="17" spans="1:20" ht="15.75" x14ac:dyDescent="0.25">
      <c r="A17" s="3">
        <v>1988</v>
      </c>
      <c r="B17" s="69">
        <v>509</v>
      </c>
      <c r="C17" s="69">
        <v>266</v>
      </c>
      <c r="D17" s="69">
        <v>49</v>
      </c>
      <c r="E17" s="69">
        <v>22</v>
      </c>
      <c r="F17" s="69">
        <v>15</v>
      </c>
      <c r="G17" s="69">
        <v>4</v>
      </c>
      <c r="H17" s="69">
        <v>8</v>
      </c>
      <c r="I17" s="69">
        <v>0</v>
      </c>
      <c r="J17" s="63">
        <v>0.53876833847483996</v>
      </c>
      <c r="K17" s="63">
        <v>0.31591286352601977</v>
      </c>
      <c r="L17" s="63">
        <v>0.18523905399439169</v>
      </c>
      <c r="M17" s="63">
        <v>0.26258901648101091</v>
      </c>
      <c r="N17" s="70">
        <f>SUM(B17:I17)</f>
        <v>873</v>
      </c>
      <c r="O17" s="63">
        <f t="shared" si="1"/>
        <v>1.3025092724761862</v>
      </c>
      <c r="P17" s="63">
        <f t="shared" si="2"/>
        <v>874.30250927247619</v>
      </c>
    </row>
    <row r="18" spans="1:20" ht="15.75" x14ac:dyDescent="0.25">
      <c r="A18" s="3">
        <v>1989</v>
      </c>
      <c r="B18" s="69">
        <v>589</v>
      </c>
      <c r="C18" s="69">
        <v>210</v>
      </c>
      <c r="D18" s="69">
        <v>29</v>
      </c>
      <c r="E18" s="69">
        <v>17</v>
      </c>
      <c r="F18" s="69">
        <v>12</v>
      </c>
      <c r="G18" s="69">
        <v>4</v>
      </c>
      <c r="H18" s="69">
        <v>9</v>
      </c>
      <c r="I18" s="63">
        <v>1.4083431257344301</v>
      </c>
      <c r="J18" s="63">
        <v>0.55545277734373821</v>
      </c>
      <c r="K18" s="63">
        <v>0.32569597155779328</v>
      </c>
      <c r="L18" s="63">
        <v>0.19097548921486315</v>
      </c>
      <c r="M18" s="63">
        <v>0.27072080537848742</v>
      </c>
      <c r="N18" s="70">
        <f>SUM(B18:H18)</f>
        <v>870</v>
      </c>
      <c r="O18" s="63">
        <f t="shared" si="1"/>
        <v>2.7511881692292945</v>
      </c>
      <c r="P18" s="63">
        <f t="shared" si="2"/>
        <v>872.75118816922929</v>
      </c>
    </row>
    <row r="19" spans="1:20" ht="15.75" x14ac:dyDescent="0.25">
      <c r="A19" s="3">
        <v>1990</v>
      </c>
      <c r="B19" s="69">
        <v>564</v>
      </c>
      <c r="C19" s="69">
        <v>196</v>
      </c>
      <c r="D19" s="69">
        <v>23</v>
      </c>
      <c r="E19" s="69">
        <v>12</v>
      </c>
      <c r="F19" s="69">
        <v>9</v>
      </c>
      <c r="G19" s="69">
        <v>5</v>
      </c>
      <c r="H19" s="63">
        <v>5.0617681813298958</v>
      </c>
      <c r="I19" s="63">
        <v>1.3396004700352526</v>
      </c>
      <c r="J19" s="63">
        <v>0.52834056418177866</v>
      </c>
      <c r="K19" s="63">
        <v>0.30979842100616128</v>
      </c>
      <c r="L19" s="63">
        <v>0.18165378198159701</v>
      </c>
      <c r="M19" s="63">
        <v>0.25750664842008814</v>
      </c>
      <c r="N19" s="70">
        <f>SUM(B19:G19)</f>
        <v>809</v>
      </c>
      <c r="O19" s="63">
        <f t="shared" si="1"/>
        <v>7.6786680669547422</v>
      </c>
      <c r="P19" s="63">
        <f t="shared" si="2"/>
        <v>816.67866806695474</v>
      </c>
    </row>
    <row r="20" spans="1:20" ht="15.75" x14ac:dyDescent="0.25">
      <c r="A20" s="3">
        <v>1991</v>
      </c>
      <c r="B20" s="69">
        <v>607</v>
      </c>
      <c r="C20" s="69">
        <v>203</v>
      </c>
      <c r="D20" s="69">
        <v>29</v>
      </c>
      <c r="E20" s="69">
        <v>9</v>
      </c>
      <c r="F20" s="69">
        <v>7</v>
      </c>
      <c r="G20" s="63">
        <v>7.0860237450531152</v>
      </c>
      <c r="H20" s="63">
        <v>5.3947792458910735</v>
      </c>
      <c r="I20" s="63">
        <v>1.4277320799059927</v>
      </c>
      <c r="J20" s="63">
        <v>0.56309981182531665</v>
      </c>
      <c r="K20" s="63">
        <v>0.33017989607235609</v>
      </c>
      <c r="L20" s="63">
        <v>0.1936046886909126</v>
      </c>
      <c r="M20" s="63">
        <v>0.27444787528983078</v>
      </c>
      <c r="N20" s="70">
        <f>SUM(B20:F20)</f>
        <v>855</v>
      </c>
      <c r="O20" s="63">
        <f t="shared" si="1"/>
        <v>15.269867342728617</v>
      </c>
      <c r="P20" s="63">
        <f t="shared" si="2"/>
        <v>870.26986734272862</v>
      </c>
    </row>
    <row r="21" spans="1:20" ht="15.75" x14ac:dyDescent="0.25">
      <c r="A21" s="3">
        <v>1992</v>
      </c>
      <c r="B21" s="69">
        <v>674</v>
      </c>
      <c r="C21" s="69">
        <v>169</v>
      </c>
      <c r="D21" s="69">
        <v>20</v>
      </c>
      <c r="E21" s="69">
        <v>12</v>
      </c>
      <c r="F21" s="63">
        <v>9.963697762769101</v>
      </c>
      <c r="G21" s="63">
        <v>7.3747136013330561</v>
      </c>
      <c r="H21" s="63">
        <v>5.6145665485014504</v>
      </c>
      <c r="I21" s="63">
        <v>1.4858989424206817</v>
      </c>
      <c r="J21" s="63">
        <v>0.58604091527005175</v>
      </c>
      <c r="K21" s="63">
        <v>0.34363166961604469</v>
      </c>
      <c r="L21" s="63">
        <v>0.20149228711906086</v>
      </c>
      <c r="M21" s="63">
        <v>0.28562908502386092</v>
      </c>
      <c r="N21" s="70">
        <f>SUM(B21:E21)</f>
        <v>875</v>
      </c>
      <c r="O21" s="63">
        <f t="shared" si="1"/>
        <v>25.85567081205329</v>
      </c>
      <c r="P21" s="63">
        <f t="shared" si="2"/>
        <v>900.85567081205329</v>
      </c>
    </row>
    <row r="22" spans="1:20" ht="15.75" x14ac:dyDescent="0.25">
      <c r="A22" s="3">
        <v>1993</v>
      </c>
      <c r="B22" s="69">
        <v>619</v>
      </c>
      <c r="C22" s="69">
        <v>190</v>
      </c>
      <c r="D22" s="69">
        <v>41</v>
      </c>
      <c r="E22" s="63">
        <v>11.063820969747203</v>
      </c>
      <c r="F22" s="63">
        <v>9.5618404390037988</v>
      </c>
      <c r="G22" s="63">
        <v>7.0772755675900862</v>
      </c>
      <c r="H22" s="63">
        <v>5.3881190245998498</v>
      </c>
      <c r="I22" s="63">
        <v>1.4259694477085783</v>
      </c>
      <c r="J22" s="63">
        <v>0.56240462687244586</v>
      </c>
      <c r="K22" s="63">
        <v>0.3297722665710322</v>
      </c>
      <c r="L22" s="63">
        <v>0.19336567055672629</v>
      </c>
      <c r="M22" s="63">
        <v>0.27410905075243591</v>
      </c>
      <c r="N22" s="70">
        <f>SUM(B22:D22)</f>
        <v>850</v>
      </c>
      <c r="O22" s="63">
        <f t="shared" si="1"/>
        <v>35.876677063402212</v>
      </c>
      <c r="P22" s="63">
        <f t="shared" si="2"/>
        <v>885.87667706340221</v>
      </c>
    </row>
    <row r="23" spans="1:20" ht="15.75" x14ac:dyDescent="0.25">
      <c r="A23" s="3">
        <v>1994</v>
      </c>
      <c r="B23" s="69">
        <v>660</v>
      </c>
      <c r="C23" s="69">
        <v>161</v>
      </c>
      <c r="D23" s="63">
        <v>30.012185215272137</v>
      </c>
      <c r="E23" s="63">
        <v>11.227932034811438</v>
      </c>
      <c r="F23" s="63">
        <v>9.7036724356268476</v>
      </c>
      <c r="G23" s="63">
        <v>7.1822536971464288</v>
      </c>
      <c r="H23" s="63">
        <v>5.4680416800945322</v>
      </c>
      <c r="I23" s="63">
        <v>1.4471210340775558</v>
      </c>
      <c r="J23" s="63">
        <v>0.57074684630689498</v>
      </c>
      <c r="K23" s="63">
        <v>0.33466382058691896</v>
      </c>
      <c r="L23" s="63">
        <v>0.19623388816696202</v>
      </c>
      <c r="M23" s="63">
        <v>0.27817494520117414</v>
      </c>
      <c r="N23" s="70">
        <f>SUM(B23:C23)</f>
        <v>821</v>
      </c>
      <c r="O23" s="63">
        <f t="shared" si="1"/>
        <v>66.421025597290736</v>
      </c>
      <c r="P23" s="63">
        <f t="shared" si="2"/>
        <v>887.42102559729074</v>
      </c>
    </row>
    <row r="24" spans="1:20" ht="15.75" x14ac:dyDescent="0.25">
      <c r="A24" s="3">
        <v>1995</v>
      </c>
      <c r="B24" s="69">
        <v>660</v>
      </c>
      <c r="C24" s="71">
        <v>175.72964669738863</v>
      </c>
      <c r="D24" s="71">
        <v>30.550636962942718</v>
      </c>
      <c r="E24" s="71">
        <v>11.429373535438799</v>
      </c>
      <c r="F24" s="71">
        <v>9.8777670356804066</v>
      </c>
      <c r="G24" s="71">
        <v>7.3111112604228961</v>
      </c>
      <c r="H24" s="71">
        <v>5.5661443866406808</v>
      </c>
      <c r="I24" s="71">
        <v>1.4730839836029175</v>
      </c>
      <c r="J24" s="71">
        <v>0.58098667505202206</v>
      </c>
      <c r="K24" s="71">
        <v>0.34066805912485265</v>
      </c>
      <c r="L24" s="71">
        <v>0.19975454083779542</v>
      </c>
      <c r="M24" s="71">
        <v>0.28316571092940646</v>
      </c>
      <c r="N24" s="70">
        <f>SUM(B24)</f>
        <v>660</v>
      </c>
      <c r="O24" s="63">
        <f t="shared" si="1"/>
        <v>243.3423388480611</v>
      </c>
      <c r="P24" s="63">
        <f t="shared" si="2"/>
        <v>903.3423388480611</v>
      </c>
    </row>
    <row r="25" spans="1:20" ht="15.75" x14ac:dyDescent="0.25">
      <c r="O25" s="26"/>
      <c r="P25" s="26"/>
    </row>
    <row r="26" spans="1:20" ht="16.5" thickBot="1" x14ac:dyDescent="0.3">
      <c r="O26" s="72">
        <f>SUM(O7:O24)</f>
        <v>401.81971105991386</v>
      </c>
      <c r="P26" s="26"/>
    </row>
    <row r="27" spans="1:20" ht="15.75" thickTop="1" x14ac:dyDescent="0.2"/>
    <row r="28" spans="1:20" ht="15.75" x14ac:dyDescent="0.25">
      <c r="A28" s="21" t="s">
        <v>114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20" ht="15.75" x14ac:dyDescent="0.25">
      <c r="A29" s="21" t="s">
        <v>112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1" spans="1:20" s="26" customFormat="1" ht="15.75" x14ac:dyDescent="0.25">
      <c r="A31" s="20" t="s">
        <v>0</v>
      </c>
      <c r="B31" s="40" t="s">
        <v>109</v>
      </c>
      <c r="C31" s="23" t="s">
        <v>113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 s="26" customFormat="1" ht="15.75" x14ac:dyDescent="0.25">
      <c r="A32" s="27" t="s">
        <v>1</v>
      </c>
      <c r="B32" s="74" t="s">
        <v>110</v>
      </c>
      <c r="C32" s="24">
        <v>0</v>
      </c>
      <c r="D32" s="24">
        <f t="shared" ref="D32:T32" si="3">C32+1</f>
        <v>1</v>
      </c>
      <c r="E32" s="24">
        <f t="shared" si="3"/>
        <v>2</v>
      </c>
      <c r="F32" s="24">
        <f t="shared" si="3"/>
        <v>3</v>
      </c>
      <c r="G32" s="24">
        <f t="shared" si="3"/>
        <v>4</v>
      </c>
      <c r="H32" s="24">
        <f t="shared" si="3"/>
        <v>5</v>
      </c>
      <c r="I32" s="24">
        <f t="shared" si="3"/>
        <v>6</v>
      </c>
      <c r="J32" s="24">
        <f t="shared" si="3"/>
        <v>7</v>
      </c>
      <c r="K32" s="24">
        <f t="shared" si="3"/>
        <v>8</v>
      </c>
      <c r="L32" s="24">
        <f t="shared" si="3"/>
        <v>9</v>
      </c>
      <c r="M32" s="24">
        <f t="shared" si="3"/>
        <v>10</v>
      </c>
      <c r="N32" s="24">
        <f t="shared" si="3"/>
        <v>11</v>
      </c>
      <c r="O32" s="24">
        <f t="shared" si="3"/>
        <v>12</v>
      </c>
      <c r="P32" s="24">
        <f t="shared" si="3"/>
        <v>13</v>
      </c>
      <c r="Q32" s="24">
        <f t="shared" si="3"/>
        <v>14</v>
      </c>
      <c r="R32" s="24">
        <f t="shared" si="3"/>
        <v>15</v>
      </c>
      <c r="S32" s="24">
        <f t="shared" si="3"/>
        <v>16</v>
      </c>
      <c r="T32" s="24">
        <f t="shared" si="3"/>
        <v>17</v>
      </c>
    </row>
    <row r="33" spans="1:20" ht="15" x14ac:dyDescent="0.2">
      <c r="C33" s="2" t="s">
        <v>108</v>
      </c>
      <c r="D33" s="2" t="s">
        <v>108</v>
      </c>
      <c r="E33" s="2" t="s">
        <v>108</v>
      </c>
      <c r="F33" s="2" t="s">
        <v>108</v>
      </c>
      <c r="G33" s="2" t="s">
        <v>108</v>
      </c>
      <c r="H33" s="2" t="s">
        <v>108</v>
      </c>
      <c r="I33" s="2" t="s">
        <v>108</v>
      </c>
      <c r="J33" s="2" t="s">
        <v>108</v>
      </c>
      <c r="K33" s="2" t="s">
        <v>108</v>
      </c>
      <c r="L33" s="2" t="s">
        <v>108</v>
      </c>
      <c r="M33" s="2" t="s">
        <v>108</v>
      </c>
      <c r="N33" s="2" t="s">
        <v>108</v>
      </c>
      <c r="O33" s="2" t="s">
        <v>108</v>
      </c>
      <c r="P33" s="2" t="s">
        <v>108</v>
      </c>
      <c r="Q33" s="2" t="s">
        <v>108</v>
      </c>
      <c r="R33" s="2" t="s">
        <v>108</v>
      </c>
      <c r="S33" s="2" t="s">
        <v>108</v>
      </c>
      <c r="T33" s="2" t="s">
        <v>108</v>
      </c>
    </row>
    <row r="35" spans="1:20" ht="15" x14ac:dyDescent="0.2">
      <c r="A35" s="3">
        <f>'Payment data'!A18</f>
        <v>1978</v>
      </c>
      <c r="B35" s="35">
        <f>C35</f>
        <v>1706.8047891901729</v>
      </c>
      <c r="C35" s="35">
        <f>'Payment data'!C18/'Table 3.13-3.17'!$P7*1000</f>
        <v>1706.8047891901729</v>
      </c>
      <c r="D35" s="35">
        <f>'Payment data'!D18/'Table 3.13-3.17'!$P7*1000</f>
        <v>4756.0641367952339</v>
      </c>
      <c r="E35" s="35">
        <f>'Payment data'!E18/'Table 3.13-3.17'!$P7*1000</f>
        <v>5744.6218524836377</v>
      </c>
      <c r="F35" s="35">
        <f>'Payment data'!F18/'Table 3.13-3.17'!$P7*1000</f>
        <v>7058.877296323305</v>
      </c>
      <c r="G35" s="35">
        <f>'Payment data'!G18/'Table 3.13-3.17'!$P7*1000</f>
        <v>6269.6096851733464</v>
      </c>
      <c r="H35" s="35">
        <f>'Payment data'!H18/'Table 3.13-3.17'!$P7*1000</f>
        <v>3324.4817241667952</v>
      </c>
      <c r="I35" s="35">
        <f>'Payment data'!I18/'Table 3.13-3.17'!$P7*1000</f>
        <v>3050.3130307954548</v>
      </c>
      <c r="J35" s="35">
        <f>'Payment data'!J18/'Table 3.13-3.17'!$P7*1000</f>
        <v>4391.5306567694452</v>
      </c>
      <c r="K35" s="35">
        <f>'Payment data'!K18/'Table 3.13-3.17'!$P7*1000</f>
        <v>2342.1283045311452</v>
      </c>
      <c r="L35" s="35">
        <f>'Payment data'!L18/'Table 3.13-3.17'!$P7*1000</f>
        <v>376.82917750375572</v>
      </c>
      <c r="M35" s="35">
        <f>'Payment data'!M18/'Table 3.13-3.17'!$P7*1000</f>
        <v>237.03781398810585</v>
      </c>
      <c r="N35" s="35">
        <f>'Payment data'!N18/'Table 3.13-3.17'!$P7*1000</f>
        <v>863.4704683716235</v>
      </c>
      <c r="O35" s="35">
        <f>'Payment data'!O18/'Table 3.13-3.17'!$P7*1000</f>
        <v>409.20702945206034</v>
      </c>
      <c r="P35" s="35">
        <f>'Payment data'!P18/'Table 3.13-3.17'!$P7*1000</f>
        <v>0</v>
      </c>
      <c r="Q35" s="35">
        <f>'Payment data'!Q18/'Table 3.13-3.17'!$P7*1000</f>
        <v>865.56965398229977</v>
      </c>
      <c r="R35" s="35">
        <f>'Payment data'!R18/'Table 3.13-3.17'!$P7*1000</f>
        <v>137.26186939709521</v>
      </c>
      <c r="S35" s="35">
        <f>'Payment data'!S18/'Table 3.13-3.17'!$P7*1000</f>
        <v>116.24056251792912</v>
      </c>
      <c r="T35" s="35">
        <f>'Payment data'!T18/'Table 3.13-3.17'!$P7*1000</f>
        <v>21.82302235011807</v>
      </c>
    </row>
    <row r="36" spans="1:20" ht="15" x14ac:dyDescent="0.2">
      <c r="A36" s="3">
        <f>'Payment data'!A19</f>
        <v>1979</v>
      </c>
      <c r="B36" s="35">
        <f>C36+D35</f>
        <v>6933.9586795041105</v>
      </c>
      <c r="C36" s="35">
        <f>'Payment data'!C19/'Table 3.13-3.17'!$P8*1000</f>
        <v>2177.8945427088765</v>
      </c>
      <c r="D36" s="35">
        <f>'Payment data'!D19/'Table 3.13-3.17'!$P8*1000</f>
        <v>6542.1218792363061</v>
      </c>
      <c r="E36" s="35">
        <f>'Payment data'!E19/'Table 3.13-3.17'!$P8*1000</f>
        <v>5966.757101451406</v>
      </c>
      <c r="F36" s="35">
        <f>'Payment data'!F19/'Table 3.13-3.17'!$P8*1000</f>
        <v>6656.007028943668</v>
      </c>
      <c r="G36" s="35">
        <f>'Payment data'!G19/'Table 3.13-3.17'!$P8*1000</f>
        <v>2526.0800532760509</v>
      </c>
      <c r="H36" s="35">
        <f>'Payment data'!H19/'Table 3.13-3.17'!$P8*1000</f>
        <v>3463.5719468235411</v>
      </c>
      <c r="I36" s="35">
        <f>'Payment data'!I19/'Table 3.13-3.17'!$P8*1000</f>
        <v>1435.8671286883323</v>
      </c>
      <c r="J36" s="35">
        <f>'Payment data'!J19/'Table 3.13-3.17'!$P8*1000</f>
        <v>1901.227305305003</v>
      </c>
      <c r="K36" s="35">
        <f>'Payment data'!K19/'Table 3.13-3.17'!$P8*1000</f>
        <v>1246.7250050058187</v>
      </c>
      <c r="L36" s="35">
        <f>'Payment data'!L19/'Table 3.13-3.17'!$P8*1000</f>
        <v>190.5099410527034</v>
      </c>
      <c r="M36" s="35">
        <f>'Payment data'!M19/'Table 3.13-3.17'!$P8*1000</f>
        <v>45.808372593994562</v>
      </c>
      <c r="N36" s="35">
        <f>'Payment data'!N19/'Table 3.13-3.17'!$P8*1000</f>
        <v>351.56959206082882</v>
      </c>
      <c r="O36" s="35">
        <f>'Payment data'!O19/'Table 3.13-3.17'!$P8*1000</f>
        <v>362.01735264029008</v>
      </c>
      <c r="P36" s="35">
        <f>'Payment data'!P19/'Table 3.13-3.17'!$P8*1000</f>
        <v>619.93536009204513</v>
      </c>
      <c r="Q36" s="35">
        <f>'Payment data'!Q19/'Table 3.13-3.17'!$P8*1000</f>
        <v>11.634890963712261</v>
      </c>
      <c r="R36" s="35">
        <f>'Payment data'!R19/'Table 3.13-3.17'!$P8*1000</f>
        <v>0</v>
      </c>
      <c r="S36" s="35">
        <f>'Payment data'!S19/'Table 3.13-3.17'!$P8*1000</f>
        <v>0</v>
      </c>
      <c r="T36" s="35"/>
    </row>
    <row r="37" spans="1:20" ht="15" x14ac:dyDescent="0.2">
      <c r="A37" s="3">
        <f>'Payment data'!A20</f>
        <v>1980</v>
      </c>
      <c r="B37" s="35">
        <f>C37+D36+E35</f>
        <v>14535.22535918518</v>
      </c>
      <c r="C37" s="35">
        <f>'Payment data'!C20/'Table 3.13-3.17'!$P9*1000</f>
        <v>2248.4816274652362</v>
      </c>
      <c r="D37" s="35">
        <f>'Payment data'!D20/'Table 3.13-3.17'!$P9*1000</f>
        <v>5437.1665516046287</v>
      </c>
      <c r="E37" s="35">
        <f>'Payment data'!E20/'Table 3.13-3.17'!$P9*1000</f>
        <v>5636.6935625644182</v>
      </c>
      <c r="F37" s="35">
        <f>'Payment data'!F20/'Table 3.13-3.17'!$P9*1000</f>
        <v>6917.0394721246503</v>
      </c>
      <c r="G37" s="35">
        <f>'Payment data'!G20/'Table 3.13-3.17'!$P9*1000</f>
        <v>6307.661992501965</v>
      </c>
      <c r="H37" s="35">
        <f>'Payment data'!H20/'Table 3.13-3.17'!$P9*1000</f>
        <v>4495.0267473665035</v>
      </c>
      <c r="I37" s="35">
        <f>'Payment data'!I20/'Table 3.13-3.17'!$P9*1000</f>
        <v>3237.0899134073484</v>
      </c>
      <c r="J37" s="35">
        <f>'Payment data'!J20/'Table 3.13-3.17'!$P9*1000</f>
        <v>1285.7101253437904</v>
      </c>
      <c r="K37" s="35">
        <f>'Payment data'!K20/'Table 3.13-3.17'!$P9*1000</f>
        <v>1502.2011478927802</v>
      </c>
      <c r="L37" s="35">
        <f>'Payment data'!L20/'Table 3.13-3.17'!$P9*1000</f>
        <v>612.01467183206705</v>
      </c>
      <c r="M37" s="35">
        <f>'Payment data'!M20/'Table 3.13-3.17'!$P9*1000</f>
        <v>1209.3547485720305</v>
      </c>
      <c r="N37" s="35">
        <f>'Payment data'!N20/'Table 3.13-3.17'!$P9*1000</f>
        <v>648.86734758719967</v>
      </c>
      <c r="O37" s="35">
        <f>'Payment data'!O20/'Table 3.13-3.17'!$P9*1000</f>
        <v>491.89473743669453</v>
      </c>
      <c r="P37" s="35">
        <f>'Payment data'!P20/'Table 3.13-3.17'!$P9*1000</f>
        <v>543.16021402080958</v>
      </c>
      <c r="Q37" s="35">
        <f>'Payment data'!Q20/'Table 3.13-3.17'!$P9*1000</f>
        <v>446.05122537065006</v>
      </c>
      <c r="R37" s="35">
        <f>'Payment data'!R20/'Table 3.13-3.17'!$P9*1000</f>
        <v>38.264311487647944</v>
      </c>
      <c r="S37" s="35"/>
      <c r="T37" s="35"/>
    </row>
    <row r="38" spans="1:20" ht="15" x14ac:dyDescent="0.2">
      <c r="A38" s="3">
        <f>'Payment data'!A21</f>
        <v>1981</v>
      </c>
      <c r="B38" s="35">
        <f>C38+D37+E36+F35</f>
        <v>20873.814207985724</v>
      </c>
      <c r="C38" s="35">
        <f>'Payment data'!C21/'Table 3.13-3.17'!$P10*1000</f>
        <v>2411.0132586063828</v>
      </c>
      <c r="D38" s="35">
        <f>'Payment data'!D21/'Table 3.13-3.17'!$P10*1000</f>
        <v>4366.5516777236089</v>
      </c>
      <c r="E38" s="35">
        <f>'Payment data'!E21/'Table 3.13-3.17'!$P10*1000</f>
        <v>7273.1974956663007</v>
      </c>
      <c r="F38" s="35">
        <f>'Payment data'!F21/'Table 3.13-3.17'!$P10*1000</f>
        <v>7291.1060457132407</v>
      </c>
      <c r="G38" s="35">
        <f>'Payment data'!G21/'Table 3.13-3.17'!$P10*1000</f>
        <v>5049.5629226200817</v>
      </c>
      <c r="H38" s="35">
        <f>'Payment data'!H21/'Table 3.13-3.17'!$P10*1000</f>
        <v>4348.2196001425464</v>
      </c>
      <c r="I38" s="35">
        <f>'Payment data'!I21/'Table 3.13-3.17'!$P10*1000</f>
        <v>3068.1989984081533</v>
      </c>
      <c r="J38" s="35">
        <f>'Payment data'!J21/'Table 3.13-3.17'!$P10*1000</f>
        <v>2354.4282601387408</v>
      </c>
      <c r="K38" s="35">
        <f>'Payment data'!K21/'Table 3.13-3.17'!$P10*1000</f>
        <v>1454.3172312278537</v>
      </c>
      <c r="L38" s="35">
        <f>'Payment data'!L21/'Table 3.13-3.17'!$P10*1000</f>
        <v>1542.8409355175047</v>
      </c>
      <c r="M38" s="35">
        <f>'Payment data'!M21/'Table 3.13-3.17'!$P10*1000</f>
        <v>2439.1907389413427</v>
      </c>
      <c r="N38" s="35">
        <f>'Payment data'!N21/'Table 3.13-3.17'!$P10*1000</f>
        <v>250.45633962705526</v>
      </c>
      <c r="O38" s="35">
        <f>'Payment data'!O21/'Table 3.13-3.17'!$P10*1000</f>
        <v>36.769499574167057</v>
      </c>
      <c r="P38" s="35">
        <f>'Payment data'!P21/'Table 3.13-3.17'!$P10*1000</f>
        <v>45.444289422834778</v>
      </c>
      <c r="Q38" s="35">
        <f>'Payment data'!Q21/'Table 3.13-3.17'!$P10*1000</f>
        <v>118.59308426942584</v>
      </c>
      <c r="R38" s="35"/>
      <c r="S38" s="35"/>
      <c r="T38" s="35"/>
    </row>
    <row r="39" spans="1:20" ht="15" x14ac:dyDescent="0.2">
      <c r="A39" s="3">
        <f>'Payment data'!A22</f>
        <v>1982</v>
      </c>
      <c r="B39" s="35">
        <f>C39+D38+E37+F36+G35</f>
        <v>24217.086331228722</v>
      </c>
      <c r="C39" s="35">
        <f>'Payment data'!C22/'Table 3.13-3.17'!$P11*1000</f>
        <v>1288.2243768236808</v>
      </c>
      <c r="D39" s="35">
        <f>'Payment data'!D22/'Table 3.13-3.17'!$P11*1000</f>
        <v>5815.7655548847324</v>
      </c>
      <c r="E39" s="35">
        <f>'Payment data'!E22/'Table 3.13-3.17'!$P11*1000</f>
        <v>6566.7647826612483</v>
      </c>
      <c r="F39" s="35">
        <f>'Payment data'!F22/'Table 3.13-3.17'!$P11*1000</f>
        <v>9347.0891552844805</v>
      </c>
      <c r="G39" s="35">
        <f>'Payment data'!G22/'Table 3.13-3.17'!$P11*1000</f>
        <v>6427.2817082972488</v>
      </c>
      <c r="H39" s="35">
        <f>'Payment data'!H22/'Table 3.13-3.17'!$P11*1000</f>
        <v>4191.7930718294301</v>
      </c>
      <c r="I39" s="35">
        <f>'Payment data'!I22/'Table 3.13-3.17'!$P11*1000</f>
        <v>1968.6618550109245</v>
      </c>
      <c r="J39" s="35">
        <f>'Payment data'!J22/'Table 3.13-3.17'!$P11*1000</f>
        <v>1361.3077064789386</v>
      </c>
      <c r="K39" s="35">
        <f>'Payment data'!K22/'Table 3.13-3.17'!$P11*1000</f>
        <v>1932.3063733677686</v>
      </c>
      <c r="L39" s="35">
        <f>'Payment data'!L22/'Table 3.13-3.17'!$P11*1000</f>
        <v>3161.5000576489356</v>
      </c>
      <c r="M39" s="35">
        <f>'Payment data'!M22/'Table 3.13-3.17'!$P11*1000</f>
        <v>897.90055586900655</v>
      </c>
      <c r="N39" s="35">
        <f>'Payment data'!N22/'Table 3.13-3.17'!$P11*1000</f>
        <v>295.66225159506166</v>
      </c>
      <c r="O39" s="35">
        <f>'Payment data'!O22/'Table 3.13-3.17'!$P11*1000</f>
        <v>448.75738544608527</v>
      </c>
      <c r="P39" s="35">
        <f>'Payment data'!P22/'Table 3.13-3.17'!$P11*1000</f>
        <v>386.71309721495498</v>
      </c>
      <c r="Q39" s="35"/>
      <c r="R39" s="35"/>
      <c r="S39" s="35"/>
      <c r="T39" s="35"/>
    </row>
    <row r="40" spans="1:20" ht="15" x14ac:dyDescent="0.2">
      <c r="A40" s="3">
        <f>'Payment data'!A23</f>
        <v>1983</v>
      </c>
      <c r="B40" s="35">
        <f>C40+D39+E38+F37+G36+H35</f>
        <v>27824.081956898961</v>
      </c>
      <c r="C40" s="35">
        <f>'Payment data'!C23/'Table 3.13-3.17'!$P12*1000</f>
        <v>1967.5176567804285</v>
      </c>
      <c r="D40" s="35">
        <f>'Payment data'!D23/'Table 3.13-3.17'!$P12*1000</f>
        <v>4467.6857606953663</v>
      </c>
      <c r="E40" s="35">
        <f>'Payment data'!E23/'Table 3.13-3.17'!$P12*1000</f>
        <v>5176.9658329903687</v>
      </c>
      <c r="F40" s="35">
        <f>'Payment data'!F23/'Table 3.13-3.17'!$P12*1000</f>
        <v>6328.5816558993893</v>
      </c>
      <c r="G40" s="35">
        <f>'Payment data'!G23/'Table 3.13-3.17'!$P12*1000</f>
        <v>6169.6756586479987</v>
      </c>
      <c r="H40" s="35">
        <f>'Payment data'!H23/'Table 3.13-3.17'!$P12*1000</f>
        <v>3196.6721481343357</v>
      </c>
      <c r="I40" s="35">
        <f>'Payment data'!I23/'Table 3.13-3.17'!$P12*1000</f>
        <v>3238.5374914330537</v>
      </c>
      <c r="J40" s="35">
        <f>'Payment data'!J23/'Table 3.13-3.17'!$P12*1000</f>
        <v>2682.2845768471857</v>
      </c>
      <c r="K40" s="35">
        <f>'Payment data'!K23/'Table 3.13-3.17'!$P12*1000</f>
        <v>1791.5641655732873</v>
      </c>
      <c r="L40" s="35">
        <f>'Payment data'!L23/'Table 3.13-3.17'!$P12*1000</f>
        <v>537.3844218232374</v>
      </c>
      <c r="M40" s="35">
        <f>'Payment data'!M23/'Table 3.13-3.17'!$P12*1000</f>
        <v>1102.641739962716</v>
      </c>
      <c r="N40" s="35">
        <f>'Payment data'!N23/'Table 3.13-3.17'!$P12*1000</f>
        <v>673.07786936323748</v>
      </c>
      <c r="O40" s="35">
        <f>'Payment data'!O23/'Table 3.13-3.17'!$P12*1000</f>
        <v>367.27036357824943</v>
      </c>
      <c r="P40" s="35"/>
      <c r="Q40" s="35"/>
      <c r="R40" s="35"/>
      <c r="S40" s="35"/>
      <c r="T40" s="35"/>
    </row>
    <row r="41" spans="1:20" ht="15" x14ac:dyDescent="0.2">
      <c r="A41" s="3">
        <f>'Payment data'!A24</f>
        <v>1984</v>
      </c>
      <c r="B41" s="35">
        <f>C41+D40+E39+F38+G37+H36+I35</f>
        <v>33272.701131336777</v>
      </c>
      <c r="C41" s="35">
        <f>'Payment data'!C24/'Table 3.13-3.17'!$P13*1000</f>
        <v>2125.5975721459645</v>
      </c>
      <c r="D41" s="35">
        <f>'Payment data'!D24/'Table 3.13-3.17'!$P13*1000</f>
        <v>4556.7163598967272</v>
      </c>
      <c r="E41" s="35">
        <f>'Payment data'!E24/'Table 3.13-3.17'!$P13*1000</f>
        <v>6552.9101241677499</v>
      </c>
      <c r="F41" s="35">
        <f>'Payment data'!F24/'Table 3.13-3.17'!$P13*1000</f>
        <v>6867.8937781679851</v>
      </c>
      <c r="G41" s="35">
        <f>'Payment data'!G24/'Table 3.13-3.17'!$P13*1000</f>
        <v>4713.9842238579004</v>
      </c>
      <c r="H41" s="35">
        <f>'Payment data'!H24/'Table 3.13-3.17'!$P13*1000</f>
        <v>3790.2568138386955</v>
      </c>
      <c r="I41" s="35">
        <f>'Payment data'!I24/'Table 3.13-3.17'!$P13*1000</f>
        <v>9758.6386765665247</v>
      </c>
      <c r="J41" s="35">
        <f>'Payment data'!J24/'Table 3.13-3.17'!$P13*1000</f>
        <v>3657.7144693770788</v>
      </c>
      <c r="K41" s="35">
        <f>'Payment data'!K24/'Table 3.13-3.17'!$P13*1000</f>
        <v>4002.755999231395</v>
      </c>
      <c r="L41" s="35">
        <f>'Payment data'!L24/'Table 3.13-3.17'!$P13*1000</f>
        <v>1602.8261006813857</v>
      </c>
      <c r="M41" s="35">
        <f>'Payment data'!M24/'Table 3.13-3.17'!$P13*1000</f>
        <v>901.93784235745795</v>
      </c>
      <c r="N41" s="35">
        <f>'Payment data'!N24/'Table 3.13-3.17'!$P13*1000</f>
        <v>904.22022932707296</v>
      </c>
      <c r="O41" s="35"/>
      <c r="P41" s="35"/>
      <c r="Q41" s="35"/>
      <c r="R41" s="35"/>
      <c r="S41" s="35"/>
      <c r="T41" s="35"/>
    </row>
    <row r="42" spans="1:20" ht="15" x14ac:dyDescent="0.2">
      <c r="A42" s="3">
        <f>'Payment data'!A25</f>
        <v>1985</v>
      </c>
      <c r="B42" s="35">
        <f>C42+D41+E40+F39+G38+H37+I36+J35</f>
        <v>36041.485207378093</v>
      </c>
      <c r="C42" s="35">
        <f>'Payment data'!C25/'Table 3.13-3.17'!$P14*1000</f>
        <v>1588.7264037621485</v>
      </c>
      <c r="D42" s="35">
        <f>'Payment data'!D25/'Table 3.13-3.17'!$P14*1000</f>
        <v>3509.7188474758677</v>
      </c>
      <c r="E42" s="35">
        <f>'Payment data'!E25/'Table 3.13-3.17'!$P14*1000</f>
        <v>5156.2933912062335</v>
      </c>
      <c r="F42" s="35">
        <f>'Payment data'!F25/'Table 3.13-3.17'!$P14*1000</f>
        <v>5976.233596422494</v>
      </c>
      <c r="G42" s="35">
        <f>'Payment data'!G25/'Table 3.13-3.17'!$P14*1000</f>
        <v>5445.0853997372733</v>
      </c>
      <c r="H42" s="35">
        <f>'Payment data'!H25/'Table 3.13-3.17'!$P14*1000</f>
        <v>6714.7272697773906</v>
      </c>
      <c r="I42" s="35">
        <f>'Payment data'!I25/'Table 3.13-3.17'!$P14*1000</f>
        <v>5100.6929708885737</v>
      </c>
      <c r="J42" s="35">
        <f>'Payment data'!J25/'Table 3.13-3.17'!$P14*1000</f>
        <v>3378.9695602637216</v>
      </c>
      <c r="K42" s="35">
        <f>'Payment data'!K25/'Table 3.13-3.17'!$P14*1000</f>
        <v>1239.8577195638316</v>
      </c>
      <c r="L42" s="35">
        <f>'Payment data'!L25/'Table 3.13-3.17'!$P14*1000</f>
        <v>3069.6379343284389</v>
      </c>
      <c r="M42" s="35">
        <f>'Payment data'!M25/'Table 3.13-3.17'!$P14*1000</f>
        <v>1407.609651891062</v>
      </c>
      <c r="N42" s="35"/>
      <c r="O42" s="35"/>
      <c r="P42" s="35"/>
      <c r="Q42" s="35"/>
      <c r="R42" s="35"/>
      <c r="S42" s="35"/>
      <c r="T42" s="35"/>
    </row>
    <row r="43" spans="1:20" ht="15" x14ac:dyDescent="0.2">
      <c r="A43" s="3">
        <f>'Payment data'!A26</f>
        <v>1986</v>
      </c>
      <c r="B43" s="35">
        <f>C43+D42+E41+F40+G39+H38+I37+J36+K35</f>
        <v>36197.787934483698</v>
      </c>
      <c r="C43" s="35">
        <f>'Payment data'!C26/'Table 3.13-3.17'!$P15*1000</f>
        <v>1550.6304752574022</v>
      </c>
      <c r="D43" s="35">
        <f>'Payment data'!D26/'Table 3.13-3.17'!$P15*1000</f>
        <v>4318.2725643306194</v>
      </c>
      <c r="E43" s="35">
        <f>'Payment data'!E26/'Table 3.13-3.17'!$P15*1000</f>
        <v>4687.7524267132985</v>
      </c>
      <c r="F43" s="35">
        <f>'Payment data'!F26/'Table 3.13-3.17'!$P15*1000</f>
        <v>5619.6773946114572</v>
      </c>
      <c r="G43" s="35">
        <f>'Payment data'!G26/'Table 3.13-3.17'!$P15*1000</f>
        <v>6812.2519647260069</v>
      </c>
      <c r="H43" s="35">
        <f>'Payment data'!H26/'Table 3.13-3.17'!$P15*1000</f>
        <v>5684.8651480495191</v>
      </c>
      <c r="I43" s="35">
        <f>'Payment data'!I26/'Table 3.13-3.17'!$P15*1000</f>
        <v>6385.7673189168099</v>
      </c>
      <c r="J43" s="35">
        <f>'Payment data'!J26/'Table 3.13-3.17'!$P15*1000</f>
        <v>4112.5096035651004</v>
      </c>
      <c r="K43" s="35">
        <f>'Payment data'!K26/'Table 3.13-3.17'!$P15*1000</f>
        <v>3048.6576368402466</v>
      </c>
      <c r="L43" s="35">
        <f>'Payment data'!L26/'Table 3.13-3.17'!$P15*1000</f>
        <v>910.39749434409305</v>
      </c>
      <c r="M43" s="35"/>
      <c r="N43" s="35"/>
      <c r="O43" s="35"/>
      <c r="P43" s="35"/>
      <c r="Q43" s="35"/>
      <c r="R43" s="35"/>
      <c r="S43" s="35"/>
      <c r="T43" s="35"/>
    </row>
    <row r="44" spans="1:20" x14ac:dyDescent="0.2">
      <c r="A44" s="3">
        <f>'Payment data'!A27</f>
        <v>1987</v>
      </c>
      <c r="B44" s="35">
        <f>C44+D43+E42+F41+G40+H39+I38+J37+K36+L35</f>
        <v>34310.17523953029</v>
      </c>
      <c r="C44" s="35">
        <f>'Payment data'!C27/'Table 3.13-3.17'!$P16*1000</f>
        <v>1628.7834690865086</v>
      </c>
      <c r="D44" s="35">
        <f>'Payment data'!D27/'Table 3.13-3.17'!$P16*1000</f>
        <v>3143.8722225740689</v>
      </c>
      <c r="E44" s="35">
        <f>'Payment data'!E27/'Table 3.13-3.17'!$P16*1000</f>
        <v>4724.7951312584682</v>
      </c>
      <c r="F44" s="35">
        <f>'Payment data'!F27/'Table 3.13-3.17'!$P16*1000</f>
        <v>6478.5350371893892</v>
      </c>
      <c r="G44" s="35">
        <f>'Payment data'!G27/'Table 3.13-3.17'!$P16*1000</f>
        <v>6519.2859487229462</v>
      </c>
      <c r="H44" s="35">
        <f>'Payment data'!H27/'Table 3.13-3.17'!$P16*1000</f>
        <v>7731.9028396423446</v>
      </c>
      <c r="I44" s="35">
        <f>'Payment data'!I27/'Table 3.13-3.17'!$P16*1000</f>
        <v>6129.6427948604205</v>
      </c>
      <c r="J44" s="35">
        <f>'Payment data'!J27/'Table 3.13-3.17'!$P16*1000</f>
        <v>6315.1488247922025</v>
      </c>
      <c r="K44" s="35">
        <f>'Payment data'!K27/'Table 3.13-3.17'!$P16*1000</f>
        <v>4365.6835730060493</v>
      </c>
      <c r="L44" s="35"/>
      <c r="M44" s="35"/>
      <c r="N44" s="35"/>
      <c r="O44" s="35"/>
      <c r="P44" s="35"/>
      <c r="Q44" s="35"/>
      <c r="R44" s="35"/>
      <c r="S44" s="35"/>
      <c r="T44" s="35"/>
    </row>
    <row r="45" spans="1:20" x14ac:dyDescent="0.2">
      <c r="A45" s="3">
        <f>'Payment data'!A28</f>
        <v>1988</v>
      </c>
      <c r="B45" s="35">
        <f>C45+D44+E43+F42+G41+H40+I39+J38+K37+L36+M35</f>
        <v>29515.838508788467</v>
      </c>
      <c r="C45" s="35">
        <f>'Payment data'!C28/'Table 3.13-3.17'!$P17*1000</f>
        <v>1544.4848730031092</v>
      </c>
      <c r="D45" s="35">
        <f>'Payment data'!D28/'Table 3.13-3.17'!$P17*1000</f>
        <v>4605.7147924129458</v>
      </c>
      <c r="E45" s="35">
        <f>'Payment data'!E28/'Table 3.13-3.17'!$P17*1000</f>
        <v>3357.7668700080203</v>
      </c>
      <c r="F45" s="35">
        <f>'Payment data'!F28/'Table 3.13-3.17'!$P17*1000</f>
        <v>7386.3015735522822</v>
      </c>
      <c r="G45" s="35">
        <f>'Payment data'!G28/'Table 3.13-3.17'!$P17*1000</f>
        <v>5162.313904092196</v>
      </c>
      <c r="H45" s="35">
        <f>'Payment data'!H28/'Table 3.13-3.17'!$P17*1000</f>
        <v>5901.4104903958432</v>
      </c>
      <c r="I45" s="35">
        <f>'Payment data'!I28/'Table 3.13-3.17'!$P17*1000</f>
        <v>7366.6287488519256</v>
      </c>
      <c r="J45" s="35">
        <f>'Payment data'!J28/'Table 3.13-3.17'!$P17*1000</f>
        <v>2836.1956802153068</v>
      </c>
      <c r="K45" s="35"/>
      <c r="L45" s="35"/>
      <c r="M45" s="35"/>
      <c r="N45" s="35"/>
      <c r="O45" s="35"/>
      <c r="P45" s="35"/>
      <c r="Q45" s="35"/>
      <c r="R45" s="35"/>
      <c r="S45" s="35"/>
      <c r="T45" s="35"/>
    </row>
    <row r="46" spans="1:20" x14ac:dyDescent="0.2">
      <c r="A46" s="3">
        <f>'Payment data'!A29</f>
        <v>1989</v>
      </c>
      <c r="B46" s="35">
        <f>C46+D45+E44+F43+G42+H41+I40+J39+K38+L37+M36+N35</f>
        <v>33797.198112736274</v>
      </c>
      <c r="C46" s="35">
        <f>'Payment data'!C29/'Table 3.13-3.17'!$P18*1000</f>
        <v>2036.2126389399004</v>
      </c>
      <c r="D46" s="35">
        <f>'Payment data'!D29/'Table 3.13-3.17'!$P18*1000</f>
        <v>3240.5833854351608</v>
      </c>
      <c r="E46" s="35">
        <f>'Payment data'!E29/'Table 3.13-3.17'!$P18*1000</f>
        <v>5219.0533358710063</v>
      </c>
      <c r="F46" s="35">
        <f>'Payment data'!F29/'Table 3.13-3.17'!$P18*1000</f>
        <v>6083.9378645112993</v>
      </c>
      <c r="G46" s="35">
        <f>'Payment data'!G29/'Table 3.13-3.17'!$P18*1000</f>
        <v>10405.408921928733</v>
      </c>
      <c r="H46" s="35">
        <f>'Payment data'!H29/'Table 3.13-3.17'!$P18*1000</f>
        <v>9964.2625732109063</v>
      </c>
      <c r="I46" s="35">
        <f>'Payment data'!I29/'Table 3.13-3.17'!$P18*1000</f>
        <v>5810.9516993480356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spans="1:20" x14ac:dyDescent="0.2">
      <c r="A47" s="3">
        <f>'Payment data'!A30</f>
        <v>1990</v>
      </c>
      <c r="B47" s="35">
        <f>C47+D46+E45+F44+G43+H42+I41+J40+K39+L38+M37+N36+O35</f>
        <v>46768.946847574065</v>
      </c>
      <c r="C47" s="35">
        <f>'Payment data'!C30/'Table 3.13-3.17'!$P19*1000</f>
        <v>2278.8803880541891</v>
      </c>
      <c r="D47" s="35">
        <f>'Payment data'!D30/'Table 3.13-3.17'!$P19*1000</f>
        <v>4712.3234026782347</v>
      </c>
      <c r="E47" s="35">
        <f>'Payment data'!E30/'Table 3.13-3.17'!$P19*1000</f>
        <v>4408.0152216059378</v>
      </c>
      <c r="F47" s="35">
        <f>'Payment data'!F30/'Table 3.13-3.17'!$P19*1000</f>
        <v>7668.8362815012761</v>
      </c>
      <c r="G47" s="35">
        <f>'Payment data'!G30/'Table 3.13-3.17'!$P19*1000</f>
        <v>12829.969007028076</v>
      </c>
      <c r="H47" s="35">
        <f>'Payment data'!H30/'Table 3.13-3.17'!$P19*1000</f>
        <v>11870.295354898664</v>
      </c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</row>
    <row r="48" spans="1:20" x14ac:dyDescent="0.2">
      <c r="A48" s="3">
        <f>'Payment data'!A31</f>
        <v>1991</v>
      </c>
      <c r="B48" s="35">
        <f>C48+D47+E46+F45+G44+H43+I42+J41+K40+L39+M38+N37+O36+P35</f>
        <v>49252.884067649895</v>
      </c>
      <c r="C48" s="35">
        <f>'Payment data'!C31/'Table 3.13-3.17'!$P20*1000</f>
        <v>2569.5075561192057</v>
      </c>
      <c r="D48" s="35">
        <f>'Payment data'!D31/'Table 3.13-3.17'!$P20*1000</f>
        <v>3975.0267472349983</v>
      </c>
      <c r="E48" s="35">
        <f>'Payment data'!E31/'Table 3.13-3.17'!$P20*1000</f>
        <v>8459.8218050224386</v>
      </c>
      <c r="F48" s="35">
        <f>'Payment data'!F31/'Table 3.13-3.17'!$P20*1000</f>
        <v>8525.8392579481897</v>
      </c>
      <c r="G48" s="35">
        <f>'Payment data'!G31/'Table 3.13-3.17'!$P20*1000</f>
        <v>10308.317381356655</v>
      </c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</row>
    <row r="49" spans="1:20" x14ac:dyDescent="0.2">
      <c r="A49" s="3">
        <f>'Payment data'!A32</f>
        <v>1992</v>
      </c>
      <c r="B49" s="35">
        <f>C49+D48+E47+F46+G45+H44+I43+J42+K41+L40+M39+N38+O37+P36+Q35</f>
        <v>47312.966898985709</v>
      </c>
      <c r="C49" s="35">
        <f>'Payment data'!C32/'Table 3.13-3.17'!$P21*1000</f>
        <v>2521.1363746566667</v>
      </c>
      <c r="D49" s="35">
        <f>'Payment data'!D32/'Table 3.13-3.17'!$P21*1000</f>
        <v>5367.081716477006</v>
      </c>
      <c r="E49" s="35">
        <f>'Payment data'!E32/'Table 3.13-3.17'!$P21*1000</f>
        <v>6854.2888723050974</v>
      </c>
      <c r="F49" s="35">
        <f>'Payment data'!F32/'Table 3.13-3.17'!$P21*1000</f>
        <v>16633.696701373432</v>
      </c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</row>
    <row r="50" spans="1:20" x14ac:dyDescent="0.2">
      <c r="A50" s="3">
        <f>'Payment data'!A33</f>
        <v>1993</v>
      </c>
      <c r="B50" s="35">
        <f>C50+D49+E48+F47+G46+H45+I44+J43+K42+L41+M40+N39+O38+P37+Q36+R35</f>
        <v>56200.995385710965</v>
      </c>
      <c r="C50" s="35">
        <f>'Payment data'!C33/'Table 3.13-3.17'!$P22*1000</f>
        <v>3186.4694862013739</v>
      </c>
      <c r="D50" s="35">
        <f>'Payment data'!D33/'Table 3.13-3.17'!$P22*1000</f>
        <v>5270.7325081387417</v>
      </c>
      <c r="E50" s="35">
        <f>'Payment data'!E33/'Table 3.13-3.17'!$P22*1000</f>
        <v>8661.8930136376275</v>
      </c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</row>
    <row r="51" spans="1:20" x14ac:dyDescent="0.2">
      <c r="A51" s="3">
        <f>'Payment data'!A34</f>
        <v>1994</v>
      </c>
      <c r="B51" s="35">
        <f>C51+D50+E49+F48+G47+H46+I45+J44+K43+L42+M41+N40+O39+P38+Q37+R36+S35</f>
        <v>68654.353823062804</v>
      </c>
      <c r="C51" s="35">
        <f>'Payment data'!C34/'Table 3.13-3.17'!$P23*1000</f>
        <v>2777.6792851408022</v>
      </c>
      <c r="D51" s="35">
        <f>'Payment data'!D34/'Table 3.13-3.17'!$P23*1000</f>
        <v>6194.8892818939576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</row>
    <row r="52" spans="1:20" x14ac:dyDescent="0.2">
      <c r="A52" s="3">
        <f>'Payment data'!A35</f>
        <v>1995</v>
      </c>
      <c r="B52" s="35">
        <f>C52+D51+E50+F49+G48+H47+I46+J45+K44+L43+M42+N41+O40+P39+Q38+R37+S36+T35</f>
        <v>73853.782018402169</v>
      </c>
      <c r="C52" s="35">
        <f>'Payment data'!C35/'Table 3.13-3.17'!$P24*1000</f>
        <v>3016.9680782098212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</row>
    <row r="53" spans="1:20" ht="17" thickBot="1" x14ac:dyDescent="0.25">
      <c r="A53" s="1" t="s">
        <v>111</v>
      </c>
      <c r="B53" s="35"/>
      <c r="C53" s="73">
        <f>SUM(C35:C52)</f>
        <v>38625.012852151871</v>
      </c>
      <c r="D53" s="73">
        <f t="shared" ref="D53:T53" si="4">SUM(D35:D52)</f>
        <v>80280.287389488207</v>
      </c>
      <c r="E53" s="73">
        <f t="shared" si="4"/>
        <v>94447.590819613266</v>
      </c>
      <c r="F53" s="73">
        <f t="shared" si="4"/>
        <v>114839.65213956655</v>
      </c>
      <c r="G53" s="73">
        <f t="shared" si="4"/>
        <v>94946.488771966469</v>
      </c>
      <c r="H53" s="73">
        <f t="shared" si="4"/>
        <v>74677.485728276515</v>
      </c>
      <c r="I53" s="73">
        <f t="shared" si="4"/>
        <v>56550.990627175554</v>
      </c>
      <c r="J53" s="73">
        <f t="shared" si="4"/>
        <v>34277.026769096512</v>
      </c>
      <c r="K53" s="73">
        <f t="shared" si="4"/>
        <v>22926.197156240174</v>
      </c>
      <c r="L53" s="73">
        <f t="shared" si="4"/>
        <v>12003.940734732121</v>
      </c>
      <c r="M53" s="73">
        <f t="shared" si="4"/>
        <v>8241.4814641757166</v>
      </c>
      <c r="N53" s="73">
        <f t="shared" si="4"/>
        <v>3987.324097932079</v>
      </c>
      <c r="O53" s="73">
        <f t="shared" si="4"/>
        <v>2115.9163681275463</v>
      </c>
      <c r="P53" s="73">
        <f t="shared" si="4"/>
        <v>1595.2529607506444</v>
      </c>
      <c r="Q53" s="73">
        <f t="shared" si="4"/>
        <v>1441.848854586088</v>
      </c>
      <c r="R53" s="73">
        <f t="shared" si="4"/>
        <v>175.52618088474316</v>
      </c>
      <c r="S53" s="73">
        <f t="shared" si="4"/>
        <v>116.24056251792912</v>
      </c>
      <c r="T53" s="73">
        <f t="shared" si="4"/>
        <v>21.82302235011807</v>
      </c>
    </row>
    <row r="54" spans="1:20" ht="17" thickTop="1" x14ac:dyDescent="0.2"/>
    <row r="57" spans="1:20" x14ac:dyDescent="0.2">
      <c r="A57" s="21" t="s">
        <v>115</v>
      </c>
      <c r="G57" s="21" t="s">
        <v>121</v>
      </c>
    </row>
    <row r="58" spans="1:20" x14ac:dyDescent="0.2">
      <c r="A58" s="21" t="s">
        <v>116</v>
      </c>
      <c r="G58" s="21" t="s">
        <v>122</v>
      </c>
    </row>
    <row r="59" spans="1:20" x14ac:dyDescent="0.2">
      <c r="G59" s="26" t="s">
        <v>125</v>
      </c>
    </row>
    <row r="61" spans="1:20" x14ac:dyDescent="0.2">
      <c r="A61" s="75" t="s">
        <v>117</v>
      </c>
      <c r="B61" s="75"/>
      <c r="C61" s="75"/>
      <c r="D61" s="75" t="s">
        <v>118</v>
      </c>
      <c r="E61" s="75"/>
      <c r="G61" s="75" t="s">
        <v>118</v>
      </c>
      <c r="H61" s="75"/>
      <c r="I61" s="75" t="s">
        <v>126</v>
      </c>
      <c r="J61" s="75" t="s">
        <v>127</v>
      </c>
      <c r="K61" s="26"/>
      <c r="L61" s="75" t="s">
        <v>128</v>
      </c>
      <c r="M61" s="75"/>
    </row>
    <row r="62" spans="1:20" x14ac:dyDescent="0.2">
      <c r="A62" s="74" t="s">
        <v>120</v>
      </c>
      <c r="B62" s="74" t="s">
        <v>123</v>
      </c>
      <c r="C62" s="74"/>
      <c r="D62" s="74" t="s">
        <v>119</v>
      </c>
      <c r="E62" s="74" t="s">
        <v>124</v>
      </c>
      <c r="G62" s="74" t="s">
        <v>119</v>
      </c>
      <c r="H62" s="74"/>
      <c r="I62" s="74" t="s">
        <v>124</v>
      </c>
      <c r="J62" s="24" t="s">
        <v>124</v>
      </c>
      <c r="K62" s="26"/>
      <c r="L62" s="74" t="s">
        <v>126</v>
      </c>
      <c r="M62" s="74" t="s">
        <v>127</v>
      </c>
    </row>
    <row r="64" spans="1:20" x14ac:dyDescent="0.2">
      <c r="A64" s="1">
        <f>A35</f>
        <v>1978</v>
      </c>
      <c r="B64" s="78">
        <f>B35/(1-SUM(E65:E$81))</f>
        <v>36691.077927559651</v>
      </c>
      <c r="D64" s="1">
        <v>0</v>
      </c>
      <c r="E64" s="79">
        <f>C53/SUM(B64:B$81)</f>
        <v>4.6518251455026138E-2</v>
      </c>
      <c r="G64" s="1">
        <v>0</v>
      </c>
      <c r="H64" s="78"/>
      <c r="I64" s="83">
        <f>'Table 3.6'!E13/(SUM('Table 3.6'!E$13:E$30))</f>
        <v>3.2147508187222583E-2</v>
      </c>
      <c r="J64" s="81">
        <f>E64</f>
        <v>4.6518251455026138E-2</v>
      </c>
      <c r="K64" s="79"/>
      <c r="L64" s="79">
        <f>SUM(I$64:I64)</f>
        <v>3.2147508187222583E-2</v>
      </c>
      <c r="M64" s="79">
        <f>SUM(J$64:J64)</f>
        <v>4.6518251455026138E-2</v>
      </c>
    </row>
    <row r="65" spans="1:13" x14ac:dyDescent="0.2">
      <c r="A65" s="1">
        <f t="shared" ref="A65:A79" si="5">A36</f>
        <v>1979</v>
      </c>
      <c r="B65" s="78">
        <f>B36/(1-SUM(E66:E$81))</f>
        <v>46954.416072371772</v>
      </c>
      <c r="D65" s="1">
        <v>1</v>
      </c>
      <c r="E65" s="79">
        <f>D53/SUM(B65:B$81)</f>
        <v>0.10115600923254517</v>
      </c>
      <c r="G65" s="1">
        <v>1</v>
      </c>
      <c r="H65" s="78"/>
      <c r="I65" s="83">
        <f>'Table 3.6'!E14/(SUM('Table 3.6'!E$13:E$30))</f>
        <v>6.1725003132728169E-2</v>
      </c>
      <c r="J65" s="81">
        <f t="shared" ref="J65:J81" si="6">E65</f>
        <v>0.10115600923254517</v>
      </c>
      <c r="K65" s="79"/>
      <c r="L65" s="79">
        <f>SUM(I$64:I65)</f>
        <v>9.3872511319950752E-2</v>
      </c>
      <c r="M65" s="79">
        <f>SUM(J$64:J65)</f>
        <v>0.14767426068757131</v>
      </c>
    </row>
    <row r="66" spans="1:13" x14ac:dyDescent="0.2">
      <c r="A66" s="1">
        <f t="shared" si="5"/>
        <v>1980</v>
      </c>
      <c r="B66" s="78">
        <f>B37/(1-SUM(E67:E$81))</f>
        <v>53016.279802830548</v>
      </c>
      <c r="D66" s="1">
        <v>2</v>
      </c>
      <c r="E66" s="79">
        <f>E53/SUM(B66:B$81)</f>
        <v>0.1264910601014809</v>
      </c>
      <c r="G66" s="1">
        <v>2</v>
      </c>
      <c r="H66" s="78"/>
      <c r="I66" s="83">
        <f>'Table 3.6'!E15/(SUM('Table 3.6'!E$13:E$30))</f>
        <v>9.4208190590336E-2</v>
      </c>
      <c r="J66" s="81">
        <f t="shared" si="6"/>
        <v>0.1264910601014809</v>
      </c>
      <c r="K66" s="79"/>
      <c r="L66" s="79">
        <f>SUM(I$64:I66)</f>
        <v>0.18808070191028675</v>
      </c>
      <c r="M66" s="79">
        <f>SUM(J$64:J66)</f>
        <v>0.2741653207890522</v>
      </c>
    </row>
    <row r="67" spans="1:13" x14ac:dyDescent="0.2">
      <c r="A67" s="1">
        <f t="shared" si="5"/>
        <v>1981</v>
      </c>
      <c r="B67" s="78">
        <f>B38/(1-SUM(E68:E$81))</f>
        <v>47470.483140690412</v>
      </c>
      <c r="D67" s="1">
        <v>3</v>
      </c>
      <c r="E67" s="79">
        <f>F53/SUM(B67:B$81)</f>
        <v>0.16555664593542929</v>
      </c>
      <c r="G67" s="1">
        <v>3</v>
      </c>
      <c r="H67" s="78"/>
      <c r="I67" s="83">
        <f>'Table 3.6'!E16/(SUM('Table 3.6'!E$13:E$30))</f>
        <v>0.14219451422224205</v>
      </c>
      <c r="J67" s="81">
        <f t="shared" si="6"/>
        <v>0.16555664593542929</v>
      </c>
      <c r="K67" s="79"/>
      <c r="L67" s="79">
        <f>SUM(I$64:I67)</f>
        <v>0.3302752161325288</v>
      </c>
      <c r="M67" s="79">
        <f>SUM(J$64:J67)</f>
        <v>0.43972196672448149</v>
      </c>
    </row>
    <row r="68" spans="1:13" x14ac:dyDescent="0.2">
      <c r="A68" s="1">
        <f t="shared" si="5"/>
        <v>1982</v>
      </c>
      <c r="B68" s="78">
        <f>B39/(1-SUM(E69:E$81))</f>
        <v>41279.920057035488</v>
      </c>
      <c r="D68" s="1">
        <v>4</v>
      </c>
      <c r="E68" s="79">
        <f>G53/SUM(B68:B$81)</f>
        <v>0.14693339253417362</v>
      </c>
      <c r="G68" s="1">
        <v>4</v>
      </c>
      <c r="H68" s="78"/>
      <c r="I68" s="83">
        <f>'Table 3.6'!E17/(SUM('Table 3.6'!E$13:E$30))</f>
        <v>0.17487693366421858</v>
      </c>
      <c r="J68" s="81">
        <f t="shared" si="6"/>
        <v>0.14693339253417362</v>
      </c>
      <c r="K68" s="79"/>
      <c r="L68" s="79">
        <f>SUM(I$64:I68)</f>
        <v>0.50515214979674739</v>
      </c>
      <c r="M68" s="79">
        <f>SUM(J$64:J68)</f>
        <v>0.58665535925865508</v>
      </c>
    </row>
    <row r="69" spans="1:13" x14ac:dyDescent="0.2">
      <c r="A69" s="1">
        <f t="shared" si="5"/>
        <v>1983</v>
      </c>
      <c r="B69" s="78">
        <f>B40/(1-SUM(E70:E$81))</f>
        <v>39182.880757485043</v>
      </c>
      <c r="D69" s="1">
        <v>5</v>
      </c>
      <c r="E69" s="79">
        <f>H53/SUM(B69:B$81)</f>
        <v>0.12345276497832491</v>
      </c>
      <c r="G69" s="1">
        <v>5</v>
      </c>
      <c r="H69" s="78"/>
      <c r="I69" s="83">
        <f>'Table 3.6'!E18/(SUM('Table 3.6'!E$13:E$30))</f>
        <v>0.15856841227602328</v>
      </c>
      <c r="J69" s="81">
        <f t="shared" si="6"/>
        <v>0.12345276497832491</v>
      </c>
      <c r="K69" s="79"/>
      <c r="L69" s="79">
        <f>SUM(I$64:I69)</f>
        <v>0.66372056207277064</v>
      </c>
      <c r="M69" s="79">
        <f>SUM(J$64:J69)</f>
        <v>0.71010812423698</v>
      </c>
    </row>
    <row r="70" spans="1:13" x14ac:dyDescent="0.2">
      <c r="A70" s="1">
        <f t="shared" si="5"/>
        <v>1984</v>
      </c>
      <c r="B70" s="78">
        <f>B41/(1-SUM(E71:E$81))</f>
        <v>41073.849275618508</v>
      </c>
      <c r="D70" s="1">
        <v>6</v>
      </c>
      <c r="E70" s="79">
        <f>I53/SUM(B70:B$81)</f>
        <v>9.9962071718271997E-2</v>
      </c>
      <c r="G70" s="1">
        <v>6</v>
      </c>
      <c r="H70" s="78"/>
      <c r="I70" s="83">
        <f>'Table 3.6'!E19/(SUM('Table 3.6'!E$13:E$30))</f>
        <v>0.12198864508779754</v>
      </c>
      <c r="J70" s="81">
        <f t="shared" si="6"/>
        <v>9.9962071718271997E-2</v>
      </c>
      <c r="K70" s="79"/>
      <c r="L70" s="79">
        <f>SUM(I$64:I70)</f>
        <v>0.78570920716056813</v>
      </c>
      <c r="M70" s="79">
        <f>SUM(J$64:J70)</f>
        <v>0.81007019595525198</v>
      </c>
    </row>
    <row r="71" spans="1:13" x14ac:dyDescent="0.2">
      <c r="A71" s="1">
        <f t="shared" si="5"/>
        <v>1985</v>
      </c>
      <c r="B71" s="78">
        <f>B42/(1-SUM(E72:E$81))</f>
        <v>41171.294810235551</v>
      </c>
      <c r="D71" s="1">
        <v>7</v>
      </c>
      <c r="E71" s="79">
        <f>J53/SUM(B71:B$81)</f>
        <v>6.5333052193695229E-2</v>
      </c>
      <c r="G71" s="1">
        <v>7</v>
      </c>
      <c r="H71" s="78"/>
      <c r="I71" s="83">
        <f>'Table 3.6'!E20/(SUM('Table 3.6'!E$13:E$30))</f>
        <v>8.5586562122106816E-2</v>
      </c>
      <c r="J71" s="81">
        <f t="shared" si="6"/>
        <v>6.5333052193695229E-2</v>
      </c>
      <c r="K71" s="79"/>
      <c r="L71" s="79">
        <f>SUM(I$64:I71)</f>
        <v>0.87129576928267494</v>
      </c>
      <c r="M71" s="79">
        <f>SUM(J$64:J71)</f>
        <v>0.87540324814894721</v>
      </c>
    </row>
    <row r="72" spans="1:13" x14ac:dyDescent="0.2">
      <c r="A72" s="1">
        <f t="shared" si="5"/>
        <v>1986</v>
      </c>
      <c r="B72" s="78">
        <f>B43/(1-SUM(E73:E$81))</f>
        <v>39225.084404512752</v>
      </c>
      <c r="D72" s="1">
        <v>8</v>
      </c>
      <c r="E72" s="79">
        <f>K53/SUM(B72:B$81)</f>
        <v>4.7419187647245155E-2</v>
      </c>
      <c r="G72" s="1">
        <v>8</v>
      </c>
      <c r="H72" s="78"/>
      <c r="I72" s="83">
        <f>'Table 3.6'!E21/(SUM('Table 3.6'!E$13:E$30))</f>
        <v>4.9511789962494876E-2</v>
      </c>
      <c r="J72" s="81">
        <f t="shared" si="6"/>
        <v>4.7419187647245155E-2</v>
      </c>
      <c r="K72" s="79"/>
      <c r="L72" s="79">
        <f>SUM(I$64:I72)</f>
        <v>0.92080755924516977</v>
      </c>
      <c r="M72" s="79">
        <f>SUM(J$64:J72)</f>
        <v>0.92282243579619239</v>
      </c>
    </row>
    <row r="73" spans="1:13" x14ac:dyDescent="0.2">
      <c r="A73" s="1">
        <f t="shared" si="5"/>
        <v>1987</v>
      </c>
      <c r="B73" s="78">
        <f>B44/(1-SUM(E74:E$81))</f>
        <v>36121.948671473292</v>
      </c>
      <c r="D73" s="1">
        <v>9</v>
      </c>
      <c r="E73" s="79">
        <f>L53/SUM(B73:B$81)</f>
        <v>2.7020429869196755E-2</v>
      </c>
      <c r="G73" s="1">
        <v>9</v>
      </c>
      <c r="H73" s="78"/>
      <c r="I73" s="83">
        <f>'Table 3.6'!E22/(SUM('Table 3.6'!E$13:E$30))</f>
        <v>3.1977009799884971E-2</v>
      </c>
      <c r="J73" s="81">
        <f t="shared" si="6"/>
        <v>2.7020429869196755E-2</v>
      </c>
      <c r="K73" s="79"/>
      <c r="L73" s="79">
        <f>SUM(I$64:I73)</f>
        <v>0.95278456904505471</v>
      </c>
      <c r="M73" s="79">
        <f>SUM(J$64:J73)</f>
        <v>0.94984286566538911</v>
      </c>
    </row>
    <row r="74" spans="1:13" x14ac:dyDescent="0.2">
      <c r="A74" s="1">
        <f t="shared" si="5"/>
        <v>1988</v>
      </c>
      <c r="B74" s="78">
        <f>B45/(1-SUM(E75:E$81))</f>
        <v>30427.569367495893</v>
      </c>
      <c r="D74" s="1">
        <v>10</v>
      </c>
      <c r="E74" s="79">
        <f>M53/SUM(B74:B$81)</f>
        <v>2.0193161606596104E-2</v>
      </c>
      <c r="G74" s="1">
        <v>10</v>
      </c>
      <c r="H74" s="78"/>
      <c r="I74" s="83">
        <f>'Table 3.6'!E23/(SUM('Table 3.6'!E$13:E$30))</f>
        <v>2.070902923607066E-2</v>
      </c>
      <c r="J74" s="81">
        <f t="shared" si="6"/>
        <v>2.0193161606596104E-2</v>
      </c>
      <c r="K74" s="79"/>
      <c r="L74" s="79">
        <f>SUM(I$64:I74)</f>
        <v>0.97349359828112536</v>
      </c>
      <c r="M74" s="79">
        <f>SUM(J$64:J74)</f>
        <v>0.97003602727198524</v>
      </c>
    </row>
    <row r="75" spans="1:13" x14ac:dyDescent="0.2">
      <c r="A75" s="1">
        <f t="shared" si="5"/>
        <v>1989</v>
      </c>
      <c r="B75" s="78">
        <f>B46/(1-SUM(E76:E$81))</f>
        <v>34466.090140851418</v>
      </c>
      <c r="D75" s="1">
        <v>11</v>
      </c>
      <c r="E75" s="79">
        <f>N53/SUM(B75:B$81)</f>
        <v>1.05567227213675E-2</v>
      </c>
      <c r="G75" s="1">
        <v>11</v>
      </c>
      <c r="H75" s="78"/>
      <c r="I75" s="83">
        <f>'Table 3.6'!E24/(SUM('Table 3.6'!E$13:E$30))</f>
        <v>1.1805309073590429E-2</v>
      </c>
      <c r="J75" s="81">
        <f t="shared" si="6"/>
        <v>1.05567227213675E-2</v>
      </c>
      <c r="K75" s="79"/>
      <c r="L75" s="79">
        <f>SUM(I$64:I75)</f>
        <v>0.98529890735471581</v>
      </c>
      <c r="M75" s="79">
        <f>SUM(J$64:J75)</f>
        <v>0.98059274999335277</v>
      </c>
    </row>
    <row r="76" spans="1:13" x14ac:dyDescent="0.2">
      <c r="A76" s="1">
        <f t="shared" si="5"/>
        <v>1990</v>
      </c>
      <c r="B76" s="78">
        <f>B47/(1-SUM(E77:E$81))</f>
        <v>47396.605234761992</v>
      </c>
      <c r="D76" s="1">
        <v>12</v>
      </c>
      <c r="E76" s="79">
        <f>O53/SUM(B76:B$81)</f>
        <v>6.1645634454674351E-3</v>
      </c>
      <c r="G76" s="1">
        <v>12</v>
      </c>
      <c r="H76" s="78"/>
      <c r="I76" s="83">
        <f>'Table 3.6'!E25/(SUM('Table 3.6'!E$13:E$30))</f>
        <v>6.6664019907387998E-3</v>
      </c>
      <c r="J76" s="81">
        <f t="shared" si="6"/>
        <v>6.1645634454674351E-3</v>
      </c>
      <c r="K76" s="79"/>
      <c r="L76" s="79">
        <f>SUM(I$64:I76)</f>
        <v>0.99196530934545457</v>
      </c>
      <c r="M76" s="79">
        <f>SUM(J$64:J76)</f>
        <v>0.98675731343882023</v>
      </c>
    </row>
    <row r="77" spans="1:13" x14ac:dyDescent="0.2">
      <c r="A77" s="1">
        <f t="shared" si="5"/>
        <v>1991</v>
      </c>
      <c r="B77" s="78">
        <f>B48/(1-SUM(E78:E$81))</f>
        <v>49642.600361729492</v>
      </c>
      <c r="D77" s="1">
        <v>13</v>
      </c>
      <c r="E77" s="79">
        <f>P53/SUM(B77:B$81)</f>
        <v>5.3922457857195844E-3</v>
      </c>
      <c r="G77" s="1">
        <v>13</v>
      </c>
      <c r="H77" s="78"/>
      <c r="I77" s="83">
        <f>'Table 3.6'!E26/(SUM('Table 3.6'!E$13:E$30))</f>
        <v>3.7445464067507586E-3</v>
      </c>
      <c r="J77" s="81">
        <f t="shared" si="6"/>
        <v>5.3922457857195844E-3</v>
      </c>
      <c r="K77" s="79"/>
      <c r="L77" s="79">
        <f>SUM(I$64:I77)</f>
        <v>0.99570985575220528</v>
      </c>
      <c r="M77" s="79">
        <f>SUM(J$64:J77)</f>
        <v>0.99214955922453985</v>
      </c>
    </row>
    <row r="78" spans="1:13" x14ac:dyDescent="0.2">
      <c r="A78" s="1">
        <f t="shared" si="5"/>
        <v>1992</v>
      </c>
      <c r="B78" s="78">
        <f>B49/(1-SUM(E79:E$81))</f>
        <v>47407.498133286521</v>
      </c>
      <c r="D78" s="1">
        <v>14</v>
      </c>
      <c r="E78" s="79">
        <f>Q53/SUM(B78:B$81)</f>
        <v>5.8564263679705911E-3</v>
      </c>
      <c r="G78" s="1">
        <v>14</v>
      </c>
      <c r="H78" s="78"/>
      <c r="I78" s="83">
        <f>'Table 3.6'!E27/(SUM('Table 3.6'!E$13:E$30))</f>
        <v>2.0970789174315492E-3</v>
      </c>
      <c r="J78" s="81">
        <f t="shared" si="6"/>
        <v>5.8564263679705911E-3</v>
      </c>
      <c r="K78" s="79"/>
      <c r="L78" s="79">
        <f>SUM(I$64:I78)</f>
        <v>0.99780693466963677</v>
      </c>
      <c r="M78" s="79">
        <f>SUM(J$64:J78)</f>
        <v>0.99800598559251041</v>
      </c>
    </row>
    <row r="79" spans="1:13" x14ac:dyDescent="0.2">
      <c r="A79" s="1">
        <f t="shared" si="5"/>
        <v>1993</v>
      </c>
      <c r="B79" s="78">
        <f>B50/(1-SUM(E80:E$81))</f>
        <v>56263.506961519517</v>
      </c>
      <c r="D79" s="1">
        <v>15</v>
      </c>
      <c r="E79" s="79">
        <f>R53/SUM(B79:B$81)</f>
        <v>8.8296429375772721E-4</v>
      </c>
      <c r="G79" s="1">
        <v>15</v>
      </c>
      <c r="H79" s="78"/>
      <c r="I79" s="83">
        <f>'Table 3.6'!E28/(SUM('Table 3.6'!E$13:E$30))</f>
        <v>1.1724861510100774E-3</v>
      </c>
      <c r="J79" s="81">
        <f t="shared" si="6"/>
        <v>8.8296429375772721E-4</v>
      </c>
      <c r="K79" s="79"/>
      <c r="L79" s="79">
        <f>SUM(I$64:I79)</f>
        <v>0.99897942082064684</v>
      </c>
      <c r="M79" s="79">
        <f>SUM(J$64:J79)</f>
        <v>0.9988889498862682</v>
      </c>
    </row>
    <row r="80" spans="1:13" x14ac:dyDescent="0.2">
      <c r="A80" s="1">
        <f>A51</f>
        <v>1994</v>
      </c>
      <c r="B80" s="78">
        <f>B51/(1-SUM(E81:E$81))</f>
        <v>68674.646464871126</v>
      </c>
      <c r="D80" s="1">
        <v>16</v>
      </c>
      <c r="E80" s="79">
        <f>S53/SUM(B80:B$81)</f>
        <v>8.1556054293807601E-4</v>
      </c>
      <c r="G80" s="1">
        <v>16</v>
      </c>
      <c r="H80" s="78"/>
      <c r="I80" s="83">
        <f>'Table 3.6'!E29/(SUM('Table 3.6'!E$13:E$30))</f>
        <v>6.549331618150206E-4</v>
      </c>
      <c r="J80" s="81">
        <f t="shared" si="6"/>
        <v>8.1556054293807601E-4</v>
      </c>
      <c r="K80" s="79"/>
      <c r="L80" s="79">
        <f>SUM(I$64:I80)</f>
        <v>0.99963435398246181</v>
      </c>
      <c r="M80" s="79">
        <f>SUM(J$64:J80)</f>
        <v>0.99970451042920627</v>
      </c>
    </row>
    <row r="81" spans="1:23" x14ac:dyDescent="0.2">
      <c r="A81" s="76">
        <f>A52</f>
        <v>1995</v>
      </c>
      <c r="B81" s="77">
        <f>B52</f>
        <v>73853.782018402169</v>
      </c>
      <c r="C81" s="76"/>
      <c r="D81" s="76">
        <v>17</v>
      </c>
      <c r="E81" s="80">
        <f>T53/B81</f>
        <v>2.9548957079382097E-4</v>
      </c>
      <c r="G81" s="76">
        <v>17</v>
      </c>
      <c r="H81" s="77"/>
      <c r="I81" s="80">
        <f>'Table 3.6'!E30/(SUM('Table 3.6'!E$13:E$30))</f>
        <v>3.6564601753793797E-4</v>
      </c>
      <c r="J81" s="84">
        <f t="shared" si="6"/>
        <v>2.9548957079382097E-4</v>
      </c>
      <c r="K81" s="79"/>
      <c r="L81" s="80">
        <f>SUM(I$64:I81)</f>
        <v>0.99999999999999978</v>
      </c>
      <c r="M81" s="80">
        <f>SUM(J$64:J81)</f>
        <v>1</v>
      </c>
    </row>
    <row r="86" spans="1:23" x14ac:dyDescent="0.2"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</row>
    <row r="88" spans="1:23" x14ac:dyDescent="0.2">
      <c r="A88" s="21" t="s">
        <v>129</v>
      </c>
      <c r="B88" s="69"/>
      <c r="C88" s="69"/>
      <c r="D88" s="69"/>
      <c r="E88" s="69"/>
      <c r="F88" s="69"/>
      <c r="G88" s="69"/>
      <c r="H88" s="6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23" x14ac:dyDescent="0.2">
      <c r="A89" s="21" t="s">
        <v>130</v>
      </c>
      <c r="F89" s="85">
        <v>7.4999999999999997E-2</v>
      </c>
      <c r="G89" s="22" t="s">
        <v>88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23" x14ac:dyDescent="0.2">
      <c r="U90" s="27" t="s">
        <v>33</v>
      </c>
      <c r="V90" s="24"/>
      <c r="W90" s="24"/>
    </row>
    <row r="91" spans="1:23" x14ac:dyDescent="0.2">
      <c r="A91" s="20" t="s">
        <v>0</v>
      </c>
      <c r="B91" s="40"/>
      <c r="C91" s="23" t="s">
        <v>140</v>
      </c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0" t="s">
        <v>34</v>
      </c>
      <c r="V91" s="20" t="s">
        <v>35</v>
      </c>
      <c r="W91" s="20" t="s">
        <v>36</v>
      </c>
    </row>
    <row r="92" spans="1:23" x14ac:dyDescent="0.2">
      <c r="A92" s="27" t="s">
        <v>1</v>
      </c>
      <c r="B92" s="74" t="s">
        <v>123</v>
      </c>
      <c r="C92" s="24">
        <v>0</v>
      </c>
      <c r="D92" s="24">
        <f t="shared" ref="D92" si="7">C92+1</f>
        <v>1</v>
      </c>
      <c r="E92" s="24">
        <f t="shared" ref="E92" si="8">D92+1</f>
        <v>2</v>
      </c>
      <c r="F92" s="24">
        <f t="shared" ref="F92" si="9">E92+1</f>
        <v>3</v>
      </c>
      <c r="G92" s="24">
        <f t="shared" ref="G92" si="10">F92+1</f>
        <v>4</v>
      </c>
      <c r="H92" s="24">
        <f t="shared" ref="H92" si="11">G92+1</f>
        <v>5</v>
      </c>
      <c r="I92" s="24">
        <f t="shared" ref="I92" si="12">H92+1</f>
        <v>6</v>
      </c>
      <c r="J92" s="24">
        <f t="shared" ref="J92" si="13">I92+1</f>
        <v>7</v>
      </c>
      <c r="K92" s="24">
        <f t="shared" ref="K92" si="14">J92+1</f>
        <v>8</v>
      </c>
      <c r="L92" s="24">
        <f t="shared" ref="L92" si="15">K92+1</f>
        <v>9</v>
      </c>
      <c r="M92" s="24">
        <f t="shared" ref="M92" si="16">L92+1</f>
        <v>10</v>
      </c>
      <c r="N92" s="24">
        <f t="shared" ref="N92" si="17">M92+1</f>
        <v>11</v>
      </c>
      <c r="O92" s="24">
        <f t="shared" ref="O92" si="18">N92+1</f>
        <v>12</v>
      </c>
      <c r="P92" s="24">
        <f t="shared" ref="P92" si="19">O92+1</f>
        <v>13</v>
      </c>
      <c r="Q92" s="24">
        <f t="shared" ref="Q92" si="20">P92+1</f>
        <v>14</v>
      </c>
      <c r="R92" s="24">
        <f t="shared" ref="R92" si="21">Q92+1</f>
        <v>15</v>
      </c>
      <c r="S92" s="24">
        <f t="shared" ref="S92" si="22">R92+1</f>
        <v>16</v>
      </c>
      <c r="T92" s="24">
        <f t="shared" ref="T92" si="23">S92+1</f>
        <v>17</v>
      </c>
      <c r="U92" s="27" t="s">
        <v>38</v>
      </c>
      <c r="V92" s="27" t="s">
        <v>39</v>
      </c>
      <c r="W92" s="24"/>
    </row>
    <row r="93" spans="1:23" x14ac:dyDescent="0.2">
      <c r="C93" s="2" t="s">
        <v>29</v>
      </c>
      <c r="D93" s="2" t="s">
        <v>29</v>
      </c>
      <c r="E93" s="2" t="s">
        <v>29</v>
      </c>
      <c r="F93" s="2" t="s">
        <v>29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29</v>
      </c>
      <c r="M93" s="2" t="s">
        <v>29</v>
      </c>
      <c r="N93" s="2" t="s">
        <v>29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20" t="s">
        <v>29</v>
      </c>
      <c r="V93" s="20" t="s">
        <v>29</v>
      </c>
      <c r="W93" s="20" t="s">
        <v>29</v>
      </c>
    </row>
    <row r="95" spans="1:23" x14ac:dyDescent="0.2">
      <c r="A95" s="3">
        <f>A64</f>
        <v>1978</v>
      </c>
      <c r="B95" s="35">
        <f>B64</f>
        <v>36691.077927559651</v>
      </c>
      <c r="C95" s="35">
        <f t="shared" ref="C95:C112" si="24">$B95*$P7*C$114/1000</f>
        <v>1043.1810000000039</v>
      </c>
      <c r="D95" s="35">
        <f>$B96*$P7*D$114/1000</f>
        <v>2902.9793533133311</v>
      </c>
      <c r="E95" s="35">
        <f>$B97*$P7*E$114/1000</f>
        <v>4098.6883528609469</v>
      </c>
      <c r="F95" s="35">
        <f>$B98*$P7*F$114/1000</f>
        <v>4803.3705032330436</v>
      </c>
      <c r="G95" s="35">
        <f>$B99*$P7*G$114/1000</f>
        <v>3707.1074083869999</v>
      </c>
      <c r="H95" s="35">
        <f>$B100*$P7*H$114/1000</f>
        <v>2956.4667526696421</v>
      </c>
      <c r="I95" s="35">
        <f>$B101*$P7*I$114/1000</f>
        <v>2509.4379935790525</v>
      </c>
      <c r="J95" s="35">
        <f>$B102*$P7*J$114/1000</f>
        <v>1644.0055862552733</v>
      </c>
      <c r="K95" s="35">
        <f>$B103*$P7*K$114/1000</f>
        <v>1136.8255142531789</v>
      </c>
      <c r="L95" s="35">
        <f>$B104*$P7*L$114/1000</f>
        <v>596.53954791724618</v>
      </c>
      <c r="M95" s="35">
        <f>$B105*$P7*M$114/1000</f>
        <v>375.5323870126046</v>
      </c>
      <c r="N95" s="35">
        <f>$B106*$P7*N$114/1000</f>
        <v>222.38062672351737</v>
      </c>
      <c r="O95" s="35">
        <f>$B107*$P7*O$114/1000</f>
        <v>178.57694084914087</v>
      </c>
      <c r="P95" s="35">
        <f>$B108*$P7*P$114/1000</f>
        <v>163.60629802324698</v>
      </c>
      <c r="Q95" s="35">
        <f>$B109*$P7*Q$114/1000</f>
        <v>169.68972255335083</v>
      </c>
      <c r="R95" s="35">
        <f>$B110*$P7*R$114/1000</f>
        <v>30.363075242284626</v>
      </c>
      <c r="S95" s="35">
        <f>$B111*$P7*S$114/1000</f>
        <v>34.231698967124672</v>
      </c>
      <c r="T95" s="35">
        <f>$B112*$P7*T$114/1000</f>
        <v>13.337999999999996</v>
      </c>
      <c r="U95" s="41">
        <f>'Table 3.4 - 3.5 and 3.7 - 3.9'!U152</f>
        <v>25469.405999999995</v>
      </c>
      <c r="V95" s="36">
        <v>0</v>
      </c>
      <c r="W95" s="36">
        <f>U95+V95</f>
        <v>25469.405999999995</v>
      </c>
    </row>
    <row r="96" spans="1:23" x14ac:dyDescent="0.2">
      <c r="A96" s="3">
        <f t="shared" ref="A96:B112" si="25">A65</f>
        <v>1979</v>
      </c>
      <c r="B96" s="35">
        <f t="shared" si="25"/>
        <v>46954.416072371772</v>
      </c>
      <c r="C96" s="35">
        <f t="shared" si="24"/>
        <v>1293.4711014199513</v>
      </c>
      <c r="D96" s="35">
        <f t="shared" ref="D96:D111" si="26">$B97*$P8*D$114/1000</f>
        <v>3175.834346699336</v>
      </c>
      <c r="E96" s="35">
        <f t="shared" ref="E96:E110" si="27">$B98*$P8*E$114/1000</f>
        <v>3555.8250773506343</v>
      </c>
      <c r="F96" s="35">
        <f t="shared" ref="F96:F108" si="28">$B99*$P8*F$114/1000</f>
        <v>4047.0854216626462</v>
      </c>
      <c r="G96" s="35">
        <f t="shared" ref="G96:G108" si="29">$B100*$P8*G$114/1000</f>
        <v>3409.3671544106064</v>
      </c>
      <c r="H96" s="35">
        <f t="shared" ref="H96:H107" si="30">$B101*$P8*H$114/1000</f>
        <v>3002.7773453020673</v>
      </c>
      <c r="I96" s="35">
        <f t="shared" ref="I96:I106" si="31">$B102*$P8*I$114/1000</f>
        <v>2437.1747950730887</v>
      </c>
      <c r="J96" s="35">
        <f t="shared" ref="J96:J105" si="32">$B103*$P8*J$114/1000</f>
        <v>1517.5874933806865</v>
      </c>
      <c r="K96" s="35">
        <f t="shared" ref="K96:K104" si="33">$B104*$P8*K$114/1000</f>
        <v>1014.3368074199574</v>
      </c>
      <c r="L96" s="35">
        <f t="shared" ref="L96:L103" si="34">$B105*$P8*L$114/1000</f>
        <v>486.87381656596915</v>
      </c>
      <c r="M96" s="35">
        <f t="shared" ref="M96:M102" si="35">$B106*$P8*M$114/1000</f>
        <v>412.14804556314112</v>
      </c>
      <c r="N96" s="35">
        <f t="shared" ref="N96:N101" si="36">$B107*$P8*N$114/1000</f>
        <v>296.30109438935489</v>
      </c>
      <c r="O96" s="35">
        <f t="shared" ref="O96:O100" si="37">$B108*$P8*O$114/1000</f>
        <v>181.22318272884351</v>
      </c>
      <c r="P96" s="35">
        <f t="shared" ref="P96:P99" si="38">$B109*$P8*P$114/1000</f>
        <v>151.38178454925674</v>
      </c>
      <c r="Q96" s="35">
        <f t="shared" ref="Q96:Q98" si="39">$B110*$P8*Q$114/1000</f>
        <v>195.12656093801365</v>
      </c>
      <c r="R96" s="35">
        <f t="shared" ref="R96:R97" si="40">$B111*$P8*R$114/1000</f>
        <v>35.908435036375565</v>
      </c>
      <c r="S96" s="35">
        <f>$B112*$P8*S$114/1000</f>
        <v>35.668582529852273</v>
      </c>
      <c r="T96" s="36">
        <f>$B$112*$P8*T$114/1000*D$116</f>
        <v>13.892495537419666</v>
      </c>
      <c r="U96" s="41">
        <f>'Table 3.4 - 3.5 and 3.7 - 3.9'!U153</f>
        <v>19836.829000000005</v>
      </c>
      <c r="V96" s="36">
        <f>T96</f>
        <v>13.892495537419666</v>
      </c>
      <c r="W96" s="36">
        <f t="shared" ref="W96:W112" si="41">U96+V96</f>
        <v>19850.721495537426</v>
      </c>
    </row>
    <row r="97" spans="1:23" x14ac:dyDescent="0.2">
      <c r="A97" s="3">
        <f t="shared" si="25"/>
        <v>1980</v>
      </c>
      <c r="B97" s="35">
        <f t="shared" si="25"/>
        <v>53016.279802830548</v>
      </c>
      <c r="C97" s="35">
        <f t="shared" si="24"/>
        <v>1921.7755941554424</v>
      </c>
      <c r="D97" s="35">
        <f t="shared" si="26"/>
        <v>3741.8414483784736</v>
      </c>
      <c r="E97" s="35">
        <f t="shared" si="27"/>
        <v>4068.8222899939083</v>
      </c>
      <c r="F97" s="35">
        <f t="shared" si="28"/>
        <v>5054.9053013921084</v>
      </c>
      <c r="G97" s="35">
        <f t="shared" si="29"/>
        <v>4702.7939768319384</v>
      </c>
      <c r="H97" s="35">
        <f t="shared" si="30"/>
        <v>3960.6401789679385</v>
      </c>
      <c r="I97" s="35">
        <f t="shared" si="31"/>
        <v>3055.4077593044576</v>
      </c>
      <c r="J97" s="35">
        <f t="shared" si="32"/>
        <v>1838.9679531947479</v>
      </c>
      <c r="K97" s="35">
        <f t="shared" si="33"/>
        <v>1124.3238231206983</v>
      </c>
      <c r="L97" s="35">
        <f t="shared" si="34"/>
        <v>725.69530869162588</v>
      </c>
      <c r="M97" s="35">
        <f t="shared" si="35"/>
        <v>745.79866163102724</v>
      </c>
      <c r="N97" s="35">
        <f t="shared" si="36"/>
        <v>408.36985819128546</v>
      </c>
      <c r="O97" s="35">
        <f t="shared" si="37"/>
        <v>227.72955914344635</v>
      </c>
      <c r="P97" s="35">
        <f t="shared" si="38"/>
        <v>236.41036879867647</v>
      </c>
      <c r="Q97" s="35">
        <f t="shared" si="39"/>
        <v>313.40012243554128</v>
      </c>
      <c r="R97" s="35">
        <f t="shared" si="40"/>
        <v>50.814297256075456</v>
      </c>
      <c r="S97" s="36">
        <f>$B$112*$P9*S$114/1000*D$116</f>
        <v>50.455376693685729</v>
      </c>
      <c r="T97" s="36">
        <f>$B$112*$P9*T$114/1000*E$116</f>
        <v>19.651778844006682</v>
      </c>
      <c r="U97" s="41">
        <f>'Table 3.4 - 3.5 and 3.7 - 3.9'!U154</f>
        <v>31992.917999999998</v>
      </c>
      <c r="V97" s="36">
        <f>SUM(S97:T97)</f>
        <v>70.107155537692407</v>
      </c>
      <c r="W97" s="36">
        <f t="shared" si="41"/>
        <v>32063.025155537689</v>
      </c>
    </row>
    <row r="98" spans="1:23" x14ac:dyDescent="0.2">
      <c r="A98" s="3">
        <f t="shared" si="25"/>
        <v>1981</v>
      </c>
      <c r="B98" s="35">
        <f t="shared" si="25"/>
        <v>47470.483140690412</v>
      </c>
      <c r="C98" s="35">
        <f t="shared" si="24"/>
        <v>2054.2893088273167</v>
      </c>
      <c r="D98" s="35">
        <f t="shared" si="26"/>
        <v>3884.589277819749</v>
      </c>
      <c r="E98" s="35">
        <f t="shared" si="27"/>
        <v>4610.7414225873708</v>
      </c>
      <c r="F98" s="35">
        <f t="shared" si="28"/>
        <v>6325.9622586452679</v>
      </c>
      <c r="G98" s="35">
        <f t="shared" si="29"/>
        <v>5627.6827087566062</v>
      </c>
      <c r="H98" s="35">
        <f t="shared" si="30"/>
        <v>4504.8390624472622</v>
      </c>
      <c r="I98" s="35">
        <f t="shared" si="31"/>
        <v>3359.0849848364642</v>
      </c>
      <c r="J98" s="35">
        <f t="shared" si="32"/>
        <v>1849.3315595199028</v>
      </c>
      <c r="K98" s="35">
        <f t="shared" si="33"/>
        <v>1520.4099438308256</v>
      </c>
      <c r="L98" s="35">
        <f t="shared" si="34"/>
        <v>1191.3903077667358</v>
      </c>
      <c r="M98" s="35">
        <f t="shared" si="35"/>
        <v>932.55276821124403</v>
      </c>
      <c r="N98" s="35">
        <f t="shared" si="36"/>
        <v>465.57614870227451</v>
      </c>
      <c r="O98" s="35">
        <f t="shared" si="37"/>
        <v>322.65893612894519</v>
      </c>
      <c r="P98" s="35">
        <f t="shared" si="38"/>
        <v>344.49322417370706</v>
      </c>
      <c r="Q98" s="35">
        <f t="shared" si="39"/>
        <v>402.36481788415063</v>
      </c>
      <c r="R98" s="36">
        <f>$B$112*$P10*R$114/1000*D$116</f>
        <v>65.213711537294287</v>
      </c>
      <c r="S98" s="36">
        <f t="shared" ref="S98:T98" si="42">$B$112*$P10*S$114/1000*E$116</f>
        <v>64.753082476490178</v>
      </c>
      <c r="T98" s="36">
        <f t="shared" si="42"/>
        <v>25.220567949004309</v>
      </c>
      <c r="U98" s="41">
        <f>'Table 3.4 - 3.5 and 3.7 - 3.9'!U155</f>
        <v>39118.252</v>
      </c>
      <c r="V98" s="36">
        <f>SUM(R98:T98)</f>
        <v>155.18736196278877</v>
      </c>
      <c r="W98" s="36">
        <f t="shared" si="41"/>
        <v>39273.439361962788</v>
      </c>
    </row>
    <row r="99" spans="1:23" x14ac:dyDescent="0.2">
      <c r="A99" s="3">
        <f t="shared" si="25"/>
        <v>1982</v>
      </c>
      <c r="B99" s="35">
        <f t="shared" si="25"/>
        <v>41279.920057035488</v>
      </c>
      <c r="C99" s="35">
        <f t="shared" si="24"/>
        <v>1717.25983828373</v>
      </c>
      <c r="D99" s="35">
        <f t="shared" si="26"/>
        <v>3544.5559302455836</v>
      </c>
      <c r="E99" s="35">
        <f t="shared" si="27"/>
        <v>4646.2119885459761</v>
      </c>
      <c r="F99" s="35">
        <f t="shared" si="28"/>
        <v>6095.5784983113672</v>
      </c>
      <c r="G99" s="35">
        <f t="shared" si="29"/>
        <v>5154.1633271630772</v>
      </c>
      <c r="H99" s="35">
        <f t="shared" si="30"/>
        <v>3987.9139265171539</v>
      </c>
      <c r="I99" s="35">
        <f t="shared" si="31"/>
        <v>2720.0462786655862</v>
      </c>
      <c r="J99" s="35">
        <f t="shared" si="32"/>
        <v>2013.7184583258756</v>
      </c>
      <c r="K99" s="35">
        <f t="shared" si="33"/>
        <v>2009.9031457537276</v>
      </c>
      <c r="L99" s="35">
        <f t="shared" si="34"/>
        <v>1199.5560904083334</v>
      </c>
      <c r="M99" s="35">
        <f t="shared" si="35"/>
        <v>856.10126983790428</v>
      </c>
      <c r="N99" s="35">
        <f t="shared" si="36"/>
        <v>531.16530167299265</v>
      </c>
      <c r="O99" s="35">
        <f t="shared" si="37"/>
        <v>378.59296764606404</v>
      </c>
      <c r="P99" s="35">
        <f t="shared" si="38"/>
        <v>356.13626818616251</v>
      </c>
      <c r="Q99" s="36">
        <f>$B$112*$P11*Q$114/1000*D$116</f>
        <v>415.80305462032817</v>
      </c>
      <c r="R99" s="36">
        <f t="shared" ref="R99:T99" si="43">$B$112*$P11*R$114/1000*E$116</f>
        <v>67.391728240373126</v>
      </c>
      <c r="S99" s="36">
        <f t="shared" si="43"/>
        <v>66.915715025459306</v>
      </c>
      <c r="T99" s="36">
        <f t="shared" si="43"/>
        <v>26.062888021872006</v>
      </c>
      <c r="U99" s="41">
        <f>'Table 3.4 - 3.5 and 3.7 - 3.9'!U156</f>
        <v>39428.586000000003</v>
      </c>
      <c r="V99" s="36">
        <f>SUM(Q99:T99)</f>
        <v>576.17338590803263</v>
      </c>
      <c r="W99" s="36">
        <f t="shared" si="41"/>
        <v>40004.759385908037</v>
      </c>
    </row>
    <row r="100" spans="1:23" x14ac:dyDescent="0.2">
      <c r="A100" s="3">
        <f t="shared" si="25"/>
        <v>1983</v>
      </c>
      <c r="B100" s="35">
        <f t="shared" si="25"/>
        <v>39182.880757485043</v>
      </c>
      <c r="C100" s="35">
        <f t="shared" si="24"/>
        <v>1757.6588887219521</v>
      </c>
      <c r="D100" s="35">
        <f t="shared" si="26"/>
        <v>4006.5626931991651</v>
      </c>
      <c r="E100" s="35">
        <f t="shared" si="27"/>
        <v>5021.9132713473455</v>
      </c>
      <c r="F100" s="35">
        <f t="shared" si="28"/>
        <v>6262.1772545012418</v>
      </c>
      <c r="G100" s="35">
        <f t="shared" si="29"/>
        <v>5118.0736078716445</v>
      </c>
      <c r="H100" s="35">
        <f t="shared" si="30"/>
        <v>3622.2876302698915</v>
      </c>
      <c r="I100" s="35">
        <f t="shared" si="31"/>
        <v>3322.3250301862008</v>
      </c>
      <c r="J100" s="35">
        <f t="shared" si="32"/>
        <v>2986.0359683211072</v>
      </c>
      <c r="K100" s="35">
        <f t="shared" si="33"/>
        <v>2269.9875877520149</v>
      </c>
      <c r="L100" s="35">
        <f t="shared" si="34"/>
        <v>1235.2479473880103</v>
      </c>
      <c r="M100" s="35">
        <f t="shared" si="35"/>
        <v>1095.584728607661</v>
      </c>
      <c r="N100" s="35">
        <f t="shared" si="36"/>
        <v>699.10176308205268</v>
      </c>
      <c r="O100" s="35">
        <f t="shared" si="37"/>
        <v>439.0256729298531</v>
      </c>
      <c r="P100" s="36">
        <f>$B$112*$P12*P$114/1000*D$116</f>
        <v>412.82475755047386</v>
      </c>
      <c r="Q100" s="36">
        <f t="shared" ref="Q100:T100" si="44">$B$112*$P12*Q$114/1000*E$116</f>
        <v>481.98908829654806</v>
      </c>
      <c r="R100" s="36">
        <f t="shared" si="44"/>
        <v>78.118900985385295</v>
      </c>
      <c r="S100" s="36">
        <f t="shared" si="44"/>
        <v>77.567117700188163</v>
      </c>
      <c r="T100" s="36">
        <f t="shared" si="44"/>
        <v>30.211484731653933</v>
      </c>
      <c r="U100" s="41">
        <f>'Table 3.4 - 3.5 and 3.7 - 3.9'!U157</f>
        <v>36354.199000000001</v>
      </c>
      <c r="V100" s="36">
        <f>SUM(P100:T100)</f>
        <v>1080.7113492642491</v>
      </c>
      <c r="W100" s="36">
        <f t="shared" si="41"/>
        <v>37434.910349264246</v>
      </c>
    </row>
    <row r="101" spans="1:23" x14ac:dyDescent="0.2">
      <c r="A101" s="3">
        <f t="shared" si="25"/>
        <v>1984</v>
      </c>
      <c r="B101" s="35">
        <f t="shared" si="25"/>
        <v>41073.849275618508</v>
      </c>
      <c r="C101" s="35">
        <f t="shared" si="24"/>
        <v>1876.8739910032218</v>
      </c>
      <c r="D101" s="35">
        <f t="shared" si="26"/>
        <v>4091.0288477142949</v>
      </c>
      <c r="E101" s="35">
        <f t="shared" si="27"/>
        <v>4873.8263112429149</v>
      </c>
      <c r="F101" s="35">
        <f t="shared" si="28"/>
        <v>5874.4081740905985</v>
      </c>
      <c r="G101" s="35">
        <f t="shared" si="29"/>
        <v>4391.7144688420294</v>
      </c>
      <c r="H101" s="35">
        <f t="shared" si="30"/>
        <v>4179.6428200926084</v>
      </c>
      <c r="I101" s="35">
        <f t="shared" si="31"/>
        <v>4654.0260941197312</v>
      </c>
      <c r="J101" s="35">
        <f t="shared" si="32"/>
        <v>3185.9121731081918</v>
      </c>
      <c r="K101" s="35">
        <f t="shared" si="33"/>
        <v>2208.2461164139168</v>
      </c>
      <c r="L101" s="35">
        <f t="shared" si="34"/>
        <v>1493.3629819717157</v>
      </c>
      <c r="M101" s="35">
        <f t="shared" si="35"/>
        <v>1362.2194670683646</v>
      </c>
      <c r="N101" s="35">
        <f t="shared" si="36"/>
        <v>765.85787780051942</v>
      </c>
      <c r="O101" s="36">
        <f>$B$112*$P13*O$114/1000*D$116</f>
        <v>480.7616978025859</v>
      </c>
      <c r="P101" s="36">
        <f t="shared" ref="P101:T101" si="45">$B$112*$P13*P$114/1000*E$116</f>
        <v>452.06998946191015</v>
      </c>
      <c r="Q101" s="36">
        <f t="shared" si="45"/>
        <v>527.8094350732722</v>
      </c>
      <c r="R101" s="36">
        <f t="shared" si="45"/>
        <v>85.545283075522278</v>
      </c>
      <c r="S101" s="36">
        <f t="shared" si="45"/>
        <v>84.941044450386443</v>
      </c>
      <c r="T101" s="36">
        <f t="shared" si="45"/>
        <v>33.083542918565385</v>
      </c>
      <c r="U101" s="41">
        <f>'Table 3.4 - 3.5 and 3.7 - 3.9'!U158</f>
        <v>48560.689000000013</v>
      </c>
      <c r="V101" s="36">
        <f>SUM(O101:T101)</f>
        <v>1664.2109927822423</v>
      </c>
      <c r="W101" s="36">
        <f t="shared" si="41"/>
        <v>50224.899992782259</v>
      </c>
    </row>
    <row r="102" spans="1:23" x14ac:dyDescent="0.2">
      <c r="A102" s="3">
        <f t="shared" si="25"/>
        <v>1985</v>
      </c>
      <c r="B102" s="35">
        <f t="shared" si="25"/>
        <v>41171.294810235551</v>
      </c>
      <c r="C102" s="35">
        <f t="shared" si="24"/>
        <v>1797.0176586277109</v>
      </c>
      <c r="D102" s="35">
        <f t="shared" si="26"/>
        <v>3722.9740707578185</v>
      </c>
      <c r="E102" s="35">
        <f t="shared" si="27"/>
        <v>4287.1180347794261</v>
      </c>
      <c r="F102" s="35">
        <f t="shared" si="28"/>
        <v>4726.5942014012335</v>
      </c>
      <c r="G102" s="35">
        <f t="shared" si="29"/>
        <v>4751.6775644428781</v>
      </c>
      <c r="H102" s="35">
        <f t="shared" si="30"/>
        <v>5490.1283195866563</v>
      </c>
      <c r="I102" s="35">
        <f t="shared" si="31"/>
        <v>4656.1204663791814</v>
      </c>
      <c r="J102" s="35">
        <f t="shared" si="32"/>
        <v>2906.1258783536587</v>
      </c>
      <c r="K102" s="35">
        <f t="shared" si="33"/>
        <v>2503.3141009304468</v>
      </c>
      <c r="L102" s="35">
        <f t="shared" si="34"/>
        <v>1741.0976272320449</v>
      </c>
      <c r="M102" s="35">
        <f t="shared" si="35"/>
        <v>1399.3021407661158</v>
      </c>
      <c r="N102" s="36">
        <f>$B$112*$P14*N$114/1000*D$116</f>
        <v>786.40226655037179</v>
      </c>
      <c r="O102" s="36">
        <f t="shared" ref="O102:T102" si="46">$B$112*$P14*O$114/1000*E$116</f>
        <v>493.65828802120603</v>
      </c>
      <c r="P102" s="36">
        <f t="shared" si="46"/>
        <v>464.19691519429296</v>
      </c>
      <c r="Q102" s="36">
        <f t="shared" si="46"/>
        <v>541.96809627439097</v>
      </c>
      <c r="R102" s="36">
        <f t="shared" si="46"/>
        <v>87.840063350247704</v>
      </c>
      <c r="S102" s="36">
        <f t="shared" si="46"/>
        <v>87.219615825820895</v>
      </c>
      <c r="T102" s="36">
        <f t="shared" si="46"/>
        <v>33.971019807741506</v>
      </c>
      <c r="U102" s="41">
        <f>'Table 3.4 - 3.5 and 3.7 - 3.9'!U159</f>
        <v>39959.231</v>
      </c>
      <c r="V102" s="36">
        <f>SUM(N102:T102)</f>
        <v>2495.2562650240716</v>
      </c>
      <c r="W102" s="36">
        <f t="shared" si="41"/>
        <v>42454.487265024072</v>
      </c>
    </row>
    <row r="103" spans="1:23" x14ac:dyDescent="0.2">
      <c r="A103" s="3">
        <f t="shared" si="25"/>
        <v>1986</v>
      </c>
      <c r="B103" s="35">
        <f t="shared" si="25"/>
        <v>39225.084404512752</v>
      </c>
      <c r="C103" s="35">
        <f t="shared" si="24"/>
        <v>1745.3062460794893</v>
      </c>
      <c r="D103" s="35">
        <f t="shared" si="26"/>
        <v>3495.0004240695966</v>
      </c>
      <c r="E103" s="35">
        <f t="shared" si="27"/>
        <v>3681.386943846142</v>
      </c>
      <c r="F103" s="35">
        <f t="shared" si="28"/>
        <v>5457.8678127864277</v>
      </c>
      <c r="G103" s="35">
        <f t="shared" si="29"/>
        <v>6661.1945326431405</v>
      </c>
      <c r="H103" s="35">
        <f t="shared" si="30"/>
        <v>5861.9177168748465</v>
      </c>
      <c r="I103" s="35">
        <f t="shared" si="31"/>
        <v>4532.8010643735552</v>
      </c>
      <c r="J103" s="35">
        <f t="shared" si="32"/>
        <v>3515.9615795448758</v>
      </c>
      <c r="K103" s="35">
        <f t="shared" si="33"/>
        <v>3114.8340692642064</v>
      </c>
      <c r="L103" s="35">
        <f t="shared" si="34"/>
        <v>1908.7513991360302</v>
      </c>
      <c r="M103" s="36">
        <f>$B$112*$P15*M$114/1000*D$116</f>
        <v>1533.4509880252988</v>
      </c>
      <c r="N103" s="36">
        <f t="shared" ref="N103:T103" si="47">$B$112*$P15*N$114/1000*E$116</f>
        <v>861.79338792890599</v>
      </c>
      <c r="O103" s="36">
        <f t="shared" si="47"/>
        <v>540.98451467996688</v>
      </c>
      <c r="P103" s="36">
        <f t="shared" si="47"/>
        <v>508.69872739082797</v>
      </c>
      <c r="Q103" s="36">
        <f t="shared" si="47"/>
        <v>593.92570660625086</v>
      </c>
      <c r="R103" s="36">
        <f t="shared" si="47"/>
        <v>96.261149045977291</v>
      </c>
      <c r="S103" s="36">
        <f t="shared" si="47"/>
        <v>95.58122021457477</v>
      </c>
      <c r="T103" s="36">
        <f t="shared" si="47"/>
        <v>37.227766878057821</v>
      </c>
      <c r="U103" s="41">
        <f>'Table 3.4 - 3.5 and 3.7 - 3.9'!U160</f>
        <v>41254.536</v>
      </c>
      <c r="V103" s="36">
        <f>SUM(M103:T103)</f>
        <v>4267.9234607698609</v>
      </c>
      <c r="W103" s="36">
        <f t="shared" si="41"/>
        <v>45522.45946076986</v>
      </c>
    </row>
    <row r="104" spans="1:23" x14ac:dyDescent="0.2">
      <c r="A104" s="3">
        <f t="shared" si="25"/>
        <v>1987</v>
      </c>
      <c r="B104" s="35">
        <f t="shared" si="25"/>
        <v>36121.948671473292</v>
      </c>
      <c r="C104" s="35">
        <f t="shared" si="24"/>
        <v>1436.2685047459058</v>
      </c>
      <c r="D104" s="35">
        <f t="shared" si="26"/>
        <v>2630.8739007454428</v>
      </c>
      <c r="E104" s="35">
        <f t="shared" si="27"/>
        <v>3726.4297284107429</v>
      </c>
      <c r="F104" s="35">
        <f t="shared" si="28"/>
        <v>6707.1024463128097</v>
      </c>
      <c r="G104" s="35">
        <f t="shared" si="29"/>
        <v>6234.7079187048776</v>
      </c>
      <c r="H104" s="35">
        <f t="shared" si="30"/>
        <v>5002.5212478094863</v>
      </c>
      <c r="I104" s="35">
        <f t="shared" si="31"/>
        <v>4807.3210966181487</v>
      </c>
      <c r="J104" s="35">
        <f t="shared" si="32"/>
        <v>3835.0449991988303</v>
      </c>
      <c r="K104" s="35">
        <f t="shared" si="33"/>
        <v>2993.4219157948437</v>
      </c>
      <c r="L104" s="36">
        <f>$B$112*$P16*L$114/1000*D$116</f>
        <v>1833.6419765839537</v>
      </c>
      <c r="M104" s="36">
        <f t="shared" ref="M104:T104" si="48">$B$112*$P16*M$114/1000*E$116</f>
        <v>1473.1096474638066</v>
      </c>
      <c r="N104" s="36">
        <f t="shared" si="48"/>
        <v>827.881793283403</v>
      </c>
      <c r="O104" s="36">
        <f t="shared" si="48"/>
        <v>519.69675844014466</v>
      </c>
      <c r="P104" s="36">
        <f t="shared" si="48"/>
        <v>488.68141781107039</v>
      </c>
      <c r="Q104" s="36">
        <f t="shared" si="48"/>
        <v>570.55471293875632</v>
      </c>
      <c r="R104" s="36">
        <f t="shared" si="48"/>
        <v>92.473270057484939</v>
      </c>
      <c r="S104" s="36">
        <f t="shared" si="48"/>
        <v>91.820096445188625</v>
      </c>
      <c r="T104" s="36">
        <f t="shared" si="48"/>
        <v>35.762853178777817</v>
      </c>
      <c r="U104" s="41">
        <f>'Table 3.4 - 3.5 and 3.7 - 3.9'!U161</f>
        <v>40205.614000000001</v>
      </c>
      <c r="V104" s="36">
        <f>SUM(L104:T104)</f>
        <v>5933.6225262025864</v>
      </c>
      <c r="W104" s="36">
        <f t="shared" si="41"/>
        <v>46139.236526202585</v>
      </c>
    </row>
    <row r="105" spans="1:23" x14ac:dyDescent="0.2">
      <c r="A105" s="3">
        <f t="shared" si="25"/>
        <v>1988</v>
      </c>
      <c r="B105" s="35">
        <f t="shared" si="25"/>
        <v>30427.569367495893</v>
      </c>
      <c r="C105" s="35">
        <f t="shared" si="24"/>
        <v>1237.5204032189363</v>
      </c>
      <c r="D105" s="35">
        <f t="shared" si="26"/>
        <v>3048.2138479011146</v>
      </c>
      <c r="E105" s="35">
        <f t="shared" si="27"/>
        <v>5241.6593571058247</v>
      </c>
      <c r="F105" s="35">
        <f t="shared" si="28"/>
        <v>7185.597169151154</v>
      </c>
      <c r="G105" s="35">
        <f t="shared" si="29"/>
        <v>6090.1679235245638</v>
      </c>
      <c r="H105" s="35">
        <f t="shared" si="30"/>
        <v>6072.8051233227834</v>
      </c>
      <c r="I105" s="35">
        <f t="shared" si="31"/>
        <v>6001.9642671043539</v>
      </c>
      <c r="J105" s="35">
        <f t="shared" si="32"/>
        <v>4218.5909132726329</v>
      </c>
      <c r="K105" s="36">
        <f>$B$112*$P17*K$114/1000*D$116</f>
        <v>3291.5240978661709</v>
      </c>
      <c r="L105" s="36">
        <f t="shared" ref="L105:T105" si="49">$B$112*$P17*L$114/1000*E$116</f>
        <v>2016.2465975607183</v>
      </c>
      <c r="M105" s="36">
        <f t="shared" si="49"/>
        <v>1619.8103841765865</v>
      </c>
      <c r="N105" s="36">
        <f t="shared" si="49"/>
        <v>910.32702687132337</v>
      </c>
      <c r="O105" s="36">
        <f t="shared" si="49"/>
        <v>571.45115259652789</v>
      </c>
      <c r="P105" s="36">
        <f t="shared" si="49"/>
        <v>537.34712584859187</v>
      </c>
      <c r="Q105" s="36">
        <f t="shared" si="49"/>
        <v>627.37383490104094</v>
      </c>
      <c r="R105" s="36">
        <f t="shared" si="49"/>
        <v>101.68229049057268</v>
      </c>
      <c r="S105" s="36">
        <f t="shared" si="49"/>
        <v>100.96407009082904</v>
      </c>
      <c r="T105" s="36">
        <f t="shared" si="49"/>
        <v>39.324323920151528</v>
      </c>
      <c r="U105" s="41">
        <f>'Table 3.4 - 3.5 and 3.7 - 3.9'!U162</f>
        <v>33364.098000000005</v>
      </c>
      <c r="V105" s="36">
        <f>SUM(K105:T105)</f>
        <v>9816.0509043225102</v>
      </c>
      <c r="W105" s="36">
        <f t="shared" si="41"/>
        <v>43180.148904322516</v>
      </c>
    </row>
    <row r="106" spans="1:23" x14ac:dyDescent="0.2">
      <c r="A106" s="3">
        <f t="shared" si="25"/>
        <v>1989</v>
      </c>
      <c r="B106" s="35">
        <f t="shared" si="25"/>
        <v>34466.090140851418</v>
      </c>
      <c r="C106" s="35">
        <f t="shared" si="24"/>
        <v>1399.283941800006</v>
      </c>
      <c r="D106" s="35">
        <f t="shared" si="26"/>
        <v>4184.3631880160738</v>
      </c>
      <c r="E106" s="35">
        <f t="shared" si="27"/>
        <v>5480.3059370519541</v>
      </c>
      <c r="F106" s="35">
        <f t="shared" si="28"/>
        <v>6849.8980013792143</v>
      </c>
      <c r="G106" s="35">
        <f t="shared" si="29"/>
        <v>7215.0235591952096</v>
      </c>
      <c r="H106" s="35">
        <f t="shared" si="30"/>
        <v>7399.250020907959</v>
      </c>
      <c r="I106" s="35">
        <f t="shared" si="31"/>
        <v>6443.1528963181154</v>
      </c>
      <c r="J106" s="36">
        <f>$B$112*$P18*J$114/1000*D$116</f>
        <v>4526.9385680351706</v>
      </c>
      <c r="K106" s="36">
        <f t="shared" ref="K106:T106" si="50">$B$112*$P18*K$114/1000*E$116</f>
        <v>3532.1100558404796</v>
      </c>
      <c r="L106" s="36">
        <f t="shared" si="50"/>
        <v>2163.6192446274845</v>
      </c>
      <c r="M106" s="36">
        <f t="shared" si="50"/>
        <v>1738.206489271638</v>
      </c>
      <c r="N106" s="36">
        <f t="shared" si="50"/>
        <v>976.865169481831</v>
      </c>
      <c r="O106" s="36">
        <f t="shared" si="50"/>
        <v>613.21998639363926</v>
      </c>
      <c r="P106" s="36">
        <f t="shared" si="50"/>
        <v>576.62320865802155</v>
      </c>
      <c r="Q106" s="36">
        <f t="shared" si="50"/>
        <v>673.23020131061173</v>
      </c>
      <c r="R106" s="36">
        <f t="shared" si="50"/>
        <v>109.11451050152613</v>
      </c>
      <c r="S106" s="36">
        <f t="shared" si="50"/>
        <v>108.34379352640542</v>
      </c>
      <c r="T106" s="36">
        <f t="shared" si="50"/>
        <v>42.198639848190751</v>
      </c>
      <c r="U106" s="41">
        <f>'Table 3.4 - 3.5 and 3.7 - 3.9'!U163</f>
        <v>37319.199000000001</v>
      </c>
      <c r="V106" s="36">
        <f>SUM(J106:T106)</f>
        <v>15060.469867494998</v>
      </c>
      <c r="W106" s="36">
        <f t="shared" si="41"/>
        <v>52379.668867494998</v>
      </c>
    </row>
    <row r="107" spans="1:23" x14ac:dyDescent="0.2">
      <c r="A107" s="3">
        <f t="shared" si="25"/>
        <v>1990</v>
      </c>
      <c r="B107" s="35">
        <f t="shared" si="25"/>
        <v>47396.605234761992</v>
      </c>
      <c r="C107" s="35">
        <f t="shared" si="24"/>
        <v>1800.6190077877377</v>
      </c>
      <c r="D107" s="35">
        <f t="shared" si="26"/>
        <v>4101.0722615567438</v>
      </c>
      <c r="E107" s="35">
        <f t="shared" si="27"/>
        <v>4897.3154693313672</v>
      </c>
      <c r="F107" s="35">
        <f t="shared" si="28"/>
        <v>7607.1964165230565</v>
      </c>
      <c r="G107" s="35">
        <f t="shared" si="29"/>
        <v>8240.7767766861271</v>
      </c>
      <c r="H107" s="35">
        <f t="shared" si="30"/>
        <v>7446.0298575374236</v>
      </c>
      <c r="I107" s="36">
        <f>$B$112*$P19*I$114/1000*D$116</f>
        <v>6481.3826857073736</v>
      </c>
      <c r="J107" s="36">
        <f t="shared" ref="J107:T107" si="51">$B$112*$P19*J$114/1000*E$116</f>
        <v>4553.7986954943517</v>
      </c>
      <c r="K107" s="36">
        <f t="shared" si="51"/>
        <v>3553.0674699679062</v>
      </c>
      <c r="L107" s="36">
        <f t="shared" si="51"/>
        <v>2176.456858350406</v>
      </c>
      <c r="M107" s="36">
        <f t="shared" si="51"/>
        <v>1748.5199598766692</v>
      </c>
      <c r="N107" s="36">
        <f t="shared" si="51"/>
        <v>982.66129915498141</v>
      </c>
      <c r="O107" s="36">
        <f t="shared" si="51"/>
        <v>616.85846452792487</v>
      </c>
      <c r="P107" s="36">
        <f t="shared" si="51"/>
        <v>580.04454355084272</v>
      </c>
      <c r="Q107" s="36">
        <f t="shared" si="51"/>
        <v>677.22474392363904</v>
      </c>
      <c r="R107" s="36">
        <f t="shared" si="51"/>
        <v>109.76193030094903</v>
      </c>
      <c r="S107" s="36">
        <f t="shared" si="51"/>
        <v>108.98664035540348</v>
      </c>
      <c r="T107" s="36">
        <f t="shared" si="51"/>
        <v>42.449021166137037</v>
      </c>
      <c r="U107" s="41">
        <f>'Table 3.4 - 3.5 and 3.7 - 3.9'!U164</f>
        <v>35744.653000000006</v>
      </c>
      <c r="V107" s="36">
        <f>SUM(I107:T107)</f>
        <v>21631.212312376581</v>
      </c>
      <c r="W107" s="36">
        <f t="shared" si="41"/>
        <v>57375.865312376583</v>
      </c>
    </row>
    <row r="108" spans="1:23" x14ac:dyDescent="0.2">
      <c r="A108" s="3">
        <f t="shared" si="25"/>
        <v>1991</v>
      </c>
      <c r="B108" s="35">
        <f t="shared" si="25"/>
        <v>49642.600361729492</v>
      </c>
      <c r="C108" s="35">
        <f t="shared" si="24"/>
        <v>2009.7028619994737</v>
      </c>
      <c r="D108" s="35">
        <f t="shared" si="26"/>
        <v>4173.4255506415366</v>
      </c>
      <c r="E108" s="35">
        <f t="shared" si="27"/>
        <v>6193.5632574866249</v>
      </c>
      <c r="F108" s="35">
        <f t="shared" si="28"/>
        <v>9894.5716613494114</v>
      </c>
      <c r="G108" s="35">
        <f t="shared" si="29"/>
        <v>9443.8089556744071</v>
      </c>
      <c r="H108" s="36">
        <f>$B$112*$P20*H$114/1000*D$116</f>
        <v>8529.7435147457109</v>
      </c>
      <c r="I108" s="36">
        <f>$B$112*$P20*I$114/1000*E$116</f>
        <v>7424.6992004785625</v>
      </c>
      <c r="J108" s="36">
        <f t="shared" ref="J108:T108" si="52">$B$112*$P20*J$114/1000*F$116</f>
        <v>5216.5698544749894</v>
      </c>
      <c r="K108" s="36">
        <f t="shared" si="52"/>
        <v>4070.1897238209372</v>
      </c>
      <c r="L108" s="36">
        <f t="shared" si="52"/>
        <v>2493.2237887611632</v>
      </c>
      <c r="M108" s="36">
        <f t="shared" si="52"/>
        <v>2003.0038924788835</v>
      </c>
      <c r="N108" s="36">
        <f t="shared" si="52"/>
        <v>1125.6802623715064</v>
      </c>
      <c r="O108" s="36">
        <f t="shared" si="52"/>
        <v>706.6375757272632</v>
      </c>
      <c r="P108" s="36">
        <f t="shared" si="52"/>
        <v>664.4656653650236</v>
      </c>
      <c r="Q108" s="36">
        <f t="shared" si="52"/>
        <v>775.78971317990749</v>
      </c>
      <c r="R108" s="36">
        <f t="shared" si="52"/>
        <v>125.7369539289126</v>
      </c>
      <c r="S108" s="36">
        <f t="shared" si="52"/>
        <v>124.8488263613914</v>
      </c>
      <c r="T108" s="36">
        <f t="shared" si="52"/>
        <v>48.627157012087096</v>
      </c>
      <c r="U108" s="41">
        <f>'Table 3.4 - 3.5 and 3.7 - 3.9'!U165</f>
        <v>29448.637999999999</v>
      </c>
      <c r="V108" s="36">
        <f>SUM(H108:T108)</f>
        <v>33309.216128706335</v>
      </c>
      <c r="W108" s="36">
        <f t="shared" si="41"/>
        <v>62757.854128706334</v>
      </c>
    </row>
    <row r="109" spans="1:23" x14ac:dyDescent="0.2">
      <c r="A109" s="3">
        <f t="shared" si="25"/>
        <v>1992</v>
      </c>
      <c r="B109" s="35">
        <f t="shared" si="25"/>
        <v>47407.498133286521</v>
      </c>
      <c r="C109" s="35">
        <f t="shared" si="24"/>
        <v>1986.6695498680328</v>
      </c>
      <c r="D109" s="35">
        <f t="shared" si="26"/>
        <v>5127.1226045579479</v>
      </c>
      <c r="E109" s="35">
        <f t="shared" si="27"/>
        <v>7825.4889304073631</v>
      </c>
      <c r="F109" s="35">
        <f t="shared" ref="F109" si="53">$B112*$P21*F$114/1000</f>
        <v>11014.748270256947</v>
      </c>
      <c r="G109" s="36">
        <f>$B$112*$P21*G$114/1000*D$116</f>
        <v>10508.891964275166</v>
      </c>
      <c r="H109" s="36">
        <f t="shared" ref="H109:T109" si="54">$B$112*$P21*H$114/1000*E$116</f>
        <v>9491.7372323144482</v>
      </c>
      <c r="I109" s="36">
        <f t="shared" si="54"/>
        <v>8262.0648227098118</v>
      </c>
      <c r="J109" s="36">
        <f t="shared" si="54"/>
        <v>5804.9002560384206</v>
      </c>
      <c r="K109" s="36">
        <f t="shared" si="54"/>
        <v>4529.2301318777218</v>
      </c>
      <c r="L109" s="36">
        <f t="shared" si="54"/>
        <v>2774.4122696498139</v>
      </c>
      <c r="M109" s="36">
        <f t="shared" si="54"/>
        <v>2228.9048421966968</v>
      </c>
      <c r="N109" s="36">
        <f t="shared" si="54"/>
        <v>1252.635702300089</v>
      </c>
      <c r="O109" s="36">
        <f t="shared" si="54"/>
        <v>786.33292732517077</v>
      </c>
      <c r="P109" s="36">
        <f t="shared" si="54"/>
        <v>739.40482320913156</v>
      </c>
      <c r="Q109" s="36">
        <f t="shared" si="54"/>
        <v>863.28411778226825</v>
      </c>
      <c r="R109" s="36">
        <f t="shared" si="54"/>
        <v>139.91770385846658</v>
      </c>
      <c r="S109" s="36">
        <f t="shared" si="54"/>
        <v>138.92941230138607</v>
      </c>
      <c r="T109" s="36">
        <f t="shared" si="54"/>
        <v>54.111380478828821</v>
      </c>
      <c r="U109" s="41">
        <f>'Table 3.4 - 3.5 and 3.7 - 3.9'!U166</f>
        <v>28265.431</v>
      </c>
      <c r="V109" s="36">
        <f>SUM(G109:T109)</f>
        <v>47574.757586317428</v>
      </c>
      <c r="W109" s="36">
        <f t="shared" si="41"/>
        <v>75840.188586317425</v>
      </c>
    </row>
    <row r="110" spans="1:23" x14ac:dyDescent="0.2">
      <c r="A110" s="3">
        <f t="shared" si="25"/>
        <v>1993</v>
      </c>
      <c r="B110" s="35">
        <f t="shared" si="25"/>
        <v>56263.506961519517</v>
      </c>
      <c r="C110" s="35">
        <f t="shared" si="24"/>
        <v>2318.5872779646043</v>
      </c>
      <c r="D110" s="35">
        <f t="shared" si="26"/>
        <v>6154.0552039189943</v>
      </c>
      <c r="E110" s="35">
        <f t="shared" si="27"/>
        <v>8275.7209939558852</v>
      </c>
      <c r="F110" s="36">
        <f>$B$112*$P22*F$114/1000*D$116</f>
        <v>11643.970372762862</v>
      </c>
      <c r="G110" s="36">
        <f>$B$112*$P22*G$114/1000*E$116</f>
        <v>11109.216813697665</v>
      </c>
      <c r="H110" s="36">
        <f>$B$112*$P22*H$114/1000*F$116</f>
        <v>10033.956692188791</v>
      </c>
      <c r="I110" s="36">
        <f>$B$112*$P22*I$114/1000*G$116</f>
        <v>8734.0387318025496</v>
      </c>
      <c r="J110" s="36">
        <f t="shared" ref="J110:T110" si="55">$B$112*$P22*J$114/1000*H$116</f>
        <v>6136.5076114061885</v>
      </c>
      <c r="K110" s="36">
        <f t="shared" si="55"/>
        <v>4787.9642977786161</v>
      </c>
      <c r="L110" s="36">
        <f t="shared" si="55"/>
        <v>2932.9017311149682</v>
      </c>
      <c r="M110" s="36">
        <f t="shared" si="55"/>
        <v>2356.2319636779675</v>
      </c>
      <c r="N110" s="36">
        <f t="shared" si="55"/>
        <v>1324.1930407826733</v>
      </c>
      <c r="O110" s="36">
        <f t="shared" si="55"/>
        <v>831.25252472870125</v>
      </c>
      <c r="P110" s="36">
        <f t="shared" si="55"/>
        <v>781.64363303458845</v>
      </c>
      <c r="Q110" s="36">
        <f t="shared" si="55"/>
        <v>912.59958413002994</v>
      </c>
      <c r="R110" s="36">
        <f t="shared" si="55"/>
        <v>147.91056122020552</v>
      </c>
      <c r="S110" s="36">
        <f t="shared" si="55"/>
        <v>146.86581309451557</v>
      </c>
      <c r="T110" s="36">
        <f t="shared" si="55"/>
        <v>57.202515723955202</v>
      </c>
      <c r="U110" s="41">
        <f>'Table 3.4 - 3.5 and 3.7 - 3.9'!U167</f>
        <v>15165.406999999999</v>
      </c>
      <c r="V110" s="36">
        <f>SUM(F110:T110)</f>
        <v>61936.455887144271</v>
      </c>
      <c r="W110" s="36">
        <f t="shared" si="41"/>
        <v>77101.862887144263</v>
      </c>
    </row>
    <row r="111" spans="1:23" x14ac:dyDescent="0.2">
      <c r="A111" s="3">
        <f t="shared" si="25"/>
        <v>1994</v>
      </c>
      <c r="B111" s="35">
        <f t="shared" si="25"/>
        <v>68674.646464871126</v>
      </c>
      <c r="C111" s="35">
        <f t="shared" si="24"/>
        <v>2834.9769260840108</v>
      </c>
      <c r="D111" s="35">
        <f t="shared" si="26"/>
        <v>6629.7040486207407</v>
      </c>
      <c r="E111" s="36">
        <f>$B$112*$P23*E$114/1000*D$116</f>
        <v>8911.9091599578587</v>
      </c>
      <c r="F111" s="36">
        <f t="shared" ref="F111:T111" si="56">$B$112*$P23*F$114/1000*E$116</f>
        <v>12539.089500369933</v>
      </c>
      <c r="G111" s="36">
        <f t="shared" si="56"/>
        <v>11963.227270984267</v>
      </c>
      <c r="H111" s="36">
        <f t="shared" si="56"/>
        <v>10805.307552181406</v>
      </c>
      <c r="I111" s="36">
        <f t="shared" si="56"/>
        <v>9405.4596371996522</v>
      </c>
      <c r="J111" s="36">
        <f t="shared" si="56"/>
        <v>6608.2457869450809</v>
      </c>
      <c r="K111" s="36">
        <f t="shared" si="56"/>
        <v>5156.0344910235735</v>
      </c>
      <c r="L111" s="36">
        <f t="shared" si="56"/>
        <v>3158.3657571188387</v>
      </c>
      <c r="M111" s="36">
        <f t="shared" si="56"/>
        <v>2537.3650507820762</v>
      </c>
      <c r="N111" s="36">
        <f t="shared" si="56"/>
        <v>1425.9891190534818</v>
      </c>
      <c r="O111" s="36">
        <f t="shared" si="56"/>
        <v>895.15427051953827</v>
      </c>
      <c r="P111" s="36">
        <f t="shared" si="56"/>
        <v>841.73174254559945</v>
      </c>
      <c r="Q111" s="36">
        <f t="shared" si="56"/>
        <v>982.75480760190317</v>
      </c>
      <c r="R111" s="36">
        <f t="shared" si="56"/>
        <v>159.28104467943882</v>
      </c>
      <c r="S111" s="36">
        <f t="shared" si="56"/>
        <v>158.15598253706054</v>
      </c>
      <c r="T111" s="36">
        <f t="shared" si="56"/>
        <v>61.599904615593815</v>
      </c>
      <c r="U111" s="41">
        <f>'Table 3.4 - 3.5 and 3.7 - 3.9'!U168</f>
        <v>7962.4459999999999</v>
      </c>
      <c r="V111" s="36">
        <f>SUM(E111:T111)</f>
        <v>75609.67107811528</v>
      </c>
      <c r="W111" s="36">
        <f t="shared" si="41"/>
        <v>83572.117078115276</v>
      </c>
    </row>
    <row r="112" spans="1:23" x14ac:dyDescent="0.2">
      <c r="A112" s="3">
        <f t="shared" si="25"/>
        <v>1995</v>
      </c>
      <c r="B112" s="35">
        <f t="shared" si="25"/>
        <v>73853.782018402169</v>
      </c>
      <c r="C112" s="35">
        <f t="shared" si="24"/>
        <v>3103.4766907811791</v>
      </c>
      <c r="D112" s="36">
        <f>$B$112*$P24*D$114/1000*D$116</f>
        <v>7254.7968805501987</v>
      </c>
      <c r="E112" s="36">
        <f t="shared" ref="E112:T112" si="57">$B$112*$P24*E$114/1000*E$116</f>
        <v>9752.1835513698115</v>
      </c>
      <c r="F112" s="36">
        <f t="shared" si="57"/>
        <v>13721.358709993829</v>
      </c>
      <c r="G112" s="36">
        <f t="shared" si="57"/>
        <v>13091.200338709827</v>
      </c>
      <c r="H112" s="36">
        <f t="shared" si="57"/>
        <v>11824.104205565511</v>
      </c>
      <c r="I112" s="36">
        <f t="shared" si="57"/>
        <v>10292.269268081816</v>
      </c>
      <c r="J112" s="36">
        <f t="shared" si="57"/>
        <v>7231.3153904678484</v>
      </c>
      <c r="K112" s="36">
        <f t="shared" si="57"/>
        <v>5642.1799023244621</v>
      </c>
      <c r="L112" s="36">
        <f t="shared" si="57"/>
        <v>3456.1576013561657</v>
      </c>
      <c r="M112" s="36">
        <f t="shared" si="57"/>
        <v>2776.6047956636262</v>
      </c>
      <c r="N112" s="36">
        <f t="shared" si="57"/>
        <v>1560.4409090870322</v>
      </c>
      <c r="O112" s="36">
        <f t="shared" si="57"/>
        <v>979.555401229018</v>
      </c>
      <c r="P112" s="36">
        <f t="shared" si="57"/>
        <v>921.09584007001467</v>
      </c>
      <c r="Q112" s="36">
        <f t="shared" si="57"/>
        <v>1075.4155027507261</v>
      </c>
      <c r="R112" s="36">
        <f t="shared" si="57"/>
        <v>174.29912671766598</v>
      </c>
      <c r="S112" s="36">
        <f t="shared" si="57"/>
        <v>173.06798619297706</v>
      </c>
      <c r="T112" s="36">
        <f t="shared" si="57"/>
        <v>67.407955554271368</v>
      </c>
      <c r="U112" s="41">
        <f>'Table 3.4 - 3.5 and 3.7 - 3.9'!U169</f>
        <v>2725.355</v>
      </c>
      <c r="V112" s="37">
        <f>SUM(D112:T112)</f>
        <v>89993.453365684836</v>
      </c>
      <c r="W112" s="36">
        <f t="shared" si="41"/>
        <v>92718.808365684832</v>
      </c>
    </row>
    <row r="113" spans="1:23" x14ac:dyDescent="0.2">
      <c r="A113" s="3"/>
      <c r="B113" s="35"/>
      <c r="C113" s="35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V113" s="36"/>
      <c r="W113" s="36"/>
    </row>
    <row r="114" spans="1:23" x14ac:dyDescent="0.2">
      <c r="A114" s="1" t="s">
        <v>124</v>
      </c>
      <c r="B114" s="35"/>
      <c r="C114" s="86" cm="1">
        <f t="array" ref="C114:T114">TRANSPOSE(E64:E81)</f>
        <v>4.6518251455026138E-2</v>
      </c>
      <c r="D114" s="86">
        <v>0.10115600923254517</v>
      </c>
      <c r="E114" s="86">
        <v>0.1264910601014809</v>
      </c>
      <c r="F114" s="86">
        <v>0.16555664593542929</v>
      </c>
      <c r="G114" s="86">
        <v>0.14693339253417362</v>
      </c>
      <c r="H114" s="86">
        <v>0.12345276497832491</v>
      </c>
      <c r="I114" s="86">
        <v>9.9962071718271997E-2</v>
      </c>
      <c r="J114" s="86">
        <v>6.5333052193695229E-2</v>
      </c>
      <c r="K114" s="86">
        <v>4.7419187647245155E-2</v>
      </c>
      <c r="L114" s="86">
        <v>2.7020429869196755E-2</v>
      </c>
      <c r="M114" s="86">
        <v>2.0193161606596104E-2</v>
      </c>
      <c r="N114" s="86">
        <v>1.05567227213675E-2</v>
      </c>
      <c r="O114" s="86">
        <v>6.1645634454674351E-3</v>
      </c>
      <c r="P114" s="86">
        <v>5.3922457857195844E-3</v>
      </c>
      <c r="Q114" s="86">
        <v>5.8564263679705911E-3</v>
      </c>
      <c r="R114" s="86">
        <v>8.8296429375772721E-4</v>
      </c>
      <c r="S114" s="86">
        <v>8.1556054293807601E-4</v>
      </c>
      <c r="T114" s="86">
        <v>2.9548957079382097E-4</v>
      </c>
      <c r="U114" s="41"/>
      <c r="V114" s="42"/>
      <c r="W114" s="41"/>
    </row>
    <row r="115" spans="1:23" x14ac:dyDescent="0.2">
      <c r="U115" s="38"/>
      <c r="V115" s="37">
        <f>SUM(V95:V112)</f>
        <v>371188.3721231512</v>
      </c>
      <c r="W115" s="38"/>
    </row>
    <row r="116" spans="1:23" x14ac:dyDescent="0.2">
      <c r="A116" s="1" t="s">
        <v>90</v>
      </c>
      <c r="D116" s="61">
        <f>1.075</f>
        <v>1.075</v>
      </c>
      <c r="E116" s="61">
        <f t="shared" ref="E116:T116" si="58">D116*(1+$F89)</f>
        <v>1.1556249999999999</v>
      </c>
      <c r="F116" s="61">
        <f t="shared" si="58"/>
        <v>1.2422968749999999</v>
      </c>
      <c r="G116" s="61">
        <f t="shared" si="58"/>
        <v>1.3354691406249999</v>
      </c>
      <c r="H116" s="61">
        <f t="shared" si="58"/>
        <v>1.4356293261718749</v>
      </c>
      <c r="I116" s="61">
        <f t="shared" si="58"/>
        <v>1.5433015256347655</v>
      </c>
      <c r="J116" s="61">
        <f t="shared" si="58"/>
        <v>1.6590491400573728</v>
      </c>
      <c r="K116" s="61">
        <f t="shared" si="58"/>
        <v>1.7834778255616757</v>
      </c>
      <c r="L116" s="61">
        <f t="shared" si="58"/>
        <v>1.9172386624788014</v>
      </c>
      <c r="M116" s="61">
        <f t="shared" si="58"/>
        <v>2.0610315621647115</v>
      </c>
      <c r="N116" s="61">
        <f t="shared" si="58"/>
        <v>2.2156089293270647</v>
      </c>
      <c r="O116" s="61">
        <f t="shared" si="58"/>
        <v>2.3817795990265944</v>
      </c>
      <c r="P116" s="61">
        <f t="shared" si="58"/>
        <v>2.5604130689535891</v>
      </c>
      <c r="Q116" s="61">
        <f t="shared" si="58"/>
        <v>2.7524440491251081</v>
      </c>
      <c r="R116" s="61">
        <f t="shared" si="58"/>
        <v>2.9588773528094912</v>
      </c>
      <c r="S116" s="61">
        <f t="shared" si="58"/>
        <v>3.1807931542702028</v>
      </c>
      <c r="T116" s="61">
        <f t="shared" si="58"/>
        <v>3.4193526408404677</v>
      </c>
    </row>
    <row r="117" spans="1:23" x14ac:dyDescent="0.2">
      <c r="A117" s="1" t="s">
        <v>137</v>
      </c>
    </row>
    <row r="119" spans="1:23" x14ac:dyDescent="0.2">
      <c r="A119" s="21" t="s">
        <v>146</v>
      </c>
    </row>
    <row r="120" spans="1:23" x14ac:dyDescent="0.2">
      <c r="A120" s="21" t="s">
        <v>136</v>
      </c>
    </row>
    <row r="122" spans="1:23" x14ac:dyDescent="0.2">
      <c r="A122" s="26" t="s">
        <v>0</v>
      </c>
      <c r="B122" s="101" t="s">
        <v>133</v>
      </c>
      <c r="C122" s="101"/>
      <c r="D122" s="101"/>
    </row>
    <row r="123" spans="1:23" x14ac:dyDescent="0.2">
      <c r="A123" s="26" t="s">
        <v>1</v>
      </c>
      <c r="B123" s="26" t="s">
        <v>131</v>
      </c>
      <c r="C123" s="26" t="s">
        <v>15</v>
      </c>
      <c r="D123" s="26" t="s">
        <v>132</v>
      </c>
    </row>
    <row r="124" spans="1:23" x14ac:dyDescent="0.2">
      <c r="A124" s="1">
        <f t="shared" ref="A124:A141" si="59">A95</f>
        <v>1978</v>
      </c>
      <c r="B124" s="41">
        <f>'Table 3.4 - 3.5 and 3.7 - 3.9'!U152</f>
        <v>25469.405999999995</v>
      </c>
      <c r="C124" s="35">
        <f>SUM(C95:T95)</f>
        <v>26586.320761839983</v>
      </c>
      <c r="D124" s="82">
        <f>B124/C124</f>
        <v>0.95798911884629323</v>
      </c>
    </row>
    <row r="125" spans="1:23" x14ac:dyDescent="0.2">
      <c r="A125" s="1">
        <f t="shared" si="59"/>
        <v>1979</v>
      </c>
      <c r="B125" s="41">
        <f>'Table 3.4 - 3.5 and 3.7 - 3.9'!U153</f>
        <v>19836.829000000005</v>
      </c>
      <c r="C125" s="35">
        <f>SUM(C96:S96)</f>
        <v>25248.091045019788</v>
      </c>
      <c r="D125" s="82">
        <f t="shared" ref="D125:D146" si="60">B125/C125</f>
        <v>0.78567638894477287</v>
      </c>
    </row>
    <row r="126" spans="1:23" x14ac:dyDescent="0.2">
      <c r="A126" s="1">
        <f t="shared" si="59"/>
        <v>1980</v>
      </c>
      <c r="B126" s="41">
        <f>'Table 3.4 - 3.5 and 3.7 - 3.9'!U154</f>
        <v>31992.917999999998</v>
      </c>
      <c r="C126" s="35">
        <f>SUM(C97:R97)</f>
        <v>32177.696501487386</v>
      </c>
      <c r="D126" s="82">
        <f t="shared" si="60"/>
        <v>0.99425755968955554</v>
      </c>
    </row>
    <row r="127" spans="1:23" x14ac:dyDescent="0.2">
      <c r="A127" s="1">
        <f t="shared" si="59"/>
        <v>1981</v>
      </c>
      <c r="B127" s="41">
        <f>'Table 3.4 - 3.5 and 3.7 - 3.9'!U155</f>
        <v>39118.252</v>
      </c>
      <c r="C127" s="35">
        <f>SUM(C98:Q98)</f>
        <v>37395.966730137821</v>
      </c>
      <c r="D127" s="82">
        <f t="shared" si="60"/>
        <v>1.0460553749630483</v>
      </c>
    </row>
    <row r="128" spans="1:23" x14ac:dyDescent="0.2">
      <c r="A128" s="1">
        <f t="shared" si="59"/>
        <v>1982</v>
      </c>
      <c r="B128" s="41">
        <f>'Table 3.4 - 3.5 and 3.7 - 3.9'!U156</f>
        <v>39428.586000000003</v>
      </c>
      <c r="C128" s="35">
        <f>SUM(C99:P99)</f>
        <v>35210.903289563539</v>
      </c>
      <c r="D128" s="82">
        <f t="shared" si="60"/>
        <v>1.1197834283247876</v>
      </c>
    </row>
    <row r="129" spans="1:4" x14ac:dyDescent="0.2">
      <c r="A129" s="1">
        <f t="shared" si="59"/>
        <v>1983</v>
      </c>
      <c r="B129" s="41">
        <f>'Table 3.4 - 3.5 and 3.7 - 3.9'!U157</f>
        <v>36354.199000000001</v>
      </c>
      <c r="C129" s="35">
        <f>SUM(C100:O100)</f>
        <v>37835.982044178134</v>
      </c>
      <c r="D129" s="82">
        <f t="shared" si="60"/>
        <v>0.96083667017158503</v>
      </c>
    </row>
    <row r="130" spans="1:4" x14ac:dyDescent="0.2">
      <c r="A130" s="1">
        <f t="shared" si="59"/>
        <v>1984</v>
      </c>
      <c r="B130" s="41">
        <f>'Table 3.4 - 3.5 and 3.7 - 3.9'!U158</f>
        <v>48560.689000000013</v>
      </c>
      <c r="C130" s="35">
        <f>SUM(C101:N101)</f>
        <v>38957.119323468112</v>
      </c>
      <c r="D130" s="82">
        <f t="shared" si="60"/>
        <v>1.2465164222434337</v>
      </c>
    </row>
    <row r="131" spans="1:4" x14ac:dyDescent="0.2">
      <c r="A131" s="1">
        <f t="shared" si="59"/>
        <v>1985</v>
      </c>
      <c r="B131" s="41">
        <f>'Table 3.4 - 3.5 and 3.7 - 3.9'!U159</f>
        <v>39959.231</v>
      </c>
      <c r="C131" s="35">
        <f>SUM(C102:M102)</f>
        <v>37981.470063257177</v>
      </c>
      <c r="D131" s="82">
        <f t="shared" si="60"/>
        <v>1.0520717321748978</v>
      </c>
    </row>
    <row r="132" spans="1:4" x14ac:dyDescent="0.2">
      <c r="A132" s="1">
        <f t="shared" si="59"/>
        <v>1986</v>
      </c>
      <c r="B132" s="41">
        <f>'Table 3.4 - 3.5 and 3.7 - 3.9'!U160</f>
        <v>41254.536</v>
      </c>
      <c r="C132" s="35">
        <f>SUM(C103:L103)</f>
        <v>39975.021788618316</v>
      </c>
      <c r="D132" s="82">
        <f t="shared" si="60"/>
        <v>1.0320078427510948</v>
      </c>
    </row>
    <row r="133" spans="1:4" x14ac:dyDescent="0.2">
      <c r="A133" s="1">
        <f t="shared" si="59"/>
        <v>1987</v>
      </c>
      <c r="B133" s="41">
        <f>'Table 3.4 - 3.5 and 3.7 - 3.9'!U161</f>
        <v>40205.614000000001</v>
      </c>
      <c r="C133" s="35">
        <f>SUM(C104:K104)</f>
        <v>37373.69175834109</v>
      </c>
      <c r="D133" s="82">
        <f t="shared" si="60"/>
        <v>1.0757731470567631</v>
      </c>
    </row>
    <row r="134" spans="1:4" x14ac:dyDescent="0.2">
      <c r="A134" s="1">
        <f t="shared" si="59"/>
        <v>1988</v>
      </c>
      <c r="B134" s="41">
        <f>'Table 3.4 - 3.5 and 3.7 - 3.9'!U162</f>
        <v>33364.098000000005</v>
      </c>
      <c r="C134" s="35">
        <f>SUM(C105:J105)</f>
        <v>39096.519004601367</v>
      </c>
      <c r="D134" s="82">
        <f t="shared" si="60"/>
        <v>0.8533777136545917</v>
      </c>
    </row>
    <row r="135" spans="1:4" x14ac:dyDescent="0.2">
      <c r="A135" s="1">
        <f t="shared" si="59"/>
        <v>1989</v>
      </c>
      <c r="B135" s="41">
        <f>'Table 3.4 - 3.5 and 3.7 - 3.9'!U163</f>
        <v>37319.199000000001</v>
      </c>
      <c r="C135" s="35">
        <f>SUM(C106:I106)</f>
        <v>38971.277544668526</v>
      </c>
      <c r="D135" s="82">
        <f t="shared" si="60"/>
        <v>0.95760779094873327</v>
      </c>
    </row>
    <row r="136" spans="1:4" x14ac:dyDescent="0.2">
      <c r="A136" s="1">
        <f t="shared" si="59"/>
        <v>1990</v>
      </c>
      <c r="B136" s="41">
        <f>'Table 3.4 - 3.5 and 3.7 - 3.9'!U164</f>
        <v>35744.653000000006</v>
      </c>
      <c r="C136" s="35">
        <f>SUM(C107:H107)</f>
        <v>34093.00978942246</v>
      </c>
      <c r="D136" s="82">
        <f t="shared" si="60"/>
        <v>1.0484452156256963</v>
      </c>
    </row>
    <row r="137" spans="1:4" x14ac:dyDescent="0.2">
      <c r="A137" s="1">
        <f t="shared" si="59"/>
        <v>1991</v>
      </c>
      <c r="B137" s="41">
        <f>'Table 3.4 - 3.5 and 3.7 - 3.9'!U165</f>
        <v>29448.637999999999</v>
      </c>
      <c r="C137" s="35">
        <f>SUM(C108:G108)</f>
        <v>31715.072287151452</v>
      </c>
      <c r="D137" s="82">
        <f t="shared" si="60"/>
        <v>0.92853762820935959</v>
      </c>
    </row>
    <row r="138" spans="1:4" x14ac:dyDescent="0.2">
      <c r="A138" s="1">
        <f t="shared" si="59"/>
        <v>1992</v>
      </c>
      <c r="B138" s="41">
        <f>'Table 3.4 - 3.5 and 3.7 - 3.9'!U166</f>
        <v>28265.431</v>
      </c>
      <c r="C138" s="35">
        <f>SUM(C109:F109)</f>
        <v>25954.02935509029</v>
      </c>
      <c r="D138" s="82">
        <f t="shared" si="60"/>
        <v>1.0890575260313629</v>
      </c>
    </row>
    <row r="139" spans="1:4" x14ac:dyDescent="0.2">
      <c r="A139" s="1">
        <f t="shared" si="59"/>
        <v>1993</v>
      </c>
      <c r="B139" s="41">
        <f>'Table 3.4 - 3.5 and 3.7 - 3.9'!U167</f>
        <v>15165.406999999999</v>
      </c>
      <c r="C139" s="35">
        <f>SUM(C110:E110)</f>
        <v>16748.363475839484</v>
      </c>
      <c r="D139" s="82">
        <f t="shared" si="60"/>
        <v>0.90548590146595553</v>
      </c>
    </row>
    <row r="140" spans="1:4" x14ac:dyDescent="0.2">
      <c r="A140" s="1">
        <f t="shared" si="59"/>
        <v>1994</v>
      </c>
      <c r="B140" s="41">
        <f>'Table 3.4 - 3.5 and 3.7 - 3.9'!U168</f>
        <v>7962.4459999999999</v>
      </c>
      <c r="C140" s="35">
        <f>SUM(C111:D111)</f>
        <v>9464.6809747047519</v>
      </c>
      <c r="D140" s="82">
        <f t="shared" si="60"/>
        <v>0.84127991437644689</v>
      </c>
    </row>
    <row r="141" spans="1:4" x14ac:dyDescent="0.2">
      <c r="A141" s="1">
        <f t="shared" si="59"/>
        <v>1995</v>
      </c>
      <c r="B141" s="41">
        <f>'Table 3.4 - 3.5 and 3.7 - 3.9'!U169</f>
        <v>2725.355</v>
      </c>
      <c r="C141" s="35">
        <f>SUM(C112)</f>
        <v>3103.4766907811791</v>
      </c>
      <c r="D141" s="82">
        <f t="shared" si="60"/>
        <v>0.87816190406572647</v>
      </c>
    </row>
    <row r="143" spans="1:4" x14ac:dyDescent="0.2">
      <c r="A143" s="1" t="s">
        <v>134</v>
      </c>
      <c r="B143" s="41">
        <f>SUM(B124:B132)</f>
        <v>321974.64600000001</v>
      </c>
      <c r="C143" s="41">
        <f>SUM(C124:C132)</f>
        <v>311368.57154757029</v>
      </c>
      <c r="D143" s="82">
        <f t="shared" si="60"/>
        <v>1.034062764908209</v>
      </c>
    </row>
    <row r="144" spans="1:4" x14ac:dyDescent="0.2">
      <c r="A144" s="1" t="s">
        <v>135</v>
      </c>
      <c r="B144" s="41">
        <f>SUM(B133:B141)</f>
        <v>230200.84100000004</v>
      </c>
      <c r="C144" s="41">
        <f>SUM(C133:C141)</f>
        <v>236520.12088060059</v>
      </c>
      <c r="D144" s="82">
        <f t="shared" si="60"/>
        <v>0.97328227358808672</v>
      </c>
    </row>
    <row r="146" spans="1:20" x14ac:dyDescent="0.2">
      <c r="A146" s="1" t="s">
        <v>79</v>
      </c>
      <c r="B146" s="41">
        <f>SUM(B124:B141)</f>
        <v>552175.48699999996</v>
      </c>
      <c r="C146" s="41">
        <f>SUM(C124:C141)</f>
        <v>547888.69242817094</v>
      </c>
      <c r="D146" s="82">
        <f t="shared" si="60"/>
        <v>1.0078242070534993</v>
      </c>
    </row>
    <row r="149" spans="1:20" x14ac:dyDescent="0.2">
      <c r="A149" s="21" t="s">
        <v>138</v>
      </c>
    </row>
    <row r="150" spans="1:20" x14ac:dyDescent="0.2">
      <c r="A150" s="21"/>
    </row>
    <row r="151" spans="1:20" x14ac:dyDescent="0.2">
      <c r="A151" s="20" t="s">
        <v>0</v>
      </c>
      <c r="B151" s="40"/>
      <c r="C151" s="23" t="s">
        <v>139</v>
      </c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</row>
    <row r="152" spans="1:20" x14ac:dyDescent="0.2">
      <c r="A152" s="27" t="s">
        <v>1</v>
      </c>
      <c r="B152" s="74" t="s">
        <v>123</v>
      </c>
      <c r="C152" s="24">
        <v>0</v>
      </c>
      <c r="D152" s="24">
        <f t="shared" ref="D152" si="61">C152+1</f>
        <v>1</v>
      </c>
      <c r="E152" s="24">
        <f t="shared" ref="E152" si="62">D152+1</f>
        <v>2</v>
      </c>
      <c r="F152" s="24">
        <f t="shared" ref="F152" si="63">E152+1</f>
        <v>3</v>
      </c>
      <c r="G152" s="24">
        <f t="shared" ref="G152" si="64">F152+1</f>
        <v>4</v>
      </c>
      <c r="H152" s="24">
        <f t="shared" ref="H152" si="65">G152+1</f>
        <v>5</v>
      </c>
      <c r="I152" s="24">
        <f t="shared" ref="I152" si="66">H152+1</f>
        <v>6</v>
      </c>
      <c r="J152" s="24">
        <f t="shared" ref="J152" si="67">I152+1</f>
        <v>7</v>
      </c>
      <c r="K152" s="24">
        <f t="shared" ref="K152" si="68">J152+1</f>
        <v>8</v>
      </c>
      <c r="L152" s="24">
        <f t="shared" ref="L152" si="69">K152+1</f>
        <v>9</v>
      </c>
      <c r="M152" s="24">
        <f t="shared" ref="M152" si="70">L152+1</f>
        <v>10</v>
      </c>
      <c r="N152" s="24">
        <f t="shared" ref="N152" si="71">M152+1</f>
        <v>11</v>
      </c>
      <c r="O152" s="24">
        <f t="shared" ref="O152" si="72">N152+1</f>
        <v>12</v>
      </c>
      <c r="P152" s="24">
        <f t="shared" ref="P152" si="73">O152+1</f>
        <v>13</v>
      </c>
      <c r="Q152" s="24">
        <f t="shared" ref="Q152" si="74">P152+1</f>
        <v>14</v>
      </c>
      <c r="R152" s="24">
        <f t="shared" ref="R152" si="75">Q152+1</f>
        <v>15</v>
      </c>
      <c r="S152" s="24">
        <f t="shared" ref="S152" si="76">R152+1</f>
        <v>16</v>
      </c>
      <c r="T152" s="24">
        <f t="shared" ref="T152" si="77">S152+1</f>
        <v>17</v>
      </c>
    </row>
    <row r="153" spans="1:20" x14ac:dyDescent="0.2">
      <c r="C153" s="2" t="s">
        <v>29</v>
      </c>
      <c r="D153" s="2" t="s">
        <v>29</v>
      </c>
      <c r="E153" s="2" t="s">
        <v>29</v>
      </c>
      <c r="F153" s="2" t="s">
        <v>29</v>
      </c>
      <c r="G153" s="2" t="s">
        <v>29</v>
      </c>
      <c r="H153" s="2" t="s">
        <v>29</v>
      </c>
      <c r="I153" s="2" t="s">
        <v>29</v>
      </c>
      <c r="J153" s="2" t="s">
        <v>29</v>
      </c>
      <c r="K153" s="2" t="s">
        <v>29</v>
      </c>
      <c r="L153" s="2" t="s">
        <v>29</v>
      </c>
      <c r="M153" s="2" t="s">
        <v>29</v>
      </c>
      <c r="N153" s="2" t="s">
        <v>29</v>
      </c>
      <c r="O153" s="2" t="s">
        <v>29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29</v>
      </c>
    </row>
    <row r="155" spans="1:20" x14ac:dyDescent="0.2">
      <c r="A155" s="3" t="str">
        <f>A123</f>
        <v>of origin</v>
      </c>
      <c r="B155" s="35" t="str">
        <f>B123</f>
        <v>Actual</v>
      </c>
      <c r="C155" s="87">
        <f>'Payment data'!C18/C95</f>
        <v>0.99999999999999634</v>
      </c>
      <c r="D155" s="87">
        <f>'Payment data'!D18/D95</f>
        <v>1.0013354027758565</v>
      </c>
      <c r="E155" s="87">
        <f>'Payment data'!E18/E95</f>
        <v>0.85662819363888265</v>
      </c>
      <c r="F155" s="87">
        <f>'Payment data'!F18/F95</f>
        <v>0.89818409741578986</v>
      </c>
      <c r="G155" s="87">
        <f>'Payment data'!G18/G95</f>
        <v>1.0336681886612253</v>
      </c>
      <c r="H155" s="87">
        <f>'Payment data'!H18/H95</f>
        <v>0.68726901737191448</v>
      </c>
      <c r="I155" s="87">
        <f>'Payment data'!I18/I95</f>
        <v>0.74292291930315435</v>
      </c>
      <c r="J155" s="87">
        <f>'Payment data'!J18/J95</f>
        <v>1.6326325302298774</v>
      </c>
      <c r="K155" s="87">
        <f>'Payment data'!K18/K95</f>
        <v>1.2591941173491279</v>
      </c>
      <c r="L155" s="87">
        <f>'Payment data'!L18/L95</f>
        <v>0.38608337167940771</v>
      </c>
      <c r="M155" s="87">
        <f>'Payment data'!M18/M95</f>
        <v>0.38578563397019955</v>
      </c>
      <c r="N155" s="87">
        <f>'Payment data'!N18/N95</f>
        <v>2.3731563660720165</v>
      </c>
      <c r="O155" s="87">
        <f>'Payment data'!O18/O95</f>
        <v>1.4005335672721781</v>
      </c>
      <c r="P155" s="87">
        <f>'Payment data'!P18/P95</f>
        <v>0</v>
      </c>
      <c r="Q155" s="87">
        <f>'Payment data'!Q18/Q95</f>
        <v>3.1176136777150587</v>
      </c>
      <c r="R155" s="87">
        <f>'Payment data'!R18/R95</f>
        <v>2.7629941740277948</v>
      </c>
      <c r="S155" s="87">
        <f>'Payment data'!S18/S95</f>
        <v>2.0754155400884415</v>
      </c>
      <c r="T155" s="87">
        <f>'Payment data'!T18/T95</f>
        <v>1.0000000000000002</v>
      </c>
    </row>
    <row r="156" spans="1:20" x14ac:dyDescent="0.2">
      <c r="A156" s="3">
        <f t="shared" ref="A156:B156" si="78">A124</f>
        <v>1978</v>
      </c>
      <c r="B156" s="35">
        <f t="shared" si="78"/>
        <v>25469.405999999995</v>
      </c>
      <c r="C156" s="87">
        <f>'Payment data'!C19/C96</f>
        <v>0.99709610719881714</v>
      </c>
      <c r="D156" s="87">
        <f>'Payment data'!D19/D96</f>
        <v>1.219881636467097</v>
      </c>
      <c r="E156" s="87">
        <f>'Payment data'!E19/E96</f>
        <v>0.993699049626106</v>
      </c>
      <c r="F156" s="87">
        <f>'Payment data'!F19/F96</f>
        <v>0.97393125899988964</v>
      </c>
      <c r="G156" s="87">
        <f>'Payment data'!G19/G96</f>
        <v>0.43876324615399315</v>
      </c>
      <c r="H156" s="87">
        <f>'Payment data'!H19/H96</f>
        <v>0.68305863676804524</v>
      </c>
      <c r="I156" s="87">
        <f>'Payment data'!I19/I96</f>
        <v>0.34888675269370667</v>
      </c>
      <c r="J156" s="87">
        <f>'Payment data'!J19/J96</f>
        <v>0.74188605593468337</v>
      </c>
      <c r="K156" s="87">
        <f>'Payment data'!K19/K96</f>
        <v>0.72785587055437651</v>
      </c>
      <c r="L156" s="87">
        <f>'Payment data'!L19/L96</f>
        <v>0.23171712292052127</v>
      </c>
      <c r="M156" s="87">
        <f>'Payment data'!M19/M96</f>
        <v>6.5818582162472342E-2</v>
      </c>
      <c r="N156" s="87">
        <f>'Payment data'!N19/N96</f>
        <v>0.70264337169954005</v>
      </c>
      <c r="O156" s="87">
        <f>'Payment data'!O19/O96</f>
        <v>1.1829667527733971</v>
      </c>
      <c r="P156" s="87">
        <f>'Payment data'!P19/P96</f>
        <v>2.4251002265107231</v>
      </c>
      <c r="Q156" s="87">
        <f>'Payment data'!Q19/Q96</f>
        <v>3.5310415798230375E-2</v>
      </c>
      <c r="R156" s="87">
        <f>'Payment data'!R19/R96</f>
        <v>0</v>
      </c>
      <c r="S156" s="87">
        <f>'Payment data'!S19/S96</f>
        <v>0</v>
      </c>
      <c r="T156" s="87"/>
    </row>
    <row r="157" spans="1:20" x14ac:dyDescent="0.2">
      <c r="A157" s="3">
        <f t="shared" ref="A157:B157" si="79">A125</f>
        <v>1979</v>
      </c>
      <c r="B157" s="35">
        <f t="shared" si="79"/>
        <v>19836.829000000005</v>
      </c>
      <c r="C157" s="87">
        <f>'Payment data'!C20/C97</f>
        <v>0.91170998597783304</v>
      </c>
      <c r="D157" s="87">
        <f>'Payment data'!D20/D97</f>
        <v>1.1322890235865115</v>
      </c>
      <c r="E157" s="87">
        <f>'Payment data'!E20/E97</f>
        <v>1.0795077019710724</v>
      </c>
      <c r="F157" s="87">
        <f>'Payment data'!F20/F97</f>
        <v>1.0662947530422779</v>
      </c>
      <c r="G157" s="87">
        <f>'Payment data'!G20/G97</f>
        <v>1.0451593295845651</v>
      </c>
      <c r="H157" s="87">
        <f>'Payment data'!H20/H97</f>
        <v>0.88437596997582613</v>
      </c>
      <c r="I157" s="87">
        <f>'Payment data'!I20/I97</f>
        <v>0.82557327817162496</v>
      </c>
      <c r="J157" s="87">
        <f>'Payment data'!J20/J97</f>
        <v>0.54480231602703788</v>
      </c>
      <c r="K157" s="87">
        <f>'Payment data'!K20/K97</f>
        <v>1.0411342141189663</v>
      </c>
      <c r="L157" s="87">
        <f>'Payment data'!L20/L97</f>
        <v>0.6571697436763424</v>
      </c>
      <c r="M157" s="87">
        <f>'Payment data'!M20/M97</f>
        <v>1.2635782932877211</v>
      </c>
      <c r="N157" s="87">
        <f>'Payment data'!N20/N97</f>
        <v>1.2381472086099961</v>
      </c>
      <c r="O157" s="87">
        <f>'Payment data'!O20/O97</f>
        <v>1.6831499671878707</v>
      </c>
      <c r="P157" s="87">
        <f>'Payment data'!P20/P97</f>
        <v>1.7903233354389552</v>
      </c>
      <c r="Q157" s="87">
        <f>'Payment data'!Q20/Q97</f>
        <v>1.1090614684475393</v>
      </c>
      <c r="R157" s="87">
        <f>'Payment data'!R20/R97</f>
        <v>0.5867836732984637</v>
      </c>
      <c r="S157" s="87"/>
      <c r="T157" s="87"/>
    </row>
    <row r="158" spans="1:20" x14ac:dyDescent="0.2">
      <c r="A158" s="3">
        <f t="shared" ref="A158:B158" si="80">A126</f>
        <v>1980</v>
      </c>
      <c r="B158" s="35">
        <f t="shared" si="80"/>
        <v>31992.917999999998</v>
      </c>
      <c r="C158" s="87">
        <f>'Payment data'!C21/C98</f>
        <v>1.0918238197327539</v>
      </c>
      <c r="D158" s="87">
        <f>'Payment data'!D21/D98</f>
        <v>1.0457023148351718</v>
      </c>
      <c r="E158" s="87">
        <f>'Payment data'!E21/E98</f>
        <v>1.4674698448396422</v>
      </c>
      <c r="F158" s="87">
        <f>'Payment data'!F21/F98</f>
        <v>1.0722137949416983</v>
      </c>
      <c r="G158" s="87">
        <f>'Payment data'!G21/G98</f>
        <v>0.83471603555238116</v>
      </c>
      <c r="H158" s="87">
        <f>'Payment data'!H21/H98</f>
        <v>0.89793884840860627</v>
      </c>
      <c r="I158" s="87">
        <f>'Payment data'!I21/I98</f>
        <v>0.84972247290104219</v>
      </c>
      <c r="J158" s="87">
        <f>'Payment data'!J21/J98</f>
        <v>1.1843641496977482</v>
      </c>
      <c r="K158" s="87">
        <f>'Payment data'!K21/K98</f>
        <v>0.88984224648726618</v>
      </c>
      <c r="L158" s="87">
        <f>'Payment data'!L21/L98</f>
        <v>1.2047076349734878</v>
      </c>
      <c r="M158" s="87">
        <f>'Payment data'!M21/M98</f>
        <v>2.4332510473938034</v>
      </c>
      <c r="N158" s="87">
        <f>'Payment data'!N21/N98</f>
        <v>0.50044445070787991</v>
      </c>
      <c r="O158" s="87">
        <f>'Payment data'!O21/O98</f>
        <v>0.10601287046434119</v>
      </c>
      <c r="P158" s="87">
        <f>'Payment data'!P21/P98</f>
        <v>0.12271939484848264</v>
      </c>
      <c r="Q158" s="87">
        <f>'Payment data'!Q21/Q98</f>
        <v>0.27419146778326159</v>
      </c>
      <c r="R158" s="87"/>
      <c r="S158" s="87"/>
      <c r="T158" s="87"/>
    </row>
    <row r="159" spans="1:20" x14ac:dyDescent="0.2">
      <c r="A159" s="3">
        <f t="shared" ref="A159:B159" si="81">A127</f>
        <v>1981</v>
      </c>
      <c r="B159" s="35">
        <f t="shared" si="81"/>
        <v>39118.252</v>
      </c>
      <c r="C159" s="87">
        <f>'Payment data'!C22/C99</f>
        <v>0.6708559615249432</v>
      </c>
      <c r="D159" s="87">
        <f>'Payment data'!D22/D99</f>
        <v>1.4672997414487563</v>
      </c>
      <c r="E159" s="87">
        <f>'Payment data'!E22/E99</f>
        <v>1.2639393153986926</v>
      </c>
      <c r="F159" s="87">
        <f>'Payment data'!F22/F99</f>
        <v>1.3713087285014272</v>
      </c>
      <c r="G159" s="87">
        <f>'Payment data'!G22/G99</f>
        <v>1.1151747888369041</v>
      </c>
      <c r="H159" s="87">
        <f>'Payment data'!H22/H99</f>
        <v>0.93999997719957695</v>
      </c>
      <c r="I159" s="87">
        <f>'Payment data'!I22/I99</f>
        <v>0.64724486998937847</v>
      </c>
      <c r="J159" s="87">
        <f>'Payment data'!J22/J99</f>
        <v>0.6045487615046693</v>
      </c>
      <c r="K159" s="87">
        <f>'Payment data'!K22/K99</f>
        <v>0.85975486114878386</v>
      </c>
      <c r="L159" s="87">
        <f>'Payment data'!L22/L99</f>
        <v>2.356928552659499</v>
      </c>
      <c r="M159" s="87">
        <f>'Payment data'!M22/M99</f>
        <v>0.93794394225351019</v>
      </c>
      <c r="N159" s="87">
        <f>'Payment data'!N22/N99</f>
        <v>0.49778289200595904</v>
      </c>
      <c r="O159" s="87">
        <f>'Payment data'!O22/O99</f>
        <v>1.0600170481116231</v>
      </c>
      <c r="P159" s="87">
        <f>'Payment data'!P22/P99</f>
        <v>0.97106088565858972</v>
      </c>
      <c r="Q159" s="87"/>
      <c r="R159" s="87"/>
      <c r="S159" s="87"/>
      <c r="T159" s="87"/>
    </row>
    <row r="160" spans="1:20" x14ac:dyDescent="0.2">
      <c r="A160" s="3">
        <f t="shared" ref="A160:B160" si="82">A128</f>
        <v>1982</v>
      </c>
      <c r="B160" s="35">
        <f t="shared" si="82"/>
        <v>39428.586000000003</v>
      </c>
      <c r="C160" s="87">
        <f>'Payment data'!C23/C100</f>
        <v>1.0794409610271862</v>
      </c>
      <c r="D160" s="87">
        <f>'Payment data'!D23/D100</f>
        <v>1.0752898007343972</v>
      </c>
      <c r="E160" s="87">
        <f>'Payment data'!E23/E100</f>
        <v>0.9940790950100642</v>
      </c>
      <c r="F160" s="87">
        <f>'Payment data'!F23/F100</f>
        <v>0.97453150110265541</v>
      </c>
      <c r="G160" s="87">
        <f>'Payment data'!G23/G100</f>
        <v>1.1624402960617219</v>
      </c>
      <c r="H160" s="87">
        <f>'Payment data'!H23/H100</f>
        <v>0.85100089077418795</v>
      </c>
      <c r="I160" s="87">
        <f>'Payment data'!I23/I100</f>
        <v>0.93998659722494804</v>
      </c>
      <c r="J160" s="87">
        <f>'Payment data'!J23/J100</f>
        <v>0.86621294165263485</v>
      </c>
      <c r="K160" s="87">
        <f>'Payment data'!K23/K100</f>
        <v>0.76106847866550253</v>
      </c>
      <c r="L160" s="87">
        <f>'Payment data'!L23/L100</f>
        <v>0.41951334636561388</v>
      </c>
      <c r="M160" s="87">
        <f>'Payment data'!M23/M100</f>
        <v>0.97051736140142197</v>
      </c>
      <c r="N160" s="87">
        <f>'Payment data'!N23/N100</f>
        <v>0.92840990292828296</v>
      </c>
      <c r="O160" s="87">
        <f>'Payment data'!O23/O100</f>
        <v>0.80669769864822316</v>
      </c>
      <c r="P160" s="87"/>
      <c r="Q160" s="87"/>
      <c r="R160" s="87"/>
      <c r="S160" s="87"/>
      <c r="T160" s="87"/>
    </row>
    <row r="161" spans="1:20" x14ac:dyDescent="0.2">
      <c r="A161" s="3">
        <f t="shared" ref="A161:B161" si="83">A129</f>
        <v>1983</v>
      </c>
      <c r="B161" s="35">
        <f t="shared" si="83"/>
        <v>36354.199000000001</v>
      </c>
      <c r="C161" s="87">
        <f>'Payment data'!C24/C101</f>
        <v>1.1124801185421809</v>
      </c>
      <c r="D161" s="87">
        <f>'Payment data'!D24/D101</f>
        <v>1.0941220819063255</v>
      </c>
      <c r="E161" s="87">
        <f>'Payment data'!E24/E101</f>
        <v>1.3207192027240007</v>
      </c>
      <c r="F161" s="87">
        <f>'Payment data'!F24/F101</f>
        <v>1.1484333059720331</v>
      </c>
      <c r="G161" s="87">
        <f>'Payment data'!G24/G101</f>
        <v>1.054387764243915</v>
      </c>
      <c r="H161" s="87">
        <f>'Payment data'!H24/H101</f>
        <v>0.89079095038975253</v>
      </c>
      <c r="I161" s="87">
        <f>'Payment data'!I24/I101</f>
        <v>2.0597132044686357</v>
      </c>
      <c r="J161" s="87">
        <f>'Payment data'!J24/J101</f>
        <v>1.1277746544075822</v>
      </c>
      <c r="K161" s="87">
        <f>'Payment data'!K24/K101</f>
        <v>1.7805655677480627</v>
      </c>
      <c r="L161" s="87">
        <f>'Payment data'!L24/L101</f>
        <v>1.0543076392058446</v>
      </c>
      <c r="M161" s="87">
        <f>'Payment data'!M24/M101</f>
        <v>0.65039299570921205</v>
      </c>
      <c r="N161" s="87">
        <f>'Payment data'!N24/N101</f>
        <v>1.1597713175594597</v>
      </c>
      <c r="O161" s="88"/>
      <c r="P161" s="88"/>
      <c r="Q161" s="88"/>
      <c r="R161" s="88"/>
      <c r="S161" s="88"/>
      <c r="T161" s="88"/>
    </row>
    <row r="162" spans="1:20" x14ac:dyDescent="0.2">
      <c r="A162" s="3">
        <f t="shared" ref="A162:B162" si="84">A130</f>
        <v>1984</v>
      </c>
      <c r="B162" s="35">
        <f t="shared" si="84"/>
        <v>48560.689000000013</v>
      </c>
      <c r="C162" s="87">
        <f>'Payment data'!C25/C102</f>
        <v>0.82952829809048867</v>
      </c>
      <c r="D162" s="87">
        <f>'Payment data'!D25/D102</f>
        <v>0.88453852683687384</v>
      </c>
      <c r="E162" s="87">
        <f>'Payment data'!E25/E102</f>
        <v>1.1285131318407753</v>
      </c>
      <c r="F162" s="87">
        <f>'Payment data'!F25/F102</f>
        <v>1.1863523207339532</v>
      </c>
      <c r="G162" s="87">
        <f>'Payment data'!G25/G102</f>
        <v>1.0752072148647613</v>
      </c>
      <c r="H162" s="87">
        <f>'Payment data'!H25/H102</f>
        <v>1.1475729952472846</v>
      </c>
      <c r="I162" s="87">
        <f>'Payment data'!I25/I102</f>
        <v>1.0278728900074487</v>
      </c>
      <c r="J162" s="87">
        <f>'Payment data'!J25/J102</f>
        <v>1.0909486143098777</v>
      </c>
      <c r="K162" s="87">
        <f>'Payment data'!K25/K102</f>
        <v>0.46471954900409945</v>
      </c>
      <c r="L162" s="87">
        <f>'Payment data'!L25/L102</f>
        <v>1.6542398053685603</v>
      </c>
      <c r="M162" s="87">
        <f>'Payment data'!M25/M102</f>
        <v>0.94385476983326699</v>
      </c>
      <c r="N162" s="88"/>
      <c r="O162" s="88"/>
      <c r="P162" s="88"/>
      <c r="Q162" s="88"/>
      <c r="R162" s="88"/>
      <c r="S162" s="88"/>
      <c r="T162" s="88"/>
    </row>
    <row r="163" spans="1:20" x14ac:dyDescent="0.2">
      <c r="A163" s="3">
        <f t="shared" ref="A163:B163" si="85">A131</f>
        <v>1985</v>
      </c>
      <c r="B163" s="35">
        <f t="shared" si="85"/>
        <v>39959.231</v>
      </c>
      <c r="C163" s="87">
        <f>'Payment data'!C26/C103</f>
        <v>0.84980845243159076</v>
      </c>
      <c r="D163" s="87">
        <f>'Payment data'!D26/D103</f>
        <v>1.1818087264179826</v>
      </c>
      <c r="E163" s="87">
        <f>'Payment data'!E26/E103</f>
        <v>1.2179727554842426</v>
      </c>
      <c r="F163" s="87">
        <f>'Payment data'!F26/F103</f>
        <v>0.98485602516924453</v>
      </c>
      <c r="G163" s="87">
        <f>'Payment data'!G26/G103</f>
        <v>0.97818941753897526</v>
      </c>
      <c r="H163" s="87">
        <f>'Payment data'!H26/H103</f>
        <v>0.92760872168961783</v>
      </c>
      <c r="I163" s="87">
        <f>'Payment data'!I26/I103</f>
        <v>1.3475063020097791</v>
      </c>
      <c r="J163" s="87">
        <f>'Payment data'!J26/J103</f>
        <v>1.1187864005354651</v>
      </c>
      <c r="K163" s="87">
        <f>'Payment data'!K26/K103</f>
        <v>0.93617731640158708</v>
      </c>
      <c r="L163" s="87">
        <f>'Payment data'!L26/L103</f>
        <v>0.45621132243525941</v>
      </c>
      <c r="M163" s="88"/>
      <c r="N163" s="88"/>
      <c r="O163" s="88"/>
      <c r="P163" s="88"/>
      <c r="Q163" s="88"/>
      <c r="R163" s="88"/>
      <c r="S163" s="88"/>
      <c r="T163" s="88"/>
    </row>
    <row r="164" spans="1:20" x14ac:dyDescent="0.2">
      <c r="A164" s="3">
        <f t="shared" ref="A164:B164" si="86">A132</f>
        <v>1986</v>
      </c>
      <c r="B164" s="35">
        <f t="shared" si="86"/>
        <v>41254.536</v>
      </c>
      <c r="C164" s="87">
        <f>'Payment data'!C27/C104</f>
        <v>0.96932362953005058</v>
      </c>
      <c r="D164" s="87">
        <f>'Payment data'!D27/D104</f>
        <v>1.021423717510211</v>
      </c>
      <c r="E164" s="87">
        <f>'Payment data'!E27/E104</f>
        <v>1.0837550401688012</v>
      </c>
      <c r="F164" s="87">
        <f>'Payment data'!F27/F104</f>
        <v>0.82562523001929655</v>
      </c>
      <c r="G164" s="87">
        <f>'Payment data'!G27/G104</f>
        <v>0.89376841267610496</v>
      </c>
      <c r="H164" s="87">
        <f>'Payment data'!H27/H104</f>
        <v>1.3211086315513214</v>
      </c>
      <c r="I164" s="87">
        <f>'Payment data'!I27/I104</f>
        <v>1.089866038631321</v>
      </c>
      <c r="J164" s="87">
        <f>'Payment data'!J27/J104</f>
        <v>1.4075188168920212</v>
      </c>
      <c r="K164" s="87">
        <f>'Payment data'!K27/K104</f>
        <v>1.2465950691114493</v>
      </c>
      <c r="L164" s="88"/>
      <c r="M164" s="88"/>
      <c r="N164" s="88"/>
      <c r="O164" s="88"/>
      <c r="P164" s="88"/>
      <c r="Q164" s="88"/>
      <c r="R164" s="88"/>
      <c r="S164" s="88"/>
      <c r="T164" s="88"/>
    </row>
    <row r="165" spans="1:20" x14ac:dyDescent="0.2">
      <c r="A165" s="3">
        <f t="shared" ref="A165:B165" si="87">A133</f>
        <v>1987</v>
      </c>
      <c r="B165" s="35">
        <f t="shared" si="87"/>
        <v>40205.614000000001</v>
      </c>
      <c r="C165" s="87">
        <f>'Payment data'!C28/C105</f>
        <v>1.0911715043142629</v>
      </c>
      <c r="D165" s="87">
        <f>'Payment data'!D28/D105</f>
        <v>1.3210319882158841</v>
      </c>
      <c r="E165" s="87">
        <f>'Payment data'!E28/E105</f>
        <v>0.56007149644706122</v>
      </c>
      <c r="F165" s="87">
        <f>'Payment data'!F28/F105</f>
        <v>0.89872307728640421</v>
      </c>
      <c r="G165" s="87">
        <f>'Payment data'!G28/G105</f>
        <v>0.74110009061752524</v>
      </c>
      <c r="H165" s="87">
        <f>'Payment data'!H28/H105</f>
        <v>0.84962680264254464</v>
      </c>
      <c r="I165" s="87">
        <f>'Payment data'!I28/I105</f>
        <v>1.073092359996221</v>
      </c>
      <c r="J165" s="87">
        <f>'Payment data'!J28/J105</f>
        <v>0.58780124714115556</v>
      </c>
      <c r="K165" s="88"/>
      <c r="L165" s="88"/>
      <c r="M165" s="88"/>
      <c r="N165" s="88"/>
      <c r="O165" s="88"/>
      <c r="P165" s="88"/>
      <c r="Q165" s="88"/>
      <c r="R165" s="88"/>
      <c r="S165" s="88"/>
      <c r="T165" s="88"/>
    </row>
    <row r="166" spans="1:20" x14ac:dyDescent="0.2">
      <c r="A166" s="3">
        <f t="shared" ref="A166:B166" si="88">A134</f>
        <v>1988</v>
      </c>
      <c r="B166" s="35">
        <f t="shared" si="88"/>
        <v>33364.098000000005</v>
      </c>
      <c r="C166" s="87">
        <f>'Payment data'!C29/C106</f>
        <v>1.2700117159309148</v>
      </c>
      <c r="D166" s="87">
        <f>'Payment data'!D29/D106</f>
        <v>0.67590284899264241</v>
      </c>
      <c r="E166" s="87">
        <f>'Payment data'!E29/E106</f>
        <v>0.83114611708160535</v>
      </c>
      <c r="F166" s="87">
        <f>'Payment data'!F29/F106</f>
        <v>0.77515957156309323</v>
      </c>
      <c r="G166" s="87">
        <f>'Payment data'!G29/G106</f>
        <v>1.2586699025294612</v>
      </c>
      <c r="H166" s="87">
        <f>'Payment data'!H29/H106</f>
        <v>1.1752977633445176</v>
      </c>
      <c r="I166" s="87">
        <f>'Payment data'!I29/I106</f>
        <v>0.78711697232857447</v>
      </c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</row>
    <row r="167" spans="1:20" x14ac:dyDescent="0.2">
      <c r="A167" s="3">
        <f t="shared" ref="A167:B167" si="89">A135</f>
        <v>1989</v>
      </c>
      <c r="B167" s="35">
        <f t="shared" si="89"/>
        <v>37319.199000000001</v>
      </c>
      <c r="C167" s="87">
        <f>'Payment data'!C30/C107</f>
        <v>1.0335962199391564</v>
      </c>
      <c r="D167" s="87">
        <f>'Payment data'!D30/D107</f>
        <v>0.93840189944352481</v>
      </c>
      <c r="E167" s="87">
        <f>'Payment data'!E30/E107</f>
        <v>0.73508272492225224</v>
      </c>
      <c r="F167" s="87">
        <f>'Payment data'!F30/F107</f>
        <v>0.82329608137850008</v>
      </c>
      <c r="G167" s="87">
        <f>'Payment data'!G30/G107</f>
        <v>1.2714774691680841</v>
      </c>
      <c r="H167" s="87">
        <f>'Payment data'!H30/H107</f>
        <v>1.3019309867777116</v>
      </c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</row>
    <row r="168" spans="1:20" x14ac:dyDescent="0.2">
      <c r="A168" s="3">
        <f t="shared" ref="A168:B168" si="90">A136</f>
        <v>1990</v>
      </c>
      <c r="B168" s="35">
        <f t="shared" si="90"/>
        <v>35744.653000000006</v>
      </c>
      <c r="C168" s="87">
        <f>'Payment data'!C31/C108</f>
        <v>1.1126843884648783</v>
      </c>
      <c r="D168" s="87">
        <f>'Payment data'!D31/D108</f>
        <v>0.82889845716026522</v>
      </c>
      <c r="E168" s="87">
        <f>'Payment data'!E31/E108</f>
        <v>1.1887063543107599</v>
      </c>
      <c r="F168" s="87">
        <f>'Payment data'!F31/F108</f>
        <v>0.74988400245595854</v>
      </c>
      <c r="G168" s="87">
        <f>'Payment data'!G31/G108</f>
        <v>0.94993641253296146</v>
      </c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</row>
    <row r="169" spans="1:20" x14ac:dyDescent="0.2">
      <c r="A169" s="3">
        <f t="shared" ref="A169:B169" si="91">A137</f>
        <v>1991</v>
      </c>
      <c r="B169" s="35">
        <f t="shared" si="91"/>
        <v>29448.637999999999</v>
      </c>
      <c r="C169" s="87">
        <f>'Payment data'!C32/C109</f>
        <v>1.1432097502832648</v>
      </c>
      <c r="D169" s="87">
        <f>'Payment data'!D32/D109</f>
        <v>0.9430174335409448</v>
      </c>
      <c r="E169" s="87">
        <f>'Payment data'!E32/E109</f>
        <v>0.78905293393323728</v>
      </c>
      <c r="F169" s="87">
        <f>'Payment data'!F32/F109</f>
        <v>1.3604087567268976</v>
      </c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</row>
    <row r="170" spans="1:20" x14ac:dyDescent="0.2">
      <c r="A170" s="3">
        <f t="shared" ref="A170:B170" si="92">A138</f>
        <v>1992</v>
      </c>
      <c r="B170" s="35">
        <f t="shared" si="92"/>
        <v>28265.431</v>
      </c>
      <c r="C170" s="87">
        <f>'Payment data'!C33/C110</f>
        <v>1.2174736861655002</v>
      </c>
      <c r="D170" s="87">
        <f>'Payment data'!D33/D110</f>
        <v>0.75872231321983785</v>
      </c>
      <c r="E170" s="87">
        <f>'Payment data'!E33/E110</f>
        <v>0.92721455998869351</v>
      </c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</row>
    <row r="171" spans="1:20" x14ac:dyDescent="0.2">
      <c r="A171" s="3">
        <f t="shared" ref="A171:B171" si="93">A139</f>
        <v>1993</v>
      </c>
      <c r="B171" s="35">
        <f t="shared" si="93"/>
        <v>15165.406999999999</v>
      </c>
      <c r="C171" s="87">
        <f>'Payment data'!C34/C111</f>
        <v>0.86948538357414262</v>
      </c>
      <c r="D171" s="87">
        <f>'Payment data'!D34/D111</f>
        <v>0.82921876447014375</v>
      </c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</row>
    <row r="172" spans="1:20" x14ac:dyDescent="0.2">
      <c r="A172" s="3">
        <f t="shared" ref="A172:B172" si="94">A140</f>
        <v>1994</v>
      </c>
      <c r="B172" s="35">
        <f t="shared" si="94"/>
        <v>7962.4459999999999</v>
      </c>
      <c r="C172" s="87">
        <f>'Payment data'!C35/C112</f>
        <v>0.87816190406572647</v>
      </c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</row>
    <row r="173" spans="1:20" x14ac:dyDescent="0.2"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</row>
  </sheetData>
  <mergeCells count="1">
    <mergeCell ref="B122:D122"/>
  </mergeCells>
  <conditionalFormatting sqref="C155:T17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4:D14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Payment data</vt:lpstr>
      <vt:lpstr>Table 3.1</vt:lpstr>
      <vt:lpstr>Tables 3.2 and 3.3</vt:lpstr>
      <vt:lpstr>Table 3.4 - 3.5 and 3.7 - 3.9</vt:lpstr>
      <vt:lpstr>Table 3.6</vt:lpstr>
      <vt:lpstr>Table 3.10 - 3.12</vt:lpstr>
      <vt:lpstr>Table 3.13-3.17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Avanzi</cp:lastModifiedBy>
  <dcterms:created xsi:type="dcterms:W3CDTF">2023-08-08T06:35:55Z</dcterms:created>
  <dcterms:modified xsi:type="dcterms:W3CDTF">2024-08-15T05:45:13Z</dcterms:modified>
</cp:coreProperties>
</file>