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avanzi/Dropbox/Mac (3)/Documents/GitHub/ACTL20004-ACTL90021-Tutorials/data/"/>
    </mc:Choice>
  </mc:AlternateContent>
  <xr:revisionPtr revIDLastSave="0" documentId="13_ncr:1_{25259D26-250B-AF49-862B-E2CAE06D5280}" xr6:coauthVersionLast="47" xr6:coauthVersionMax="47" xr10:uidLastSave="{00000000-0000-0000-0000-000000000000}"/>
  <bookViews>
    <workbookView xWindow="4880" yWindow="500" windowWidth="29040" windowHeight="15840" activeTab="2" xr2:uid="{00000000-000D-0000-FFFF-FFFF00000000}"/>
  </bookViews>
  <sheets>
    <sheet name="Data" sheetId="4" r:id="rId1"/>
    <sheet name="CL" sheetId="2" r:id="rId2"/>
    <sheet name="CL IBN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P8" i="3"/>
  <c r="P7" i="3"/>
  <c r="P6" i="3"/>
  <c r="P5" i="3"/>
  <c r="P4" i="3"/>
  <c r="H53" i="2"/>
  <c r="C40" i="2" l="1"/>
  <c r="H24" i="2"/>
  <c r="C19" i="3"/>
  <c r="D18" i="3"/>
  <c r="C18" i="3"/>
  <c r="E17" i="3"/>
  <c r="D17" i="3"/>
  <c r="C17" i="3"/>
  <c r="F16" i="3"/>
  <c r="E16" i="3"/>
  <c r="D16" i="3"/>
  <c r="C16" i="3"/>
  <c r="G15" i="3"/>
  <c r="F15" i="3"/>
  <c r="E15" i="3"/>
  <c r="D15" i="3"/>
  <c r="C15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K11" i="3"/>
  <c r="J11" i="3"/>
  <c r="I11" i="3"/>
  <c r="H11" i="3"/>
  <c r="G11" i="3"/>
  <c r="F11" i="3"/>
  <c r="E11" i="3"/>
  <c r="D11" i="3"/>
  <c r="C11" i="3"/>
  <c r="L10" i="3"/>
  <c r="K10" i="3"/>
  <c r="J10" i="3"/>
  <c r="I10" i="3"/>
  <c r="H10" i="3"/>
  <c r="G10" i="3"/>
  <c r="F10" i="3"/>
  <c r="P10" i="3" s="1"/>
  <c r="Q10" i="3" s="1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M4" i="3"/>
  <c r="L4" i="3"/>
  <c r="K4" i="3"/>
  <c r="J4" i="3"/>
  <c r="I4" i="3"/>
  <c r="H4" i="3"/>
  <c r="G4" i="3"/>
  <c r="F4" i="3"/>
  <c r="E4" i="3"/>
  <c r="D4" i="3"/>
  <c r="C4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P19" i="3"/>
  <c r="Q19" i="3" s="1"/>
  <c r="P18" i="3"/>
  <c r="Q18" i="3" s="1"/>
  <c r="E40" i="2"/>
  <c r="F40" i="2"/>
  <c r="G40" i="2"/>
  <c r="H40" i="2"/>
  <c r="I40" i="2"/>
  <c r="J40" i="2"/>
  <c r="K40" i="2"/>
  <c r="L40" i="2"/>
  <c r="M40" i="2"/>
  <c r="N40" i="2"/>
  <c r="O40" i="2"/>
  <c r="D40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D28" i="2"/>
  <c r="C28" i="2"/>
  <c r="E34" i="2"/>
  <c r="F34" i="2"/>
  <c r="G34" i="2"/>
  <c r="H34" i="2"/>
  <c r="I34" i="2"/>
  <c r="J34" i="2"/>
  <c r="K34" i="2"/>
  <c r="L34" i="2"/>
  <c r="D34" i="2"/>
  <c r="C34" i="2"/>
  <c r="J38" i="2"/>
  <c r="C26" i="2"/>
  <c r="I26" i="2"/>
  <c r="M26" i="2"/>
  <c r="K26" i="2"/>
  <c r="E38" i="2"/>
  <c r="E32" i="2"/>
  <c r="C38" i="2"/>
  <c r="G32" i="2"/>
  <c r="Q26" i="2"/>
  <c r="H38" i="2"/>
  <c r="H32" i="2"/>
  <c r="M38" i="2"/>
  <c r="C32" i="2"/>
  <c r="J26" i="2"/>
  <c r="G26" i="2"/>
  <c r="K32" i="2"/>
  <c r="F38" i="2"/>
  <c r="O26" i="2"/>
  <c r="D26" i="2"/>
  <c r="F26" i="2"/>
  <c r="N26" i="2"/>
  <c r="H26" i="2"/>
  <c r="O38" i="2"/>
  <c r="I32" i="2"/>
  <c r="D38" i="2"/>
  <c r="L26" i="2"/>
  <c r="G38" i="2"/>
  <c r="I38" i="2"/>
  <c r="J32" i="2"/>
  <c r="K38" i="2"/>
  <c r="D32" i="2"/>
  <c r="E26" i="2"/>
  <c r="N38" i="2"/>
  <c r="L38" i="2"/>
  <c r="P26" i="2"/>
  <c r="L32" i="2"/>
  <c r="F32" i="2"/>
  <c r="P14" i="3" l="1"/>
  <c r="Q14" i="3" s="1"/>
  <c r="P15" i="3"/>
  <c r="Q15" i="3" s="1"/>
  <c r="P11" i="3"/>
  <c r="Q11" i="3" s="1"/>
  <c r="P12" i="3"/>
  <c r="Q12" i="3" s="1"/>
  <c r="P16" i="3"/>
  <c r="Q16" i="3" s="1"/>
  <c r="Q9" i="3"/>
  <c r="P13" i="3"/>
  <c r="Q13" i="3" s="1"/>
  <c r="P17" i="3"/>
  <c r="Q17" i="3" s="1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L30" i="2"/>
  <c r="K30" i="2"/>
  <c r="J30" i="2"/>
  <c r="I30" i="2"/>
  <c r="H30" i="2"/>
  <c r="G30" i="2"/>
  <c r="F30" i="2"/>
  <c r="E30" i="2"/>
  <c r="C18" i="2"/>
  <c r="D17" i="2"/>
  <c r="E16" i="2"/>
  <c r="D16" i="2"/>
  <c r="C16" i="2"/>
  <c r="F15" i="2"/>
  <c r="E15" i="2"/>
  <c r="D15" i="2"/>
  <c r="C15" i="2"/>
  <c r="G14" i="2"/>
  <c r="F14" i="2"/>
  <c r="E14" i="2"/>
  <c r="D14" i="2"/>
  <c r="C14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D30" i="2"/>
  <c r="C30" i="2"/>
  <c r="Q24" i="2"/>
  <c r="Q44" i="2" s="1"/>
  <c r="P24" i="2"/>
  <c r="P44" i="2" s="1"/>
  <c r="O24" i="2"/>
  <c r="O44" i="2" s="1"/>
  <c r="N24" i="2"/>
  <c r="N44" i="2" s="1"/>
  <c r="M24" i="2"/>
  <c r="M44" i="2" s="1"/>
  <c r="L24" i="2"/>
  <c r="L44" i="2" s="1"/>
  <c r="L53" i="2" s="1"/>
  <c r="K24" i="2"/>
  <c r="K44" i="2" s="1"/>
  <c r="K53" i="2" s="1"/>
  <c r="J24" i="2"/>
  <c r="J44" i="2" s="1"/>
  <c r="J53" i="2" s="1"/>
  <c r="I24" i="2"/>
  <c r="I44" i="2" s="1"/>
  <c r="I53" i="2" s="1"/>
  <c r="H44" i="2"/>
  <c r="G24" i="2"/>
  <c r="G44" i="2" s="1"/>
  <c r="G47" i="2" s="1"/>
  <c r="F24" i="2"/>
  <c r="F44" i="2" s="1"/>
  <c r="F47" i="2" s="1"/>
  <c r="E24" i="2"/>
  <c r="E44" i="2" s="1"/>
  <c r="E47" i="2" s="1"/>
  <c r="D24" i="2"/>
  <c r="D44" i="2" s="1"/>
  <c r="D47" i="2" s="1"/>
  <c r="C24" i="2"/>
  <c r="C44" i="2" s="1"/>
  <c r="C47" i="2" s="1"/>
  <c r="D19" i="3" s="1"/>
  <c r="R44" i="2"/>
  <c r="E18" i="3" l="1"/>
  <c r="E19" i="3"/>
  <c r="F17" i="3"/>
  <c r="G16" i="3"/>
  <c r="H15" i="3"/>
  <c r="G53" i="2"/>
  <c r="B55" i="2" s="1"/>
  <c r="B61" i="2" s="1"/>
  <c r="G17" i="3" l="1"/>
  <c r="F19" i="3"/>
  <c r="F18" i="3"/>
  <c r="H16" i="3"/>
  <c r="B56" i="2"/>
  <c r="B60" i="2" s="1"/>
  <c r="B62" i="2" s="1"/>
  <c r="B63" i="2" s="1"/>
  <c r="M47" i="2" s="1"/>
  <c r="L55" i="2"/>
  <c r="L56" i="2" s="1"/>
  <c r="L47" i="2" s="1"/>
  <c r="K55" i="2"/>
  <c r="K56" i="2" s="1"/>
  <c r="K47" i="2" s="1"/>
  <c r="J55" i="2"/>
  <c r="J56" i="2" s="1"/>
  <c r="J47" i="2" s="1"/>
  <c r="H55" i="2"/>
  <c r="H56" i="2" s="1"/>
  <c r="H47" i="2" s="1"/>
  <c r="G55" i="2"/>
  <c r="G56" i="2" s="1"/>
  <c r="I55" i="2"/>
  <c r="I56" i="2" s="1"/>
  <c r="I47" i="2" s="1"/>
  <c r="G19" i="3" l="1"/>
  <c r="G18" i="3"/>
  <c r="H19" i="3"/>
  <c r="H17" i="3"/>
  <c r="I19" i="3"/>
  <c r="M68" i="2"/>
  <c r="N69" i="2" s="1"/>
  <c r="N5" i="3"/>
  <c r="N6" i="3"/>
  <c r="N7" i="3"/>
  <c r="N8" i="3"/>
  <c r="N9" i="3"/>
  <c r="N4" i="3"/>
  <c r="J13" i="3"/>
  <c r="I16" i="3"/>
  <c r="I14" i="3"/>
  <c r="I15" i="3"/>
  <c r="K12" i="3"/>
  <c r="L11" i="3"/>
  <c r="M10" i="3"/>
  <c r="E68" i="2"/>
  <c r="L68" i="2"/>
  <c r="D68" i="2"/>
  <c r="F68" i="2"/>
  <c r="H68" i="2"/>
  <c r="I68" i="2"/>
  <c r="K68" i="2"/>
  <c r="C68" i="2"/>
  <c r="C69" i="2" s="1"/>
  <c r="J68" i="2"/>
  <c r="G68" i="2"/>
  <c r="I17" i="3" l="1"/>
  <c r="J19" i="3"/>
  <c r="J16" i="3"/>
  <c r="K13" i="3"/>
  <c r="S9" i="3"/>
  <c r="M69" i="2"/>
  <c r="H18" i="3"/>
  <c r="L12" i="3"/>
  <c r="J17" i="3"/>
  <c r="N10" i="3"/>
  <c r="J15" i="3"/>
  <c r="Q4" i="3"/>
  <c r="S4" i="3"/>
  <c r="J14" i="3"/>
  <c r="Q8" i="3"/>
  <c r="S8" i="3"/>
  <c r="S7" i="3"/>
  <c r="Q7" i="3"/>
  <c r="S6" i="3"/>
  <c r="Q6" i="3"/>
  <c r="M11" i="3"/>
  <c r="Q5" i="3"/>
  <c r="S5" i="3"/>
  <c r="H69" i="2"/>
  <c r="I69" i="2"/>
  <c r="F69" i="2"/>
  <c r="D69" i="2"/>
  <c r="G69" i="2"/>
  <c r="J69" i="2"/>
  <c r="E69" i="2"/>
  <c r="K69" i="2"/>
  <c r="L69" i="2"/>
  <c r="K16" i="3" l="1"/>
  <c r="T9" i="3"/>
  <c r="R9" i="3"/>
  <c r="K15" i="3"/>
  <c r="S10" i="3"/>
  <c r="N11" i="3"/>
  <c r="K19" i="3"/>
  <c r="L13" i="3"/>
  <c r="M12" i="3"/>
  <c r="I18" i="3"/>
  <c r="T4" i="3"/>
  <c r="R4" i="3"/>
  <c r="T7" i="3"/>
  <c r="R7" i="3"/>
  <c r="K14" i="3"/>
  <c r="T5" i="3"/>
  <c r="R5" i="3"/>
  <c r="T8" i="3"/>
  <c r="R8" i="3"/>
  <c r="K17" i="3"/>
  <c r="T6" i="3"/>
  <c r="R6" i="3"/>
  <c r="L16" i="3"/>
  <c r="R10" i="3" l="1"/>
  <c r="T10" i="3"/>
  <c r="M13" i="3"/>
  <c r="N13" i="3" s="1"/>
  <c r="L15" i="3"/>
  <c r="L14" i="3"/>
  <c r="M14" i="3" s="1"/>
  <c r="J18" i="3"/>
  <c r="L17" i="3"/>
  <c r="M17" i="3" s="1"/>
  <c r="S11" i="3"/>
  <c r="N12" i="3"/>
  <c r="L19" i="3"/>
  <c r="M16" i="3"/>
  <c r="M15" i="3" l="1"/>
  <c r="N17" i="3"/>
  <c r="M19" i="3"/>
  <c r="R11" i="3"/>
  <c r="T11" i="3"/>
  <c r="N15" i="3"/>
  <c r="N16" i="3"/>
  <c r="S12" i="3"/>
  <c r="K18" i="3"/>
  <c r="N14" i="3"/>
  <c r="S13" i="3"/>
  <c r="S14" i="3" l="1"/>
  <c r="L18" i="3"/>
  <c r="T12" i="3"/>
  <c r="R12" i="3"/>
  <c r="N19" i="3"/>
  <c r="T13" i="3"/>
  <c r="R13" i="3"/>
  <c r="S15" i="3"/>
  <c r="S17" i="3"/>
  <c r="T14" i="3"/>
  <c r="R14" i="3"/>
  <c r="S16" i="3"/>
  <c r="T17" i="3" l="1"/>
  <c r="R17" i="3"/>
  <c r="T15" i="3"/>
  <c r="R15" i="3"/>
  <c r="M18" i="3"/>
  <c r="T16" i="3"/>
  <c r="S19" i="3"/>
  <c r="R16" i="3"/>
  <c r="N18" i="3" l="1"/>
  <c r="T19" i="3"/>
  <c r="R19" i="3"/>
  <c r="S18" i="3" l="1"/>
  <c r="R18" i="3" l="1"/>
  <c r="T18" i="3"/>
  <c r="R21" i="3" l="1"/>
</calcChain>
</file>

<file path=xl/sharedStrings.xml><?xml version="1.0" encoding="utf-8"?>
<sst xmlns="http://schemas.openxmlformats.org/spreadsheetml/2006/main" count="51" uniqueCount="43">
  <si>
    <t>Period</t>
  </si>
  <si>
    <t>Number of claims notified, per 1,000 vehicle years of exposure, in development year</t>
  </si>
  <si>
    <t>of origin</t>
  </si>
  <si>
    <t>Weighted averages:</t>
  </si>
  <si>
    <t>All</t>
  </si>
  <si>
    <t>Last 6</t>
  </si>
  <si>
    <t>Last 3</t>
  </si>
  <si>
    <t>Note these were adjusted to exclude (13,0)</t>
  </si>
  <si>
    <t xml:space="preserve">Model </t>
  </si>
  <si>
    <t>(unsmoothed)</t>
  </si>
  <si>
    <t>(smoothed)</t>
  </si>
  <si>
    <t>Smoothing of tail</t>
  </si>
  <si>
    <t>log (y-1!):</t>
  </si>
  <si>
    <t>Negative exponential fit = loglinear fit:</t>
  </si>
  <si>
    <t>forecast:</t>
  </si>
  <si>
    <t>slope</t>
  </si>
  <si>
    <t>log</t>
  </si>
  <si>
    <t>intercept</t>
  </si>
  <si>
    <t>exp</t>
  </si>
  <si>
    <t>for 11 &amp; later:</t>
  </si>
  <si>
    <t>exp(interc)</t>
  </si>
  <si>
    <t>exp(slope)</t>
  </si>
  <si>
    <r>
      <t xml:space="preserve">sum from </t>
    </r>
    <r>
      <rPr>
        <b/>
        <u/>
        <sz val="12"/>
        <color rgb="FF000000"/>
        <rFont val="Arial"/>
        <family val="2"/>
      </rPr>
      <t>10</t>
    </r>
  </si>
  <si>
    <t>(book eq.:</t>
  </si>
  <si>
    <t>)</t>
  </si>
  <si>
    <t>Implied proportions</t>
  </si>
  <si>
    <t>11 &amp; later</t>
  </si>
  <si>
    <t>Age to ultimate \pi</t>
  </si>
  <si>
    <t>\mu(j)</t>
  </si>
  <si>
    <t>the fact that there are so few in the first development</t>
  </si>
  <si>
    <t>period will lead to a lot of instability for immature years</t>
  </si>
  <si>
    <t>Manual</t>
  </si>
  <si>
    <t>Indirect address</t>
  </si>
  <si>
    <t>Offset</t>
  </si>
  <si>
    <t>Period of</t>
  </si>
  <si>
    <t>Number of claims notified, actual and forecast (bold), in development year</t>
  </si>
  <si>
    <t>Number</t>
  </si>
  <si>
    <t>origin</t>
  </si>
  <si>
    <t>to now</t>
  </si>
  <si>
    <t>Not Freq</t>
  </si>
  <si>
    <t>IBNR</t>
  </si>
  <si>
    <t>Total</t>
  </si>
  <si>
    <t>Ult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</si>
</sst>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ABF8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9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  <xf numFmtId="0" fontId="7" fillId="0" borderId="1" xfId="0" applyFont="1" applyBorder="1"/>
    <xf numFmtId="165" fontId="7" fillId="2" borderId="0" xfId="0" applyNumberFormat="1" applyFont="1" applyFill="1"/>
    <xf numFmtId="165" fontId="7" fillId="0" borderId="0" xfId="0" applyNumberFormat="1" applyFont="1"/>
    <xf numFmtId="165" fontId="7" fillId="3" borderId="0" xfId="0" applyNumberFormat="1" applyFont="1" applyFill="1"/>
    <xf numFmtId="165" fontId="7" fillId="4" borderId="0" xfId="0" applyNumberFormat="1" applyFont="1" applyFill="1"/>
    <xf numFmtId="165" fontId="7" fillId="5" borderId="0" xfId="0" applyNumberFormat="1" applyFont="1" applyFill="1"/>
    <xf numFmtId="165" fontId="7" fillId="0" borderId="1" xfId="0" applyNumberFormat="1" applyFont="1" applyBorder="1"/>
    <xf numFmtId="0" fontId="2" fillId="0" borderId="0" xfId="0" applyFont="1"/>
    <xf numFmtId="165" fontId="8" fillId="6" borderId="0" xfId="0" applyNumberFormat="1" applyFont="1" applyFill="1"/>
    <xf numFmtId="165" fontId="8" fillId="7" borderId="0" xfId="0" applyNumberFormat="1" applyFont="1" applyFill="1"/>
    <xf numFmtId="165" fontId="8" fillId="8" borderId="0" xfId="0" applyNumberFormat="1" applyFont="1" applyFill="1"/>
    <xf numFmtId="165" fontId="8" fillId="0" borderId="0" xfId="0" applyNumberFormat="1" applyFont="1"/>
    <xf numFmtId="0" fontId="8" fillId="0" borderId="1" xfId="0" applyFont="1" applyBorder="1"/>
    <xf numFmtId="2" fontId="8" fillId="0" borderId="0" xfId="0" applyNumberFormat="1" applyFont="1"/>
    <xf numFmtId="0" fontId="8" fillId="7" borderId="0" xfId="0" applyFont="1" applyFill="1"/>
    <xf numFmtId="0" fontId="8" fillId="9" borderId="0" xfId="0" applyFont="1" applyFill="1"/>
    <xf numFmtId="2" fontId="7" fillId="5" borderId="0" xfId="0" applyNumberFormat="1" applyFont="1" applyFill="1"/>
    <xf numFmtId="10" fontId="7" fillId="5" borderId="0" xfId="1" applyNumberFormat="1" applyFont="1" applyFill="1"/>
    <xf numFmtId="10" fontId="7" fillId="0" borderId="0" xfId="1" applyNumberFormat="1" applyFont="1"/>
    <xf numFmtId="0" fontId="11" fillId="0" borderId="0" xfId="0" applyFont="1"/>
    <xf numFmtId="165" fontId="11" fillId="0" borderId="0" xfId="0" applyNumberFormat="1" applyFont="1"/>
    <xf numFmtId="0" fontId="11" fillId="2" borderId="0" xfId="0" applyFont="1" applyFill="1"/>
    <xf numFmtId="0" fontId="12" fillId="0" borderId="0" xfId="0" applyFont="1"/>
    <xf numFmtId="0" fontId="11" fillId="5" borderId="0" xfId="0" applyFont="1" applyFill="1"/>
    <xf numFmtId="165" fontId="11" fillId="3" borderId="0" xfId="0" applyNumberFormat="1" applyFont="1" applyFill="1"/>
    <xf numFmtId="165" fontId="11" fillId="4" borderId="0" xfId="0" applyNumberFormat="1" applyFont="1" applyFill="1"/>
    <xf numFmtId="0" fontId="4" fillId="0" borderId="2" xfId="0" applyFont="1" applyBorder="1"/>
    <xf numFmtId="0" fontId="7" fillId="0" borderId="2" xfId="0" applyFont="1" applyBorder="1"/>
    <xf numFmtId="164" fontId="8" fillId="0" borderId="0" xfId="0" applyNumberFormat="1" applyFont="1"/>
    <xf numFmtId="1" fontId="8" fillId="0" borderId="0" xfId="0" applyNumberFormat="1" applyFont="1"/>
    <xf numFmtId="164" fontId="2" fillId="0" borderId="0" xfId="0" applyNumberFormat="1" applyFont="1"/>
    <xf numFmtId="164" fontId="7" fillId="0" borderId="2" xfId="0" applyNumberFormat="1" applyFont="1" applyBorder="1"/>
    <xf numFmtId="10" fontId="7" fillId="0" borderId="0" xfId="1" applyNumberFormat="1" applyFont="1" applyBorder="1"/>
    <xf numFmtId="164" fontId="4" fillId="0" borderId="0" xfId="0" applyNumberFormat="1" applyFont="1"/>
    <xf numFmtId="10" fontId="7" fillId="5" borderId="0" xfId="1" applyNumberFormat="1" applyFont="1" applyFill="1" applyBorder="1"/>
    <xf numFmtId="164" fontId="4" fillId="0" borderId="3" xfId="0" applyNumberFormat="1" applyFont="1" applyBorder="1"/>
    <xf numFmtId="0" fontId="2" fillId="0" borderId="0" xfId="0" applyFont="1" applyAlignment="1">
      <alignment horizontal="left"/>
    </xf>
    <xf numFmtId="166" fontId="7" fillId="0" borderId="0" xfId="1" applyNumberFormat="1" applyFont="1" applyFill="1" applyBorder="1"/>
    <xf numFmtId="166" fontId="13" fillId="0" borderId="0" xfId="1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CL!$A$24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CL!$C$24:$Q$24</c:f>
              <c:numCache>
                <c:formatCode>0.000</c:formatCode>
                <c:ptCount val="15"/>
                <c:pt idx="0">
                  <c:v>12.976190476190476</c:v>
                </c:pt>
                <c:pt idx="1">
                  <c:v>2.3948811700182815</c:v>
                </c:pt>
                <c:pt idx="2">
                  <c:v>1.4600977198697069</c:v>
                </c:pt>
                <c:pt idx="3">
                  <c:v>1.2110036275695284</c:v>
                </c:pt>
                <c:pt idx="4">
                  <c:v>1.0950054288816504</c:v>
                </c:pt>
                <c:pt idx="5">
                  <c:v>1.0419618528610355</c:v>
                </c:pt>
                <c:pt idx="6">
                  <c:v>1.0237819025522041</c:v>
                </c:pt>
                <c:pt idx="7">
                  <c:v>1.0119647355163728</c:v>
                </c:pt>
                <c:pt idx="8">
                  <c:v>1.0035260930888577</c:v>
                </c:pt>
                <c:pt idx="9">
                  <c:v>1.0016313213703099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C-4FA9-A6A2-11A402EC77EE}"/>
            </c:ext>
          </c:extLst>
        </c:ser>
        <c:ser>
          <c:idx val="1"/>
          <c:order val="1"/>
          <c:tx>
            <c:strRef>
              <c:f>CL!$A$30</c:f>
              <c:strCache>
                <c:ptCount val="1"/>
                <c:pt idx="0">
                  <c:v>Last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CL!$C$30:$L$30</c:f>
              <c:numCache>
                <c:formatCode>0.000</c:formatCode>
                <c:ptCount val="10"/>
                <c:pt idx="0">
                  <c:v>13.470588235294118</c:v>
                </c:pt>
                <c:pt idx="1">
                  <c:v>2.3982683982683981</c:v>
                </c:pt>
                <c:pt idx="2">
                  <c:v>1.4619565217391304</c:v>
                </c:pt>
                <c:pt idx="3">
                  <c:v>1.1997503121098627</c:v>
                </c:pt>
                <c:pt idx="4">
                  <c:v>1.0964730290456433</c:v>
                </c:pt>
                <c:pt idx="5">
                  <c:v>1.041044776119403</c:v>
                </c:pt>
                <c:pt idx="6">
                  <c:v>1.0278019113814074</c:v>
                </c:pt>
                <c:pt idx="7">
                  <c:v>1.0126475548060707</c:v>
                </c:pt>
                <c:pt idx="8">
                  <c:v>1.0041017227235438</c:v>
                </c:pt>
                <c:pt idx="9">
                  <c:v>1.0016313213703099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C-4FA9-A6A2-11A402EC77EE}"/>
            </c:ext>
          </c:extLst>
        </c:ser>
        <c:ser>
          <c:idx val="2"/>
          <c:order val="2"/>
          <c:tx>
            <c:strRef>
              <c:f>CL!$A$36</c:f>
              <c:strCache>
                <c:ptCount val="1"/>
                <c:pt idx="0">
                  <c:v>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CL!$C$36:$O$36</c:f>
              <c:numCache>
                <c:formatCode>0.000</c:formatCode>
                <c:ptCount val="13"/>
                <c:pt idx="0">
                  <c:v>8.9090909090909083</c:v>
                </c:pt>
                <c:pt idx="1">
                  <c:v>2.65</c:v>
                </c:pt>
                <c:pt idx="2">
                  <c:v>1.4230769230769231</c:v>
                </c:pt>
                <c:pt idx="3">
                  <c:v>1.2019464720194648</c:v>
                </c:pt>
                <c:pt idx="4">
                  <c:v>1.0882956878850103</c:v>
                </c:pt>
                <c:pt idx="5">
                  <c:v>1.0342857142857143</c:v>
                </c:pt>
                <c:pt idx="6">
                  <c:v>1.033395176252319</c:v>
                </c:pt>
                <c:pt idx="7">
                  <c:v>1.0157894736842106</c:v>
                </c:pt>
                <c:pt idx="8">
                  <c:v>1.0050335570469799</c:v>
                </c:pt>
                <c:pt idx="9">
                  <c:v>1.0015723270440251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C-4FA9-A6A2-11A402EC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25200"/>
        <c:axId val="927049680"/>
      </c:scatterChart>
      <c:valAx>
        <c:axId val="9270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49680"/>
        <c:crosses val="autoZero"/>
        <c:crossBetween val="midCat"/>
      </c:valAx>
      <c:valAx>
        <c:axId val="9270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2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 IBNR'!$Q$2</c:f>
              <c:strCache>
                <c:ptCount val="1"/>
                <c:pt idx="0">
                  <c:v>Not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IBNR'!$Q$3:$Q$19</c:f>
              <c:numCache>
                <c:formatCode>0.00%</c:formatCode>
                <c:ptCount val="17"/>
                <c:pt idx="1">
                  <c:v>9.2644320297951582E-2</c:v>
                </c:pt>
                <c:pt idx="2">
                  <c:v>0.10174418604651163</c:v>
                </c:pt>
                <c:pt idx="3">
                  <c:v>9.1182364729458912E-2</c:v>
                </c:pt>
                <c:pt idx="4">
                  <c:v>0.11027686532144533</c:v>
                </c:pt>
                <c:pt idx="5">
                  <c:v>0.10132808657156911</c:v>
                </c:pt>
                <c:pt idx="6">
                  <c:v>9.1417910447761194E-2</c:v>
                </c:pt>
                <c:pt idx="7">
                  <c:v>9.5031355523396047E-2</c:v>
                </c:pt>
                <c:pt idx="8">
                  <c:v>9.6527068437180799E-2</c:v>
                </c:pt>
                <c:pt idx="9">
                  <c:v>8.2826392138511937E-2</c:v>
                </c:pt>
                <c:pt idx="10">
                  <c:v>0.10118406889128095</c:v>
                </c:pt>
                <c:pt idx="11">
                  <c:v>8.7668593448940263E-2</c:v>
                </c:pt>
                <c:pt idx="12">
                  <c:v>7.9427725703009378E-2</c:v>
                </c:pt>
                <c:pt idx="13">
                  <c:v>6.8948412698412703E-2</c:v>
                </c:pt>
                <c:pt idx="14">
                  <c:v>4.0714995034756701E-2</c:v>
                </c:pt>
                <c:pt idx="15">
                  <c:v>1.824212271973466E-2</c:v>
                </c:pt>
                <c:pt idx="16">
                  <c:v>2.6609898882384245E-3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4-47E7-801A-B8CABC3E3FEC}"/>
            </c:ext>
          </c:extLst>
        </c:ser>
        <c:ser>
          <c:idx val="1"/>
          <c:order val="1"/>
          <c:tx>
            <c:strRef>
              <c:f>'CL IBNR'!$T$2</c:f>
              <c:strCache>
                <c:ptCount val="1"/>
                <c:pt idx="0">
                  <c:v>Ult 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IBNR'!$T$3:$T$19</c:f>
              <c:numCache>
                <c:formatCode>0.00%</c:formatCode>
                <c:ptCount val="17"/>
                <c:pt idx="1">
                  <c:v>9.2776810950701616E-2</c:v>
                </c:pt>
                <c:pt idx="2">
                  <c:v>0.1018896904182796</c:v>
                </c:pt>
                <c:pt idx="3">
                  <c:v>9.1312764639388047E-2</c:v>
                </c:pt>
                <c:pt idx="4">
                  <c:v>0.11043457227879228</c:v>
                </c:pt>
                <c:pt idx="5">
                  <c:v>0.10147299587943173</c:v>
                </c:pt>
                <c:pt idx="6">
                  <c:v>9.1548647211648224E-2</c:v>
                </c:pt>
                <c:pt idx="7">
                  <c:v>9.5337880913771766E-2</c:v>
                </c:pt>
                <c:pt idx="8">
                  <c:v>9.7229691776929278E-2</c:v>
                </c:pt>
                <c:pt idx="9">
                  <c:v>8.4188982416732824E-2</c:v>
                </c:pt>
                <c:pt idx="10">
                  <c:v>0.10495926879733071</c:v>
                </c:pt>
                <c:pt idx="11">
                  <c:v>9.5145328215535646E-2</c:v>
                </c:pt>
                <c:pt idx="12">
                  <c:v>9.439127001907674E-2</c:v>
                </c:pt>
                <c:pt idx="13">
                  <c:v>9.9226898895288962E-2</c:v>
                </c:pt>
                <c:pt idx="14">
                  <c:v>8.555422373846476E-2</c:v>
                </c:pt>
                <c:pt idx="15">
                  <c:v>9.1800788467094815E-2</c:v>
                </c:pt>
                <c:pt idx="16">
                  <c:v>0.17376466780181335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4-47E7-801A-B8CABC3E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128586</xdr:colOff>
      <xdr:row>8</xdr:row>
      <xdr:rowOff>147637</xdr:rowOff>
    </xdr:from>
    <xdr:to>
      <xdr:col>31</xdr:col>
      <xdr:colOff>57149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D2D39A-2240-3948-C498-AF98C254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256181</xdr:colOff>
      <xdr:row>1</xdr:row>
      <xdr:rowOff>184150</xdr:rowOff>
    </xdr:from>
    <xdr:to>
      <xdr:col>27</xdr:col>
      <xdr:colOff>82871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2ADE9-DB2E-465A-A8FC-A1FB9F639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2BDE-A589-47AE-A33D-962B61454685}">
  <dimension ref="A1:Q16"/>
  <sheetViews>
    <sheetView workbookViewId="0">
      <selection activeCell="B14" sqref="B14"/>
    </sheetView>
  </sheetViews>
  <sheetFormatPr baseColWidth="10" defaultColWidth="8.83203125" defaultRowHeight="15" x14ac:dyDescent="0.2"/>
  <sheetData>
    <row r="1" spans="1:17" x14ac:dyDescent="0.2">
      <c r="A1">
        <v>2148</v>
      </c>
      <c r="B1">
        <v>4</v>
      </c>
      <c r="C1">
        <v>46</v>
      </c>
      <c r="D1">
        <v>44</v>
      </c>
      <c r="E1">
        <v>40</v>
      </c>
      <c r="F1">
        <v>35</v>
      </c>
      <c r="G1">
        <v>17</v>
      </c>
      <c r="H1">
        <v>7</v>
      </c>
      <c r="I1">
        <v>3</v>
      </c>
      <c r="J1">
        <v>3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">
      <c r="A2">
        <v>2064</v>
      </c>
      <c r="B2">
        <v>3</v>
      </c>
      <c r="C2">
        <v>46</v>
      </c>
      <c r="D2">
        <v>61</v>
      </c>
      <c r="E2">
        <v>43</v>
      </c>
      <c r="F2">
        <v>28</v>
      </c>
      <c r="G2">
        <v>17</v>
      </c>
      <c r="H2">
        <v>5</v>
      </c>
      <c r="I2">
        <v>3</v>
      </c>
      <c r="J2">
        <v>1</v>
      </c>
      <c r="K2">
        <v>2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1996</v>
      </c>
      <c r="B3">
        <v>4</v>
      </c>
      <c r="C3">
        <v>33</v>
      </c>
      <c r="D3">
        <v>49</v>
      </c>
      <c r="E3">
        <v>46</v>
      </c>
      <c r="F3">
        <v>27</v>
      </c>
      <c r="G3">
        <v>11</v>
      </c>
      <c r="H3">
        <v>7</v>
      </c>
      <c r="I3">
        <v>3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>
        <v>2131</v>
      </c>
      <c r="B4">
        <v>4</v>
      </c>
      <c r="C4">
        <v>36</v>
      </c>
      <c r="D4">
        <v>73</v>
      </c>
      <c r="E4">
        <v>47</v>
      </c>
      <c r="F4">
        <v>31</v>
      </c>
      <c r="G4">
        <v>18</v>
      </c>
      <c r="H4">
        <v>14</v>
      </c>
      <c r="I4">
        <v>8</v>
      </c>
      <c r="J4">
        <v>3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2033</v>
      </c>
      <c r="B5">
        <v>4</v>
      </c>
      <c r="C5">
        <v>40</v>
      </c>
      <c r="D5">
        <v>49</v>
      </c>
      <c r="E5">
        <v>52</v>
      </c>
      <c r="F5">
        <v>33</v>
      </c>
      <c r="G5">
        <v>19</v>
      </c>
      <c r="H5">
        <v>7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>
        <v>2144</v>
      </c>
      <c r="B6">
        <v>2</v>
      </c>
      <c r="C6">
        <v>30</v>
      </c>
      <c r="D6">
        <v>58</v>
      </c>
      <c r="E6">
        <v>39</v>
      </c>
      <c r="F6">
        <v>35</v>
      </c>
      <c r="G6">
        <v>9</v>
      </c>
      <c r="H6">
        <v>12</v>
      </c>
      <c r="I6">
        <v>5</v>
      </c>
      <c r="J6">
        <v>5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2073</v>
      </c>
      <c r="B7">
        <v>1</v>
      </c>
      <c r="C7">
        <v>26</v>
      </c>
      <c r="D7">
        <v>63</v>
      </c>
      <c r="E7">
        <v>43</v>
      </c>
      <c r="F7">
        <v>30</v>
      </c>
      <c r="G7">
        <v>14</v>
      </c>
      <c r="H7">
        <v>7</v>
      </c>
      <c r="I7">
        <v>8</v>
      </c>
      <c r="J7">
        <v>3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>
        <v>1958</v>
      </c>
      <c r="B8">
        <v>3</v>
      </c>
      <c r="C8">
        <v>34</v>
      </c>
      <c r="D8">
        <v>43</v>
      </c>
      <c r="E8">
        <v>44</v>
      </c>
      <c r="F8">
        <v>26</v>
      </c>
      <c r="G8">
        <v>27</v>
      </c>
      <c r="H8">
        <v>6</v>
      </c>
      <c r="I8">
        <v>5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2137</v>
      </c>
      <c r="B9">
        <v>1</v>
      </c>
      <c r="C9">
        <v>39</v>
      </c>
      <c r="D9">
        <v>49</v>
      </c>
      <c r="E9">
        <v>44</v>
      </c>
      <c r="F9">
        <v>21</v>
      </c>
      <c r="G9">
        <v>16</v>
      </c>
      <c r="H9">
        <v>2</v>
      </c>
      <c r="I9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1858</v>
      </c>
      <c r="B10">
        <v>2</v>
      </c>
      <c r="C10">
        <v>44</v>
      </c>
      <c r="D10">
        <v>51</v>
      </c>
      <c r="E10">
        <v>46</v>
      </c>
      <c r="F10">
        <v>23</v>
      </c>
      <c r="G10">
        <v>12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2076</v>
      </c>
      <c r="B11">
        <v>3</v>
      </c>
      <c r="C11">
        <v>42</v>
      </c>
      <c r="D11">
        <v>58</v>
      </c>
      <c r="E11">
        <v>38</v>
      </c>
      <c r="F11">
        <v>26</v>
      </c>
      <c r="G11">
        <v>15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2027</v>
      </c>
      <c r="B12">
        <v>6</v>
      </c>
      <c r="C12">
        <v>22</v>
      </c>
      <c r="D12">
        <v>61</v>
      </c>
      <c r="E12">
        <v>38</v>
      </c>
      <c r="F12">
        <v>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2016</v>
      </c>
      <c r="B13">
        <v>4</v>
      </c>
      <c r="C13">
        <v>33</v>
      </c>
      <c r="D13">
        <v>57</v>
      </c>
      <c r="E13">
        <v>45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2014</v>
      </c>
      <c r="B14">
        <v>0</v>
      </c>
      <c r="C14">
        <v>35</v>
      </c>
      <c r="D14">
        <v>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1809</v>
      </c>
      <c r="B15">
        <v>1</v>
      </c>
      <c r="C15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1879</v>
      </c>
      <c r="B16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A035-0ED8-44FF-B00A-43165118053F}">
  <dimension ref="A1:R71"/>
  <sheetViews>
    <sheetView topLeftCell="A13" workbookViewId="0">
      <selection activeCell="G53" sqref="G53:H53"/>
    </sheetView>
  </sheetViews>
  <sheetFormatPr baseColWidth="10" defaultColWidth="9.1640625" defaultRowHeight="14" x14ac:dyDescent="0.15"/>
  <cols>
    <col min="1" max="1" width="9.1640625" style="30"/>
    <col min="2" max="2" width="17.1640625" style="30" customWidth="1"/>
    <col min="3" max="3" width="10.83203125" style="30" bestFit="1" customWidth="1"/>
    <col min="4" max="4" width="11.33203125" style="30" customWidth="1"/>
    <col min="5" max="5" width="11" style="30" customWidth="1"/>
    <col min="6" max="6" width="12.5" style="30" customWidth="1"/>
    <col min="7" max="7" width="11" style="30" customWidth="1"/>
    <col min="8" max="11" width="9.1640625" style="30"/>
    <col min="12" max="12" width="11.1640625" style="30" customWidth="1"/>
    <col min="13" max="16384" width="9.1640625" style="30"/>
  </cols>
  <sheetData>
    <row r="1" spans="1:18" ht="16" x14ac:dyDescent="0.2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8" ht="16" x14ac:dyDescent="0.2">
      <c r="A2" s="1" t="s">
        <v>2</v>
      </c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</row>
    <row r="3" spans="1:18" ht="16" x14ac:dyDescent="0.2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8" ht="16" x14ac:dyDescent="0.2">
      <c r="A4" s="7">
        <v>0</v>
      </c>
      <c r="B4" s="8"/>
      <c r="C4" s="9">
        <f>SUM(Data!$B1:C1)/SUM(Data!$B1:B1)</f>
        <v>12.5</v>
      </c>
      <c r="D4" s="9">
        <f>SUM(Data!$B1:D1)/SUM(Data!$B1:C1)</f>
        <v>1.88</v>
      </c>
      <c r="E4" s="9">
        <f>SUM(Data!$B1:E1)/SUM(Data!$B1:D1)</f>
        <v>1.425531914893617</v>
      </c>
      <c r="F4" s="9">
        <f>SUM(Data!$B1:F1)/SUM(Data!$B1:E1)</f>
        <v>1.2611940298507462</v>
      </c>
      <c r="G4" s="9">
        <f>SUM(Data!$B1:G1)/SUM(Data!$B1:F1)</f>
        <v>1.1005917159763314</v>
      </c>
      <c r="H4" s="9">
        <f>SUM(Data!$B1:H1)/SUM(Data!$B1:G1)</f>
        <v>1.0376344086021505</v>
      </c>
      <c r="I4" s="9">
        <f>SUM(Data!$B1:I1)/SUM(Data!$B1:H1)</f>
        <v>1.0155440414507773</v>
      </c>
      <c r="J4" s="9">
        <f>SUM(Data!$B1:J1)/SUM(Data!$B1:I1)</f>
        <v>1.0153061224489797</v>
      </c>
      <c r="K4" s="9">
        <f>SUM(Data!$B1:K1)/SUM(Data!$B1:J1)</f>
        <v>1</v>
      </c>
      <c r="L4" s="9">
        <f>SUM(Data!$B1:L1)/SUM(Data!$B1:K1)</f>
        <v>1</v>
      </c>
      <c r="M4" s="9">
        <f>SUM(Data!$B1:M1)/SUM(Data!$B1:L1)</f>
        <v>1</v>
      </c>
      <c r="N4" s="9">
        <f>SUM(Data!$B1:N1)/SUM(Data!$B1:M1)</f>
        <v>1</v>
      </c>
      <c r="O4" s="9">
        <f>SUM(Data!$B1:O1)/SUM(Data!$B1:N1)</f>
        <v>1</v>
      </c>
      <c r="P4" s="9">
        <f>SUM(Data!$B1:P1)/SUM(Data!$B1:O1)</f>
        <v>1</v>
      </c>
      <c r="Q4" s="9">
        <f>SUM(Data!$B1:Q1)/SUM(Data!$B1:P1)</f>
        <v>1</v>
      </c>
      <c r="R4" s="10"/>
    </row>
    <row r="5" spans="1:18" ht="16" x14ac:dyDescent="0.2">
      <c r="A5" s="7">
        <v>1</v>
      </c>
      <c r="B5" s="8"/>
      <c r="C5" s="9">
        <f>SUM(Data!$B2:C2)/SUM(Data!$B2:B2)</f>
        <v>16.333333333333332</v>
      </c>
      <c r="D5" s="9">
        <f>SUM(Data!$B2:D2)/SUM(Data!$B2:C2)</f>
        <v>2.2448979591836733</v>
      </c>
      <c r="E5" s="9">
        <f>SUM(Data!$B2:E2)/SUM(Data!$B2:D2)</f>
        <v>1.3909090909090909</v>
      </c>
      <c r="F5" s="9">
        <f>SUM(Data!$B2:F2)/SUM(Data!$B2:E2)</f>
        <v>1.1830065359477124</v>
      </c>
      <c r="G5" s="9">
        <f>SUM(Data!$B2:G2)/SUM(Data!$B2:F2)</f>
        <v>1.0939226519337018</v>
      </c>
      <c r="H5" s="9">
        <f>SUM(Data!$B2:H2)/SUM(Data!$B2:G2)</f>
        <v>1.0252525252525253</v>
      </c>
      <c r="I5" s="9">
        <f>SUM(Data!$B2:I2)/SUM(Data!$B2:H2)</f>
        <v>1.0147783251231528</v>
      </c>
      <c r="J5" s="9">
        <f>SUM(Data!$B2:J2)/SUM(Data!$B2:I2)</f>
        <v>1.0048543689320388</v>
      </c>
      <c r="K5" s="9">
        <f>SUM(Data!$B2:K2)/SUM(Data!$B2:J2)</f>
        <v>1.0096618357487923</v>
      </c>
      <c r="L5" s="9">
        <f>SUM(Data!$B2:L2)/SUM(Data!$B2:K2)</f>
        <v>1.0047846889952152</v>
      </c>
      <c r="M5" s="9">
        <f>SUM(Data!$B2:M2)/SUM(Data!$B2:L2)</f>
        <v>1</v>
      </c>
      <c r="N5" s="9">
        <f>SUM(Data!$B2:N2)/SUM(Data!$B2:M2)</f>
        <v>1</v>
      </c>
      <c r="O5" s="9">
        <f>SUM(Data!$B2:O2)/SUM(Data!$B2:N2)</f>
        <v>1</v>
      </c>
      <c r="P5" s="9">
        <f>SUM(Data!$B2:P2)/SUM(Data!$B2:O2)</f>
        <v>1</v>
      </c>
      <c r="Q5" s="9"/>
      <c r="R5" s="10"/>
    </row>
    <row r="6" spans="1:18" ht="16" x14ac:dyDescent="0.2">
      <c r="A6" s="7">
        <v>2</v>
      </c>
      <c r="B6" s="8"/>
      <c r="C6" s="9">
        <f>SUM(Data!$B3:C3)/SUM(Data!$B3:B3)</f>
        <v>9.25</v>
      </c>
      <c r="D6" s="9">
        <f>SUM(Data!$B3:D3)/SUM(Data!$B3:C3)</f>
        <v>2.3243243243243241</v>
      </c>
      <c r="E6" s="9">
        <f>SUM(Data!$B3:E3)/SUM(Data!$B3:D3)</f>
        <v>1.5348837209302326</v>
      </c>
      <c r="F6" s="9">
        <f>SUM(Data!$B3:F3)/SUM(Data!$B3:E3)</f>
        <v>1.2045454545454546</v>
      </c>
      <c r="G6" s="9">
        <f>SUM(Data!$B3:G3)/SUM(Data!$B3:F3)</f>
        <v>1.0691823899371069</v>
      </c>
      <c r="H6" s="9">
        <f>SUM(Data!$B3:H3)/SUM(Data!$B3:G3)</f>
        <v>1.0411764705882354</v>
      </c>
      <c r="I6" s="9">
        <f>SUM(Data!$B3:I3)/SUM(Data!$B3:H3)</f>
        <v>1.0169491525423728</v>
      </c>
      <c r="J6" s="9">
        <f>SUM(Data!$B3:J3)/SUM(Data!$B3:I3)</f>
        <v>1.0111111111111111</v>
      </c>
      <c r="K6" s="9">
        <f>SUM(Data!$B3:K3)/SUM(Data!$B3:J3)</f>
        <v>1</v>
      </c>
      <c r="L6" s="9">
        <f>SUM(Data!$B3:L3)/SUM(Data!$B3:K3)</f>
        <v>1</v>
      </c>
      <c r="M6" s="9">
        <f>SUM(Data!$B3:M3)/SUM(Data!$B3:L3)</f>
        <v>1</v>
      </c>
      <c r="N6" s="9">
        <f>SUM(Data!$B3:N3)/SUM(Data!$B3:M3)</f>
        <v>1</v>
      </c>
      <c r="O6" s="9">
        <f>SUM(Data!$B3:O3)/SUM(Data!$B3:N3)</f>
        <v>1</v>
      </c>
      <c r="P6" s="9"/>
      <c r="Q6" s="9"/>
      <c r="R6" s="10"/>
    </row>
    <row r="7" spans="1:18" ht="16" x14ac:dyDescent="0.2">
      <c r="A7" s="7">
        <v>3</v>
      </c>
      <c r="B7" s="8"/>
      <c r="C7" s="9">
        <f>SUM(Data!$B4:C4)/SUM(Data!$B4:B4)</f>
        <v>10</v>
      </c>
      <c r="D7" s="9">
        <f>SUM(Data!$B4:D4)/SUM(Data!$B4:C4)</f>
        <v>2.8250000000000002</v>
      </c>
      <c r="E7" s="9">
        <f>SUM(Data!$B4:E4)/SUM(Data!$B4:D4)</f>
        <v>1.415929203539823</v>
      </c>
      <c r="F7" s="9">
        <f>SUM(Data!$B4:F4)/SUM(Data!$B4:E4)</f>
        <v>1.1937500000000001</v>
      </c>
      <c r="G7" s="9">
        <f>SUM(Data!$B4:G4)/SUM(Data!$B4:F4)</f>
        <v>1.0942408376963351</v>
      </c>
      <c r="H7" s="9">
        <f>SUM(Data!$B4:H4)/SUM(Data!$B4:G4)</f>
        <v>1.0669856459330143</v>
      </c>
      <c r="I7" s="9">
        <f>SUM(Data!$B4:I4)/SUM(Data!$B4:H4)</f>
        <v>1.0358744394618835</v>
      </c>
      <c r="J7" s="9">
        <f>SUM(Data!$B4:J4)/SUM(Data!$B4:I4)</f>
        <v>1.0129870129870129</v>
      </c>
      <c r="K7" s="9">
        <f>SUM(Data!$B4:K4)/SUM(Data!$B4:J4)</f>
        <v>1</v>
      </c>
      <c r="L7" s="9">
        <f>SUM(Data!$B4:L4)/SUM(Data!$B4:K4)</f>
        <v>1.0042735042735043</v>
      </c>
      <c r="M7" s="9">
        <f>SUM(Data!$B4:M4)/SUM(Data!$B4:L4)</f>
        <v>1</v>
      </c>
      <c r="N7" s="9">
        <f>SUM(Data!$B4:N4)/SUM(Data!$B4:M4)</f>
        <v>1</v>
      </c>
      <c r="O7" s="9"/>
      <c r="P7" s="9"/>
      <c r="Q7" s="9"/>
      <c r="R7" s="10"/>
    </row>
    <row r="8" spans="1:18" ht="16" x14ac:dyDescent="0.2">
      <c r="A8" s="7">
        <v>4</v>
      </c>
      <c r="B8" s="8"/>
      <c r="C8" s="9">
        <f>SUM(Data!$B5:C5)/SUM(Data!$B5:B5)</f>
        <v>11</v>
      </c>
      <c r="D8" s="9">
        <f>SUM(Data!$B5:D5)/SUM(Data!$B5:C5)</f>
        <v>2.1136363636363638</v>
      </c>
      <c r="E8" s="9">
        <f>SUM(Data!$B5:E5)/SUM(Data!$B5:D5)</f>
        <v>1.5591397849462365</v>
      </c>
      <c r="F8" s="9">
        <f>SUM(Data!$B5:F5)/SUM(Data!$B5:E5)</f>
        <v>1.2275862068965517</v>
      </c>
      <c r="G8" s="9">
        <f>SUM(Data!$B5:G5)/SUM(Data!$B5:F5)</f>
        <v>1.1067415730337078</v>
      </c>
      <c r="H8" s="9">
        <f>SUM(Data!$B5:H5)/SUM(Data!$B5:G5)</f>
        <v>1.0355329949238579</v>
      </c>
      <c r="I8" s="9">
        <f>SUM(Data!$B5:I5)/SUM(Data!$B5:H5)</f>
        <v>1.0049019607843137</v>
      </c>
      <c r="J8" s="9">
        <f>SUM(Data!$B5:J5)/SUM(Data!$B5:I5)</f>
        <v>1.0048780487804878</v>
      </c>
      <c r="K8" s="9">
        <f>SUM(Data!$B5:K5)/SUM(Data!$B5:J5)</f>
        <v>1</v>
      </c>
      <c r="L8" s="9">
        <f>SUM(Data!$B5:L5)/SUM(Data!$B5:K5)</f>
        <v>1</v>
      </c>
      <c r="M8" s="9">
        <f>SUM(Data!$B5:M5)/SUM(Data!$B5:L5)</f>
        <v>1</v>
      </c>
      <c r="N8" s="9"/>
      <c r="O8" s="9"/>
      <c r="P8" s="9"/>
      <c r="Q8" s="9"/>
      <c r="R8" s="10"/>
    </row>
    <row r="9" spans="1:18" ht="16" x14ac:dyDescent="0.2">
      <c r="A9" s="7">
        <v>5</v>
      </c>
      <c r="B9" s="8"/>
      <c r="C9" s="9">
        <f>SUM(Data!$B6:C6)/SUM(Data!$B6:B6)</f>
        <v>16</v>
      </c>
      <c r="D9" s="9">
        <f>SUM(Data!$B6:D6)/SUM(Data!$B6:C6)</f>
        <v>2.8125</v>
      </c>
      <c r="E9" s="9">
        <f>SUM(Data!$B6:E6)/SUM(Data!$B6:D6)</f>
        <v>1.4333333333333333</v>
      </c>
      <c r="F9" s="9">
        <f>SUM(Data!$B6:F6)/SUM(Data!$B6:E6)</f>
        <v>1.2713178294573644</v>
      </c>
      <c r="G9" s="9">
        <f>SUM(Data!$B6:G6)/SUM(Data!$B6:F6)</f>
        <v>1.0548780487804879</v>
      </c>
      <c r="H9" s="9">
        <f>SUM(Data!$B6:H6)/SUM(Data!$B6:G6)</f>
        <v>1.0693641618497109</v>
      </c>
      <c r="I9" s="9">
        <f>SUM(Data!$B6:I6)/SUM(Data!$B6:H6)</f>
        <v>1.027027027027027</v>
      </c>
      <c r="J9" s="9">
        <f>SUM(Data!$B6:J6)/SUM(Data!$B6:I6)</f>
        <v>1.0263157894736843</v>
      </c>
      <c r="K9" s="9">
        <f>SUM(Data!$B6:K6)/SUM(Data!$B6:J6)</f>
        <v>1.0051282051282051</v>
      </c>
      <c r="L9" s="9">
        <f>SUM(Data!$B6:L6)/SUM(Data!$B6:K6)</f>
        <v>1</v>
      </c>
      <c r="M9" s="9"/>
      <c r="N9" s="9"/>
      <c r="O9" s="9"/>
      <c r="P9" s="9"/>
      <c r="Q9" s="9"/>
      <c r="R9" s="10"/>
    </row>
    <row r="10" spans="1:18" ht="16" x14ac:dyDescent="0.2">
      <c r="A10" s="7">
        <v>6</v>
      </c>
      <c r="B10" s="8"/>
      <c r="C10" s="9">
        <f>SUM(Data!$B7:C7)/SUM(Data!$B7:B7)</f>
        <v>27</v>
      </c>
      <c r="D10" s="9">
        <f>SUM(Data!$B7:D7)/SUM(Data!$B7:C7)</f>
        <v>3.3333333333333335</v>
      </c>
      <c r="E10" s="9">
        <f>SUM(Data!$B7:E7)/SUM(Data!$B7:D7)</f>
        <v>1.4777777777777779</v>
      </c>
      <c r="F10" s="9">
        <f>SUM(Data!$B7:F7)/SUM(Data!$B7:E7)</f>
        <v>1.2255639097744362</v>
      </c>
      <c r="G10" s="9">
        <f>SUM(Data!$B7:G7)/SUM(Data!$B7:F7)</f>
        <v>1.0858895705521472</v>
      </c>
      <c r="H10" s="9">
        <f>SUM(Data!$B7:H7)/SUM(Data!$B7:G7)</f>
        <v>1.03954802259887</v>
      </c>
      <c r="I10" s="9">
        <f>SUM(Data!$B7:I7)/SUM(Data!$B7:H7)</f>
        <v>1.0434782608695652</v>
      </c>
      <c r="J10" s="9">
        <f>SUM(Data!$B7:J7)/SUM(Data!$B7:I7)</f>
        <v>1.015625</v>
      </c>
      <c r="K10" s="9">
        <f>SUM(Data!$B7:K7)/SUM(Data!$B7:J7)</f>
        <v>1.0102564102564102</v>
      </c>
      <c r="L10" s="9"/>
      <c r="M10" s="9"/>
      <c r="N10" s="9"/>
      <c r="O10" s="9"/>
      <c r="P10" s="9"/>
      <c r="Q10" s="9"/>
      <c r="R10" s="10"/>
    </row>
    <row r="11" spans="1:18" ht="16" x14ac:dyDescent="0.2">
      <c r="A11" s="7">
        <v>7</v>
      </c>
      <c r="B11" s="8"/>
      <c r="C11" s="9">
        <f>SUM(Data!$B8:C8)/SUM(Data!$B8:B8)</f>
        <v>12.333333333333334</v>
      </c>
      <c r="D11" s="9">
        <f>SUM(Data!$B8:D8)/SUM(Data!$B8:C8)</f>
        <v>2.1621621621621623</v>
      </c>
      <c r="E11" s="9">
        <f>SUM(Data!$B8:E8)/SUM(Data!$B8:D8)</f>
        <v>1.55</v>
      </c>
      <c r="F11" s="9">
        <f>SUM(Data!$B8:F8)/SUM(Data!$B8:E8)</f>
        <v>1.2096774193548387</v>
      </c>
      <c r="G11" s="9">
        <f>SUM(Data!$B8:G8)/SUM(Data!$B8:F8)</f>
        <v>1.18</v>
      </c>
      <c r="H11" s="9">
        <f>SUM(Data!$B8:H8)/SUM(Data!$B8:G8)</f>
        <v>1.0338983050847457</v>
      </c>
      <c r="I11" s="9">
        <f>SUM(Data!$B8:I8)/SUM(Data!$B8:H8)</f>
        <v>1.0273224043715847</v>
      </c>
      <c r="J11" s="9">
        <f>SUM(Data!$B8:J8)/SUM(Data!$B8:I8)</f>
        <v>1.0053191489361701</v>
      </c>
      <c r="K11" s="9"/>
      <c r="L11" s="9"/>
      <c r="M11" s="9"/>
      <c r="N11" s="9"/>
      <c r="O11" s="9"/>
      <c r="P11" s="9"/>
      <c r="Q11" s="9"/>
      <c r="R11" s="10"/>
    </row>
    <row r="12" spans="1:18" ht="16" x14ac:dyDescent="0.2">
      <c r="A12" s="7">
        <v>8</v>
      </c>
      <c r="B12" s="8"/>
      <c r="C12" s="9">
        <f>SUM(Data!$B9:C9)/SUM(Data!$B9:B9)</f>
        <v>40</v>
      </c>
      <c r="D12" s="9">
        <f>SUM(Data!$B9:D9)/SUM(Data!$B9:C9)</f>
        <v>2.2250000000000001</v>
      </c>
      <c r="E12" s="9">
        <f>SUM(Data!$B9:E9)/SUM(Data!$B9:D9)</f>
        <v>1.4943820224719102</v>
      </c>
      <c r="F12" s="9">
        <f>SUM(Data!$B9:F9)/SUM(Data!$B9:E9)</f>
        <v>1.1578947368421053</v>
      </c>
      <c r="G12" s="9">
        <f>SUM(Data!$B9:G9)/SUM(Data!$B9:F9)</f>
        <v>1.1038961038961039</v>
      </c>
      <c r="H12" s="9">
        <f>SUM(Data!$B9:H9)/SUM(Data!$B9:G9)</f>
        <v>1.0117647058823529</v>
      </c>
      <c r="I12" s="9">
        <f>SUM(Data!$B9:I9)/SUM(Data!$B9:H9)</f>
        <v>1.0290697674418605</v>
      </c>
      <c r="J12" s="9"/>
      <c r="K12" s="9"/>
      <c r="L12" s="9"/>
      <c r="M12" s="9"/>
      <c r="N12" s="9"/>
      <c r="O12" s="9"/>
      <c r="P12" s="9"/>
      <c r="Q12" s="9"/>
      <c r="R12" s="10"/>
    </row>
    <row r="13" spans="1:18" ht="16" x14ac:dyDescent="0.2">
      <c r="A13" s="7">
        <v>9</v>
      </c>
      <c r="B13" s="8"/>
      <c r="C13" s="9">
        <f>SUM(Data!$B10:C10)/SUM(Data!$B10:B10)</f>
        <v>23</v>
      </c>
      <c r="D13" s="9">
        <f>SUM(Data!$B10:D10)/SUM(Data!$B10:C10)</f>
        <v>2.1086956521739131</v>
      </c>
      <c r="E13" s="9">
        <f>SUM(Data!$B10:E10)/SUM(Data!$B10:D10)</f>
        <v>1.4742268041237114</v>
      </c>
      <c r="F13" s="9">
        <f>SUM(Data!$B10:F10)/SUM(Data!$B10:E10)</f>
        <v>1.1608391608391608</v>
      </c>
      <c r="G13" s="9">
        <f>SUM(Data!$B10:G10)/SUM(Data!$B10:F10)</f>
        <v>1.072289156626506</v>
      </c>
      <c r="H13" s="9">
        <f>SUM(Data!$B10:H10)/SUM(Data!$B10:G10)</f>
        <v>1.0561797752808988</v>
      </c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1:18" ht="16" x14ac:dyDescent="0.2">
      <c r="A14" s="7">
        <v>10</v>
      </c>
      <c r="B14" s="8"/>
      <c r="C14" s="9">
        <f>SUM(Data!$B11:C11)/SUM(Data!$B11:B11)</f>
        <v>15</v>
      </c>
      <c r="D14" s="9">
        <f>SUM(Data!$B11:D11)/SUM(Data!$B11:C11)</f>
        <v>2.2888888888888888</v>
      </c>
      <c r="E14" s="9">
        <f>SUM(Data!$B11:E11)/SUM(Data!$B11:D11)</f>
        <v>1.3689320388349515</v>
      </c>
      <c r="F14" s="9">
        <f>SUM(Data!$B11:F11)/SUM(Data!$B11:E11)</f>
        <v>1.1843971631205674</v>
      </c>
      <c r="G14" s="9">
        <f>SUM(Data!$B11:G11)/SUM(Data!$B11:F11)</f>
        <v>1.0898203592814371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spans="1:18" ht="16" x14ac:dyDescent="0.2">
      <c r="A15" s="7">
        <v>11</v>
      </c>
      <c r="B15" s="8"/>
      <c r="C15" s="9">
        <f>SUM(Data!$B12:C12)/SUM(Data!$B12:B12)</f>
        <v>4.666666666666667</v>
      </c>
      <c r="D15" s="9">
        <f>SUM(Data!$B12:D12)/SUM(Data!$B12:C12)</f>
        <v>3.1785714285714284</v>
      </c>
      <c r="E15" s="9">
        <f>SUM(Data!$B12:E12)/SUM(Data!$B12:D12)</f>
        <v>1.4269662921348314</v>
      </c>
      <c r="F15" s="9">
        <f>SUM(Data!$B12:F12)/SUM(Data!$B12:E12)</f>
        <v>1.2677165354330708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1:18" ht="16" x14ac:dyDescent="0.2">
      <c r="A16" s="7">
        <v>12</v>
      </c>
      <c r="B16" s="8"/>
      <c r="C16" s="9">
        <f>SUM(Data!$B13:C13)/SUM(Data!$B13:B13)</f>
        <v>9.25</v>
      </c>
      <c r="D16" s="9">
        <f>SUM(Data!$B13:D13)/SUM(Data!$B13:C13)</f>
        <v>2.5405405405405403</v>
      </c>
      <c r="E16" s="9">
        <f>SUM(Data!$B13:E13)/SUM(Data!$B13:D13)</f>
        <v>1.4787234042553192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1:18" ht="16" x14ac:dyDescent="0.2">
      <c r="A17" s="7">
        <v>13</v>
      </c>
      <c r="B17" s="8"/>
      <c r="C17" s="9"/>
      <c r="D17" s="9">
        <f>SUM(Data!$B14:D14)/SUM(Data!$B14:C14)</f>
        <v>2.342857142857143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1:18" ht="16" x14ac:dyDescent="0.2">
      <c r="A18" s="7">
        <v>14</v>
      </c>
      <c r="B18" s="8"/>
      <c r="C18" s="9">
        <f>SUM(Data!$B15:C15)/SUM(Data!$B15:B15)</f>
        <v>33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spans="1:18" ht="16" x14ac:dyDescent="0.2">
      <c r="A19" s="7">
        <v>15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1:18" ht="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8" ht="1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6" x14ac:dyDescent="0.2">
      <c r="A22" s="3" t="s">
        <v>3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8" ht="1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8" ht="16" x14ac:dyDescent="0.2">
      <c r="A24" s="6" t="s">
        <v>4</v>
      </c>
      <c r="B24" s="6" t="s">
        <v>31</v>
      </c>
      <c r="C24" s="12">
        <f>(SUM(Data!$B1:C15)-Data!C14)/SUM(Data!$B1:B15)</f>
        <v>12.976190476190476</v>
      </c>
      <c r="D24" s="12">
        <f>SUM(Data!$B1:D14)/SUM(Data!$B1:C14)</f>
        <v>2.3948811700182815</v>
      </c>
      <c r="E24" s="12">
        <f>SUM(Data!$B1:E13)/SUM(Data!$B1:D13)</f>
        <v>1.4600977198697069</v>
      </c>
      <c r="F24" s="12">
        <f>SUM(Data!$B1:F12)/SUM(Data!$B1:E12)</f>
        <v>1.2110036275695284</v>
      </c>
      <c r="G24" s="12">
        <f>SUM(Data!$B1:G11)/SUM(Data!$B1:F11)</f>
        <v>1.0950054288816504</v>
      </c>
      <c r="H24" s="12">
        <f>SUM(Data!$B1:H10)/SUM(Data!$B1:G10)</f>
        <v>1.0419618528610355</v>
      </c>
      <c r="I24" s="12">
        <f>SUM(Data!$B1:I9)/SUM(Data!$B1:H9)</f>
        <v>1.0237819025522041</v>
      </c>
      <c r="J24" s="12">
        <f>SUM(Data!$B1:J8)/SUM(Data!$B1:I8)</f>
        <v>1.0119647355163728</v>
      </c>
      <c r="K24" s="12">
        <f>SUM(Data!$B1:K7)/SUM(Data!$B1:J7)</f>
        <v>1.0035260930888577</v>
      </c>
      <c r="L24" s="12">
        <f>SUM(Data!$B1:L6)/SUM(Data!$B1:K6)</f>
        <v>1.0016313213703099</v>
      </c>
      <c r="M24" s="12">
        <f>SUM(Data!$B1:L5)/SUM(Data!$B1:L5)</f>
        <v>1</v>
      </c>
      <c r="N24" s="12">
        <f>SUM(Data!$B1:M4)/SUM(Data!$B1:M4)</f>
        <v>1</v>
      </c>
      <c r="O24" s="12">
        <f>SUM(Data!$B1:O3)/SUM(Data!$B1:N3)</f>
        <v>1</v>
      </c>
      <c r="P24" s="12">
        <f>SUM(Data!$B1:P2)/SUM(Data!$B1:O2)</f>
        <v>1</v>
      </c>
      <c r="Q24" s="12">
        <f>SUM(Data!$B1:Q1)/SUM(Data!$B1:P1)</f>
        <v>1</v>
      </c>
      <c r="R24" s="12"/>
    </row>
    <row r="25" spans="1:18" ht="16" x14ac:dyDescent="0.2">
      <c r="A25" s="6"/>
      <c r="R25" s="31"/>
    </row>
    <row r="26" spans="1:18" ht="16" x14ac:dyDescent="0.2">
      <c r="B26" s="6" t="s">
        <v>32</v>
      </c>
      <c r="C26" s="12">
        <f ca="1">(SUM(Data!$B$1:INDIRECT("Data!"&amp;ADDRESS(15-C2,3+C2)))-Data!C14)/SUM(Data!$B$1:INDIRECT("Data!"&amp;ADDRESS(15-C2,2+C2)))</f>
        <v>12.976190476190476</v>
      </c>
      <c r="D26" s="12">
        <f ca="1">SUM(Data!$B$1:INDIRECT("Data!"&amp;ADDRESS(15-D2,3+D2)))/SUM(Data!$B$1:INDIRECT("Data!"&amp;ADDRESS(15-D2,2+D2)))</f>
        <v>2.3948811700182815</v>
      </c>
      <c r="E26" s="12">
        <f ca="1">SUM(Data!$B$1:INDIRECT("Data!"&amp;ADDRESS(15-E2,3+E2)))/SUM(Data!$B$1:INDIRECT("Data!"&amp;ADDRESS(15-E2,2+E2)))</f>
        <v>1.4600977198697069</v>
      </c>
      <c r="F26" s="12">
        <f ca="1">SUM(Data!$B$1:INDIRECT("Data!"&amp;ADDRESS(15-F2,3+F2)))/SUM(Data!$B$1:INDIRECT("Data!"&amp;ADDRESS(15-F2,2+F2)))</f>
        <v>1.2110036275695284</v>
      </c>
      <c r="G26" s="12">
        <f ca="1">SUM(Data!$B$1:INDIRECT("Data!"&amp;ADDRESS(15-G2,3+G2)))/SUM(Data!$B$1:INDIRECT("Data!"&amp;ADDRESS(15-G2,2+G2)))</f>
        <v>1.0950054288816504</v>
      </c>
      <c r="H26" s="12">
        <f ca="1">SUM(Data!$B$1:INDIRECT("Data!"&amp;ADDRESS(15-H2,3+H2)))/SUM(Data!$B$1:INDIRECT("Data!"&amp;ADDRESS(15-H2,2+H2)))</f>
        <v>1.0419618528610355</v>
      </c>
      <c r="I26" s="12">
        <f ca="1">SUM(Data!$B$1:INDIRECT("Data!"&amp;ADDRESS(15-I2,3+I2)))/SUM(Data!$B$1:INDIRECT("Data!"&amp;ADDRESS(15-I2,2+I2)))</f>
        <v>1.0237819025522041</v>
      </c>
      <c r="J26" s="12">
        <f ca="1">SUM(Data!$B$1:INDIRECT("Data!"&amp;ADDRESS(15-J2,3+J2)))/SUM(Data!$B$1:INDIRECT("Data!"&amp;ADDRESS(15-J2,2+J2)))</f>
        <v>1.0119647355163728</v>
      </c>
      <c r="K26" s="12">
        <f ca="1">SUM(Data!$B$1:INDIRECT("Data!"&amp;ADDRESS(15-K2,3+K2)))/SUM(Data!$B$1:INDIRECT("Data!"&amp;ADDRESS(15-K2,2+K2)))</f>
        <v>1.0035260930888577</v>
      </c>
      <c r="L26" s="12">
        <f ca="1">SUM(Data!$B$1:INDIRECT("Data!"&amp;ADDRESS(15-L2,3+L2)))/SUM(Data!$B$1:INDIRECT("Data!"&amp;ADDRESS(15-L2,2+L2)))</f>
        <v>1.0016313213703099</v>
      </c>
      <c r="M26" s="12">
        <f ca="1">SUM(Data!$B$1:INDIRECT("Data!"&amp;ADDRESS(15-M2,3+M2)))/SUM(Data!$B$1:INDIRECT("Data!"&amp;ADDRESS(15-M2,2+M2)))</f>
        <v>1</v>
      </c>
      <c r="N26" s="12">
        <f ca="1">SUM(Data!$B$1:INDIRECT("Data!"&amp;ADDRESS(15-N2,3+N2)))/SUM(Data!$B$1:INDIRECT("Data!"&amp;ADDRESS(15-N2,2+N2)))</f>
        <v>1</v>
      </c>
      <c r="O26" s="12">
        <f ca="1">SUM(Data!$B$1:INDIRECT("Data!"&amp;ADDRESS(15-O2,3+O2)))/SUM(Data!$B$1:INDIRECT("Data!"&amp;ADDRESS(15-O2,2+O2)))</f>
        <v>1</v>
      </c>
      <c r="P26" s="12">
        <f ca="1">SUM(Data!$B$1:INDIRECT("Data!"&amp;ADDRESS(15-P2,3+P2)))/SUM(Data!$B$1:INDIRECT("Data!"&amp;ADDRESS(15-P2,2+P2)))</f>
        <v>1</v>
      </c>
      <c r="Q26" s="12">
        <f ca="1">SUM(Data!$B$1:INDIRECT("Data!"&amp;ADDRESS(15-Q2,3+Q2)))/SUM(Data!$B$1:INDIRECT("Data!"&amp;ADDRESS(15-Q2,2+Q2)))</f>
        <v>1</v>
      </c>
      <c r="R26" s="32"/>
    </row>
    <row r="28" spans="1:18" ht="16" x14ac:dyDescent="0.2">
      <c r="B28" s="30" t="s">
        <v>33</v>
      </c>
      <c r="C28" s="12">
        <f ca="1">(SUM(OFFSET(Data!$B$1:$Q$15,0,0,15-C2,2+C2))-Data!C14)/SUM(OFFSET(Data!$B$1:$Q$15,0,0,15-C2,1+C2))</f>
        <v>12.976190476190476</v>
      </c>
      <c r="D28" s="12">
        <f ca="1">(SUM(OFFSET(Data!$B$1:$Q$15,0,0,15-D2,2+D2)))/SUM(OFFSET(Data!$B$1:$Q$15,0,0,15-D2,1+D2))</f>
        <v>2.3948811700182815</v>
      </c>
      <c r="E28" s="12">
        <f ca="1">(SUM(OFFSET(Data!$B$1:$Q$15,0,0,15-E2,2+E2)))/SUM(OFFSET(Data!$B$1:$Q$15,0,0,15-E2,1+E2))</f>
        <v>1.4600977198697069</v>
      </c>
      <c r="F28" s="12">
        <f ca="1">(SUM(OFFSET(Data!$B$1:$Q$15,0,0,15-F2,2+F2)))/SUM(OFFSET(Data!$B$1:$Q$15,0,0,15-F2,1+F2))</f>
        <v>1.2110036275695284</v>
      </c>
      <c r="G28" s="12">
        <f ca="1">(SUM(OFFSET(Data!$B$1:$Q$15,0,0,15-G2,2+G2)))/SUM(OFFSET(Data!$B$1:$Q$15,0,0,15-G2,1+G2))</f>
        <v>1.0950054288816504</v>
      </c>
      <c r="H28" s="12">
        <f ca="1">(SUM(OFFSET(Data!$B$1:$Q$15,0,0,15-H2,2+H2)))/SUM(OFFSET(Data!$B$1:$Q$15,0,0,15-H2,1+H2))</f>
        <v>1.0419618528610355</v>
      </c>
      <c r="I28" s="12">
        <f ca="1">(SUM(OFFSET(Data!$B$1:$Q$15,0,0,15-I2,2+I2)))/SUM(OFFSET(Data!$B$1:$Q$15,0,0,15-I2,1+I2))</f>
        <v>1.0237819025522041</v>
      </c>
      <c r="J28" s="12">
        <f ca="1">(SUM(OFFSET(Data!$B$1:$Q$15,0,0,15-J2,2+J2)))/SUM(OFFSET(Data!$B$1:$Q$15,0,0,15-J2,1+J2))</f>
        <v>1.0119647355163728</v>
      </c>
      <c r="K28" s="12">
        <f ca="1">(SUM(OFFSET(Data!$B$1:$Q$15,0,0,15-K2,2+K2)))/SUM(OFFSET(Data!$B$1:$Q$15,0,0,15-K2,1+K2))</f>
        <v>1.0035260930888577</v>
      </c>
      <c r="L28" s="12">
        <f ca="1">(SUM(OFFSET(Data!$B$1:$Q$15,0,0,15-L2,2+L2)))/SUM(OFFSET(Data!$B$1:$Q$15,0,0,15-L2,1+L2))</f>
        <v>1.0016313213703099</v>
      </c>
      <c r="M28" s="12">
        <f ca="1">(SUM(OFFSET(Data!$B$1:$Q$15,0,0,15-M2,2+M2)))/SUM(OFFSET(Data!$B$1:$Q$15,0,0,15-M2,1+M2))</f>
        <v>1</v>
      </c>
      <c r="N28" s="12">
        <f ca="1">(SUM(OFFSET(Data!$B$1:$Q$15,0,0,15-N2,2+N2)))/SUM(OFFSET(Data!$B$1:$Q$15,0,0,15-N2,1+N2))</f>
        <v>1</v>
      </c>
      <c r="O28" s="12">
        <f ca="1">(SUM(OFFSET(Data!$B$1:$Q$15,0,0,15-O2,2+O2)))/SUM(OFFSET(Data!$B$1:$Q$15,0,0,15-O2,1+O2))</f>
        <v>1</v>
      </c>
      <c r="P28" s="12">
        <f ca="1">(SUM(OFFSET(Data!$B$1:$Q$15,0,0,15-P2,2+P2)))/SUM(OFFSET(Data!$B$1:$Q$15,0,0,15-P2,1+P2))</f>
        <v>1</v>
      </c>
      <c r="Q28" s="12">
        <f ca="1">(SUM(OFFSET(Data!$B$1:$Q$15,0,0,15-Q2,2+Q2)))/SUM(OFFSET(Data!$B$1:$Q$15,0,0,15-Q2,1+Q2))</f>
        <v>1</v>
      </c>
      <c r="R28" s="32"/>
    </row>
    <row r="30" spans="1:18" ht="16" x14ac:dyDescent="0.2">
      <c r="A30" s="6" t="s">
        <v>5</v>
      </c>
      <c r="B30" s="6" t="s">
        <v>31</v>
      </c>
      <c r="C30" s="14">
        <f>(SUM(Data!$B9:C15)-Data!C14)/SUM(Data!$B9:B15)</f>
        <v>13.470588235294118</v>
      </c>
      <c r="D30" s="14">
        <f>SUM(Data!$B9:D14)/SUM(Data!$B9:C14)</f>
        <v>2.3982683982683981</v>
      </c>
      <c r="E30" s="14">
        <f>SUM(Data!$B8:E13)/SUM(Data!$B8:D13)</f>
        <v>1.4619565217391304</v>
      </c>
      <c r="F30" s="14">
        <f>SUM(Data!$B7:F12)/SUM(Data!$B7:E12)</f>
        <v>1.1997503121098627</v>
      </c>
      <c r="G30" s="14">
        <f>SUM(Data!$B6:G11)/SUM(Data!$B6:F11)</f>
        <v>1.0964730290456433</v>
      </c>
      <c r="H30" s="14">
        <f>SUM(Data!$B5:H10)/SUM(Data!$B5:G10)</f>
        <v>1.041044776119403</v>
      </c>
      <c r="I30" s="14">
        <f>SUM(Data!$B4:I9)/SUM(Data!$B4:H9)</f>
        <v>1.0278019113814074</v>
      </c>
      <c r="J30" s="14">
        <f>SUM(Data!$B3:J8)/SUM(Data!$B3:I8)</f>
        <v>1.0126475548060707</v>
      </c>
      <c r="K30" s="14">
        <f>SUM(Data!$B2:K7)/SUM(Data!$B2:J7)</f>
        <v>1.0041017227235438</v>
      </c>
      <c r="L30" s="14">
        <f>SUM(Data!$B1:L6)/SUM(Data!$B1:K6)</f>
        <v>1.0016313213703099</v>
      </c>
      <c r="M30" s="13"/>
      <c r="N30" s="13"/>
      <c r="O30" s="13"/>
      <c r="P30" s="13"/>
      <c r="Q30" s="13"/>
      <c r="R30" s="13"/>
    </row>
    <row r="31" spans="1:18" ht="16" x14ac:dyDescent="0.2">
      <c r="A31" s="6"/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31"/>
      <c r="O31" s="31"/>
      <c r="P31" s="31"/>
      <c r="Q31" s="31"/>
      <c r="R31" s="31"/>
    </row>
    <row r="32" spans="1:18" ht="16" x14ac:dyDescent="0.2">
      <c r="B32" s="6" t="s">
        <v>32</v>
      </c>
      <c r="C32" s="14">
        <f ca="1">(SUM(INDIRECT("Data!"&amp;ADDRESS(9-C2,2)):INDIRECT("Data!"&amp;ADDRESS(15-C2,3+C2)))-Data!C14)/SUM(INDIRECT("Data!"&amp;ADDRESS(9-C2,2)):INDIRECT("Data!"&amp;ADDRESS(15-C2,2+C2)))</f>
        <v>13.470588235294118</v>
      </c>
      <c r="D32" s="14">
        <f ca="1">(SUM(INDIRECT("Data!"&amp;ADDRESS(10-D2,2)):INDIRECT("Data!"&amp;ADDRESS(15-D2,3+D2))))/SUM(INDIRECT("Data!"&amp;ADDRESS(10-D2,2)):INDIRECT("Data!"&amp;ADDRESS(15-D2,2+D2)))</f>
        <v>2.3982683982683981</v>
      </c>
      <c r="E32" s="14">
        <f ca="1">(SUM(INDIRECT("Data!"&amp;ADDRESS(10-E2,2)):INDIRECT("Data!"&amp;ADDRESS(15-E2,3+E2))))/SUM(INDIRECT("Data!"&amp;ADDRESS(10-E2,2)):INDIRECT("Data!"&amp;ADDRESS(15-E2,2+E2)))</f>
        <v>1.4619565217391304</v>
      </c>
      <c r="F32" s="14">
        <f ca="1">(SUM(INDIRECT("Data!"&amp;ADDRESS(10-F2,2)):INDIRECT("Data!"&amp;ADDRESS(15-F2,3+F2))))/SUM(INDIRECT("Data!"&amp;ADDRESS(10-F2,2)):INDIRECT("Data!"&amp;ADDRESS(15-F2,2+F2)))</f>
        <v>1.1997503121098627</v>
      </c>
      <c r="G32" s="14">
        <f ca="1">(SUM(INDIRECT("Data!"&amp;ADDRESS(10-G2,2)):INDIRECT("Data!"&amp;ADDRESS(15-G2,3+G2))))/SUM(INDIRECT("Data!"&amp;ADDRESS(10-G2,2)):INDIRECT("Data!"&amp;ADDRESS(15-G2,2+G2)))</f>
        <v>1.0964730290456433</v>
      </c>
      <c r="H32" s="14">
        <f ca="1">(SUM(INDIRECT("Data!"&amp;ADDRESS(10-H2,2)):INDIRECT("Data!"&amp;ADDRESS(15-H2,3+H2))))/SUM(INDIRECT("Data!"&amp;ADDRESS(10-H2,2)):INDIRECT("Data!"&amp;ADDRESS(15-H2,2+H2)))</f>
        <v>1.041044776119403</v>
      </c>
      <c r="I32" s="14">
        <f ca="1">(SUM(INDIRECT("Data!"&amp;ADDRESS(10-I2,2)):INDIRECT("Data!"&amp;ADDRESS(15-I2,3+I2))))/SUM(INDIRECT("Data!"&amp;ADDRESS(10-I2,2)):INDIRECT("Data!"&amp;ADDRESS(15-I2,2+I2)))</f>
        <v>1.0278019113814074</v>
      </c>
      <c r="J32" s="14">
        <f ca="1">(SUM(INDIRECT("Data!"&amp;ADDRESS(10-J2,2)):INDIRECT("Data!"&amp;ADDRESS(15-J2,3+J2))))/SUM(INDIRECT("Data!"&amp;ADDRESS(10-J2,2)):INDIRECT("Data!"&amp;ADDRESS(15-J2,2+J2)))</f>
        <v>1.0126475548060707</v>
      </c>
      <c r="K32" s="14">
        <f ca="1">(SUM(INDIRECT("Data!"&amp;ADDRESS(10-K2,2)):INDIRECT("Data!"&amp;ADDRESS(15-K2,3+K2))))/SUM(INDIRECT("Data!"&amp;ADDRESS(10-K2,2)):INDIRECT("Data!"&amp;ADDRESS(15-K2,2+K2)))</f>
        <v>1.0041017227235438</v>
      </c>
      <c r="L32" s="14">
        <f ca="1">(SUM(INDIRECT("Data!"&amp;ADDRESS(10-L2,2)):INDIRECT("Data!"&amp;ADDRESS(15-L2,3+L2))))/SUM(INDIRECT("Data!"&amp;ADDRESS(10-L2,2)):INDIRECT("Data!"&amp;ADDRESS(15-L2,2+L2)))</f>
        <v>1.0016313213703099</v>
      </c>
    </row>
    <row r="34" spans="1:18" ht="16" x14ac:dyDescent="0.2">
      <c r="B34" s="6" t="s">
        <v>33</v>
      </c>
      <c r="C34" s="35">
        <f ca="1">(SUM(OFFSET(Data!$B$9:$Q$15,-C2,0,,2+C2))-Data!C14)/SUM(OFFSET(Data!$B$9:$Q$15,-C2,0,,1+C2))</f>
        <v>13.470588235294118</v>
      </c>
      <c r="D34" s="35">
        <f ca="1">(SUM(OFFSET(Data!$B$10:$Q$15,-D2,0,,2+D2)))/SUM(OFFSET(Data!$B$10:$Q$15,-D2,0,,1+D2))</f>
        <v>2.3982683982683981</v>
      </c>
      <c r="E34" s="35">
        <f ca="1">(SUM(OFFSET(Data!$B$10:$Q$15,-E2,0,,2+E2)))/SUM(OFFSET(Data!$B$10:$Q$15,-E2,0,,1+E2))</f>
        <v>1.4619565217391304</v>
      </c>
      <c r="F34" s="35">
        <f ca="1">(SUM(OFFSET(Data!$B$10:$Q$15,-F2,0,,2+F2)))/SUM(OFFSET(Data!$B$10:$Q$15,-F2,0,,1+F2))</f>
        <v>1.1997503121098627</v>
      </c>
      <c r="G34" s="35">
        <f ca="1">(SUM(OFFSET(Data!$B$10:$Q$15,-G2,0,,2+G2)))/SUM(OFFSET(Data!$B$10:$Q$15,-G2,0,,1+G2))</f>
        <v>1.0964730290456433</v>
      </c>
      <c r="H34" s="35">
        <f ca="1">(SUM(OFFSET(Data!$B$10:$Q$15,-H2,0,,2+H2)))/SUM(OFFSET(Data!$B$10:$Q$15,-H2,0,,1+H2))</f>
        <v>1.041044776119403</v>
      </c>
      <c r="I34" s="35">
        <f ca="1">(SUM(OFFSET(Data!$B$10:$Q$15,-I2,0,,2+I2)))/SUM(OFFSET(Data!$B$10:$Q$15,-I2,0,,1+I2))</f>
        <v>1.0278019113814074</v>
      </c>
      <c r="J34" s="35">
        <f ca="1">(SUM(OFFSET(Data!$B$10:$Q$15,-J2,0,,2+J2)))/SUM(OFFSET(Data!$B$10:$Q$15,-J2,0,,1+J2))</f>
        <v>1.0126475548060707</v>
      </c>
      <c r="K34" s="35">
        <f ca="1">(SUM(OFFSET(Data!$B$10:$Q$15,-K2,0,,2+K2)))/SUM(OFFSET(Data!$B$10:$Q$15,-K2,0,,1+K2))</f>
        <v>1.0041017227235438</v>
      </c>
      <c r="L34" s="35">
        <f ca="1">(SUM(OFFSET(Data!$B$10:$Q$15,-L2,0,,2+L2)))/SUM(OFFSET(Data!$B$10:$Q$15,-L2,0,,1+L2))</f>
        <v>1.0016313213703099</v>
      </c>
    </row>
    <row r="36" spans="1:18" ht="16" x14ac:dyDescent="0.2">
      <c r="A36" s="6" t="s">
        <v>6</v>
      </c>
      <c r="B36" s="6" t="s">
        <v>31</v>
      </c>
      <c r="C36" s="15">
        <f>(SUM(Data!$B12:C15)-Data!C14)/SUM(Data!$B12:B15)</f>
        <v>8.9090909090909083</v>
      </c>
      <c r="D36" s="15">
        <f>SUM(Data!$B12:D14)/SUM(Data!$B12:C14)</f>
        <v>2.65</v>
      </c>
      <c r="E36" s="15">
        <f>SUM(Data!$B11:E13)/SUM(Data!$B11:D13)</f>
        <v>1.4230769230769231</v>
      </c>
      <c r="F36" s="15">
        <f>SUM(Data!$B10:F12)/SUM(Data!$B10:E12)</f>
        <v>1.2019464720194648</v>
      </c>
      <c r="G36" s="15">
        <f>SUM(Data!$B9:G11)/SUM(Data!$B9:F11)</f>
        <v>1.0882956878850103</v>
      </c>
      <c r="H36" s="15">
        <f>SUM(Data!$B8:H10)/SUM(Data!$B8:G10)</f>
        <v>1.0342857142857143</v>
      </c>
      <c r="I36" s="15">
        <f>SUM(Data!$B7:I9)/SUM(Data!$B7:H9)</f>
        <v>1.033395176252319</v>
      </c>
      <c r="J36" s="15">
        <f>SUM(Data!$B6:J8)/SUM(Data!$B6:I8)</f>
        <v>1.0157894736842106</v>
      </c>
      <c r="K36" s="15">
        <f>SUM(Data!$B5:K7)/SUM(Data!$B5:J7)</f>
        <v>1.0050335570469799</v>
      </c>
      <c r="L36" s="15">
        <f>SUM(Data!$B4:L6)/SUM(Data!$B4:K6)</f>
        <v>1.0015723270440251</v>
      </c>
      <c r="M36" s="15">
        <f>SUM(Data!$B3:M5)/SUM(Data!$B3:L5)</f>
        <v>1</v>
      </c>
      <c r="N36" s="15">
        <f>SUM(Data!$B2:N4)/SUM(Data!$B2:M4)</f>
        <v>1</v>
      </c>
      <c r="O36" s="15">
        <f>SUM(Data!$B1:O3)/SUM(Data!$B1:N3)</f>
        <v>1</v>
      </c>
      <c r="P36" s="13"/>
      <c r="Q36" s="31"/>
      <c r="R36" s="31"/>
    </row>
    <row r="37" spans="1:18" ht="16" x14ac:dyDescent="0.2">
      <c r="A37" s="6"/>
      <c r="B37" s="6"/>
      <c r="G37" s="13"/>
      <c r="H37" s="13"/>
      <c r="I37" s="13"/>
      <c r="J37" s="13"/>
      <c r="K37" s="13"/>
      <c r="L37" s="13"/>
      <c r="M37" s="13"/>
      <c r="N37" s="13"/>
      <c r="O37" s="31"/>
      <c r="P37" s="31"/>
      <c r="Q37" s="31"/>
      <c r="R37" s="31"/>
    </row>
    <row r="38" spans="1:18" ht="16" x14ac:dyDescent="0.2">
      <c r="B38" s="6" t="s">
        <v>32</v>
      </c>
      <c r="C38" s="15">
        <f ca="1">(SUM(INDIRECT("Data!"&amp;ADDRESS(12-C2,2)):INDIRECT("Data!"&amp;ADDRESS(15-C2,3+C2)))-Data!C14)/SUM(INDIRECT("Data!"&amp;ADDRESS(12-C2,2)):INDIRECT("Data!"&amp;ADDRESS(15-C2,2+C2)))</f>
        <v>8.9090909090909083</v>
      </c>
      <c r="D38" s="15">
        <f ca="1">(SUM(INDIRECT("Data!"&amp;ADDRESS(13-D2,2)):INDIRECT("Data!"&amp;ADDRESS(15-D2,3+D2))))/SUM(INDIRECT("Data!"&amp;ADDRESS(13-D2,2)):INDIRECT("Data!"&amp;ADDRESS(15-D2,2+D2)))</f>
        <v>2.65</v>
      </c>
      <c r="E38" s="15">
        <f ca="1">(SUM(INDIRECT("Data!"&amp;ADDRESS(13-E2,2)):INDIRECT("Data!"&amp;ADDRESS(15-E2,3+E2))))/SUM(INDIRECT("Data!"&amp;ADDRESS(13-E2,2)):INDIRECT("Data!"&amp;ADDRESS(15-E2,2+E2)))</f>
        <v>1.4230769230769231</v>
      </c>
      <c r="F38" s="15">
        <f ca="1">(SUM(INDIRECT("Data!"&amp;ADDRESS(13-F2,2)):INDIRECT("Data!"&amp;ADDRESS(15-F2,3+F2))))/SUM(INDIRECT("Data!"&amp;ADDRESS(13-F2,2)):INDIRECT("Data!"&amp;ADDRESS(15-F2,2+F2)))</f>
        <v>1.2019464720194648</v>
      </c>
      <c r="G38" s="15">
        <f ca="1">(SUM(INDIRECT("Data!"&amp;ADDRESS(13-G2,2)):INDIRECT("Data!"&amp;ADDRESS(15-G2,3+G2))))/SUM(INDIRECT("Data!"&amp;ADDRESS(13-G2,2)):INDIRECT("Data!"&amp;ADDRESS(15-G2,2+G2)))</f>
        <v>1.0882956878850103</v>
      </c>
      <c r="H38" s="15">
        <f ca="1">(SUM(INDIRECT("Data!"&amp;ADDRESS(13-H2,2)):INDIRECT("Data!"&amp;ADDRESS(15-H2,3+H2))))/SUM(INDIRECT("Data!"&amp;ADDRESS(13-H2,2)):INDIRECT("Data!"&amp;ADDRESS(15-H2,2+H2)))</f>
        <v>1.0342857142857143</v>
      </c>
      <c r="I38" s="15">
        <f ca="1">(SUM(INDIRECT("Data!"&amp;ADDRESS(13-I2,2)):INDIRECT("Data!"&amp;ADDRESS(15-I2,3+I2))))/SUM(INDIRECT("Data!"&amp;ADDRESS(13-I2,2)):INDIRECT("Data!"&amp;ADDRESS(15-I2,2+I2)))</f>
        <v>1.033395176252319</v>
      </c>
      <c r="J38" s="15">
        <f ca="1">(SUM(INDIRECT("Data!"&amp;ADDRESS(13-J2,2)):INDIRECT("Data!"&amp;ADDRESS(15-J2,3+J2))))/SUM(INDIRECT("Data!"&amp;ADDRESS(13-J2,2)):INDIRECT("Data!"&amp;ADDRESS(15-J2,2+J2)))</f>
        <v>1.0157894736842106</v>
      </c>
      <c r="K38" s="15">
        <f ca="1">(SUM(INDIRECT("Data!"&amp;ADDRESS(13-K2,2)):INDIRECT("Data!"&amp;ADDRESS(15-K2,3+K2))))/SUM(INDIRECT("Data!"&amp;ADDRESS(13-K2,2)):INDIRECT("Data!"&amp;ADDRESS(15-K2,2+K2)))</f>
        <v>1.0050335570469799</v>
      </c>
      <c r="L38" s="15">
        <f ca="1">(SUM(INDIRECT("Data!"&amp;ADDRESS(13-L2,2)):INDIRECT("Data!"&amp;ADDRESS(15-L2,3+L2))))/SUM(INDIRECT("Data!"&amp;ADDRESS(13-L2,2)):INDIRECT("Data!"&amp;ADDRESS(15-L2,2+L2)))</f>
        <v>1.0015723270440251</v>
      </c>
      <c r="M38" s="15">
        <f ca="1">(SUM(INDIRECT("Data!"&amp;ADDRESS(13-M2,2)):INDIRECT("Data!"&amp;ADDRESS(15-M2,3+M2))))/SUM(INDIRECT("Data!"&amp;ADDRESS(13-M2,2)):INDIRECT("Data!"&amp;ADDRESS(15-M2,2+M2)))</f>
        <v>1</v>
      </c>
      <c r="N38" s="15">
        <f ca="1">(SUM(INDIRECT("Data!"&amp;ADDRESS(13-N2,2)):INDIRECT("Data!"&amp;ADDRESS(15-N2,3+N2))))/SUM(INDIRECT("Data!"&amp;ADDRESS(13-N2,2)):INDIRECT("Data!"&amp;ADDRESS(15-N2,2+N2)))</f>
        <v>1</v>
      </c>
      <c r="O38" s="15">
        <f ca="1">(SUM(INDIRECT("Data!"&amp;ADDRESS(13-O2,2)):INDIRECT("Data!"&amp;ADDRESS(15-O2,3+O2))))/SUM(INDIRECT("Data!"&amp;ADDRESS(13-O2,2)):INDIRECT("Data!"&amp;ADDRESS(15-O2,2+O2)))</f>
        <v>1</v>
      </c>
    </row>
    <row r="40" spans="1:18" x14ac:dyDescent="0.15">
      <c r="B40" s="30" t="s">
        <v>33</v>
      </c>
      <c r="C40" s="36">
        <f ca="1">(SUM(OFFSET(Data!$B$12:$Q$15,-C2,0,,2+C2))-Data!C14)/SUM(OFFSET(Data!$B$12:$Q$15,-C2,0,,1+C2))</f>
        <v>8.9090909090909083</v>
      </c>
      <c r="D40" s="36">
        <f ca="1">(SUM(OFFSET(Data!$B$13:$Q$15,-D2,0,,2+D2)))/SUM(OFFSET(Data!$B$13:$Q$15,-D2,0,,1+D2))</f>
        <v>2.65</v>
      </c>
      <c r="E40" s="36">
        <f ca="1">(SUM(OFFSET(Data!$B$13:$Q$15,-E2,0,,2+E2)))/SUM(OFFSET(Data!$B$13:$Q$15,-E2,0,,1+E2))</f>
        <v>1.4230769230769231</v>
      </c>
      <c r="F40" s="36">
        <f ca="1">(SUM(OFFSET(Data!$B$13:$Q$15,-F2,0,,2+F2)))/SUM(OFFSET(Data!$B$13:$Q$15,-F2,0,,1+F2))</f>
        <v>1.2019464720194648</v>
      </c>
      <c r="G40" s="36">
        <f ca="1">(SUM(OFFSET(Data!$B$13:$Q$15,-G2,0,,2+G2)))/SUM(OFFSET(Data!$B$13:$Q$15,-G2,0,,1+G2))</f>
        <v>1.0882956878850103</v>
      </c>
      <c r="H40" s="36">
        <f ca="1">(SUM(OFFSET(Data!$B$13:$Q$15,-H2,0,,2+H2)))/SUM(OFFSET(Data!$B$13:$Q$15,-H2,0,,1+H2))</f>
        <v>1.0342857142857143</v>
      </c>
      <c r="I40" s="36">
        <f ca="1">(SUM(OFFSET(Data!$B$13:$Q$15,-I2,0,,2+I2)))/SUM(OFFSET(Data!$B$13:$Q$15,-I2,0,,1+I2))</f>
        <v>1.033395176252319</v>
      </c>
      <c r="J40" s="36">
        <f ca="1">(SUM(OFFSET(Data!$B$13:$Q$15,-J2,0,,2+J2)))/SUM(OFFSET(Data!$B$13:$Q$15,-J2,0,,1+J2))</f>
        <v>1.0157894736842106</v>
      </c>
      <c r="K40" s="36">
        <f ca="1">(SUM(OFFSET(Data!$B$13:$Q$15,-K2,0,,2+K2)))/SUM(OFFSET(Data!$B$13:$Q$15,-K2,0,,1+K2))</f>
        <v>1.0050335570469799</v>
      </c>
      <c r="L40" s="36">
        <f ca="1">(SUM(OFFSET(Data!$B$13:$Q$15,-L2,0,,2+L2)))/SUM(OFFSET(Data!$B$13:$Q$15,-L2,0,,1+L2))</f>
        <v>1.0015723270440251</v>
      </c>
      <c r="M40" s="36">
        <f ca="1">(SUM(OFFSET(Data!$B$13:$Q$15,-M2,0,,2+M2)))/SUM(OFFSET(Data!$B$13:$Q$15,-M2,0,,1+M2))</f>
        <v>1</v>
      </c>
      <c r="N40" s="36">
        <f ca="1">(SUM(OFFSET(Data!$B$13:$Q$15,-N2,0,,2+N2)))/SUM(OFFSET(Data!$B$13:$Q$15,-N2,0,,1+N2))</f>
        <v>1</v>
      </c>
      <c r="O40" s="36">
        <f ca="1">(SUM(OFFSET(Data!$B$13:$Q$15,-O2,0,,2+O2)))/SUM(OFFSET(Data!$B$13:$Q$15,-O2,0,,1+O2))</f>
        <v>1</v>
      </c>
    </row>
    <row r="41" spans="1:18" ht="16" x14ac:dyDescent="0.2">
      <c r="C41" s="16" t="s">
        <v>7</v>
      </c>
      <c r="D41" s="16"/>
      <c r="E41" s="16"/>
      <c r="F41" s="16"/>
    </row>
    <row r="43" spans="1:18" ht="16" x14ac:dyDescent="0.2">
      <c r="A43" s="11"/>
      <c r="B43" s="11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3"/>
      <c r="O43" s="31"/>
      <c r="P43" s="31"/>
      <c r="Q43" s="31"/>
      <c r="R43" s="31"/>
    </row>
    <row r="44" spans="1:18" ht="16" x14ac:dyDescent="0.2">
      <c r="A44" s="6" t="s">
        <v>8</v>
      </c>
      <c r="B44" s="6"/>
      <c r="C44" s="12">
        <f t="shared" ref="C44:R44" si="0">C24</f>
        <v>12.976190476190476</v>
      </c>
      <c r="D44" s="12">
        <f t="shared" si="0"/>
        <v>2.3948811700182815</v>
      </c>
      <c r="E44" s="12">
        <f t="shared" si="0"/>
        <v>1.4600977198697069</v>
      </c>
      <c r="F44" s="12">
        <f t="shared" si="0"/>
        <v>1.2110036275695284</v>
      </c>
      <c r="G44" s="12">
        <f t="shared" si="0"/>
        <v>1.0950054288816504</v>
      </c>
      <c r="H44" s="12">
        <f t="shared" si="0"/>
        <v>1.0419618528610355</v>
      </c>
      <c r="I44" s="12">
        <f t="shared" si="0"/>
        <v>1.0237819025522041</v>
      </c>
      <c r="J44" s="12">
        <f t="shared" si="0"/>
        <v>1.0119647355163728</v>
      </c>
      <c r="K44" s="12">
        <f t="shared" si="0"/>
        <v>1.0035260930888577</v>
      </c>
      <c r="L44" s="12">
        <f t="shared" si="0"/>
        <v>1.0016313213703099</v>
      </c>
      <c r="M44" s="12">
        <f t="shared" si="0"/>
        <v>1</v>
      </c>
      <c r="N44" s="12">
        <f t="shared" si="0"/>
        <v>1</v>
      </c>
      <c r="O44" s="12">
        <f t="shared" si="0"/>
        <v>1</v>
      </c>
      <c r="P44" s="12">
        <f t="shared" si="0"/>
        <v>1</v>
      </c>
      <c r="Q44" s="12">
        <f t="shared" si="0"/>
        <v>1</v>
      </c>
      <c r="R44" s="12">
        <f t="shared" si="0"/>
        <v>0</v>
      </c>
    </row>
    <row r="45" spans="1:18" x14ac:dyDescent="0.15">
      <c r="A45" s="30" t="s">
        <v>9</v>
      </c>
    </row>
    <row r="47" spans="1:18" ht="16" x14ac:dyDescent="0.2">
      <c r="A47" s="18" t="s">
        <v>8</v>
      </c>
      <c r="B47" s="18"/>
      <c r="C47" s="19">
        <f>C44</f>
        <v>12.976190476190476</v>
      </c>
      <c r="D47" s="19">
        <f t="shared" ref="D47:G47" si="1">D44</f>
        <v>2.3948811700182815</v>
      </c>
      <c r="E47" s="19">
        <f t="shared" si="1"/>
        <v>1.4600977198697069</v>
      </c>
      <c r="F47" s="19">
        <f t="shared" si="1"/>
        <v>1.2110036275695284</v>
      </c>
      <c r="G47" s="19">
        <f t="shared" si="1"/>
        <v>1.0950054288816504</v>
      </c>
      <c r="H47" s="20">
        <f>H56</f>
        <v>1.0462483182006135</v>
      </c>
      <c r="I47" s="20">
        <f t="shared" ref="I47:L47" si="2">I56</f>
        <v>1.0205214579569586</v>
      </c>
      <c r="J47" s="20">
        <f t="shared" si="2"/>
        <v>1.0091058497490106</v>
      </c>
      <c r="K47" s="20">
        <f t="shared" si="2"/>
        <v>1.0040404780121113</v>
      </c>
      <c r="L47" s="20">
        <f t="shared" si="2"/>
        <v>1.0017928543756314</v>
      </c>
      <c r="M47" s="21">
        <f>B63</f>
        <v>1.0014301001110908</v>
      </c>
      <c r="N47" s="22"/>
      <c r="O47" s="22"/>
    </row>
    <row r="48" spans="1:18" ht="16" x14ac:dyDescent="0.2">
      <c r="A48" s="18" t="s">
        <v>10</v>
      </c>
      <c r="B48" s="1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33"/>
    </row>
    <row r="49" spans="1:15" ht="1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33"/>
    </row>
    <row r="50" spans="1:15" ht="16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7"/>
      <c r="N50" s="7"/>
      <c r="O50" s="33"/>
    </row>
    <row r="51" spans="1:15" ht="16" x14ac:dyDescent="0.2">
      <c r="A51" s="18" t="s">
        <v>11</v>
      </c>
      <c r="B51" s="1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3"/>
    </row>
    <row r="52" spans="1:15" ht="16" x14ac:dyDescent="0.2">
      <c r="A52" s="7"/>
      <c r="B52" s="7"/>
      <c r="C52" s="7"/>
      <c r="D52" s="7"/>
      <c r="E52" s="7"/>
      <c r="F52" s="7"/>
      <c r="G52" s="7" t="s">
        <v>12</v>
      </c>
      <c r="H52" s="7"/>
      <c r="I52" s="7"/>
      <c r="J52" s="7"/>
      <c r="K52" s="7"/>
      <c r="L52" s="7"/>
      <c r="M52" s="7"/>
      <c r="N52" s="7"/>
      <c r="O52" s="33"/>
    </row>
    <row r="53" spans="1:15" ht="16" x14ac:dyDescent="0.2">
      <c r="A53" s="7" t="s">
        <v>13</v>
      </c>
      <c r="B53" s="7"/>
      <c r="C53" s="7"/>
      <c r="D53" s="7"/>
      <c r="E53" s="7"/>
      <c r="F53" s="7"/>
      <c r="G53" s="24">
        <f>LN(G44-1)</f>
        <v>-2.3538212428917378</v>
      </c>
      <c r="H53" s="24">
        <f>LN(H44-1)</f>
        <v>-3.1709943386349853</v>
      </c>
      <c r="I53" s="24">
        <f>LN(I44-1)</f>
        <v>-3.738830384519332</v>
      </c>
      <c r="J53" s="24">
        <f t="shared" ref="J53:L53" si="3">LN(J44-1)</f>
        <v>-4.4257916626406422</v>
      </c>
      <c r="K53" s="24">
        <f t="shared" si="3"/>
        <v>-5.6475647946579421</v>
      </c>
      <c r="L53" s="24">
        <f t="shared" si="3"/>
        <v>-6.4183649359362693</v>
      </c>
      <c r="M53" s="24"/>
      <c r="N53" s="7"/>
      <c r="O53" s="33"/>
    </row>
    <row r="54" spans="1:15" ht="16" x14ac:dyDescent="0.2">
      <c r="A54" s="7"/>
      <c r="B54" s="7"/>
      <c r="C54" s="7"/>
      <c r="D54" s="7"/>
      <c r="E54" s="7"/>
      <c r="F54" s="7"/>
      <c r="G54" s="7" t="s">
        <v>14</v>
      </c>
      <c r="H54" s="7"/>
      <c r="I54" s="7"/>
      <c r="J54" s="7"/>
      <c r="K54" s="7"/>
      <c r="L54" s="7"/>
      <c r="M54" s="7"/>
      <c r="N54" s="7"/>
      <c r="O54" s="33"/>
    </row>
    <row r="55" spans="1:15" ht="16" x14ac:dyDescent="0.2">
      <c r="A55" s="7" t="s">
        <v>15</v>
      </c>
      <c r="B55" s="7">
        <f>SLOPE(G53:L53,G2:L2)</f>
        <v>-0.81255403175465257</v>
      </c>
      <c r="C55" s="7"/>
      <c r="D55" s="7"/>
      <c r="E55" s="7"/>
      <c r="F55" s="7" t="s">
        <v>16</v>
      </c>
      <c r="G55" s="7">
        <f t="shared" ref="G55:L55" si="4">_xlfn.FORECAST.LINEAR(G2,$G$53:$L$53,$G$2:$L$2)</f>
        <v>-2.2611761471601874</v>
      </c>
      <c r="H55" s="7">
        <f t="shared" si="4"/>
        <v>-3.0737301789148397</v>
      </c>
      <c r="I55" s="7">
        <f t="shared" si="4"/>
        <v>-3.8862842106694924</v>
      </c>
      <c r="J55" s="7">
        <f t="shared" si="4"/>
        <v>-4.6988382424241451</v>
      </c>
      <c r="K55" s="7">
        <f t="shared" si="4"/>
        <v>-5.5113922741787977</v>
      </c>
      <c r="L55" s="7">
        <f t="shared" si="4"/>
        <v>-6.3239463059334504</v>
      </c>
      <c r="M55" s="7"/>
      <c r="N55" s="7"/>
      <c r="O55" s="33"/>
    </row>
    <row r="56" spans="1:15" ht="16" x14ac:dyDescent="0.2">
      <c r="A56" s="7" t="s">
        <v>17</v>
      </c>
      <c r="B56" s="7">
        <f>INTERCEPT(G53:L53,G2:L2)</f>
        <v>0.98903997985842285</v>
      </c>
      <c r="C56" s="7"/>
      <c r="D56" s="7"/>
      <c r="E56" s="7"/>
      <c r="F56" s="7" t="s">
        <v>18</v>
      </c>
      <c r="G56" s="25">
        <f>EXP(G55)+1</f>
        <v>1.1042278253753366</v>
      </c>
      <c r="H56" s="25">
        <f t="shared" ref="H56:L56" si="5">EXP(H55)+1</f>
        <v>1.0462483182006135</v>
      </c>
      <c r="I56" s="25">
        <f t="shared" si="5"/>
        <v>1.0205214579569586</v>
      </c>
      <c r="J56" s="25">
        <f t="shared" si="5"/>
        <v>1.0091058497490106</v>
      </c>
      <c r="K56" s="25">
        <f t="shared" si="5"/>
        <v>1.0040404780121113</v>
      </c>
      <c r="L56" s="25">
        <f t="shared" si="5"/>
        <v>1.0017928543756314</v>
      </c>
      <c r="M56" s="7"/>
      <c r="N56" s="7"/>
      <c r="O56" s="33"/>
    </row>
    <row r="57" spans="1:15" ht="1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33"/>
    </row>
    <row r="58" spans="1:15" ht="1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33"/>
    </row>
    <row r="59" spans="1:15" ht="16" x14ac:dyDescent="0.2">
      <c r="A59" s="18" t="s">
        <v>19</v>
      </c>
      <c r="B59" s="1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33"/>
    </row>
    <row r="60" spans="1:15" ht="16" x14ac:dyDescent="0.2">
      <c r="A60" s="7" t="s">
        <v>20</v>
      </c>
      <c r="B60" s="7">
        <f>EXP(B56)</f>
        <v>2.6886520728262147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33"/>
    </row>
    <row r="61" spans="1:15" ht="16" x14ac:dyDescent="0.2">
      <c r="A61" s="7" t="s">
        <v>21</v>
      </c>
      <c r="B61" s="7">
        <f>EXP(B55)</f>
        <v>0.4437233342830269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33"/>
    </row>
    <row r="62" spans="1:15" ht="16" x14ac:dyDescent="0.2">
      <c r="A62" s="7" t="s">
        <v>22</v>
      </c>
      <c r="B62" s="26">
        <f>B60*B61^(10)/(1-B61)</f>
        <v>1.4301001110907214E-3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33"/>
    </row>
    <row r="63" spans="1:15" ht="16" x14ac:dyDescent="0.2">
      <c r="A63" s="7" t="s">
        <v>23</v>
      </c>
      <c r="B63" s="7">
        <f>1+B62</f>
        <v>1.0014301001110908</v>
      </c>
      <c r="C63" s="7" t="s">
        <v>24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33"/>
    </row>
    <row r="64" spans="1:15" ht="1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33"/>
    </row>
    <row r="65" spans="1:15" ht="16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33"/>
    </row>
    <row r="66" spans="1:15" ht="16" x14ac:dyDescent="0.2">
      <c r="A66" s="18" t="s">
        <v>25</v>
      </c>
      <c r="B66" s="1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33"/>
    </row>
    <row r="67" spans="1:15" ht="16" x14ac:dyDescent="0.2">
      <c r="A67" s="7"/>
      <c r="B67" s="7"/>
      <c r="C67" s="18">
        <v>0</v>
      </c>
      <c r="D67" s="18">
        <v>1</v>
      </c>
      <c r="E67" s="18">
        <v>2</v>
      </c>
      <c r="F67" s="18">
        <v>3</v>
      </c>
      <c r="G67" s="18">
        <v>4</v>
      </c>
      <c r="H67" s="18">
        <v>5</v>
      </c>
      <c r="I67" s="18">
        <v>6</v>
      </c>
      <c r="J67" s="18">
        <v>7</v>
      </c>
      <c r="K67" s="18">
        <v>8</v>
      </c>
      <c r="L67" s="18">
        <v>9</v>
      </c>
      <c r="M67" s="18">
        <v>10</v>
      </c>
      <c r="N67" s="18" t="s">
        <v>26</v>
      </c>
      <c r="O67" s="18"/>
    </row>
    <row r="68" spans="1:15" ht="16" x14ac:dyDescent="0.2">
      <c r="A68" s="7" t="s">
        <v>27</v>
      </c>
      <c r="B68" s="7"/>
      <c r="C68" s="27">
        <f>PRODUCT(C47:$M47)</f>
        <v>65.300762159921447</v>
      </c>
      <c r="D68" s="9">
        <f>PRODUCT(D47:$M47)</f>
        <v>5.0323523132416517</v>
      </c>
      <c r="E68" s="9">
        <f>PRODUCT(E47:$M47)</f>
        <v>2.1012952025520484</v>
      </c>
      <c r="F68" s="9">
        <f>PRODUCT(F47:$M47)</f>
        <v>1.43914696527268</v>
      </c>
      <c r="G68" s="9">
        <f>PRODUCT(G47:$M47)</f>
        <v>1.1883919523519786</v>
      </c>
      <c r="H68" s="9">
        <f>PRODUCT(H47:$M47)</f>
        <v>1.0852840734914946</v>
      </c>
      <c r="I68" s="9">
        <f>PRODUCT(I47:$M47)</f>
        <v>1.037310220348088</v>
      </c>
      <c r="J68" s="9">
        <f>PRODUCT(J47:$M47)</f>
        <v>1.0164511605907234</v>
      </c>
      <c r="K68" s="9">
        <f>PRODUCT(K47:$M47)</f>
        <v>1.0072790290964417</v>
      </c>
      <c r="L68" s="9">
        <f>PRODUCT(L47:$M47)</f>
        <v>1.0032255184479639</v>
      </c>
      <c r="M68" s="9">
        <f>PRODUCT(M47:$M47)</f>
        <v>1.0014301001110908</v>
      </c>
      <c r="N68" s="6">
        <v>1</v>
      </c>
      <c r="O68" s="33"/>
    </row>
    <row r="69" spans="1:15" ht="16" x14ac:dyDescent="0.2">
      <c r="A69" s="7" t="s">
        <v>28</v>
      </c>
      <c r="B69" s="7"/>
      <c r="C69" s="28">
        <f>1/C68</f>
        <v>1.5313756944383005E-2</v>
      </c>
      <c r="D69" s="29">
        <f>1/D68-1/C68</f>
        <v>0.18340047007201557</v>
      </c>
      <c r="E69" s="29">
        <f t="shared" ref="E69:N69" si="6">1/E68-1/D68</f>
        <v>0.27718273347991246</v>
      </c>
      <c r="F69" s="29">
        <f t="shared" si="6"/>
        <v>0.21895910641727667</v>
      </c>
      <c r="G69" s="29">
        <f t="shared" si="6"/>
        <v>0.14661715075746184</v>
      </c>
      <c r="H69" s="29">
        <f t="shared" si="6"/>
        <v>7.994452393726037E-2</v>
      </c>
      <c r="I69" s="29">
        <f t="shared" si="6"/>
        <v>4.2614020909591543E-2</v>
      </c>
      <c r="J69" s="29">
        <f t="shared" si="6"/>
        <v>1.9783337283684088E-2</v>
      </c>
      <c r="K69" s="29">
        <f t="shared" si="6"/>
        <v>8.9584724796012427E-3</v>
      </c>
      <c r="L69" s="29">
        <f t="shared" si="6"/>
        <v>4.0112797898071983E-3</v>
      </c>
      <c r="M69" s="29">
        <f t="shared" si="6"/>
        <v>1.7870900835985637E-3</v>
      </c>
      <c r="N69" s="29">
        <f t="shared" si="6"/>
        <v>1.4280578454074488E-3</v>
      </c>
      <c r="O69" s="33"/>
    </row>
    <row r="70" spans="1:15" x14ac:dyDescent="0.15">
      <c r="C70" s="34" t="s">
        <v>29</v>
      </c>
      <c r="D70" s="34"/>
      <c r="E70" s="34"/>
      <c r="F70" s="34"/>
      <c r="G70" s="34"/>
    </row>
    <row r="71" spans="1:15" x14ac:dyDescent="0.15">
      <c r="C71" s="34" t="s">
        <v>30</v>
      </c>
      <c r="D71" s="34"/>
      <c r="E71" s="34"/>
      <c r="F71" s="34"/>
      <c r="G71" s="34"/>
    </row>
  </sheetData>
  <pageMargins left="0.7" right="0.7" top="0.75" bottom="0.75" header="0.3" footer="0.3"/>
  <ignoredErrors>
    <ignoredError sqref="C17 C2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F575-6859-4BBF-B3C6-ED6B213B6219}">
  <dimension ref="A1:U60"/>
  <sheetViews>
    <sheetView tabSelected="1" workbookViewId="0">
      <selection activeCell="R22" sqref="R22"/>
    </sheetView>
  </sheetViews>
  <sheetFormatPr baseColWidth="10" defaultColWidth="11.5" defaultRowHeight="15" x14ac:dyDescent="0.2"/>
  <cols>
    <col min="3" max="14" width="6.5" customWidth="1"/>
    <col min="15" max="15" width="12.1640625" bestFit="1" customWidth="1"/>
  </cols>
  <sheetData>
    <row r="1" spans="1:20" ht="16" x14ac:dyDescent="0.2">
      <c r="A1" s="1" t="s">
        <v>34</v>
      </c>
      <c r="B1" s="1"/>
      <c r="C1" s="3" t="s">
        <v>35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7"/>
      <c r="Q1" s="3"/>
      <c r="R1" s="3" t="s">
        <v>36</v>
      </c>
      <c r="S1" s="3"/>
    </row>
    <row r="2" spans="1:20" ht="16" x14ac:dyDescent="0.2">
      <c r="A2" s="1" t="s">
        <v>37</v>
      </c>
      <c r="B2" s="1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 t="s">
        <v>26</v>
      </c>
      <c r="O2" s="3"/>
      <c r="P2" s="37" t="s">
        <v>38</v>
      </c>
      <c r="Q2" s="3" t="s">
        <v>39</v>
      </c>
      <c r="R2" s="3" t="s">
        <v>40</v>
      </c>
      <c r="S2" s="3" t="s">
        <v>41</v>
      </c>
      <c r="T2" s="3" t="s">
        <v>42</v>
      </c>
    </row>
    <row r="3" spans="1:20" ht="16" x14ac:dyDescent="0.2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38"/>
      <c r="Q3" s="6"/>
      <c r="R3" s="6"/>
      <c r="S3" s="6"/>
    </row>
    <row r="4" spans="1:20" ht="16" x14ac:dyDescent="0.2">
      <c r="A4" s="7">
        <v>0</v>
      </c>
      <c r="B4" s="39"/>
      <c r="C4" s="40">
        <f>Data!B1</f>
        <v>4</v>
      </c>
      <c r="D4" s="40">
        <f>Data!C1</f>
        <v>46</v>
      </c>
      <c r="E4" s="40">
        <f>Data!D1</f>
        <v>44</v>
      </c>
      <c r="F4" s="40">
        <f>Data!E1</f>
        <v>40</v>
      </c>
      <c r="G4" s="40">
        <f>Data!F1</f>
        <v>35</v>
      </c>
      <c r="H4" s="40">
        <f>Data!G1</f>
        <v>17</v>
      </c>
      <c r="I4" s="40">
        <f>Data!H1</f>
        <v>7</v>
      </c>
      <c r="J4" s="40">
        <f>Data!I1</f>
        <v>3</v>
      </c>
      <c r="K4" s="40">
        <f>Data!J1</f>
        <v>3</v>
      </c>
      <c r="L4" s="40">
        <f>Data!K1</f>
        <v>0</v>
      </c>
      <c r="M4" s="40">
        <f>Data!L1</f>
        <v>0</v>
      </c>
      <c r="N4" s="41">
        <f>SUM($C4:M4)*(CL!M$47-1)</f>
        <v>0.28458992210706779</v>
      </c>
      <c r="O4" s="41"/>
      <c r="P4" s="42">
        <f>SUM(C4:M4)</f>
        <v>199</v>
      </c>
      <c r="Q4" s="43">
        <f>P4/Data!A1</f>
        <v>9.2644320297951582E-2</v>
      </c>
      <c r="R4" s="44">
        <f t="shared" ref="R4:R18" si="0">S4-P4</f>
        <v>0.28458992210707379</v>
      </c>
      <c r="S4" s="44">
        <f t="shared" ref="S4:S18" si="1">SUM(C4:O4)</f>
        <v>199.28458992210707</v>
      </c>
      <c r="T4" s="43">
        <f>S4/Data!A1</f>
        <v>9.2776810950701616E-2</v>
      </c>
    </row>
    <row r="5" spans="1:20" ht="16" x14ac:dyDescent="0.2">
      <c r="A5" s="7">
        <v>1</v>
      </c>
      <c r="B5" s="39"/>
      <c r="C5" s="40">
        <f>Data!B2</f>
        <v>3</v>
      </c>
      <c r="D5" s="40">
        <f>Data!C2</f>
        <v>46</v>
      </c>
      <c r="E5" s="40">
        <f>Data!D2</f>
        <v>61</v>
      </c>
      <c r="F5" s="40">
        <f>Data!E2</f>
        <v>43</v>
      </c>
      <c r="G5" s="40">
        <f>Data!F2</f>
        <v>28</v>
      </c>
      <c r="H5" s="40">
        <f>Data!G2</f>
        <v>17</v>
      </c>
      <c r="I5" s="40">
        <f>Data!H2</f>
        <v>5</v>
      </c>
      <c r="J5" s="40">
        <f>Data!I2</f>
        <v>3</v>
      </c>
      <c r="K5" s="40">
        <f>Data!J2</f>
        <v>1</v>
      </c>
      <c r="L5" s="40">
        <f>Data!K2</f>
        <v>2</v>
      </c>
      <c r="M5" s="40">
        <f>Data!L2</f>
        <v>1</v>
      </c>
      <c r="N5" s="41">
        <f>SUM($C5:M5)*(CL!M$47-1)</f>
        <v>0.30032102332906652</v>
      </c>
      <c r="O5" s="41"/>
      <c r="P5" s="42">
        <f t="shared" ref="P5:P9" si="2">SUM(C5:M5)</f>
        <v>210</v>
      </c>
      <c r="Q5" s="43">
        <f>P5/Data!A2</f>
        <v>0.10174418604651163</v>
      </c>
      <c r="R5" s="44">
        <f t="shared" si="0"/>
        <v>0.30032102332907584</v>
      </c>
      <c r="S5" s="44">
        <f t="shared" si="1"/>
        <v>210.30032102332908</v>
      </c>
      <c r="T5" s="43">
        <f>S5/Data!A2</f>
        <v>0.1018896904182796</v>
      </c>
    </row>
    <row r="6" spans="1:20" ht="16" x14ac:dyDescent="0.2">
      <c r="A6" s="7">
        <v>2</v>
      </c>
      <c r="B6" s="39"/>
      <c r="C6" s="40">
        <f>Data!B3</f>
        <v>4</v>
      </c>
      <c r="D6" s="40">
        <f>Data!C3</f>
        <v>33</v>
      </c>
      <c r="E6" s="40">
        <f>Data!D3</f>
        <v>49</v>
      </c>
      <c r="F6" s="40">
        <f>Data!E3</f>
        <v>46</v>
      </c>
      <c r="G6" s="40">
        <f>Data!F3</f>
        <v>27</v>
      </c>
      <c r="H6" s="40">
        <f>Data!G3</f>
        <v>11</v>
      </c>
      <c r="I6" s="40">
        <f>Data!H3</f>
        <v>7</v>
      </c>
      <c r="J6" s="40">
        <f>Data!I3</f>
        <v>3</v>
      </c>
      <c r="K6" s="40">
        <f>Data!J3</f>
        <v>2</v>
      </c>
      <c r="L6" s="40">
        <f>Data!K3</f>
        <v>0</v>
      </c>
      <c r="M6" s="40">
        <f>Data!L3</f>
        <v>0</v>
      </c>
      <c r="N6" s="41">
        <f>SUM($C6:M6)*(CL!M$47-1)</f>
        <v>0.26027822021852431</v>
      </c>
      <c r="O6" s="41"/>
      <c r="P6" s="42">
        <f t="shared" si="2"/>
        <v>182</v>
      </c>
      <c r="Q6" s="43">
        <f>P6/Data!A3</f>
        <v>9.1182364729458912E-2</v>
      </c>
      <c r="R6" s="44">
        <f t="shared" si="0"/>
        <v>0.26027822021853808</v>
      </c>
      <c r="S6" s="44">
        <f t="shared" si="1"/>
        <v>182.26027822021854</v>
      </c>
      <c r="T6" s="43">
        <f>S6/Data!A3</f>
        <v>9.1312764639388047E-2</v>
      </c>
    </row>
    <row r="7" spans="1:20" ht="16" x14ac:dyDescent="0.2">
      <c r="A7" s="7">
        <v>3</v>
      </c>
      <c r="B7" s="39"/>
      <c r="C7" s="40">
        <f>Data!B4</f>
        <v>4</v>
      </c>
      <c r="D7" s="40">
        <f>Data!C4</f>
        <v>36</v>
      </c>
      <c r="E7" s="40">
        <f>Data!D4</f>
        <v>73</v>
      </c>
      <c r="F7" s="40">
        <f>Data!E4</f>
        <v>47</v>
      </c>
      <c r="G7" s="40">
        <f>Data!F4</f>
        <v>31</v>
      </c>
      <c r="H7" s="40">
        <f>Data!G4</f>
        <v>18</v>
      </c>
      <c r="I7" s="40">
        <f>Data!H4</f>
        <v>14</v>
      </c>
      <c r="J7" s="40">
        <f>Data!I4</f>
        <v>8</v>
      </c>
      <c r="K7" s="40">
        <f>Data!J4</f>
        <v>3</v>
      </c>
      <c r="L7" s="40">
        <f>Data!K4</f>
        <v>0</v>
      </c>
      <c r="M7" s="40">
        <f>Data!L4</f>
        <v>1</v>
      </c>
      <c r="N7" s="41">
        <f>SUM($C7:M7)*(CL!M$47-1)</f>
        <v>0.33607352610633634</v>
      </c>
      <c r="O7" s="41"/>
      <c r="P7" s="42">
        <f t="shared" si="2"/>
        <v>235</v>
      </c>
      <c r="Q7" s="43">
        <f>P7/Data!A4</f>
        <v>0.11027686532144533</v>
      </c>
      <c r="R7" s="44">
        <f t="shared" si="0"/>
        <v>0.33607352610633257</v>
      </c>
      <c r="S7" s="44">
        <f t="shared" si="1"/>
        <v>235.33607352610633</v>
      </c>
      <c r="T7" s="43">
        <f>S7/Data!A4</f>
        <v>0.11043457227879228</v>
      </c>
    </row>
    <row r="8" spans="1:20" ht="16" x14ac:dyDescent="0.2">
      <c r="A8" s="7">
        <v>4</v>
      </c>
      <c r="B8" s="39"/>
      <c r="C8" s="40">
        <f>Data!B5</f>
        <v>4</v>
      </c>
      <c r="D8" s="40">
        <f>Data!C5</f>
        <v>40</v>
      </c>
      <c r="E8" s="40">
        <f>Data!D5</f>
        <v>49</v>
      </c>
      <c r="F8" s="40">
        <f>Data!E5</f>
        <v>52</v>
      </c>
      <c r="G8" s="40">
        <f>Data!F5</f>
        <v>33</v>
      </c>
      <c r="H8" s="40">
        <f>Data!G5</f>
        <v>19</v>
      </c>
      <c r="I8" s="40">
        <f>Data!H5</f>
        <v>7</v>
      </c>
      <c r="J8" s="40">
        <f>Data!I5</f>
        <v>1</v>
      </c>
      <c r="K8" s="40">
        <f>Data!J5</f>
        <v>1</v>
      </c>
      <c r="L8" s="40">
        <f>Data!K5</f>
        <v>0</v>
      </c>
      <c r="M8" s="40">
        <f>Data!L5</f>
        <v>0</v>
      </c>
      <c r="N8" s="41">
        <f>SUM($C8:M8)*(CL!M$47-1)</f>
        <v>0.29460062288470334</v>
      </c>
      <c r="O8" s="41"/>
      <c r="P8" s="42">
        <f t="shared" si="2"/>
        <v>206</v>
      </c>
      <c r="Q8" s="43">
        <f>P8/Data!A5</f>
        <v>0.10132808657156911</v>
      </c>
      <c r="R8" s="44">
        <f t="shared" si="0"/>
        <v>0.29460062288470112</v>
      </c>
      <c r="S8" s="44">
        <f t="shared" si="1"/>
        <v>206.2946006228847</v>
      </c>
      <c r="T8" s="43">
        <f>S8/Data!A5</f>
        <v>0.10147299587943173</v>
      </c>
    </row>
    <row r="9" spans="1:20" ht="16" x14ac:dyDescent="0.2">
      <c r="A9" s="7">
        <v>5</v>
      </c>
      <c r="B9" s="39"/>
      <c r="C9" s="40">
        <f>Data!B6</f>
        <v>2</v>
      </c>
      <c r="D9" s="40">
        <f>Data!C6</f>
        <v>30</v>
      </c>
      <c r="E9" s="40">
        <f>Data!D6</f>
        <v>58</v>
      </c>
      <c r="F9" s="40">
        <f>Data!E6</f>
        <v>39</v>
      </c>
      <c r="G9" s="40">
        <f>Data!F6</f>
        <v>35</v>
      </c>
      <c r="H9" s="40">
        <f>Data!G6</f>
        <v>9</v>
      </c>
      <c r="I9" s="40">
        <f>Data!H6</f>
        <v>12</v>
      </c>
      <c r="J9" s="40">
        <f>Data!I6</f>
        <v>5</v>
      </c>
      <c r="K9" s="40">
        <f>Data!J6</f>
        <v>5</v>
      </c>
      <c r="L9" s="40">
        <f>Data!K6</f>
        <v>1</v>
      </c>
      <c r="M9" s="40">
        <f>Data!L6</f>
        <v>0</v>
      </c>
      <c r="N9" s="41">
        <f>SUM($C9:M9)*(CL!M$47-1)</f>
        <v>0.28029962177379542</v>
      </c>
      <c r="O9" s="41"/>
      <c r="P9" s="42">
        <f t="shared" si="2"/>
        <v>196</v>
      </c>
      <c r="Q9" s="43">
        <f>P9/Data!A6</f>
        <v>9.1417910447761194E-2</v>
      </c>
      <c r="R9" s="44">
        <f t="shared" si="0"/>
        <v>0.28029962177379275</v>
      </c>
      <c r="S9" s="44">
        <f t="shared" si="1"/>
        <v>196.28029962177379</v>
      </c>
      <c r="T9" s="43">
        <f>S9/Data!A6</f>
        <v>9.1548647211648224E-2</v>
      </c>
    </row>
    <row r="10" spans="1:20" ht="16" x14ac:dyDescent="0.2">
      <c r="A10" s="7">
        <v>6</v>
      </c>
      <c r="B10" s="39"/>
      <c r="C10" s="40">
        <f>Data!B7</f>
        <v>1</v>
      </c>
      <c r="D10" s="40">
        <f>Data!C7</f>
        <v>26</v>
      </c>
      <c r="E10" s="40">
        <f>Data!D7</f>
        <v>63</v>
      </c>
      <c r="F10" s="40">
        <f>Data!E7</f>
        <v>43</v>
      </c>
      <c r="G10" s="40">
        <f>Data!F7</f>
        <v>30</v>
      </c>
      <c r="H10" s="40">
        <f>Data!G7</f>
        <v>14</v>
      </c>
      <c r="I10" s="40">
        <f>Data!H7</f>
        <v>7</v>
      </c>
      <c r="J10" s="40">
        <f>Data!I7</f>
        <v>8</v>
      </c>
      <c r="K10" s="40">
        <f>Data!J7</f>
        <v>3</v>
      </c>
      <c r="L10" s="40">
        <f>Data!K7</f>
        <v>2</v>
      </c>
      <c r="M10" s="41">
        <f>SUM($C10:L10)*(CL!L$47-1)</f>
        <v>0.35319231199937984</v>
      </c>
      <c r="N10" s="41">
        <f>SUM($C10:M10)*(CL!M$47-1)</f>
        <v>0.28223482224951296</v>
      </c>
      <c r="O10" s="41"/>
      <c r="P10" s="42">
        <f>SUM(C10:L10)</f>
        <v>197</v>
      </c>
      <c r="Q10" s="43">
        <f>P10/Data!A7</f>
        <v>9.5031355523396047E-2</v>
      </c>
      <c r="R10" s="44">
        <f t="shared" si="0"/>
        <v>0.63542713424888575</v>
      </c>
      <c r="S10" s="44">
        <f t="shared" si="1"/>
        <v>197.63542713424889</v>
      </c>
      <c r="T10" s="43">
        <f>S10/Data!A7</f>
        <v>9.5337880913771766E-2</v>
      </c>
    </row>
    <row r="11" spans="1:20" ht="16" x14ac:dyDescent="0.2">
      <c r="A11" s="7">
        <v>7</v>
      </c>
      <c r="B11" s="39"/>
      <c r="C11" s="40">
        <f>Data!B8</f>
        <v>3</v>
      </c>
      <c r="D11" s="40">
        <f>Data!C8</f>
        <v>34</v>
      </c>
      <c r="E11" s="40">
        <f>Data!D8</f>
        <v>43</v>
      </c>
      <c r="F11" s="40">
        <f>Data!E8</f>
        <v>44</v>
      </c>
      <c r="G11" s="40">
        <f>Data!F8</f>
        <v>26</v>
      </c>
      <c r="H11" s="40">
        <f>Data!G8</f>
        <v>27</v>
      </c>
      <c r="I11" s="40">
        <f>Data!H8</f>
        <v>6</v>
      </c>
      <c r="J11" s="40">
        <f>Data!I8</f>
        <v>5</v>
      </c>
      <c r="K11" s="40">
        <f>Data!J8</f>
        <v>1</v>
      </c>
      <c r="L11" s="41">
        <f>SUM($C11:K11)*(CL!K$47-1)</f>
        <v>0.76365034428903011</v>
      </c>
      <c r="M11" s="41">
        <f>SUM($C11:L11)*(CL!L$47-1)</f>
        <v>0.34021859085553985</v>
      </c>
      <c r="N11" s="41">
        <f>SUM($C11:M11)*(CL!M$47-1)</f>
        <v>0.27186756408293977</v>
      </c>
      <c r="O11" s="41"/>
      <c r="P11" s="42">
        <f>SUM(C11:K11)</f>
        <v>189</v>
      </c>
      <c r="Q11" s="43">
        <f>P11/Data!A8</f>
        <v>9.6527068437180799E-2</v>
      </c>
      <c r="R11" s="44">
        <f t="shared" si="0"/>
        <v>1.3757364992275143</v>
      </c>
      <c r="S11" s="44">
        <f t="shared" si="1"/>
        <v>190.37573649922751</v>
      </c>
      <c r="T11" s="43">
        <f>S11/Data!A8</f>
        <v>9.7229691776929278E-2</v>
      </c>
    </row>
    <row r="12" spans="1:20" ht="16" x14ac:dyDescent="0.2">
      <c r="A12" s="7">
        <v>8</v>
      </c>
      <c r="B12" s="39"/>
      <c r="C12" s="40">
        <f>Data!B9</f>
        <v>1</v>
      </c>
      <c r="D12" s="40">
        <f>Data!C9</f>
        <v>39</v>
      </c>
      <c r="E12" s="40">
        <f>Data!D9</f>
        <v>49</v>
      </c>
      <c r="F12" s="40">
        <f>Data!E9</f>
        <v>44</v>
      </c>
      <c r="G12" s="40">
        <f>Data!F9</f>
        <v>21</v>
      </c>
      <c r="H12" s="40">
        <f>Data!G9</f>
        <v>16</v>
      </c>
      <c r="I12" s="40">
        <f>Data!H9</f>
        <v>2</v>
      </c>
      <c r="J12" s="40">
        <f>Data!I9</f>
        <v>5</v>
      </c>
      <c r="K12" s="41">
        <f>SUM($C12:J12)*(CL!J$47-1)</f>
        <v>1.6117354055748816</v>
      </c>
      <c r="L12" s="41">
        <f>SUM($C12:K12)*(CL!K$47-1)</f>
        <v>0.72167678961126136</v>
      </c>
      <c r="M12" s="41">
        <f>SUM($C12:L12)*(CL!L$47-1)</f>
        <v>0.3215186927510435</v>
      </c>
      <c r="N12" s="41">
        <f>SUM($C12:M12)*(CL!M$47-1)</f>
        <v>0.25692453662084769</v>
      </c>
      <c r="O12" s="41"/>
      <c r="P12" s="42">
        <f>SUM(C12:J12)</f>
        <v>177</v>
      </c>
      <c r="Q12" s="43">
        <f>P12/Data!A9</f>
        <v>8.2826392138511937E-2</v>
      </c>
      <c r="R12" s="44">
        <f t="shared" si="0"/>
        <v>2.9118554245580412</v>
      </c>
      <c r="S12" s="44">
        <f t="shared" si="1"/>
        <v>179.91185542455804</v>
      </c>
      <c r="T12" s="43">
        <f>S12/Data!A9</f>
        <v>8.4188982416732824E-2</v>
      </c>
    </row>
    <row r="13" spans="1:20" ht="16" x14ac:dyDescent="0.2">
      <c r="A13" s="7">
        <v>9</v>
      </c>
      <c r="B13" s="39"/>
      <c r="C13" s="40">
        <f>Data!B10</f>
        <v>2</v>
      </c>
      <c r="D13" s="40">
        <f>Data!C10</f>
        <v>44</v>
      </c>
      <c r="E13" s="40">
        <f>Data!D10</f>
        <v>51</v>
      </c>
      <c r="F13" s="40">
        <f>Data!E10</f>
        <v>46</v>
      </c>
      <c r="G13" s="40">
        <f>Data!F10</f>
        <v>23</v>
      </c>
      <c r="H13" s="40">
        <f>Data!G10</f>
        <v>12</v>
      </c>
      <c r="I13" s="40">
        <f>Data!H10</f>
        <v>10</v>
      </c>
      <c r="J13" s="41">
        <f>SUM($C13:I13)*(CL!I$47-1)</f>
        <v>3.8580340959082147</v>
      </c>
      <c r="K13" s="41">
        <f>SUM($C13:J13)*(CL!J$47-1)</f>
        <v>1.7470304316178988</v>
      </c>
      <c r="L13" s="41">
        <f>SUM($C13:K13)*(CL!K$47-1)</f>
        <v>0.7822570062568529</v>
      </c>
      <c r="M13" s="41">
        <f>SUM($C13:L13)*(CL!L$47-1)</f>
        <v>0.34850815997910478</v>
      </c>
      <c r="N13" s="41">
        <f>SUM($C13:M13)*(CL!M$47-1)</f>
        <v>0.27849173167840685</v>
      </c>
      <c r="O13" s="41"/>
      <c r="P13" s="42">
        <f>SUM(C13:I13)</f>
        <v>188</v>
      </c>
      <c r="Q13" s="43">
        <f>P13/Data!A10</f>
        <v>0.10118406889128095</v>
      </c>
      <c r="R13" s="44">
        <f t="shared" si="0"/>
        <v>7.0143214254404711</v>
      </c>
      <c r="S13" s="44">
        <f t="shared" si="1"/>
        <v>195.01432142544047</v>
      </c>
      <c r="T13" s="43">
        <f>S13/Data!A10</f>
        <v>0.10495926879733071</v>
      </c>
    </row>
    <row r="14" spans="1:20" ht="16" x14ac:dyDescent="0.2">
      <c r="A14" s="7">
        <v>10</v>
      </c>
      <c r="B14" s="39"/>
      <c r="C14" s="40">
        <f>Data!B11</f>
        <v>3</v>
      </c>
      <c r="D14" s="40">
        <f>Data!C11</f>
        <v>42</v>
      </c>
      <c r="E14" s="40">
        <f>Data!D11</f>
        <v>58</v>
      </c>
      <c r="F14" s="40">
        <f>Data!E11</f>
        <v>38</v>
      </c>
      <c r="G14" s="40">
        <f>Data!F11</f>
        <v>26</v>
      </c>
      <c r="H14" s="40">
        <f>Data!G11</f>
        <v>15</v>
      </c>
      <c r="I14" s="41">
        <f>SUM($C14:H14)*(CL!H$47-1)</f>
        <v>8.4171939125116531</v>
      </c>
      <c r="J14" s="41">
        <f>SUM($C14:I14)*(CL!I$47-1)</f>
        <v>3.9076384391576391</v>
      </c>
      <c r="K14" s="41">
        <f>SUM($C14:J14)*(CL!J$47-1)</f>
        <v>1.7694927258959807</v>
      </c>
      <c r="L14" s="41">
        <f>SUM($C14:K14)*(CL!K$47-1)</f>
        <v>0.79231480877570226</v>
      </c>
      <c r="M14" s="41">
        <f>SUM($C14:L14)*(CL!L$47-1)</f>
        <v>0.35298907382358419</v>
      </c>
      <c r="N14" s="41">
        <f>SUM($C14:M14)*(CL!M$47-1)</f>
        <v>0.28207241528743815</v>
      </c>
      <c r="O14" s="41"/>
      <c r="P14" s="42">
        <f>SUM(C14:H14)</f>
        <v>182</v>
      </c>
      <c r="Q14" s="43">
        <f>P14/Data!A11</f>
        <v>8.7668593448940263E-2</v>
      </c>
      <c r="R14" s="44">
        <f t="shared" si="0"/>
        <v>15.521701375452011</v>
      </c>
      <c r="S14" s="44">
        <f t="shared" si="1"/>
        <v>197.52170137545201</v>
      </c>
      <c r="T14" s="43">
        <f>S14/Data!A11</f>
        <v>9.5145328215535646E-2</v>
      </c>
    </row>
    <row r="15" spans="1:20" ht="16" x14ac:dyDescent="0.2">
      <c r="A15" s="7">
        <v>11</v>
      </c>
      <c r="B15" s="39"/>
      <c r="C15" s="40">
        <f>Data!B12</f>
        <v>6</v>
      </c>
      <c r="D15" s="40">
        <f>Data!C12</f>
        <v>22</v>
      </c>
      <c r="E15" s="40">
        <f>Data!D12</f>
        <v>61</v>
      </c>
      <c r="F15" s="40">
        <f>Data!E12</f>
        <v>38</v>
      </c>
      <c r="G15" s="40">
        <f>Data!F12</f>
        <v>34</v>
      </c>
      <c r="H15" s="41">
        <f>SUM($C15:G15)*(CL!G$47-1)</f>
        <v>15.295874049945718</v>
      </c>
      <c r="I15" s="41">
        <f>SUM($C15:H15)*(CL!H$47-1)</f>
        <v>8.1533876805171666</v>
      </c>
      <c r="J15" s="41">
        <f>SUM($C15:I15)*(CL!I$47-1)</f>
        <v>3.7851677697937451</v>
      </c>
      <c r="K15" s="41">
        <f>SUM($C15:J15)*(CL!J$47-1)</f>
        <v>1.7140344326200712</v>
      </c>
      <c r="L15" s="41">
        <f>SUM($C15:K15)*(CL!K$47-1)</f>
        <v>0.76748259195509916</v>
      </c>
      <c r="M15" s="41">
        <f>SUM($C15:L15)*(CL!L$47-1)</f>
        <v>0.34192591922972304</v>
      </c>
      <c r="N15" s="41">
        <f>SUM($C15:M15)*(CL!M$47-1)</f>
        <v>0.27323188460702297</v>
      </c>
      <c r="O15" s="41"/>
      <c r="P15" s="42">
        <f>SUM(C15:G15)</f>
        <v>161</v>
      </c>
      <c r="Q15" s="43">
        <f>P15/Data!A12</f>
        <v>7.9427725703009378E-2</v>
      </c>
      <c r="R15" s="44">
        <f t="shared" si="0"/>
        <v>30.331104328668545</v>
      </c>
      <c r="S15" s="44">
        <f t="shared" si="1"/>
        <v>191.33110432866854</v>
      </c>
      <c r="T15" s="43">
        <f>S15/Data!A12</f>
        <v>9.439127001907674E-2</v>
      </c>
    </row>
    <row r="16" spans="1:20" ht="16" x14ac:dyDescent="0.2">
      <c r="A16" s="7">
        <v>12</v>
      </c>
      <c r="B16" s="39"/>
      <c r="C16" s="40">
        <f>Data!B13</f>
        <v>4</v>
      </c>
      <c r="D16" s="40">
        <f>Data!C13</f>
        <v>33</v>
      </c>
      <c r="E16" s="40">
        <f>Data!D13</f>
        <v>57</v>
      </c>
      <c r="F16" s="40">
        <f>Data!E13</f>
        <v>45</v>
      </c>
      <c r="G16" s="41">
        <f>SUM($C16:F16)*(CL!F$47-1)</f>
        <v>29.329504232164446</v>
      </c>
      <c r="H16" s="41">
        <f>SUM($C16:G16)*(CL!G$47-1)</f>
        <v>15.992216743012374</v>
      </c>
      <c r="I16" s="41">
        <f>SUM($C16:H16)*(CL!H$47-1)</f>
        <v>8.5245696029446698</v>
      </c>
      <c r="J16" s="41">
        <f>SUM($C16:I16)*(CL!I$47-1)</f>
        <v>3.9574870442543393</v>
      </c>
      <c r="K16" s="41">
        <f>SUM($C16:J16)*(CL!J$47-1)</f>
        <v>1.7920656290670549</v>
      </c>
      <c r="L16" s="41">
        <f>SUM($C16:K16)*(CL!K$47-1)</f>
        <v>0.8024221379541514</v>
      </c>
      <c r="M16" s="41">
        <f>SUM($C16:L16)*(CL!L$47-1)</f>
        <v>0.35749205259668559</v>
      </c>
      <c r="N16" s="41">
        <f>SUM($C16:M16)*(CL!M$47-1)</f>
        <v>0.28567073090882072</v>
      </c>
      <c r="O16" s="41"/>
      <c r="P16" s="42">
        <f>SUM(C16:F16)</f>
        <v>139</v>
      </c>
      <c r="Q16" s="43">
        <f>P16/Data!A13</f>
        <v>6.8948412698412703E-2</v>
      </c>
      <c r="R16" s="44">
        <f t="shared" si="0"/>
        <v>61.041428172902556</v>
      </c>
      <c r="S16" s="44">
        <f t="shared" si="1"/>
        <v>200.04142817290256</v>
      </c>
      <c r="T16" s="43">
        <f>S16/Data!A13</f>
        <v>9.9226898895288962E-2</v>
      </c>
    </row>
    <row r="17" spans="1:20" ht="16" x14ac:dyDescent="0.2">
      <c r="A17" s="7">
        <v>13</v>
      </c>
      <c r="B17" s="39"/>
      <c r="C17" s="40">
        <f>Data!B14</f>
        <v>0</v>
      </c>
      <c r="D17" s="40">
        <f>Data!C14</f>
        <v>35</v>
      </c>
      <c r="E17" s="40">
        <f>Data!D14</f>
        <v>47</v>
      </c>
      <c r="F17" s="41">
        <f>SUM($C17:E17)*(CL!E$47-1)</f>
        <v>37.728013029315967</v>
      </c>
      <c r="G17" s="41">
        <f>SUM($C17:F17)*(CL!F$47-1)</f>
        <v>25.263045070877432</v>
      </c>
      <c r="H17" s="41">
        <f>SUM($C17:G17)*(CL!G$47-1)</f>
        <v>13.774937658813169</v>
      </c>
      <c r="I17" s="41">
        <f>SUM($C17:H17)*(CL!H$47-1)</f>
        <v>7.3426602912997874</v>
      </c>
      <c r="J17" s="41">
        <f>SUM($C17:I17)*(CL!I$47-1)</f>
        <v>3.408791801423257</v>
      </c>
      <c r="K17" s="41">
        <f>SUM($C17:J17)*(CL!J$47-1)</f>
        <v>1.5436004099735949</v>
      </c>
      <c r="L17" s="41">
        <f>SUM($C17:K17)*(CL!K$47-1)</f>
        <v>0.69116840423011683</v>
      </c>
      <c r="M17" s="41">
        <f>SUM($C17:L17)*(CL!L$47-1)</f>
        <v>0.30792671317390569</v>
      </c>
      <c r="N17" s="41">
        <f>SUM($C17:M17)*(CL!M$47-1)</f>
        <v>0.24606323016075907</v>
      </c>
      <c r="O17" s="41"/>
      <c r="P17" s="42">
        <f>SUM(C17:E17)</f>
        <v>82</v>
      </c>
      <c r="Q17" s="43">
        <f>P17/Data!A14</f>
        <v>4.0714995034756701E-2</v>
      </c>
      <c r="R17" s="44">
        <f t="shared" si="0"/>
        <v>90.306206609268031</v>
      </c>
      <c r="S17" s="44">
        <f t="shared" si="1"/>
        <v>172.30620660926803</v>
      </c>
      <c r="T17" s="43">
        <f>S17/Data!A14</f>
        <v>8.555422373846476E-2</v>
      </c>
    </row>
    <row r="18" spans="1:20" ht="16" x14ac:dyDescent="0.2">
      <c r="A18" s="7">
        <v>14</v>
      </c>
      <c r="B18" s="39"/>
      <c r="C18" s="40">
        <f>Data!B15</f>
        <v>1</v>
      </c>
      <c r="D18" s="40">
        <f>Data!C15</f>
        <v>32</v>
      </c>
      <c r="E18" s="41">
        <f>SUM($C18:D18)*(CL!D$47-1)</f>
        <v>46.031078610603288</v>
      </c>
      <c r="F18" s="41">
        <f>SUM($C18:E18)*(CL!E$47-1)</f>
        <v>36.362019067582139</v>
      </c>
      <c r="G18" s="41">
        <f>SUM($C18:F18)*(CL!F$47-1)</f>
        <v>24.348362206582049</v>
      </c>
      <c r="H18" s="41">
        <f>SUM($C18:G18)*(CL!G$47-1)</f>
        <v>13.276197328900281</v>
      </c>
      <c r="I18" s="41">
        <f>SUM($C18:H18)*(CL!H$47-1)</f>
        <v>7.0768093011301048</v>
      </c>
      <c r="J18" s="41">
        <f>SUM($C18:I18)*(CL!I$47-1)</f>
        <v>3.285371863725139</v>
      </c>
      <c r="K18" s="41">
        <f>SUM($C18:J18)*(CL!J$47-1)</f>
        <v>1.4877122602924711</v>
      </c>
      <c r="L18" s="41">
        <f>SUM($C18:K18)*(CL!K$47-1)</f>
        <v>0.66614371326677546</v>
      </c>
      <c r="M18" s="41">
        <f>SUM($C18:L18)*(CL!L$47-1)</f>
        <v>0.29677780823355643</v>
      </c>
      <c r="N18" s="41">
        <f>SUM($C18:M18)*(CL!M$47-1)</f>
        <v>0.23715417665870625</v>
      </c>
      <c r="O18" s="41"/>
      <c r="P18" s="42">
        <f>SUM(C18:D18)</f>
        <v>33</v>
      </c>
      <c r="Q18" s="43">
        <f>P18/Data!A15</f>
        <v>1.824212271973466E-2</v>
      </c>
      <c r="R18" s="44">
        <f t="shared" si="0"/>
        <v>133.06762633697451</v>
      </c>
      <c r="S18" s="44">
        <f t="shared" si="1"/>
        <v>166.06762633697451</v>
      </c>
      <c r="T18" s="43">
        <f>S18/Data!A15</f>
        <v>9.1800788467094815E-2</v>
      </c>
    </row>
    <row r="19" spans="1:20" ht="16" x14ac:dyDescent="0.2">
      <c r="A19" s="7">
        <v>15</v>
      </c>
      <c r="B19" s="39"/>
      <c r="C19" s="40">
        <f>Data!B16</f>
        <v>5</v>
      </c>
      <c r="D19" s="41">
        <f>C19*(CL!C47-1)</f>
        <v>59.88095238095238</v>
      </c>
      <c r="E19" s="41">
        <f>SUM($C19:D19)*(CL!D$47-1)</f>
        <v>90.501218769043263</v>
      </c>
      <c r="F19" s="41">
        <f>SUM($C19:E19)*(CL!E$47-1)</f>
        <v>71.490982654517566</v>
      </c>
      <c r="G19" s="41">
        <f>SUM($C19:F19)*(CL!F$47-1)</f>
        <v>47.871058450891837</v>
      </c>
      <c r="H19" s="41">
        <f>SUM($C19:G19)*(CL!G$47-1)</f>
        <v>26.102191718075954</v>
      </c>
      <c r="I19" s="41">
        <f>SUM($C19:H19)*(CL!H$47-1)</f>
        <v>13.913640220475857</v>
      </c>
      <c r="J19" s="41">
        <f>SUM($C19:I19)*(CL!I$47-1)</f>
        <v>6.4593350134567142</v>
      </c>
      <c r="K19" s="41">
        <f>SUM($C19:J19)*(CL!J$47-1)</f>
        <v>2.9249754035331779</v>
      </c>
      <c r="L19" s="41">
        <f>SUM($C19:K19)*(CL!K$47-1)</f>
        <v>1.309698137555529</v>
      </c>
      <c r="M19" s="41">
        <f>SUM($C19:L19)*(CL!L$47-1)</f>
        <v>0.58349172253711501</v>
      </c>
      <c r="N19" s="41">
        <f>SUM($C19:M19)*(CL!M$47-1)</f>
        <v>0.46626632856780287</v>
      </c>
      <c r="O19" s="41"/>
      <c r="P19" s="42">
        <f>SUM(C19)</f>
        <v>5</v>
      </c>
      <c r="Q19" s="43">
        <f>P19/Data!A16</f>
        <v>2.6609898882384245E-3</v>
      </c>
      <c r="R19" s="44">
        <f>S19-P19</f>
        <v>321.50381079960727</v>
      </c>
      <c r="S19" s="44">
        <f>SUM(C19:O19)</f>
        <v>326.50381079960727</v>
      </c>
      <c r="T19" s="45">
        <f>S19/Data!A16</f>
        <v>0.17376466780181335</v>
      </c>
    </row>
    <row r="20" spans="1:20" ht="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3"/>
      <c r="S20" s="3"/>
    </row>
    <row r="21" spans="1:20" ht="17" thickBo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46">
        <f>SUM(R4:R19)</f>
        <v>665.46538104276738</v>
      </c>
      <c r="S21" s="3"/>
    </row>
    <row r="22" spans="1:20" ht="16" thickTop="1" x14ac:dyDescent="0.2"/>
    <row r="24" spans="1:20" ht="16" x14ac:dyDescent="0.2">
      <c r="A24" s="47"/>
      <c r="Q24" s="3"/>
      <c r="R24" s="3"/>
      <c r="S24" s="3"/>
      <c r="T24" s="3"/>
    </row>
    <row r="25" spans="1:20" ht="16" x14ac:dyDescent="0.2"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10"/>
      <c r="Q25" s="44"/>
      <c r="R25" s="48"/>
      <c r="S25" s="44"/>
      <c r="T25" s="48"/>
    </row>
    <row r="26" spans="1:20" ht="16" x14ac:dyDescent="0.2"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10"/>
      <c r="Q26" s="44"/>
      <c r="R26" s="48"/>
      <c r="S26" s="44"/>
      <c r="T26" s="48"/>
    </row>
    <row r="27" spans="1:20" ht="16" x14ac:dyDescent="0.2"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10"/>
      <c r="Q27" s="44"/>
      <c r="R27" s="48"/>
      <c r="S27" s="44"/>
      <c r="T27" s="48"/>
    </row>
    <row r="28" spans="1:20" ht="16" x14ac:dyDescent="0.2"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10"/>
      <c r="Q28" s="44"/>
      <c r="R28" s="48"/>
      <c r="S28" s="44"/>
      <c r="T28" s="48"/>
    </row>
    <row r="29" spans="1:20" ht="16" x14ac:dyDescent="0.2"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10"/>
      <c r="Q29" s="44"/>
      <c r="R29" s="48"/>
      <c r="S29" s="44"/>
      <c r="T29" s="48"/>
    </row>
    <row r="30" spans="1:20" ht="16" x14ac:dyDescent="0.2"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10"/>
      <c r="Q30" s="44"/>
      <c r="R30" s="48"/>
      <c r="S30" s="44"/>
      <c r="T30" s="48"/>
    </row>
    <row r="31" spans="1:20" ht="16" x14ac:dyDescent="0.2"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10"/>
      <c r="Q31" s="44"/>
      <c r="R31" s="48"/>
      <c r="S31" s="44"/>
      <c r="T31" s="48"/>
    </row>
    <row r="32" spans="1:20" ht="16" x14ac:dyDescent="0.2"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10"/>
      <c r="Q32" s="44"/>
      <c r="R32" s="48"/>
      <c r="S32" s="44"/>
      <c r="T32" s="48"/>
    </row>
    <row r="33" spans="1:21" ht="16" x14ac:dyDescent="0.2"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10"/>
      <c r="Q33" s="44"/>
      <c r="R33" s="48"/>
      <c r="S33" s="44"/>
      <c r="T33" s="48"/>
    </row>
    <row r="34" spans="1:21" ht="16" x14ac:dyDescent="0.2"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10"/>
      <c r="Q34" s="44"/>
      <c r="R34" s="48"/>
      <c r="S34" s="44"/>
      <c r="T34" s="48"/>
    </row>
    <row r="35" spans="1:21" ht="16" x14ac:dyDescent="0.2"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10"/>
      <c r="Q35" s="44"/>
      <c r="R35" s="48"/>
      <c r="S35" s="44"/>
      <c r="T35" s="48"/>
    </row>
    <row r="36" spans="1:21" ht="16" x14ac:dyDescent="0.2"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10"/>
      <c r="Q36" s="44"/>
      <c r="R36" s="48"/>
      <c r="S36" s="44"/>
      <c r="T36" s="48"/>
    </row>
    <row r="37" spans="1:21" ht="16" x14ac:dyDescent="0.2"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10"/>
      <c r="Q37" s="44"/>
      <c r="R37" s="48"/>
      <c r="S37" s="44"/>
      <c r="T37" s="48"/>
    </row>
    <row r="38" spans="1:21" ht="16" x14ac:dyDescent="0.2"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0"/>
      <c r="Q38" s="44"/>
      <c r="R38" s="48"/>
      <c r="S38" s="44"/>
      <c r="T38" s="48"/>
    </row>
    <row r="39" spans="1:21" ht="16" x14ac:dyDescent="0.2"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10"/>
      <c r="Q39" s="44"/>
      <c r="R39" s="48"/>
      <c r="S39" s="44"/>
      <c r="T39" s="48"/>
    </row>
    <row r="40" spans="1:21" ht="16" x14ac:dyDescent="0.2"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10"/>
      <c r="Q40" s="44"/>
      <c r="R40" s="48"/>
      <c r="S40" s="44"/>
      <c r="T40" s="48"/>
    </row>
    <row r="41" spans="1:21" ht="16" x14ac:dyDescent="0.2">
      <c r="P41" s="6"/>
      <c r="Q41" s="3"/>
      <c r="R41" s="48"/>
      <c r="S41" s="3"/>
    </row>
    <row r="42" spans="1:21" ht="16" x14ac:dyDescent="0.2">
      <c r="A42" s="47"/>
      <c r="P42" s="6"/>
      <c r="Q42" s="44"/>
      <c r="R42" s="48"/>
      <c r="S42" s="3"/>
      <c r="T42" s="49"/>
      <c r="U42" s="49"/>
    </row>
    <row r="60" spans="3:15" x14ac:dyDescent="0.2">
      <c r="C60" t="str">
        <f t="shared" ref="C60:O60" si="3">IF(C42&gt;0,C21/C42,"")</f>
        <v/>
      </c>
      <c r="D60" t="str">
        <f t="shared" si="3"/>
        <v/>
      </c>
      <c r="E60" t="str">
        <f t="shared" si="3"/>
        <v/>
      </c>
      <c r="F60" t="str">
        <f t="shared" si="3"/>
        <v/>
      </c>
      <c r="G60" t="str">
        <f t="shared" si="3"/>
        <v/>
      </c>
      <c r="H60" t="str">
        <f t="shared" si="3"/>
        <v/>
      </c>
      <c r="I60" t="str">
        <f t="shared" si="3"/>
        <v/>
      </c>
      <c r="J60" t="str">
        <f t="shared" si="3"/>
        <v/>
      </c>
      <c r="K60" t="str">
        <f t="shared" si="3"/>
        <v/>
      </c>
      <c r="L60" t="str">
        <f t="shared" si="3"/>
        <v/>
      </c>
      <c r="M60" t="str">
        <f t="shared" si="3"/>
        <v/>
      </c>
      <c r="N60" t="str">
        <f t="shared" si="3"/>
        <v/>
      </c>
      <c r="O60" t="str">
        <f t="shared" si="3"/>
        <v/>
      </c>
    </row>
  </sheetData>
  <conditionalFormatting sqref="C43:O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</vt:lpstr>
      <vt:lpstr>CL IBNR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Benjamin Avanzi</cp:lastModifiedBy>
  <dcterms:created xsi:type="dcterms:W3CDTF">2015-06-05T18:17:20Z</dcterms:created>
  <dcterms:modified xsi:type="dcterms:W3CDTF">2024-08-15T23:02:06Z</dcterms:modified>
</cp:coreProperties>
</file>