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Tutorials/data/"/>
    </mc:Choice>
  </mc:AlternateContent>
  <xr:revisionPtr revIDLastSave="0" documentId="13_ncr:1_{17279DF1-FABA-9E40-89FA-B12FB71E5253}" xr6:coauthVersionLast="47" xr6:coauthVersionMax="47" xr10:uidLastSave="{00000000-0000-0000-0000-000000000000}"/>
  <bookViews>
    <workbookView xWindow="2300" yWindow="800" windowWidth="23880" windowHeight="22480" activeTab="3" xr2:uid="{00000000-000D-0000-FFFF-FFFF00000000}"/>
  </bookViews>
  <sheets>
    <sheet name="Data" sheetId="1" r:id="rId1"/>
    <sheet name="CL" sheetId="2" r:id="rId2"/>
    <sheet name="CL IBNR" sheetId="3" r:id="rId3"/>
    <sheet name="CL quarter" sheetId="4" r:id="rId4"/>
    <sheet name="CL quarter IBN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5" l="1"/>
  <c r="P5" i="5"/>
  <c r="P4" i="5"/>
  <c r="O35" i="4" a="1"/>
  <c r="O35" i="4" s="1"/>
  <c r="N35" i="4" a="1"/>
  <c r="N35" i="4" s="1"/>
  <c r="M35" i="4" a="1"/>
  <c r="M35" i="4" s="1"/>
  <c r="L35" i="4" a="1"/>
  <c r="L35" i="4" s="1"/>
  <c r="K35" i="4" a="1"/>
  <c r="K35" i="4" s="1"/>
  <c r="J35" i="4"/>
  <c r="J35" i="4" a="1"/>
  <c r="I35" i="4" a="1"/>
  <c r="I35" i="4" s="1"/>
  <c r="O34" i="4" a="1"/>
  <c r="O34" i="4" s="1"/>
  <c r="N34" i="4" a="1"/>
  <c r="N34" i="4" s="1"/>
  <c r="M34" i="4" a="1"/>
  <c r="M34" i="4" s="1"/>
  <c r="L34" i="4" a="1"/>
  <c r="L34" i="4" s="1"/>
  <c r="K34" i="4" a="1"/>
  <c r="K34" i="4" s="1"/>
  <c r="J34" i="4" a="1"/>
  <c r="J34" i="4" s="1"/>
  <c r="I34" i="4" a="1"/>
  <c r="I34" i="4" s="1"/>
  <c r="O33" i="4" a="1"/>
  <c r="O33" i="4" s="1"/>
  <c r="N33" i="4" a="1"/>
  <c r="N33" i="4" s="1"/>
  <c r="M33" i="4" a="1"/>
  <c r="M33" i="4" s="1"/>
  <c r="L33" i="4" a="1"/>
  <c r="L33" i="4" s="1"/>
  <c r="K33" i="4" a="1"/>
  <c r="K33" i="4" s="1"/>
  <c r="J33" i="4" a="1"/>
  <c r="J33" i="4" s="1"/>
  <c r="I33" i="4" a="1"/>
  <c r="I33" i="4" s="1"/>
  <c r="O32" i="4" a="1"/>
  <c r="O32" i="4" s="1"/>
  <c r="N32" i="4" a="1"/>
  <c r="N32" i="4" s="1"/>
  <c r="M32" i="4" a="1"/>
  <c r="M32" i="4" s="1"/>
  <c r="L32" i="4" a="1"/>
  <c r="L32" i="4" s="1"/>
  <c r="K32" i="4" a="1"/>
  <c r="K32" i="4" s="1"/>
  <c r="J32" i="4" a="1"/>
  <c r="J32" i="4" s="1"/>
  <c r="I32" i="4" a="1"/>
  <c r="I32" i="4" s="1"/>
  <c r="N5" i="3"/>
  <c r="P4" i="3"/>
  <c r="P9" i="3"/>
  <c r="P8" i="3"/>
  <c r="P7" i="3"/>
  <c r="P6" i="3"/>
  <c r="P5" i="3"/>
  <c r="H53" i="2"/>
  <c r="N9" i="5" l="1"/>
  <c r="O9" i="5" s="1"/>
  <c r="M10" i="5"/>
  <c r="N10" i="5" s="1"/>
  <c r="O10" i="5" s="1"/>
  <c r="M11" i="5"/>
  <c r="N11" i="5" s="1"/>
  <c r="L11" i="5"/>
  <c r="K12" i="5"/>
  <c r="L12" i="5" s="1"/>
  <c r="K15" i="5"/>
  <c r="L15" i="5" s="1"/>
  <c r="J13" i="5"/>
  <c r="K13" i="5" s="1"/>
  <c r="J14" i="5"/>
  <c r="J15" i="5"/>
  <c r="M15" i="5" s="1"/>
  <c r="I14" i="5"/>
  <c r="I15" i="5"/>
  <c r="H15" i="5"/>
  <c r="D19" i="5"/>
  <c r="E19" i="5" s="1"/>
  <c r="F19" i="5" s="1"/>
  <c r="E18" i="5"/>
  <c r="F18" i="5" s="1"/>
  <c r="G18" i="5" s="1"/>
  <c r="F17" i="5"/>
  <c r="G16" i="5"/>
  <c r="H16" i="5" s="1"/>
  <c r="G17" i="5"/>
  <c r="H17" i="5"/>
  <c r="I17" i="5" s="1"/>
  <c r="O8" i="5"/>
  <c r="O7" i="5"/>
  <c r="M12" i="5" l="1"/>
  <c r="N12" i="5"/>
  <c r="L13" i="5"/>
  <c r="K14" i="5"/>
  <c r="N15" i="5"/>
  <c r="G19" i="5"/>
  <c r="H19" i="5" s="1"/>
  <c r="I19" i="5" s="1"/>
  <c r="J19" i="5" s="1"/>
  <c r="H18" i="5"/>
  <c r="I18" i="5" s="1"/>
  <c r="J16" i="5"/>
  <c r="J17" i="5"/>
  <c r="K17" i="5" s="1"/>
  <c r="I16" i="5"/>
  <c r="M13" i="5" l="1"/>
  <c r="N13" i="5" s="1"/>
  <c r="L14" i="5"/>
  <c r="M14" i="5" s="1"/>
  <c r="K19" i="5"/>
  <c r="L19" i="5" s="1"/>
  <c r="M19" i="5" s="1"/>
  <c r="J18" i="5"/>
  <c r="K16" i="5"/>
  <c r="L16" i="5" s="1"/>
  <c r="L17" i="5"/>
  <c r="N14" i="5" l="1"/>
  <c r="N19" i="5"/>
  <c r="O19" i="5" s="1"/>
  <c r="K18" i="5"/>
  <c r="L18" i="5" s="1"/>
  <c r="M17" i="5"/>
  <c r="N17" i="5" s="1"/>
  <c r="O17" i="5" s="1"/>
  <c r="M16" i="5"/>
  <c r="N16" i="5" s="1"/>
  <c r="O16" i="5" s="1"/>
  <c r="M18" i="5" l="1"/>
  <c r="N18" i="5" s="1"/>
  <c r="O18" i="5" s="1"/>
  <c r="N5" i="5" l="1"/>
  <c r="N6" i="5"/>
  <c r="N7" i="5"/>
  <c r="N8" i="5"/>
  <c r="M5" i="5"/>
  <c r="M6" i="5"/>
  <c r="M7" i="5"/>
  <c r="M8" i="5"/>
  <c r="M9" i="5"/>
  <c r="L5" i="5"/>
  <c r="L6" i="5"/>
  <c r="L7" i="5"/>
  <c r="L8" i="5"/>
  <c r="L9" i="5"/>
  <c r="L10" i="5"/>
  <c r="K5" i="5"/>
  <c r="K6" i="5"/>
  <c r="K7" i="5"/>
  <c r="K8" i="5"/>
  <c r="K9" i="5"/>
  <c r="K10" i="5"/>
  <c r="K11" i="5"/>
  <c r="J5" i="5"/>
  <c r="J6" i="5"/>
  <c r="J7" i="5"/>
  <c r="J8" i="5"/>
  <c r="J9" i="5"/>
  <c r="J10" i="5"/>
  <c r="J11" i="5"/>
  <c r="J12" i="5"/>
  <c r="I5" i="5"/>
  <c r="I6" i="5"/>
  <c r="I7" i="5"/>
  <c r="I8" i="5"/>
  <c r="I9" i="5"/>
  <c r="I10" i="5"/>
  <c r="I11" i="5"/>
  <c r="I12" i="5"/>
  <c r="I13" i="5"/>
  <c r="H14" i="5"/>
  <c r="H5" i="5"/>
  <c r="H6" i="5"/>
  <c r="H7" i="5"/>
  <c r="H8" i="5"/>
  <c r="H9" i="5"/>
  <c r="H10" i="5"/>
  <c r="H11" i="5"/>
  <c r="H12" i="5"/>
  <c r="H13" i="5"/>
  <c r="G5" i="5"/>
  <c r="G6" i="5"/>
  <c r="G7" i="5"/>
  <c r="G8" i="5"/>
  <c r="G9" i="5"/>
  <c r="G10" i="5"/>
  <c r="G11" i="5"/>
  <c r="G12" i="5"/>
  <c r="G13" i="5"/>
  <c r="G14" i="5"/>
  <c r="G15" i="5"/>
  <c r="F5" i="5"/>
  <c r="F6" i="5"/>
  <c r="F7" i="5"/>
  <c r="F8" i="5"/>
  <c r="F9" i="5"/>
  <c r="F10" i="5"/>
  <c r="F11" i="5"/>
  <c r="F12" i="5"/>
  <c r="F13" i="5"/>
  <c r="F14" i="5"/>
  <c r="F15" i="5"/>
  <c r="F16" i="5"/>
  <c r="E5" i="5"/>
  <c r="E6" i="5"/>
  <c r="E7" i="5"/>
  <c r="E8" i="5"/>
  <c r="E9" i="5"/>
  <c r="E10" i="5"/>
  <c r="P10" i="5" s="1"/>
  <c r="E11" i="5"/>
  <c r="E12" i="5"/>
  <c r="E13" i="5"/>
  <c r="E14" i="5"/>
  <c r="E15" i="5"/>
  <c r="E16" i="5"/>
  <c r="E17" i="5"/>
  <c r="D5" i="5"/>
  <c r="D6" i="5"/>
  <c r="D7" i="5"/>
  <c r="D8" i="5"/>
  <c r="D9" i="5"/>
  <c r="D10" i="5"/>
  <c r="D11" i="5"/>
  <c r="D12" i="5"/>
  <c r="D13" i="5"/>
  <c r="D14" i="5"/>
  <c r="P14" i="5" s="1"/>
  <c r="Q14" i="5" s="1"/>
  <c r="D15" i="5"/>
  <c r="D16" i="5"/>
  <c r="D17" i="5"/>
  <c r="D18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C8" i="5"/>
  <c r="C9" i="5"/>
  <c r="C5" i="5"/>
  <c r="C6" i="5"/>
  <c r="C7" i="5"/>
  <c r="N4" i="5"/>
  <c r="D4" i="5"/>
  <c r="E4" i="5"/>
  <c r="F4" i="5"/>
  <c r="G4" i="5"/>
  <c r="H4" i="5"/>
  <c r="I4" i="5"/>
  <c r="J4" i="5"/>
  <c r="K4" i="5"/>
  <c r="L4" i="5"/>
  <c r="M4" i="5"/>
  <c r="C10" i="5"/>
  <c r="C11" i="5"/>
  <c r="C12" i="5"/>
  <c r="C13" i="5"/>
  <c r="C14" i="5"/>
  <c r="C15" i="5"/>
  <c r="C16" i="5"/>
  <c r="C17" i="5"/>
  <c r="C18" i="5"/>
  <c r="C19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4" i="5"/>
  <c r="C4" i="5"/>
  <c r="B4" i="5"/>
  <c r="P18" i="5"/>
  <c r="P17" i="5"/>
  <c r="Q17" i="5" s="1"/>
  <c r="G34" i="4"/>
  <c r="E34" i="4"/>
  <c r="L27" i="4"/>
  <c r="M27" i="4"/>
  <c r="N27" i="4"/>
  <c r="K27" i="4"/>
  <c r="H27" i="4"/>
  <c r="I27" i="4"/>
  <c r="J27" i="4"/>
  <c r="G27" i="4"/>
  <c r="G35" i="4" s="1"/>
  <c r="D27" i="4"/>
  <c r="D35" i="4" s="1"/>
  <c r="E27" i="4"/>
  <c r="E35" i="4" s="1"/>
  <c r="F27" i="4"/>
  <c r="F35" i="4" s="1"/>
  <c r="C27" i="4"/>
  <c r="C35" i="4" s="1"/>
  <c r="M26" i="4"/>
  <c r="N26" i="4"/>
  <c r="O26" i="4"/>
  <c r="L26" i="4"/>
  <c r="I26" i="4"/>
  <c r="J26" i="4"/>
  <c r="K26" i="4"/>
  <c r="H26" i="4"/>
  <c r="E26" i="4"/>
  <c r="F26" i="4"/>
  <c r="F34" i="4" s="1"/>
  <c r="G26" i="4"/>
  <c r="D26" i="4"/>
  <c r="D34" i="4" s="1"/>
  <c r="C26" i="4"/>
  <c r="C34" i="4" s="1"/>
  <c r="N25" i="4"/>
  <c r="O25" i="4"/>
  <c r="P25" i="4"/>
  <c r="M25" i="4"/>
  <c r="J25" i="4"/>
  <c r="K25" i="4"/>
  <c r="L25" i="4"/>
  <c r="I25" i="4"/>
  <c r="F25" i="4"/>
  <c r="F33" i="4" s="1"/>
  <c r="G25" i="4"/>
  <c r="G33" i="4" s="1"/>
  <c r="H25" i="4"/>
  <c r="E25" i="4"/>
  <c r="E33" i="4" s="1"/>
  <c r="D25" i="4"/>
  <c r="D33" i="4" s="1"/>
  <c r="C25" i="4"/>
  <c r="C33" i="4" s="1"/>
  <c r="O24" i="4"/>
  <c r="P24" i="4"/>
  <c r="Q24" i="4"/>
  <c r="N24" i="4"/>
  <c r="K24" i="4"/>
  <c r="L24" i="4"/>
  <c r="M24" i="4"/>
  <c r="J24" i="4"/>
  <c r="H24" i="4"/>
  <c r="H32" i="4" s="1"/>
  <c r="I24" i="4"/>
  <c r="G24" i="4"/>
  <c r="G32" i="4" s="1"/>
  <c r="F24" i="4"/>
  <c r="F32" i="4" s="1"/>
  <c r="E24" i="4"/>
  <c r="E32" i="4" s="1"/>
  <c r="D24" i="4"/>
  <c r="D32" i="4" s="1"/>
  <c r="C24" i="4"/>
  <c r="C32" i="4" s="1"/>
  <c r="C18" i="4"/>
  <c r="D17" i="4"/>
  <c r="C17" i="4"/>
  <c r="E16" i="4"/>
  <c r="D16" i="4"/>
  <c r="C16" i="4"/>
  <c r="F15" i="4"/>
  <c r="E15" i="4"/>
  <c r="D15" i="4"/>
  <c r="C15" i="4"/>
  <c r="G14" i="4"/>
  <c r="F14" i="4"/>
  <c r="E14" i="4"/>
  <c r="D14" i="4"/>
  <c r="C14" i="4"/>
  <c r="H13" i="4"/>
  <c r="G13" i="4"/>
  <c r="F13" i="4"/>
  <c r="E13" i="4"/>
  <c r="D13" i="4"/>
  <c r="C13" i="4"/>
  <c r="I12" i="4"/>
  <c r="H12" i="4"/>
  <c r="G12" i="4"/>
  <c r="F12" i="4"/>
  <c r="E12" i="4"/>
  <c r="D12" i="4"/>
  <c r="C12" i="4"/>
  <c r="J11" i="4"/>
  <c r="I11" i="4"/>
  <c r="H11" i="4"/>
  <c r="G11" i="4"/>
  <c r="F11" i="4"/>
  <c r="E11" i="4"/>
  <c r="D11" i="4"/>
  <c r="C11" i="4"/>
  <c r="K10" i="4"/>
  <c r="J10" i="4"/>
  <c r="I10" i="4"/>
  <c r="H10" i="4"/>
  <c r="G10" i="4"/>
  <c r="F10" i="4"/>
  <c r="E10" i="4"/>
  <c r="D10" i="4"/>
  <c r="C10" i="4"/>
  <c r="L9" i="4"/>
  <c r="K9" i="4"/>
  <c r="J9" i="4"/>
  <c r="I9" i="4"/>
  <c r="H9" i="4"/>
  <c r="G9" i="4"/>
  <c r="F9" i="4"/>
  <c r="E9" i="4"/>
  <c r="D9" i="4"/>
  <c r="C9" i="4"/>
  <c r="M8" i="4"/>
  <c r="L8" i="4"/>
  <c r="K8" i="4"/>
  <c r="J8" i="4"/>
  <c r="I8" i="4"/>
  <c r="H8" i="4"/>
  <c r="G8" i="4"/>
  <c r="F8" i="4"/>
  <c r="E8" i="4"/>
  <c r="D8" i="4"/>
  <c r="C8" i="4"/>
  <c r="N7" i="4"/>
  <c r="M7" i="4"/>
  <c r="L7" i="4"/>
  <c r="K7" i="4"/>
  <c r="J7" i="4"/>
  <c r="I7" i="4"/>
  <c r="H7" i="4"/>
  <c r="G7" i="4"/>
  <c r="F7" i="4"/>
  <c r="E7" i="4"/>
  <c r="D7" i="4"/>
  <c r="C7" i="4"/>
  <c r="O6" i="4"/>
  <c r="N6" i="4"/>
  <c r="M6" i="4"/>
  <c r="L6" i="4"/>
  <c r="K6" i="4"/>
  <c r="J6" i="4"/>
  <c r="I6" i="4"/>
  <c r="H6" i="4"/>
  <c r="G6" i="4"/>
  <c r="F6" i="4"/>
  <c r="E6" i="4"/>
  <c r="D6" i="4"/>
  <c r="C6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P6" i="5" l="1"/>
  <c r="Q6" i="5" s="1"/>
  <c r="S5" i="5"/>
  <c r="P8" i="5"/>
  <c r="Q8" i="5" s="1"/>
  <c r="Q18" i="5"/>
  <c r="Q10" i="5"/>
  <c r="P9" i="5"/>
  <c r="Q9" i="5" s="1"/>
  <c r="P16" i="5"/>
  <c r="Q16" i="5" s="1"/>
  <c r="P7" i="5"/>
  <c r="Q7" i="5" s="1"/>
  <c r="Q5" i="5"/>
  <c r="P12" i="5"/>
  <c r="Q12" i="5" s="1"/>
  <c r="Q4" i="5"/>
  <c r="S6" i="5"/>
  <c r="S7" i="5"/>
  <c r="P11" i="5"/>
  <c r="Q11" i="5" s="1"/>
  <c r="P13" i="5"/>
  <c r="Q13" i="5" s="1"/>
  <c r="P15" i="5"/>
  <c r="Q15" i="5" s="1"/>
  <c r="P19" i="5"/>
  <c r="Q19" i="5" s="1"/>
  <c r="S4" i="5"/>
  <c r="S8" i="5"/>
  <c r="O43" i="4"/>
  <c r="H35" i="4"/>
  <c r="H34" i="4"/>
  <c r="O41" i="4"/>
  <c r="H33" i="4"/>
  <c r="O45" i="4"/>
  <c r="O39" i="4"/>
  <c r="O11" i="5" l="1"/>
  <c r="S9" i="5"/>
  <c r="S10" i="5"/>
  <c r="R8" i="5"/>
  <c r="T8" i="5"/>
  <c r="R4" i="5"/>
  <c r="T4" i="5"/>
  <c r="T5" i="5"/>
  <c r="R5" i="5"/>
  <c r="R6" i="5"/>
  <c r="T6" i="5"/>
  <c r="T7" i="5"/>
  <c r="R7" i="5"/>
  <c r="M43" i="4"/>
  <c r="L41" i="4"/>
  <c r="K41" i="4"/>
  <c r="K39" i="4"/>
  <c r="J41" i="4"/>
  <c r="E41" i="4"/>
  <c r="I45" i="4"/>
  <c r="M39" i="4"/>
  <c r="L39" i="4"/>
  <c r="L40" i="4" s="1"/>
  <c r="I41" i="4"/>
  <c r="J42" i="4" s="1"/>
  <c r="F39" i="4"/>
  <c r="J43" i="4"/>
  <c r="N43" i="4"/>
  <c r="O44" i="4" s="1"/>
  <c r="H43" i="4"/>
  <c r="C43" i="4"/>
  <c r="C44" i="4" s="1"/>
  <c r="G41" i="4"/>
  <c r="C45" i="4"/>
  <c r="C46" i="4" s="1"/>
  <c r="L43" i="4"/>
  <c r="M44" i="4" s="1"/>
  <c r="M45" i="4"/>
  <c r="M41" i="4"/>
  <c r="M42" i="4" s="1"/>
  <c r="J45" i="4"/>
  <c r="J39" i="4"/>
  <c r="C39" i="4"/>
  <c r="C40" i="4" s="1"/>
  <c r="D45" i="4"/>
  <c r="E43" i="4"/>
  <c r="N39" i="4"/>
  <c r="D41" i="4"/>
  <c r="E42" i="4" s="1"/>
  <c r="G45" i="4"/>
  <c r="E45" i="4"/>
  <c r="L45" i="4"/>
  <c r="N45" i="4"/>
  <c r="O46" i="4" s="1"/>
  <c r="N41" i="4"/>
  <c r="G39" i="4"/>
  <c r="H39" i="4"/>
  <c r="H40" i="4" s="1"/>
  <c r="E39" i="4"/>
  <c r="K43" i="4"/>
  <c r="I43" i="4"/>
  <c r="I39" i="4"/>
  <c r="F41" i="4"/>
  <c r="G43" i="4"/>
  <c r="F43" i="4"/>
  <c r="F44" i="4" s="1"/>
  <c r="D43" i="4"/>
  <c r="H41" i="4"/>
  <c r="I42" i="4" s="1"/>
  <c r="K45" i="4"/>
  <c r="C41" i="4"/>
  <c r="C42" i="4" s="1"/>
  <c r="H45" i="4"/>
  <c r="F45" i="4"/>
  <c r="D39" i="4"/>
  <c r="M40" i="4" l="1"/>
  <c r="O14" i="5"/>
  <c r="T9" i="5"/>
  <c r="R9" i="5"/>
  <c r="R10" i="5"/>
  <c r="T10" i="5"/>
  <c r="O13" i="5"/>
  <c r="S11" i="5"/>
  <c r="K40" i="4"/>
  <c r="K42" i="4"/>
  <c r="H46" i="4"/>
  <c r="H44" i="4"/>
  <c r="I40" i="4"/>
  <c r="J46" i="4"/>
  <c r="F46" i="4"/>
  <c r="J44" i="4"/>
  <c r="N44" i="4"/>
  <c r="D44" i="4"/>
  <c r="F42" i="4"/>
  <c r="N42" i="4"/>
  <c r="L42" i="4"/>
  <c r="D40" i="4"/>
  <c r="J40" i="4"/>
  <c r="F40" i="4"/>
  <c r="L46" i="4"/>
  <c r="G40" i="4"/>
  <c r="N40" i="4"/>
  <c r="K44" i="4"/>
  <c r="O40" i="4"/>
  <c r="D46" i="4"/>
  <c r="G42" i="4"/>
  <c r="E46" i="4"/>
  <c r="G44" i="4"/>
  <c r="G46" i="4"/>
  <c r="D42" i="4"/>
  <c r="O42" i="4"/>
  <c r="H42" i="4"/>
  <c r="I44" i="4"/>
  <c r="N46" i="4"/>
  <c r="L44" i="4"/>
  <c r="I46" i="4"/>
  <c r="E40" i="4"/>
  <c r="K46" i="4"/>
  <c r="M46" i="4"/>
  <c r="E44" i="4"/>
  <c r="O12" i="5" l="1"/>
  <c r="S12" i="5" s="1"/>
  <c r="S14" i="5"/>
  <c r="T14" i="5" s="1"/>
  <c r="T11" i="5"/>
  <c r="R11" i="5"/>
  <c r="R12" i="5" l="1"/>
  <c r="T12" i="5"/>
  <c r="R14" i="5"/>
  <c r="S13" i="5"/>
  <c r="O15" i="5"/>
  <c r="R13" i="5" l="1"/>
  <c r="T13" i="5"/>
  <c r="S18" i="5"/>
  <c r="R18" i="5" s="1"/>
  <c r="S15" i="5"/>
  <c r="T15" i="5" s="1"/>
  <c r="S16" i="5" l="1"/>
  <c r="S17" i="5"/>
  <c r="T18" i="5"/>
  <c r="R15" i="5"/>
  <c r="R17" i="5" l="1"/>
  <c r="T17" i="5"/>
  <c r="R16" i="5"/>
  <c r="T16" i="5"/>
  <c r="S19" i="5" l="1"/>
  <c r="R19" i="5" l="1"/>
  <c r="R21" i="5" s="1"/>
  <c r="T19" i="5"/>
  <c r="C19" i="3"/>
  <c r="D18" i="3"/>
  <c r="C18" i="3"/>
  <c r="E17" i="3"/>
  <c r="D17" i="3"/>
  <c r="C17" i="3"/>
  <c r="F16" i="3"/>
  <c r="E16" i="3"/>
  <c r="D16" i="3"/>
  <c r="C16" i="3"/>
  <c r="G15" i="3"/>
  <c r="F15" i="3"/>
  <c r="E15" i="3"/>
  <c r="D15" i="3"/>
  <c r="C15" i="3"/>
  <c r="H14" i="3"/>
  <c r="G14" i="3"/>
  <c r="F14" i="3"/>
  <c r="E14" i="3"/>
  <c r="D14" i="3"/>
  <c r="C14" i="3"/>
  <c r="I13" i="3"/>
  <c r="H13" i="3"/>
  <c r="G13" i="3"/>
  <c r="F13" i="3"/>
  <c r="E13" i="3"/>
  <c r="D13" i="3"/>
  <c r="C13" i="3"/>
  <c r="J12" i="3"/>
  <c r="I12" i="3"/>
  <c r="H12" i="3"/>
  <c r="G12" i="3"/>
  <c r="F12" i="3"/>
  <c r="E12" i="3"/>
  <c r="D12" i="3"/>
  <c r="C12" i="3"/>
  <c r="K11" i="3"/>
  <c r="J11" i="3"/>
  <c r="I11" i="3"/>
  <c r="H11" i="3"/>
  <c r="G11" i="3"/>
  <c r="F11" i="3"/>
  <c r="E11" i="3"/>
  <c r="D11" i="3"/>
  <c r="C11" i="3"/>
  <c r="L10" i="3"/>
  <c r="K10" i="3"/>
  <c r="J10" i="3"/>
  <c r="I10" i="3"/>
  <c r="H10" i="3"/>
  <c r="G10" i="3"/>
  <c r="F10" i="3"/>
  <c r="E10" i="3"/>
  <c r="D10" i="3"/>
  <c r="C10" i="3"/>
  <c r="M9" i="3"/>
  <c r="L9" i="3"/>
  <c r="K9" i="3"/>
  <c r="J9" i="3"/>
  <c r="I9" i="3"/>
  <c r="H9" i="3"/>
  <c r="G9" i="3"/>
  <c r="F9" i="3"/>
  <c r="E9" i="3"/>
  <c r="D9" i="3"/>
  <c r="C9" i="3"/>
  <c r="M8" i="3"/>
  <c r="L8" i="3"/>
  <c r="K8" i="3"/>
  <c r="J8" i="3"/>
  <c r="I8" i="3"/>
  <c r="H8" i="3"/>
  <c r="G8" i="3"/>
  <c r="F8" i="3"/>
  <c r="E8" i="3"/>
  <c r="D8" i="3"/>
  <c r="C8" i="3"/>
  <c r="M7" i="3"/>
  <c r="L7" i="3"/>
  <c r="K7" i="3"/>
  <c r="J7" i="3"/>
  <c r="I7" i="3"/>
  <c r="H7" i="3"/>
  <c r="G7" i="3"/>
  <c r="F7" i="3"/>
  <c r="E7" i="3"/>
  <c r="D7" i="3"/>
  <c r="C7" i="3"/>
  <c r="M6" i="3"/>
  <c r="L6" i="3"/>
  <c r="K6" i="3"/>
  <c r="J6" i="3"/>
  <c r="I6" i="3"/>
  <c r="H6" i="3"/>
  <c r="G6" i="3"/>
  <c r="F6" i="3"/>
  <c r="E6" i="3"/>
  <c r="D6" i="3"/>
  <c r="C6" i="3"/>
  <c r="M5" i="3"/>
  <c r="L5" i="3"/>
  <c r="K5" i="3"/>
  <c r="J5" i="3"/>
  <c r="I5" i="3"/>
  <c r="H5" i="3"/>
  <c r="G5" i="3"/>
  <c r="F5" i="3"/>
  <c r="E5" i="3"/>
  <c r="D5" i="3"/>
  <c r="C5" i="3"/>
  <c r="M4" i="3"/>
  <c r="L4" i="3"/>
  <c r="K4" i="3"/>
  <c r="J4" i="3"/>
  <c r="I4" i="3"/>
  <c r="H4" i="3"/>
  <c r="G4" i="3"/>
  <c r="F4" i="3"/>
  <c r="E4" i="3"/>
  <c r="D4" i="3"/>
  <c r="C4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P17" i="3" l="1"/>
  <c r="Q17" i="3" s="1"/>
  <c r="P13" i="3"/>
  <c r="Q13" i="3" s="1"/>
  <c r="P16" i="3"/>
  <c r="Q16" i="3" s="1"/>
  <c r="P11" i="3"/>
  <c r="Q11" i="3" s="1"/>
  <c r="P12" i="3"/>
  <c r="Q12" i="3" s="1"/>
  <c r="Q9" i="3"/>
  <c r="P10" i="3"/>
  <c r="Q10" i="3" s="1"/>
  <c r="P14" i="3"/>
  <c r="Q14" i="3" s="1"/>
  <c r="P18" i="3"/>
  <c r="Q18" i="3" s="1"/>
  <c r="P15" i="3"/>
  <c r="Q15" i="3" s="1"/>
  <c r="P19" i="3"/>
  <c r="Q19" i="3" s="1"/>
  <c r="S4" i="3"/>
  <c r="T4" i="3" s="1"/>
  <c r="Q4" i="3" l="1"/>
  <c r="R4" i="3" l="1"/>
  <c r="H24" i="2" l="1"/>
  <c r="H44" i="2" s="1"/>
  <c r="Q44" i="2"/>
  <c r="R44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L34" i="2"/>
  <c r="K34" i="2"/>
  <c r="J34" i="2"/>
  <c r="I34" i="2"/>
  <c r="H34" i="2"/>
  <c r="G34" i="2"/>
  <c r="F34" i="2"/>
  <c r="E34" i="2"/>
  <c r="D34" i="2"/>
  <c r="C34" i="2"/>
  <c r="L30" i="2"/>
  <c r="K30" i="2"/>
  <c r="J30" i="2"/>
  <c r="I30" i="2"/>
  <c r="H30" i="2"/>
  <c r="G30" i="2"/>
  <c r="F30" i="2"/>
  <c r="E30" i="2"/>
  <c r="D30" i="2"/>
  <c r="C30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Q24" i="2"/>
  <c r="P24" i="2"/>
  <c r="P44" i="2" s="1"/>
  <c r="O24" i="2"/>
  <c r="O44" i="2" s="1"/>
  <c r="N24" i="2"/>
  <c r="N44" i="2" s="1"/>
  <c r="M24" i="2"/>
  <c r="M44" i="2" s="1"/>
  <c r="L24" i="2"/>
  <c r="L44" i="2" s="1"/>
  <c r="L53" i="2" s="1"/>
  <c r="K24" i="2"/>
  <c r="K44" i="2" s="1"/>
  <c r="K53" i="2" s="1"/>
  <c r="J24" i="2"/>
  <c r="J44" i="2" s="1"/>
  <c r="J53" i="2" s="1"/>
  <c r="I24" i="2"/>
  <c r="I44" i="2" s="1"/>
  <c r="I53" i="2" s="1"/>
  <c r="G24" i="2"/>
  <c r="G44" i="2" s="1"/>
  <c r="G47" i="2" s="1"/>
  <c r="F24" i="2"/>
  <c r="F44" i="2" s="1"/>
  <c r="F47" i="2" s="1"/>
  <c r="E24" i="2"/>
  <c r="E44" i="2" s="1"/>
  <c r="E47" i="2" s="1"/>
  <c r="D24" i="2"/>
  <c r="D44" i="2" s="1"/>
  <c r="D47" i="2" s="1"/>
  <c r="E18" i="3" s="1"/>
  <c r="C24" i="2"/>
  <c r="C44" i="2" s="1"/>
  <c r="C47" i="2" s="1"/>
  <c r="D19" i="3" s="1"/>
  <c r="C18" i="2"/>
  <c r="D17" i="2"/>
  <c r="C17" i="2"/>
  <c r="E16" i="2"/>
  <c r="D16" i="2"/>
  <c r="C16" i="2"/>
  <c r="F15" i="2"/>
  <c r="E15" i="2"/>
  <c r="D15" i="2"/>
  <c r="C15" i="2"/>
  <c r="G14" i="2"/>
  <c r="F14" i="2"/>
  <c r="E14" i="2"/>
  <c r="D14" i="2"/>
  <c r="C14" i="2"/>
  <c r="H13" i="2"/>
  <c r="G13" i="2"/>
  <c r="F13" i="2"/>
  <c r="E13" i="2"/>
  <c r="D13" i="2"/>
  <c r="C13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K10" i="2"/>
  <c r="J10" i="2"/>
  <c r="I10" i="2"/>
  <c r="H10" i="2"/>
  <c r="G10" i="2"/>
  <c r="F10" i="2"/>
  <c r="E10" i="2"/>
  <c r="D10" i="2"/>
  <c r="C10" i="2"/>
  <c r="L9" i="2"/>
  <c r="K9" i="2"/>
  <c r="J9" i="2"/>
  <c r="I9" i="2"/>
  <c r="H9" i="2"/>
  <c r="G9" i="2"/>
  <c r="F9" i="2"/>
  <c r="E9" i="2"/>
  <c r="D9" i="2"/>
  <c r="C9" i="2"/>
  <c r="M8" i="2"/>
  <c r="L8" i="2"/>
  <c r="K8" i="2"/>
  <c r="J8" i="2"/>
  <c r="I8" i="2"/>
  <c r="H8" i="2"/>
  <c r="G8" i="2"/>
  <c r="F8" i="2"/>
  <c r="E8" i="2"/>
  <c r="D8" i="2"/>
  <c r="C8" i="2"/>
  <c r="N7" i="2"/>
  <c r="M7" i="2"/>
  <c r="L7" i="2"/>
  <c r="K7" i="2"/>
  <c r="J7" i="2"/>
  <c r="I7" i="2"/>
  <c r="H7" i="2"/>
  <c r="G7" i="2"/>
  <c r="F7" i="2"/>
  <c r="E7" i="2"/>
  <c r="D7" i="2"/>
  <c r="C7" i="2"/>
  <c r="O6" i="2"/>
  <c r="N6" i="2"/>
  <c r="M6" i="2"/>
  <c r="L6" i="2"/>
  <c r="K6" i="2"/>
  <c r="J6" i="2"/>
  <c r="I6" i="2"/>
  <c r="H6" i="2"/>
  <c r="G6" i="2"/>
  <c r="F6" i="2"/>
  <c r="E6" i="2"/>
  <c r="D6" i="2"/>
  <c r="C6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J26" i="2"/>
  <c r="F38" i="2"/>
  <c r="P26" i="2"/>
  <c r="L38" i="2"/>
  <c r="C38" i="2"/>
  <c r="N26" i="2"/>
  <c r="D32" i="2"/>
  <c r="K26" i="2"/>
  <c r="F26" i="2"/>
  <c r="H26" i="2"/>
  <c r="C26" i="2"/>
  <c r="E32" i="2"/>
  <c r="M38" i="2"/>
  <c r="E26" i="2"/>
  <c r="H32" i="2"/>
  <c r="I26" i="2"/>
  <c r="G38" i="2"/>
  <c r="O26" i="2"/>
  <c r="J38" i="2"/>
  <c r="F32" i="2"/>
  <c r="E38" i="2"/>
  <c r="L26" i="2"/>
  <c r="J32" i="2"/>
  <c r="M26" i="2"/>
  <c r="N38" i="2"/>
  <c r="D38" i="2"/>
  <c r="G32" i="2"/>
  <c r="H38" i="2"/>
  <c r="L32" i="2"/>
  <c r="Q26" i="2"/>
  <c r="D26" i="2"/>
  <c r="G26" i="2"/>
  <c r="O38" i="2"/>
  <c r="I38" i="2"/>
  <c r="K38" i="2"/>
  <c r="I32" i="2"/>
  <c r="K32" i="2"/>
  <c r="C32" i="2"/>
  <c r="G16" i="3" l="1"/>
  <c r="H16" i="3" s="1"/>
  <c r="H15" i="3"/>
  <c r="F17" i="3"/>
  <c r="F18" i="3"/>
  <c r="G18" i="3" s="1"/>
  <c r="H18" i="3" s="1"/>
  <c r="E19" i="3"/>
  <c r="G53" i="2"/>
  <c r="F19" i="3" l="1"/>
  <c r="G17" i="3"/>
  <c r="H17" i="3" s="1"/>
  <c r="H55" i="2"/>
  <c r="H56" i="2" s="1"/>
  <c r="H47" i="2" s="1"/>
  <c r="I16" i="3" s="1"/>
  <c r="I55" i="2"/>
  <c r="I56" i="2" s="1"/>
  <c r="I47" i="2" s="1"/>
  <c r="J55" i="2"/>
  <c r="J56" i="2" s="1"/>
  <c r="J47" i="2" s="1"/>
  <c r="K55" i="2"/>
  <c r="K56" i="2" s="1"/>
  <c r="K47" i="2" s="1"/>
  <c r="L55" i="2"/>
  <c r="L56" i="2" s="1"/>
  <c r="L47" i="2" s="1"/>
  <c r="B55" i="2"/>
  <c r="B61" i="2" s="1"/>
  <c r="B63" i="2" s="1"/>
  <c r="M47" i="2" s="1"/>
  <c r="G55" i="2"/>
  <c r="G56" i="2" s="1"/>
  <c r="B56" i="2"/>
  <c r="B60" i="2" s="1"/>
  <c r="G19" i="3" l="1"/>
  <c r="N9" i="3"/>
  <c r="S9" i="3" s="1"/>
  <c r="N8" i="3"/>
  <c r="N7" i="3"/>
  <c r="M10" i="3"/>
  <c r="N10" i="3" s="1"/>
  <c r="L11" i="3"/>
  <c r="K12" i="3"/>
  <c r="K16" i="3"/>
  <c r="J15" i="3"/>
  <c r="K15" i="3" s="1"/>
  <c r="J13" i="3"/>
  <c r="J16" i="3"/>
  <c r="I14" i="3"/>
  <c r="I15" i="3"/>
  <c r="I17" i="3"/>
  <c r="J17" i="3" s="1"/>
  <c r="K17" i="3" s="1"/>
  <c r="I18" i="3"/>
  <c r="B62" i="2"/>
  <c r="M68" i="2"/>
  <c r="L68" i="2"/>
  <c r="G68" i="2"/>
  <c r="I68" i="2"/>
  <c r="K68" i="2"/>
  <c r="D68" i="2"/>
  <c r="J68" i="2"/>
  <c r="F68" i="2"/>
  <c r="E68" i="2"/>
  <c r="H68" i="2"/>
  <c r="C68" i="2"/>
  <c r="C69" i="2" s="1"/>
  <c r="H19" i="3" l="1"/>
  <c r="K13" i="3"/>
  <c r="L13" i="3" s="1"/>
  <c r="L12" i="3"/>
  <c r="M12" i="3" s="1"/>
  <c r="L15" i="3"/>
  <c r="M15" i="3" s="1"/>
  <c r="N15" i="3" s="1"/>
  <c r="S15" i="3" s="1"/>
  <c r="Q5" i="3"/>
  <c r="S5" i="3"/>
  <c r="J18" i="3"/>
  <c r="K18" i="3" s="1"/>
  <c r="S6" i="3"/>
  <c r="Q6" i="3"/>
  <c r="J14" i="3"/>
  <c r="S10" i="3"/>
  <c r="Q7" i="3"/>
  <c r="S7" i="3"/>
  <c r="M11" i="3"/>
  <c r="N11" i="3" s="1"/>
  <c r="L17" i="3"/>
  <c r="M17" i="3" s="1"/>
  <c r="N17" i="3" s="1"/>
  <c r="Q8" i="3"/>
  <c r="S8" i="3"/>
  <c r="L16" i="3"/>
  <c r="T9" i="3"/>
  <c r="R9" i="3"/>
  <c r="J69" i="2"/>
  <c r="D69" i="2"/>
  <c r="I69" i="2"/>
  <c r="F69" i="2"/>
  <c r="K69" i="2"/>
  <c r="G69" i="2"/>
  <c r="H69" i="2"/>
  <c r="L69" i="2"/>
  <c r="E69" i="2"/>
  <c r="N69" i="2"/>
  <c r="M69" i="2"/>
  <c r="M16" i="3" l="1"/>
  <c r="N16" i="3" s="1"/>
  <c r="I19" i="3"/>
  <c r="M13" i="3"/>
  <c r="N13" i="3"/>
  <c r="S13" i="3" s="1"/>
  <c r="R13" i="3" s="1"/>
  <c r="S17" i="3"/>
  <c r="R17" i="3" s="1"/>
  <c r="S11" i="3"/>
  <c r="R11" i="3" s="1"/>
  <c r="N12" i="3"/>
  <c r="S12" i="3" s="1"/>
  <c r="T12" i="3" s="1"/>
  <c r="T17" i="3"/>
  <c r="T5" i="3"/>
  <c r="R5" i="3"/>
  <c r="K14" i="3"/>
  <c r="L14" i="3" s="1"/>
  <c r="M14" i="3" s="1"/>
  <c r="L18" i="3"/>
  <c r="M18" i="3" s="1"/>
  <c r="N18" i="3" s="1"/>
  <c r="S18" i="3" s="1"/>
  <c r="T10" i="3"/>
  <c r="R10" i="3"/>
  <c r="T7" i="3"/>
  <c r="R7" i="3"/>
  <c r="T15" i="3"/>
  <c r="R15" i="3"/>
  <c r="T6" i="3"/>
  <c r="R6" i="3"/>
  <c r="T11" i="3"/>
  <c r="T8" i="3"/>
  <c r="R8" i="3"/>
  <c r="R12" i="3" l="1"/>
  <c r="T13" i="3"/>
  <c r="S16" i="3"/>
  <c r="J19" i="3"/>
  <c r="N14" i="3"/>
  <c r="S14" i="3" s="1"/>
  <c r="T18" i="3"/>
  <c r="R18" i="3"/>
  <c r="R16" i="3" l="1"/>
  <c r="T16" i="3"/>
  <c r="K19" i="3"/>
  <c r="T14" i="3"/>
  <c r="R14" i="3"/>
  <c r="L19" i="3" l="1"/>
  <c r="M19" i="3"/>
  <c r="N19" i="3" l="1"/>
  <c r="S19" i="3" l="1"/>
  <c r="R19" i="3" l="1"/>
  <c r="T19" i="3"/>
  <c r="R2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tc={1CC8D7CF-DEC3-7142-95CA-D9630CB0251D}</author>
    <author>tc={0932442E-06BB-EC44-9AB7-34F29338293D}</author>
  </authors>
  <commentList>
    <comment ref="N4" authorId="0" shapeId="0" xr:uid="{1CC8D7CF-DEC3-7142-95CA-D9630CB0251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Here, the projection is less than the actual claims we had. To be conservative, we choose the larger one.</t>
      </text>
    </comment>
    <comment ref="N6" authorId="1" shapeId="0" xr:uid="{0932442E-06BB-EC44-9AB7-34F29338293D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comment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tc={DC35D0F1-C677-4741-A963-F0107669627A}</author>
  </authors>
  <commentList>
    <comment ref="O4" authorId="0" shapeId="0" xr:uid="{DC35D0F1-C677-4741-A963-F0107669627A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adjustment to match the actual data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<sst xmlns="http://schemas.openxmlformats.org/spreadsheetml/2006/main" count="86" uniqueCount="54">
  <si>
    <t>Period</t>
  </si>
  <si>
    <t>Number of claims notified, per 1,000 vehicle years of exposure, in development year</t>
  </si>
  <si>
    <t>of origin</t>
  </si>
  <si>
    <t>Weighted averages:</t>
  </si>
  <si>
    <t>All</t>
  </si>
  <si>
    <t>Manual</t>
  </si>
  <si>
    <t>Indirect address</t>
  </si>
  <si>
    <t>Offset</t>
  </si>
  <si>
    <t>Last 6</t>
  </si>
  <si>
    <t>Last 3</t>
  </si>
  <si>
    <t xml:space="preserve">Model </t>
  </si>
  <si>
    <t>(unsmoothed)</t>
  </si>
  <si>
    <t>(smoothed)</t>
  </si>
  <si>
    <t>Smoothing of tail</t>
  </si>
  <si>
    <t>log (y-1!):</t>
  </si>
  <si>
    <t>Negative exponential fit = loglinear fit:</t>
  </si>
  <si>
    <t>forecast:</t>
  </si>
  <si>
    <t>slope</t>
  </si>
  <si>
    <t>log</t>
  </si>
  <si>
    <t>intercept</t>
  </si>
  <si>
    <t>exp</t>
  </si>
  <si>
    <t>for 11 &amp; later:</t>
  </si>
  <si>
    <t>exp(interc)</t>
  </si>
  <si>
    <t>exp(slope)</t>
  </si>
  <si>
    <t>(book eq.:</t>
  </si>
  <si>
    <t>)</t>
  </si>
  <si>
    <t>Implied proportions</t>
  </si>
  <si>
    <t>11 &amp; later</t>
  </si>
  <si>
    <t>Age to ultimate \pi</t>
  </si>
  <si>
    <t>\mu(j)</t>
  </si>
  <si>
    <t>the fact that there are so few in the first development</t>
  </si>
  <si>
    <t>period will lead to a lot of instability for immature years</t>
  </si>
  <si>
    <r>
      <t xml:space="preserve">sum from </t>
    </r>
    <r>
      <rPr>
        <b/>
        <u/>
        <sz val="12"/>
        <color theme="1"/>
        <rFont val="Arial"/>
        <family val="2"/>
      </rPr>
      <t>10</t>
    </r>
  </si>
  <si>
    <t>Period of</t>
  </si>
  <si>
    <t>Number of claims notified, actual and forecast (bold), in development year</t>
  </si>
  <si>
    <t>Number</t>
  </si>
  <si>
    <t>origin</t>
  </si>
  <si>
    <t>to now</t>
  </si>
  <si>
    <t>Not Freq</t>
  </si>
  <si>
    <t>IBNR</t>
  </si>
  <si>
    <t>Total</t>
  </si>
  <si>
    <t>Ult Freq</t>
  </si>
  <si>
    <t>Quarter 1 - all</t>
  </si>
  <si>
    <t>Quarter 2 - all</t>
  </si>
  <si>
    <t>Quarter 3 - all</t>
  </si>
  <si>
    <t>Quarter 4 - all</t>
  </si>
  <si>
    <t>Q1</t>
  </si>
  <si>
    <t>Q2</t>
  </si>
  <si>
    <t>Q3</t>
  </si>
  <si>
    <t>Q4</t>
  </si>
  <si>
    <t>12 &amp; Later</t>
  </si>
  <si>
    <t>Exposure</t>
  </si>
  <si>
    <t>12 &amp; later</t>
  </si>
  <si>
    <t>Note I have chosen to fit each time from one before blue, to the last amount that is more than 1 with three decimals.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</si>
</sst>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u/>
      <sz val="12"/>
      <color theme="1"/>
      <name val="Arial"/>
      <family val="2"/>
    </font>
    <font>
      <i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3" fontId="10" fillId="0" borderId="0" xfId="0" applyNumberFormat="1" applyFont="1"/>
    <xf numFmtId="2" fontId="8" fillId="0" borderId="0" xfId="0" applyNumberFormat="1" applyFont="1"/>
    <xf numFmtId="164" fontId="8" fillId="0" borderId="0" xfId="0" applyNumberFormat="1" applyFont="1"/>
    <xf numFmtId="0" fontId="8" fillId="0" borderId="1" xfId="0" applyFont="1" applyBorder="1"/>
    <xf numFmtId="165" fontId="8" fillId="2" borderId="0" xfId="0" applyNumberFormat="1" applyFont="1" applyFill="1"/>
    <xf numFmtId="165" fontId="8" fillId="0" borderId="0" xfId="0" applyNumberFormat="1" applyFont="1"/>
    <xf numFmtId="165" fontId="5" fillId="0" borderId="0" xfId="0" applyNumberFormat="1" applyFont="1"/>
    <xf numFmtId="0" fontId="5" fillId="2" borderId="0" xfId="0" applyFont="1" applyFill="1"/>
    <xf numFmtId="165" fontId="8" fillId="3" borderId="0" xfId="0" applyNumberFormat="1" applyFont="1" applyFill="1"/>
    <xf numFmtId="165" fontId="5" fillId="3" borderId="0" xfId="0" applyNumberFormat="1" applyFont="1" applyFill="1"/>
    <xf numFmtId="165" fontId="8" fillId="4" borderId="0" xfId="0" applyNumberFormat="1" applyFont="1" applyFill="1"/>
    <xf numFmtId="165" fontId="5" fillId="4" borderId="0" xfId="0" applyNumberFormat="1" applyFont="1" applyFill="1"/>
    <xf numFmtId="165" fontId="8" fillId="0" borderId="1" xfId="0" applyNumberFormat="1" applyFont="1" applyBorder="1"/>
    <xf numFmtId="10" fontId="8" fillId="5" borderId="0" xfId="1" applyNumberFormat="1" applyFont="1" applyFill="1"/>
    <xf numFmtId="10" fontId="8" fillId="0" borderId="0" xfId="1" applyNumberFormat="1" applyFont="1"/>
    <xf numFmtId="165" fontId="8" fillId="6" borderId="0" xfId="0" applyNumberFormat="1" applyFont="1" applyFill="1"/>
    <xf numFmtId="165" fontId="8" fillId="7" borderId="0" xfId="0" applyNumberFormat="1" applyFont="1" applyFill="1"/>
    <xf numFmtId="0" fontId="8" fillId="6" borderId="0" xfId="0" applyFont="1" applyFill="1"/>
    <xf numFmtId="0" fontId="8" fillId="8" borderId="0" xfId="0" applyFont="1" applyFill="1"/>
    <xf numFmtId="0" fontId="8" fillId="5" borderId="0" xfId="0" applyFont="1" applyFill="1"/>
    <xf numFmtId="0" fontId="0" fillId="5" borderId="0" xfId="0" applyFill="1"/>
    <xf numFmtId="0" fontId="4" fillId="0" borderId="2" xfId="0" applyFont="1" applyBorder="1"/>
    <xf numFmtId="0" fontId="8" fillId="0" borderId="2" xfId="0" applyFont="1" applyBorder="1"/>
    <xf numFmtId="164" fontId="9" fillId="0" borderId="0" xfId="0" applyNumberFormat="1" applyFont="1"/>
    <xf numFmtId="1" fontId="9" fillId="0" borderId="0" xfId="0" applyNumberFormat="1" applyFont="1"/>
    <xf numFmtId="164" fontId="2" fillId="0" borderId="0" xfId="0" applyNumberFormat="1" applyFont="1"/>
    <xf numFmtId="164" fontId="8" fillId="0" borderId="2" xfId="0" applyNumberFormat="1" applyFont="1" applyBorder="1"/>
    <xf numFmtId="10" fontId="8" fillId="0" borderId="0" xfId="1" applyNumberFormat="1" applyFont="1" applyBorder="1"/>
    <xf numFmtId="164" fontId="4" fillId="0" borderId="0" xfId="0" applyNumberFormat="1" applyFont="1"/>
    <xf numFmtId="164" fontId="4" fillId="0" borderId="3" xfId="0" applyNumberFormat="1" applyFont="1" applyBorder="1"/>
    <xf numFmtId="0" fontId="2" fillId="0" borderId="0" xfId="0" applyFont="1" applyAlignment="1">
      <alignment horizontal="left"/>
    </xf>
    <xf numFmtId="166" fontId="8" fillId="0" borderId="0" xfId="1" applyNumberFormat="1" applyFont="1" applyFill="1" applyBorder="1"/>
    <xf numFmtId="166" fontId="12" fillId="0" borderId="0" xfId="1" applyNumberFormat="1" applyFont="1" applyFill="1" applyBorder="1"/>
    <xf numFmtId="10" fontId="8" fillId="9" borderId="0" xfId="1" applyNumberFormat="1" applyFont="1" applyFill="1" applyBorder="1"/>
    <xf numFmtId="0" fontId="13" fillId="0" borderId="0" xfId="0" applyFont="1"/>
    <xf numFmtId="0" fontId="5" fillId="0" borderId="4" xfId="0" applyFont="1" applyBorder="1"/>
    <xf numFmtId="10" fontId="5" fillId="0" borderId="0" xfId="0" applyNumberFormat="1" applyFont="1"/>
    <xf numFmtId="164" fontId="2" fillId="2" borderId="0" xfId="0" applyNumberFormat="1" applyFont="1" applyFill="1"/>
    <xf numFmtId="0" fontId="5" fillId="10" borderId="0" xfId="0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CL!$C$24:$R$24</c:f>
              <c:numCache>
                <c:formatCode>0.000</c:formatCode>
                <c:ptCount val="16"/>
                <c:pt idx="0">
                  <c:v>4.7462863933452173</c:v>
                </c:pt>
                <c:pt idx="1">
                  <c:v>1.6607325819672132</c:v>
                </c:pt>
                <c:pt idx="2">
                  <c:v>1.2397311426437641</c:v>
                </c:pt>
                <c:pt idx="3">
                  <c:v>1.1103959703372044</c:v>
                </c:pt>
                <c:pt idx="4">
                  <c:v>1.0538445274508421</c:v>
                </c:pt>
                <c:pt idx="5">
                  <c:v>1.0232359837987637</c:v>
                </c:pt>
                <c:pt idx="6">
                  <c:v>1.0090349404333574</c:v>
                </c:pt>
                <c:pt idx="7">
                  <c:v>1.0039827133293788</c:v>
                </c:pt>
                <c:pt idx="8">
                  <c:v>1.0019837333862329</c:v>
                </c:pt>
                <c:pt idx="9">
                  <c:v>1.0007552870090635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F5-416A-8A2C-B1D67F5197F1}"/>
            </c:ext>
          </c:extLst>
        </c:ser>
        <c:ser>
          <c:idx val="2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4.9335664335664333</c:v>
                </c:pt>
                <c:pt idx="1">
                  <c:v>1.6825132978723405</c:v>
                </c:pt>
                <c:pt idx="2">
                  <c:v>1.2015379113018598</c:v>
                </c:pt>
                <c:pt idx="3">
                  <c:v>1.1085318058486584</c:v>
                </c:pt>
                <c:pt idx="4">
                  <c:v>1.0629314922995221</c:v>
                </c:pt>
                <c:pt idx="5">
                  <c:v>1.0243209876543209</c:v>
                </c:pt>
                <c:pt idx="6">
                  <c:v>1.0072872590503057</c:v>
                </c:pt>
                <c:pt idx="7">
                  <c:v>1.0035489410417859</c:v>
                </c:pt>
                <c:pt idx="8">
                  <c:v>1.0021094704119018</c:v>
                </c:pt>
                <c:pt idx="9">
                  <c:v>1.0007552870090635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F5-416A-8A2C-B1D67F5197F1}"/>
            </c:ext>
          </c:extLst>
        </c:ser>
        <c:ser>
          <c:idx val="4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7.2318840579710146</c:v>
                </c:pt>
                <c:pt idx="1">
                  <c:v>1.5258438818565401</c:v>
                </c:pt>
                <c:pt idx="2">
                  <c:v>1.2094960433152853</c:v>
                </c:pt>
                <c:pt idx="3">
                  <c:v>1.1192954363490792</c:v>
                </c:pt>
                <c:pt idx="4">
                  <c:v>1.0697957939652545</c:v>
                </c:pt>
                <c:pt idx="5">
                  <c:v>1.0203335618003198</c:v>
                </c:pt>
                <c:pt idx="6">
                  <c:v>1.0094758661533907</c:v>
                </c:pt>
                <c:pt idx="7">
                  <c:v>1.0032292787944026</c:v>
                </c:pt>
                <c:pt idx="8">
                  <c:v>1.0015400410677617</c:v>
                </c:pt>
                <c:pt idx="9">
                  <c:v>1.0003861749372465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F5-416A-8A2C-B1D67F519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Not Freq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9.1417910447761194E-2</c:v>
              </c:pt>
              <c:pt idx="7">
                <c:v>9.5031355523396047E-2</c:v>
              </c:pt>
              <c:pt idx="8">
                <c:v>9.6527068437180799E-2</c:v>
              </c:pt>
              <c:pt idx="9">
                <c:v>8.2826392138511937E-2</c:v>
              </c:pt>
              <c:pt idx="10">
                <c:v>0.10118406889128095</c:v>
              </c:pt>
              <c:pt idx="11">
                <c:v>8.7668593448940263E-2</c:v>
              </c:pt>
              <c:pt idx="12">
                <c:v>7.9427725703009378E-2</c:v>
              </c:pt>
              <c:pt idx="13">
                <c:v>6.8948412698412703E-2</c:v>
              </c:pt>
              <c:pt idx="14">
                <c:v>4.0714995034756701E-2</c:v>
              </c:pt>
              <c:pt idx="15">
                <c:v>1.824212271973466E-2</c:v>
              </c:pt>
              <c:pt idx="16">
                <c:v>2.6609898882384245E-3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E9B-44BB-9552-591C66024541}"/>
            </c:ext>
          </c:extLst>
        </c:ser>
        <c:ser>
          <c:idx val="1"/>
          <c:order val="1"/>
          <c:tx>
            <c:v>Ult Freq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9.1545070673884343E-2</c:v>
              </c:pt>
              <c:pt idx="7">
                <c:v>9.5333038757032917E-2</c:v>
              </c:pt>
              <c:pt idx="8">
                <c:v>9.7226815977718276E-2</c:v>
              </c:pt>
              <c:pt idx="9">
                <c:v>8.4199584336922553E-2</c:v>
              </c:pt>
              <c:pt idx="10">
                <c:v>0.10503441610853555</c:v>
              </c:pt>
              <c:pt idx="11">
                <c:v>9.5388482165810334E-2</c:v>
              </c:pt>
              <c:pt idx="12">
                <c:v>9.4632496893869669E-2</c:v>
              </c:pt>
              <c:pt idx="13">
                <c:v>9.9480483731164859E-2</c:v>
              </c:pt>
              <c:pt idx="14">
                <c:v>8.5772866606746892E-2</c:v>
              </c:pt>
              <c:pt idx="15">
                <c:v>9.2035395092272834E-2</c:v>
              </c:pt>
              <c:pt idx="16">
                <c:v>0.17420874179038018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E9B-44BB-9552-591C66024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9.9226091763405203E-2</c:v>
                </c:pt>
                <c:pt idx="2">
                  <c:v>0.19791461735195751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35-4940-B628-8C2132D7B342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0.19803017006429433</c:v>
                </c:pt>
                <c:pt idx="3">
                  <c:v>9.9940393403536665E-2</c:v>
                </c:pt>
                <c:pt idx="4">
                  <c:v>0.2041376636405042</c:v>
                </c:pt>
                <c:pt idx="5">
                  <c:v>0.10225242417455305</c:v>
                </c:pt>
                <c:pt idx="6">
                  <c:v>0.19938367113628669</c:v>
                </c:pt>
                <c:pt idx="7">
                  <c:v>9.9467919473011646E-2</c:v>
                </c:pt>
                <c:pt idx="8">
                  <c:v>0.20509149232464571</c:v>
                </c:pt>
                <c:pt idx="9">
                  <c:v>9.9364741660844316E-2</c:v>
                </c:pt>
                <c:pt idx="10">
                  <c:v>0.19916009116736999</c:v>
                </c:pt>
                <c:pt idx="11">
                  <c:v>9.8414055048444582E-2</c:v>
                </c:pt>
                <c:pt idx="12">
                  <c:v>0.21926143492041228</c:v>
                </c:pt>
                <c:pt idx="13">
                  <c:v>0.10165546251371979</c:v>
                </c:pt>
                <c:pt idx="14">
                  <c:v>0.16274976918366216</c:v>
                </c:pt>
                <c:pt idx="15">
                  <c:v>5.18726830528696E-2</c:v>
                </c:pt>
                <c:pt idx="16">
                  <c:v>0.43796920752594781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35-4940-B628-8C2132D7B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quarter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9B-48B8-BB46-B4E15DCCCAB8}"/>
            </c:ext>
          </c:extLst>
        </c:ser>
        <c:ser>
          <c:idx val="1"/>
          <c:order val="1"/>
          <c:tx>
            <c:strRef>
              <c:f>'CL quarter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0.19804406704747146</c:v>
                </c:pt>
                <c:pt idx="3">
                  <c:v>9.9940393403536665E-2</c:v>
                </c:pt>
                <c:pt idx="4">
                  <c:v>0.20404072694569139</c:v>
                </c:pt>
                <c:pt idx="5">
                  <c:v>0.10220095110648901</c:v>
                </c:pt>
                <c:pt idx="6">
                  <c:v>0.19937316413147535</c:v>
                </c:pt>
                <c:pt idx="7">
                  <c:v>9.9854291137689941E-2</c:v>
                </c:pt>
                <c:pt idx="8">
                  <c:v>0.20474235186236217</c:v>
                </c:pt>
                <c:pt idx="9">
                  <c:v>9.9077114768141572E-2</c:v>
                </c:pt>
                <c:pt idx="10">
                  <c:v>0.19987387778650234</c:v>
                </c:pt>
                <c:pt idx="11">
                  <c:v>0.1039087369575771</c:v>
                </c:pt>
                <c:pt idx="12">
                  <c:v>0.20691913639022155</c:v>
                </c:pt>
                <c:pt idx="13">
                  <c:v>9.6172964654499551E-2</c:v>
                </c:pt>
                <c:pt idx="14">
                  <c:v>0.18221818695261624</c:v>
                </c:pt>
                <c:pt idx="15">
                  <c:v>0.11846905663592197</c:v>
                </c:pt>
                <c:pt idx="16">
                  <c:v>0.20094783972697425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9B-48B8-BB46-B4E15DCCC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5</xdr:row>
      <xdr:rowOff>127000</xdr:rowOff>
    </xdr:from>
    <xdr:to>
      <xdr:col>28</xdr:col>
      <xdr:colOff>438150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54CE42-665F-4DE0-B796-74DED1B83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C644B-B4A1-42D1-8085-A317103B1C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1924A1-B26B-4F7C-9884-32625F598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38768-92D6-418F-A8B6-1738EDDCA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Avanzi" id="{679CD76F-C179-9D43-A605-8BCAD7F4457B}" userId="Benjamin Avanzi" providerId="None"/>
  <person displayName="Ho Ming Lee" id="{AE1747F7-33D9-4667-86CC-B4BF91D86900}" userId="S::homingl@student.unimelb.edu.au::bfa24eb6-4300-4edd-94be-5063054271f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" dT="2024-07-07T17:45:43.52" personId="{AE1747F7-33D9-4667-86CC-B4BF91D86900}" id="{1CC8D7CF-DEC3-7142-95CA-D9630CB0251D}">
    <text>Here, the projection is less than the actual claims we had. To be conservative, we choose the larger one.</text>
  </threadedComment>
  <threadedComment ref="N6" dT="2024-08-15T22:48:26.71" personId="{679CD76F-C179-9D43-A605-8BCAD7F4457B}" id="{0932442E-06BB-EC44-9AB7-34F29338293D}">
    <text>Same comment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4" dT="2024-08-15T22:53:52.76" personId="{679CD76F-C179-9D43-A605-8BCAD7F4457B}" id="{DC35D0F1-C677-4741-A963-F0107669627A}">
    <text>Manual adjustment to match the actual data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opLeftCell="A4" workbookViewId="0">
      <selection activeCell="L18" sqref="L18:AB35"/>
    </sheetView>
  </sheetViews>
  <sheetFormatPr baseColWidth="10" defaultColWidth="8.83203125" defaultRowHeight="15" x14ac:dyDescent="0.2"/>
  <sheetData>
    <row r="1" spans="1:17" x14ac:dyDescent="0.2">
      <c r="A1">
        <v>10854</v>
      </c>
      <c r="B1">
        <v>91</v>
      </c>
      <c r="C1">
        <v>377</v>
      </c>
      <c r="D1">
        <v>301</v>
      </c>
      <c r="E1">
        <v>170</v>
      </c>
      <c r="F1">
        <v>72</v>
      </c>
      <c r="G1">
        <v>44</v>
      </c>
      <c r="H1">
        <v>11</v>
      </c>
      <c r="I1">
        <v>6</v>
      </c>
      <c r="J1">
        <v>3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</row>
    <row r="2" spans="1:17" x14ac:dyDescent="0.2">
      <c r="A2">
        <v>10166</v>
      </c>
      <c r="B2">
        <v>63</v>
      </c>
      <c r="C2">
        <v>550</v>
      </c>
      <c r="D2">
        <v>555</v>
      </c>
      <c r="E2">
        <v>404</v>
      </c>
      <c r="F2">
        <v>236</v>
      </c>
      <c r="G2">
        <v>104</v>
      </c>
      <c r="H2">
        <v>56</v>
      </c>
      <c r="I2">
        <v>26</v>
      </c>
      <c r="J2">
        <v>13</v>
      </c>
      <c r="K2">
        <v>5</v>
      </c>
      <c r="L2">
        <v>0</v>
      </c>
      <c r="M2">
        <v>1</v>
      </c>
      <c r="N2">
        <v>0</v>
      </c>
      <c r="O2">
        <v>0</v>
      </c>
      <c r="P2">
        <v>0</v>
      </c>
    </row>
    <row r="3" spans="1:17" x14ac:dyDescent="0.2">
      <c r="A3">
        <v>10066</v>
      </c>
      <c r="B3">
        <v>12</v>
      </c>
      <c r="C3">
        <v>169</v>
      </c>
      <c r="D3">
        <v>274</v>
      </c>
      <c r="E3">
        <v>225</v>
      </c>
      <c r="F3">
        <v>166</v>
      </c>
      <c r="G3">
        <v>72</v>
      </c>
      <c r="H3">
        <v>47</v>
      </c>
      <c r="I3">
        <v>19</v>
      </c>
      <c r="J3">
        <v>11</v>
      </c>
      <c r="K3">
        <v>6</v>
      </c>
      <c r="L3">
        <v>4</v>
      </c>
      <c r="M3">
        <v>0</v>
      </c>
      <c r="N3">
        <v>0</v>
      </c>
      <c r="O3">
        <v>1</v>
      </c>
    </row>
    <row r="4" spans="1:17" x14ac:dyDescent="0.2">
      <c r="A4">
        <v>10352</v>
      </c>
      <c r="B4">
        <v>385</v>
      </c>
      <c r="C4">
        <v>906</v>
      </c>
      <c r="D4">
        <v>441</v>
      </c>
      <c r="E4">
        <v>235</v>
      </c>
      <c r="F4">
        <v>80</v>
      </c>
      <c r="G4">
        <v>41</v>
      </c>
      <c r="H4">
        <v>16</v>
      </c>
      <c r="I4">
        <v>2</v>
      </c>
      <c r="J4">
        <v>3</v>
      </c>
      <c r="K4">
        <v>2</v>
      </c>
      <c r="L4">
        <v>1</v>
      </c>
      <c r="M4">
        <v>0</v>
      </c>
      <c r="N4">
        <v>0</v>
      </c>
    </row>
    <row r="5" spans="1:17" x14ac:dyDescent="0.2">
      <c r="A5">
        <v>9805</v>
      </c>
      <c r="B5">
        <v>92</v>
      </c>
      <c r="C5">
        <v>361</v>
      </c>
      <c r="D5">
        <v>265</v>
      </c>
      <c r="E5">
        <v>158</v>
      </c>
      <c r="F5">
        <v>69</v>
      </c>
      <c r="G5">
        <v>29</v>
      </c>
      <c r="H5">
        <v>17</v>
      </c>
      <c r="I5">
        <v>9</v>
      </c>
      <c r="J5">
        <v>2</v>
      </c>
      <c r="K5">
        <v>0</v>
      </c>
      <c r="L5">
        <v>0</v>
      </c>
      <c r="M5">
        <v>0</v>
      </c>
    </row>
    <row r="6" spans="1:17" x14ac:dyDescent="0.2">
      <c r="A6">
        <v>10373</v>
      </c>
      <c r="B6">
        <v>69</v>
      </c>
      <c r="C6">
        <v>550</v>
      </c>
      <c r="D6">
        <v>637</v>
      </c>
      <c r="E6">
        <v>370</v>
      </c>
      <c r="F6">
        <v>235</v>
      </c>
      <c r="G6">
        <v>122</v>
      </c>
      <c r="H6">
        <v>53</v>
      </c>
      <c r="I6">
        <v>19</v>
      </c>
      <c r="J6">
        <v>7</v>
      </c>
      <c r="K6">
        <v>4</v>
      </c>
      <c r="L6">
        <v>1</v>
      </c>
    </row>
    <row r="7" spans="1:17" x14ac:dyDescent="0.2">
      <c r="A7">
        <v>8396</v>
      </c>
      <c r="B7">
        <v>6</v>
      </c>
      <c r="C7">
        <v>143</v>
      </c>
      <c r="D7">
        <v>212</v>
      </c>
      <c r="E7">
        <v>200</v>
      </c>
      <c r="F7">
        <v>120</v>
      </c>
      <c r="G7">
        <v>85</v>
      </c>
      <c r="H7">
        <v>38</v>
      </c>
      <c r="I7">
        <v>22</v>
      </c>
      <c r="J7">
        <v>6</v>
      </c>
      <c r="K7">
        <v>2</v>
      </c>
    </row>
    <row r="8" spans="1:17" x14ac:dyDescent="0.2">
      <c r="A8">
        <v>8638</v>
      </c>
      <c r="B8">
        <v>315</v>
      </c>
      <c r="C8">
        <v>711</v>
      </c>
      <c r="D8">
        <v>421</v>
      </c>
      <c r="E8">
        <v>175</v>
      </c>
      <c r="F8">
        <v>87</v>
      </c>
      <c r="G8">
        <v>38</v>
      </c>
      <c r="H8">
        <v>13</v>
      </c>
      <c r="I8">
        <v>4</v>
      </c>
      <c r="J8">
        <v>2</v>
      </c>
    </row>
    <row r="9" spans="1:17" x14ac:dyDescent="0.2">
      <c r="A9">
        <v>8303</v>
      </c>
      <c r="B9">
        <v>78</v>
      </c>
      <c r="C9">
        <v>288</v>
      </c>
      <c r="D9">
        <v>239</v>
      </c>
      <c r="E9">
        <v>99</v>
      </c>
      <c r="F9">
        <v>66</v>
      </c>
      <c r="G9">
        <v>32</v>
      </c>
      <c r="H9">
        <v>11</v>
      </c>
      <c r="I9">
        <v>6</v>
      </c>
    </row>
    <row r="10" spans="1:17" x14ac:dyDescent="0.2">
      <c r="A10">
        <v>9668</v>
      </c>
      <c r="B10">
        <v>85</v>
      </c>
      <c r="C10">
        <v>499</v>
      </c>
      <c r="D10">
        <v>555</v>
      </c>
      <c r="E10">
        <v>350</v>
      </c>
      <c r="F10">
        <v>226</v>
      </c>
      <c r="G10">
        <v>113</v>
      </c>
      <c r="H10">
        <v>65</v>
      </c>
    </row>
    <row r="11" spans="1:17" x14ac:dyDescent="0.2">
      <c r="A11">
        <v>9301</v>
      </c>
      <c r="B11">
        <v>18</v>
      </c>
      <c r="C11">
        <v>144</v>
      </c>
      <c r="D11">
        <v>262</v>
      </c>
      <c r="E11">
        <v>222</v>
      </c>
      <c r="F11">
        <v>150</v>
      </c>
      <c r="G11">
        <v>84</v>
      </c>
    </row>
    <row r="12" spans="1:17" x14ac:dyDescent="0.2">
      <c r="A12">
        <v>8414</v>
      </c>
      <c r="B12">
        <v>331</v>
      </c>
      <c r="C12">
        <v>747</v>
      </c>
      <c r="D12">
        <v>378</v>
      </c>
      <c r="E12">
        <v>156</v>
      </c>
      <c r="F12">
        <v>71</v>
      </c>
    </row>
    <row r="13" spans="1:17" x14ac:dyDescent="0.2">
      <c r="A13">
        <v>7735</v>
      </c>
      <c r="B13">
        <v>67</v>
      </c>
      <c r="C13">
        <v>272</v>
      </c>
      <c r="D13">
        <v>182</v>
      </c>
      <c r="E13">
        <v>125</v>
      </c>
    </row>
    <row r="14" spans="1:17" x14ac:dyDescent="0.2">
      <c r="A14">
        <v>8493</v>
      </c>
      <c r="B14">
        <v>60</v>
      </c>
      <c r="C14">
        <v>419</v>
      </c>
      <c r="D14">
        <v>437</v>
      </c>
    </row>
    <row r="15" spans="1:17" x14ac:dyDescent="0.2">
      <c r="A15">
        <v>8696</v>
      </c>
      <c r="B15">
        <v>11</v>
      </c>
      <c r="C15">
        <v>169</v>
      </c>
    </row>
    <row r="16" spans="1:17" x14ac:dyDescent="0.2">
      <c r="A16">
        <v>8772</v>
      </c>
      <c r="B16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E99A-CC1A-4781-B2C6-ABF038B08394}">
  <dimension ref="A1:R77"/>
  <sheetViews>
    <sheetView topLeftCell="A14" workbookViewId="0">
      <selection activeCell="G53" sqref="G53:H53"/>
    </sheetView>
  </sheetViews>
  <sheetFormatPr baseColWidth="10" defaultColWidth="11.5" defaultRowHeight="14" x14ac:dyDescent="0.15"/>
  <cols>
    <col min="1" max="1" width="11.5" style="4"/>
    <col min="2" max="2" width="16.83203125" style="4" customWidth="1"/>
    <col min="3" max="18" width="9.1640625" style="4" customWidth="1"/>
    <col min="19" max="16384" width="11.5" style="4"/>
  </cols>
  <sheetData>
    <row r="1" spans="1:18" ht="16" x14ac:dyDescent="0.2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8" ht="16" x14ac:dyDescent="0.2">
      <c r="A4" s="8">
        <v>0</v>
      </c>
      <c r="B4" s="9"/>
      <c r="C4" s="10">
        <f>SUM(Data!$B1:C1)/SUM(Data!$B1:B1)</f>
        <v>5.1428571428571432</v>
      </c>
      <c r="D4" s="10">
        <f>SUM(Data!$B1:D1)/SUM(Data!$B1:C1)</f>
        <v>1.6431623931623931</v>
      </c>
      <c r="E4" s="10">
        <f>SUM(Data!$B1:E1)/SUM(Data!$B1:D1)</f>
        <v>1.2210663198959688</v>
      </c>
      <c r="F4" s="10">
        <f>SUM(Data!$B1:F1)/SUM(Data!$B1:E1)</f>
        <v>1.0766773162939298</v>
      </c>
      <c r="G4" s="10">
        <f>SUM(Data!$B1:G1)/SUM(Data!$B1:F1)</f>
        <v>1.043521266073195</v>
      </c>
      <c r="H4" s="10">
        <f>SUM(Data!$B1:H1)/SUM(Data!$B1:G1)</f>
        <v>1.0104265402843602</v>
      </c>
      <c r="I4" s="10">
        <f>SUM(Data!$B1:I1)/SUM(Data!$B1:H1)</f>
        <v>1.0056285178236397</v>
      </c>
      <c r="J4" s="10">
        <f>SUM(Data!$B1:J1)/SUM(Data!$B1:I1)</f>
        <v>1.0027985074626866</v>
      </c>
      <c r="K4" s="10">
        <f>SUM(Data!$B1:K1)/SUM(Data!$B1:J1)</f>
        <v>1.0009302325581395</v>
      </c>
      <c r="L4" s="10">
        <f>SUM(Data!$B1:L1)/SUM(Data!$B1:K1)</f>
        <v>1.0009293680297398</v>
      </c>
      <c r="M4" s="10">
        <f>SUM(Data!$B1:M1)/SUM(Data!$B1:L1)</f>
        <v>1.000928505106778</v>
      </c>
      <c r="N4" s="10">
        <f>SUM(Data!$B1:N1)/SUM(Data!$B1:M1)</f>
        <v>1.0009276437847867</v>
      </c>
      <c r="O4" s="10">
        <f>SUM(Data!$B1:O1)/SUM(Data!$B1:N1)</f>
        <v>1</v>
      </c>
      <c r="P4" s="10">
        <f>SUM(Data!$B1:P1)/SUM(Data!$B1:O1)</f>
        <v>1</v>
      </c>
      <c r="Q4" s="10">
        <f>SUM(Data!$B1:Q1)/SUM(Data!$B1:P1)</f>
        <v>1</v>
      </c>
      <c r="R4" s="11"/>
    </row>
    <row r="5" spans="1:18" ht="16" x14ac:dyDescent="0.2">
      <c r="A5" s="8">
        <v>1</v>
      </c>
      <c r="B5" s="9"/>
      <c r="C5" s="10">
        <f>SUM(Data!$B2:C2)/SUM(Data!$B2:B2)</f>
        <v>9.7301587301587293</v>
      </c>
      <c r="D5" s="10">
        <f>SUM(Data!$B2:D2)/SUM(Data!$B2:C2)</f>
        <v>1.9053833605220227</v>
      </c>
      <c r="E5" s="10">
        <f>SUM(Data!$B2:E2)/SUM(Data!$B2:D2)</f>
        <v>1.345890410958904</v>
      </c>
      <c r="F5" s="10">
        <f>SUM(Data!$B2:F2)/SUM(Data!$B2:E2)</f>
        <v>1.1501272264631044</v>
      </c>
      <c r="G5" s="10">
        <f>SUM(Data!$B2:G2)/SUM(Data!$B2:F2)</f>
        <v>1.0575221238938053</v>
      </c>
      <c r="H5" s="10">
        <f>SUM(Data!$B2:H2)/SUM(Data!$B2:G2)</f>
        <v>1.0292887029288702</v>
      </c>
      <c r="I5" s="10">
        <f>SUM(Data!$B2:I2)/SUM(Data!$B2:H2)</f>
        <v>1.0132113821138211</v>
      </c>
      <c r="J5" s="10">
        <f>SUM(Data!$B2:J2)/SUM(Data!$B2:I2)</f>
        <v>1.006519558676028</v>
      </c>
      <c r="K5" s="10">
        <f>SUM(Data!$B2:K2)/SUM(Data!$B2:J2)</f>
        <v>1.0024912805181863</v>
      </c>
      <c r="L5" s="10">
        <f>SUM(Data!$B2:L2)/SUM(Data!$B2:K2)</f>
        <v>1</v>
      </c>
      <c r="M5" s="10">
        <f>SUM(Data!$B2:M2)/SUM(Data!$B2:L2)</f>
        <v>1.0004970178926442</v>
      </c>
      <c r="N5" s="10">
        <f>SUM(Data!$B2:N2)/SUM(Data!$B2:M2)</f>
        <v>1</v>
      </c>
      <c r="O5" s="10">
        <f>SUM(Data!$B2:O2)/SUM(Data!$B2:N2)</f>
        <v>1</v>
      </c>
      <c r="P5" s="10">
        <f>SUM(Data!$B2:P2)/SUM(Data!$B2:O2)</f>
        <v>1</v>
      </c>
      <c r="Q5" s="10"/>
      <c r="R5" s="11"/>
    </row>
    <row r="6" spans="1:18" ht="16" x14ac:dyDescent="0.2">
      <c r="A6" s="8">
        <v>2</v>
      </c>
      <c r="B6" s="9"/>
      <c r="C6" s="10">
        <f>SUM(Data!$B3:C3)/SUM(Data!$B3:B3)</f>
        <v>15.083333333333334</v>
      </c>
      <c r="D6" s="10">
        <f>SUM(Data!$B3:D3)/SUM(Data!$B3:C3)</f>
        <v>2.5138121546961325</v>
      </c>
      <c r="E6" s="10">
        <f>SUM(Data!$B3:E3)/SUM(Data!$B3:D3)</f>
        <v>1.4945054945054945</v>
      </c>
      <c r="F6" s="10">
        <f>SUM(Data!$B3:F3)/SUM(Data!$B3:E3)</f>
        <v>1.2441176470588236</v>
      </c>
      <c r="G6" s="10">
        <f>SUM(Data!$B3:G3)/SUM(Data!$B3:F3)</f>
        <v>1.0851063829787233</v>
      </c>
      <c r="H6" s="10">
        <f>SUM(Data!$B3:H3)/SUM(Data!$B3:G3)</f>
        <v>1.05119825708061</v>
      </c>
      <c r="I6" s="10">
        <f>SUM(Data!$B3:I3)/SUM(Data!$B3:H3)</f>
        <v>1.0196891191709845</v>
      </c>
      <c r="J6" s="10">
        <f>SUM(Data!$B3:J3)/SUM(Data!$B3:I3)</f>
        <v>1.0111788617886179</v>
      </c>
      <c r="K6" s="10">
        <f>SUM(Data!$B3:K3)/SUM(Data!$B3:J3)</f>
        <v>1.0060301507537688</v>
      </c>
      <c r="L6" s="10">
        <f>SUM(Data!$B3:L3)/SUM(Data!$B3:K3)</f>
        <v>1.0039960039960041</v>
      </c>
      <c r="M6" s="10">
        <f>SUM(Data!$B3:M3)/SUM(Data!$B3:L3)</f>
        <v>1</v>
      </c>
      <c r="N6" s="10">
        <f>SUM(Data!$B3:N3)/SUM(Data!$B3:M3)</f>
        <v>1</v>
      </c>
      <c r="O6" s="10">
        <f>SUM(Data!$B3:O3)/SUM(Data!$B3:N3)</f>
        <v>1.0009950248756219</v>
      </c>
      <c r="P6" s="10"/>
      <c r="Q6" s="10"/>
      <c r="R6" s="11"/>
    </row>
    <row r="7" spans="1:18" ht="16" x14ac:dyDescent="0.2">
      <c r="A7" s="8">
        <v>3</v>
      </c>
      <c r="B7" s="9"/>
      <c r="C7" s="10">
        <f>SUM(Data!$B4:C4)/SUM(Data!$B4:B4)</f>
        <v>3.3532467532467534</v>
      </c>
      <c r="D7" s="10">
        <f>SUM(Data!$B4:D4)/SUM(Data!$B4:C4)</f>
        <v>1.3415956622773044</v>
      </c>
      <c r="E7" s="10">
        <f>SUM(Data!$B4:E4)/SUM(Data!$B4:D4)</f>
        <v>1.1356812933025404</v>
      </c>
      <c r="F7" s="10">
        <f>SUM(Data!$B4:F4)/SUM(Data!$B4:E4)</f>
        <v>1.0406710726995425</v>
      </c>
      <c r="G7" s="10">
        <f>SUM(Data!$B4:G4)/SUM(Data!$B4:F4)</f>
        <v>1.020029311187103</v>
      </c>
      <c r="H7" s="10">
        <f>SUM(Data!$B4:H4)/SUM(Data!$B4:G4)</f>
        <v>1.0076628352490422</v>
      </c>
      <c r="I7" s="10">
        <f>SUM(Data!$B4:I4)/SUM(Data!$B4:H4)</f>
        <v>1.0009505703422052</v>
      </c>
      <c r="J7" s="10">
        <f>SUM(Data!$B4:J4)/SUM(Data!$B4:I4)</f>
        <v>1.0014245014245013</v>
      </c>
      <c r="K7" s="10">
        <f>SUM(Data!$B4:K4)/SUM(Data!$B4:J4)</f>
        <v>1.0009483167377904</v>
      </c>
      <c r="L7" s="10">
        <f>SUM(Data!$B4:L4)/SUM(Data!$B4:K4)</f>
        <v>1.0004737091425864</v>
      </c>
      <c r="M7" s="10">
        <f>SUM(Data!$B4:M4)/SUM(Data!$B4:L4)</f>
        <v>1</v>
      </c>
      <c r="N7" s="10">
        <f>SUM(Data!$B4:N4)/SUM(Data!$B4:M4)</f>
        <v>1</v>
      </c>
      <c r="O7" s="10"/>
      <c r="P7" s="10"/>
      <c r="Q7" s="10"/>
      <c r="R7" s="11"/>
    </row>
    <row r="8" spans="1:18" ht="16" x14ac:dyDescent="0.2">
      <c r="A8" s="8">
        <v>4</v>
      </c>
      <c r="B8" s="9"/>
      <c r="C8" s="10">
        <f>SUM(Data!$B5:C5)/SUM(Data!$B5:B5)</f>
        <v>4.9239130434782608</v>
      </c>
      <c r="D8" s="10">
        <f>SUM(Data!$B5:D5)/SUM(Data!$B5:C5)</f>
        <v>1.5849889624724063</v>
      </c>
      <c r="E8" s="10">
        <f>SUM(Data!$B5:E5)/SUM(Data!$B5:D5)</f>
        <v>1.2200557103064067</v>
      </c>
      <c r="F8" s="10">
        <f>SUM(Data!$B5:F5)/SUM(Data!$B5:E5)</f>
        <v>1.0787671232876712</v>
      </c>
      <c r="G8" s="10">
        <f>SUM(Data!$B5:G5)/SUM(Data!$B5:F5)</f>
        <v>1.0306878306878307</v>
      </c>
      <c r="H8" s="10">
        <f>SUM(Data!$B5:H5)/SUM(Data!$B5:G5)</f>
        <v>1.017453798767967</v>
      </c>
      <c r="I8" s="10">
        <f>SUM(Data!$B5:I5)/SUM(Data!$B5:H5)</f>
        <v>1.0090817356205852</v>
      </c>
      <c r="J8" s="10">
        <f>SUM(Data!$B5:J5)/SUM(Data!$B5:I5)</f>
        <v>1.002</v>
      </c>
      <c r="K8" s="10">
        <f>SUM(Data!$B5:K5)/SUM(Data!$B5:J5)</f>
        <v>1</v>
      </c>
      <c r="L8" s="10">
        <f>SUM(Data!$B5:L5)/SUM(Data!$B5:K5)</f>
        <v>1</v>
      </c>
      <c r="M8" s="10">
        <f>SUM(Data!$B5:M5)/SUM(Data!$B5:L5)</f>
        <v>1</v>
      </c>
      <c r="N8" s="10"/>
      <c r="O8" s="10"/>
      <c r="P8" s="10"/>
      <c r="Q8" s="10"/>
      <c r="R8" s="11"/>
    </row>
    <row r="9" spans="1:18" ht="16" x14ac:dyDescent="0.2">
      <c r="A9" s="8">
        <v>5</v>
      </c>
      <c r="B9" s="9"/>
      <c r="C9" s="10">
        <f>SUM(Data!$B6:C6)/SUM(Data!$B6:B6)</f>
        <v>8.9710144927536231</v>
      </c>
      <c r="D9" s="10">
        <f>SUM(Data!$B6:D6)/SUM(Data!$B6:C6)</f>
        <v>2.0290791599353795</v>
      </c>
      <c r="E9" s="10">
        <f>SUM(Data!$B6:E6)/SUM(Data!$B6:D6)</f>
        <v>1.2945859872611465</v>
      </c>
      <c r="F9" s="10">
        <f>SUM(Data!$B6:F6)/SUM(Data!$B6:E6)</f>
        <v>1.1445264452644526</v>
      </c>
      <c r="G9" s="10">
        <f>SUM(Data!$B6:G6)/SUM(Data!$B6:F6)</f>
        <v>1.0655561526061257</v>
      </c>
      <c r="H9" s="10">
        <f>SUM(Data!$B6:H6)/SUM(Data!$B6:G6)</f>
        <v>1.0267271810388301</v>
      </c>
      <c r="I9" s="10">
        <f>SUM(Data!$B6:I6)/SUM(Data!$B6:H6)</f>
        <v>1.0093320235756384</v>
      </c>
      <c r="J9" s="10">
        <f>SUM(Data!$B6:J6)/SUM(Data!$B6:I6)</f>
        <v>1.0034063260340633</v>
      </c>
      <c r="K9" s="10">
        <f>SUM(Data!$B6:K6)/SUM(Data!$B6:J6)</f>
        <v>1.0019398642095054</v>
      </c>
      <c r="L9" s="10">
        <f>SUM(Data!$B6:L6)/SUM(Data!$B6:K6)</f>
        <v>1.000484027105518</v>
      </c>
      <c r="M9" s="10"/>
      <c r="N9" s="10"/>
      <c r="O9" s="10"/>
      <c r="P9" s="10"/>
      <c r="Q9" s="10"/>
      <c r="R9" s="11"/>
    </row>
    <row r="10" spans="1:18" ht="16" x14ac:dyDescent="0.2">
      <c r="A10" s="8">
        <v>6</v>
      </c>
      <c r="B10" s="9"/>
      <c r="C10" s="10">
        <f>SUM(Data!$B7:C7)/SUM(Data!$B7:B7)</f>
        <v>24.833333333333332</v>
      </c>
      <c r="D10" s="10">
        <f>SUM(Data!$B7:D7)/SUM(Data!$B7:C7)</f>
        <v>2.4228187919463089</v>
      </c>
      <c r="E10" s="10">
        <f>SUM(Data!$B7:E7)/SUM(Data!$B7:D7)</f>
        <v>1.554016620498615</v>
      </c>
      <c r="F10" s="10">
        <f>SUM(Data!$B7:F7)/SUM(Data!$B7:E7)</f>
        <v>1.213903743315508</v>
      </c>
      <c r="G10" s="10">
        <f>SUM(Data!$B7:G7)/SUM(Data!$B7:F7)</f>
        <v>1.1248164464023496</v>
      </c>
      <c r="H10" s="10">
        <f>SUM(Data!$B7:H7)/SUM(Data!$B7:G7)</f>
        <v>1.0496083550913837</v>
      </c>
      <c r="I10" s="10">
        <f>SUM(Data!$B7:I7)/SUM(Data!$B7:H7)</f>
        <v>1.027363184079602</v>
      </c>
      <c r="J10" s="10">
        <f>SUM(Data!$B7:J7)/SUM(Data!$B7:I7)</f>
        <v>1.0072639225181599</v>
      </c>
      <c r="K10" s="10">
        <f>SUM(Data!$B7:K7)/SUM(Data!$B7:J7)</f>
        <v>1.0024038461538463</v>
      </c>
      <c r="L10" s="10"/>
      <c r="M10" s="10"/>
      <c r="N10" s="10"/>
      <c r="O10" s="10"/>
      <c r="P10" s="10"/>
      <c r="Q10" s="10"/>
      <c r="R10" s="11"/>
    </row>
    <row r="11" spans="1:18" ht="16" x14ac:dyDescent="0.2">
      <c r="A11" s="8">
        <v>7</v>
      </c>
      <c r="B11" s="9"/>
      <c r="C11" s="10">
        <f>SUM(Data!$B8:C8)/SUM(Data!$B8:B8)</f>
        <v>3.2571428571428571</v>
      </c>
      <c r="D11" s="10">
        <f>SUM(Data!$B8:D8)/SUM(Data!$B8:C8)</f>
        <v>1.4103313840155944</v>
      </c>
      <c r="E11" s="10">
        <f>SUM(Data!$B8:E8)/SUM(Data!$B8:D8)</f>
        <v>1.1209398756046993</v>
      </c>
      <c r="F11" s="10">
        <f>SUM(Data!$B8:F8)/SUM(Data!$B8:E8)</f>
        <v>1.0536374845869296</v>
      </c>
      <c r="G11" s="10">
        <f>SUM(Data!$B8:G8)/SUM(Data!$B8:F8)</f>
        <v>1.0222352252779403</v>
      </c>
      <c r="H11" s="10">
        <f>SUM(Data!$B8:H8)/SUM(Data!$B8:G8)</f>
        <v>1.0074413279908414</v>
      </c>
      <c r="I11" s="10">
        <f>SUM(Data!$B8:I8)/SUM(Data!$B8:H8)</f>
        <v>1.0022727272727272</v>
      </c>
      <c r="J11" s="10">
        <f>SUM(Data!$B8:J8)/SUM(Data!$B8:I8)</f>
        <v>1.0011337868480725</v>
      </c>
      <c r="K11" s="10"/>
      <c r="L11" s="10"/>
      <c r="M11" s="10"/>
      <c r="N11" s="10"/>
      <c r="O11" s="10"/>
      <c r="P11" s="10"/>
      <c r="Q11" s="10"/>
      <c r="R11" s="11"/>
    </row>
    <row r="12" spans="1:18" ht="16" x14ac:dyDescent="0.2">
      <c r="A12" s="8">
        <v>8</v>
      </c>
      <c r="B12" s="9"/>
      <c r="C12" s="10">
        <f>SUM(Data!$B9:C9)/SUM(Data!$B9:B9)</f>
        <v>4.6923076923076925</v>
      </c>
      <c r="D12" s="10">
        <f>SUM(Data!$B9:D9)/SUM(Data!$B9:C9)</f>
        <v>1.6530054644808743</v>
      </c>
      <c r="E12" s="10">
        <f>SUM(Data!$B9:E9)/SUM(Data!$B9:D9)</f>
        <v>1.1636363636363636</v>
      </c>
      <c r="F12" s="10">
        <f>SUM(Data!$B9:F9)/SUM(Data!$B9:E9)</f>
        <v>1.09375</v>
      </c>
      <c r="G12" s="10">
        <f>SUM(Data!$B9:G9)/SUM(Data!$B9:F9)</f>
        <v>1.0415584415584416</v>
      </c>
      <c r="H12" s="10">
        <f>SUM(Data!$B9:H9)/SUM(Data!$B9:G9)</f>
        <v>1.013715710723192</v>
      </c>
      <c r="I12" s="10">
        <f>SUM(Data!$B9:I9)/SUM(Data!$B9:H9)</f>
        <v>1.0073800738007379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ht="16" x14ac:dyDescent="0.2">
      <c r="A13" s="8">
        <v>9</v>
      </c>
      <c r="B13" s="9"/>
      <c r="C13" s="10">
        <f>SUM(Data!$B10:C10)/SUM(Data!$B10:B10)</f>
        <v>6.8705882352941172</v>
      </c>
      <c r="D13" s="10">
        <f>SUM(Data!$B10:D10)/SUM(Data!$B10:C10)</f>
        <v>1.9503424657534247</v>
      </c>
      <c r="E13" s="10">
        <f>SUM(Data!$B10:E10)/SUM(Data!$B10:D10)</f>
        <v>1.3072870939420544</v>
      </c>
      <c r="F13" s="10">
        <f>SUM(Data!$B10:F10)/SUM(Data!$B10:E10)</f>
        <v>1.1517797179314977</v>
      </c>
      <c r="G13" s="10">
        <f>SUM(Data!$B10:G10)/SUM(Data!$B10:F10)</f>
        <v>1.0658892128279884</v>
      </c>
      <c r="H13" s="10">
        <f>SUM(Data!$B10:H10)/SUM(Data!$B10:G10)</f>
        <v>1.0355579868708971</v>
      </c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6" x14ac:dyDescent="0.2">
      <c r="A14" s="8">
        <v>10</v>
      </c>
      <c r="B14" s="9"/>
      <c r="C14" s="10">
        <f>SUM(Data!$B11:C11)/SUM(Data!$B11:B11)</f>
        <v>9</v>
      </c>
      <c r="D14" s="10">
        <f>SUM(Data!$B11:D11)/SUM(Data!$B11:C11)</f>
        <v>2.617283950617284</v>
      </c>
      <c r="E14" s="10">
        <f>SUM(Data!$B11:E11)/SUM(Data!$B11:D11)</f>
        <v>1.5235849056603774</v>
      </c>
      <c r="F14" s="10">
        <f>SUM(Data!$B11:F11)/SUM(Data!$B11:E11)</f>
        <v>1.2321981424148607</v>
      </c>
      <c r="G14" s="10">
        <f>SUM(Data!$B11:G11)/SUM(Data!$B11:F11)</f>
        <v>1.1055276381909547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6" x14ac:dyDescent="0.2">
      <c r="A15" s="8">
        <v>11</v>
      </c>
      <c r="B15" s="9"/>
      <c r="C15" s="10">
        <f>SUM(Data!$B12:C12)/SUM(Data!$B12:B12)</f>
        <v>3.2567975830815712</v>
      </c>
      <c r="D15" s="10">
        <f>SUM(Data!$B12:D12)/SUM(Data!$B12:C12)</f>
        <v>1.3506493506493507</v>
      </c>
      <c r="E15" s="10">
        <f>SUM(Data!$B12:E12)/SUM(Data!$B12:D12)</f>
        <v>1.1071428571428572</v>
      </c>
      <c r="F15" s="10">
        <f>SUM(Data!$B12:F12)/SUM(Data!$B12:E12)</f>
        <v>1.0440446650124069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6" x14ac:dyDescent="0.2">
      <c r="A16" s="8">
        <v>12</v>
      </c>
      <c r="B16" s="9"/>
      <c r="C16" s="10">
        <f>SUM(Data!$B13:C13)/SUM(Data!$B13:B13)</f>
        <v>5.0597014925373136</v>
      </c>
      <c r="D16" s="10">
        <f>SUM(Data!$B13:D13)/SUM(Data!$B13:C13)</f>
        <v>1.5368731563421829</v>
      </c>
      <c r="E16" s="10">
        <f>SUM(Data!$B13:E13)/SUM(Data!$B13:D13)</f>
        <v>1.2399232245681382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16" x14ac:dyDescent="0.2">
      <c r="A17" s="8">
        <v>13</v>
      </c>
      <c r="B17" s="9"/>
      <c r="C17" s="10">
        <f>SUM(Data!$B14:C14)/SUM(Data!$B14:B14)</f>
        <v>7.9833333333333334</v>
      </c>
      <c r="D17" s="10">
        <f>SUM(Data!$B14:D14)/SUM(Data!$B14:C14)</f>
        <v>1.9123173277661796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6" x14ac:dyDescent="0.2">
      <c r="A18" s="8">
        <v>14</v>
      </c>
      <c r="B18" s="9"/>
      <c r="C18" s="10">
        <f>SUM(Data!$B15:C15)/SUM(Data!$B15:B15)</f>
        <v>16.363636363636363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16" x14ac:dyDescent="0.2">
      <c r="A19" s="8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1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8" ht="16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 ht="16" x14ac:dyDescent="0.2">
      <c r="A22" s="3" t="s">
        <v>3</v>
      </c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8" ht="16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8" ht="16" x14ac:dyDescent="0.2">
      <c r="A24" s="7" t="s">
        <v>4</v>
      </c>
      <c r="B24" s="7" t="s">
        <v>5</v>
      </c>
      <c r="C24" s="13">
        <f>(SUM(Data!$B1:C15))/SUM(Data!$B1:B15)</f>
        <v>4.7462863933452173</v>
      </c>
      <c r="D24" s="13">
        <f>SUM(Data!$B1:D14)/SUM(Data!$B1:C14)</f>
        <v>1.6607325819672132</v>
      </c>
      <c r="E24" s="13">
        <f>SUM(Data!$B1:E13)/SUM(Data!$B1:D13)</f>
        <v>1.2397311426437641</v>
      </c>
      <c r="F24" s="13">
        <f>SUM(Data!$B1:F12)/SUM(Data!$B1:E12)</f>
        <v>1.1103959703372044</v>
      </c>
      <c r="G24" s="13">
        <f>SUM(Data!$B1:G11)/SUM(Data!$B1:F11)</f>
        <v>1.0538445274508421</v>
      </c>
      <c r="H24" s="13">
        <f>SUM(Data!$B1:H10)/SUM(Data!$B1:G10)</f>
        <v>1.0232359837987637</v>
      </c>
      <c r="I24" s="13">
        <f>SUM(Data!$B1:I9)/SUM(Data!$B1:H9)</f>
        <v>1.0090349404333574</v>
      </c>
      <c r="J24" s="13">
        <f>SUM(Data!$B1:J8)/SUM(Data!$B1:I8)</f>
        <v>1.0039827133293788</v>
      </c>
      <c r="K24" s="13">
        <f>SUM(Data!$B1:K7)/SUM(Data!$B1:J7)</f>
        <v>1.0019837333862329</v>
      </c>
      <c r="L24" s="13">
        <f>SUM(Data!$B1:L6)/SUM(Data!$B1:K6)</f>
        <v>1.0007552870090635</v>
      </c>
      <c r="M24" s="13">
        <f>SUM(Data!$B1:L5)/SUM(Data!$B1:L5)</f>
        <v>1</v>
      </c>
      <c r="N24" s="13">
        <f>SUM(Data!$B1:M4)/SUM(Data!$B1:M4)</f>
        <v>1</v>
      </c>
      <c r="O24" s="13">
        <f>SUM(Data!$B1:O3)/SUM(Data!$B1:N3)</f>
        <v>1.0002440810349036</v>
      </c>
      <c r="P24" s="13">
        <f>SUM(Data!$B1:P2)/SUM(Data!$B1:O2)</f>
        <v>1</v>
      </c>
      <c r="Q24" s="13">
        <f>SUM(Data!$B1:Q1)/SUM(Data!$B1:P1)</f>
        <v>1</v>
      </c>
      <c r="R24" s="13"/>
    </row>
    <row r="25" spans="1:18" ht="16" x14ac:dyDescent="0.2">
      <c r="A25" s="7"/>
      <c r="B25" s="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5"/>
      <c r="P25" s="15"/>
      <c r="Q25" s="15"/>
      <c r="R25" s="15"/>
    </row>
    <row r="26" spans="1:18" ht="16" x14ac:dyDescent="0.2">
      <c r="B26" s="7" t="s">
        <v>6</v>
      </c>
      <c r="C26" s="13">
        <f ca="1">(SUM(Data!$B$1:INDIRECT("Data!"&amp;ADDRESS(15-C2,3+C2))))/SUM(Data!$B$1:INDIRECT("Data!"&amp;ADDRESS(15-C2,2+C2)))</f>
        <v>4.7462863933452173</v>
      </c>
      <c r="D26" s="13">
        <f ca="1">SUM(Data!$B$1:INDIRECT("Data!"&amp;ADDRESS(15-D2,3+D2)))/SUM(Data!$B$1:INDIRECT("Data!"&amp;ADDRESS(15-D2,2+D2)))</f>
        <v>1.6607325819672132</v>
      </c>
      <c r="E26" s="13">
        <f ca="1">SUM(Data!$B$1:INDIRECT("Data!"&amp;ADDRESS(15-E2,3+E2)))/SUM(Data!$B$1:INDIRECT("Data!"&amp;ADDRESS(15-E2,2+E2)))</f>
        <v>1.2397311426437641</v>
      </c>
      <c r="F26" s="13">
        <f ca="1">SUM(Data!$B$1:INDIRECT("Data!"&amp;ADDRESS(15-F2,3+F2)))/SUM(Data!$B$1:INDIRECT("Data!"&amp;ADDRESS(15-F2,2+F2)))</f>
        <v>1.1103959703372044</v>
      </c>
      <c r="G26" s="13">
        <f ca="1">SUM(Data!$B$1:INDIRECT("Data!"&amp;ADDRESS(15-G2,3+G2)))/SUM(Data!$B$1:INDIRECT("Data!"&amp;ADDRESS(15-G2,2+G2)))</f>
        <v>1.0538445274508421</v>
      </c>
      <c r="H26" s="13">
        <f ca="1">SUM(Data!$B$1:INDIRECT("Data!"&amp;ADDRESS(15-H2,3+H2)))/SUM(Data!$B$1:INDIRECT("Data!"&amp;ADDRESS(15-H2,2+H2)))</f>
        <v>1.0232359837987637</v>
      </c>
      <c r="I26" s="13">
        <f ca="1">SUM(Data!$B$1:INDIRECT("Data!"&amp;ADDRESS(15-I2,3+I2)))/SUM(Data!$B$1:INDIRECT("Data!"&amp;ADDRESS(15-I2,2+I2)))</f>
        <v>1.0090349404333574</v>
      </c>
      <c r="J26" s="13">
        <f ca="1">SUM(Data!$B$1:INDIRECT("Data!"&amp;ADDRESS(15-J2,3+J2)))/SUM(Data!$B$1:INDIRECT("Data!"&amp;ADDRESS(15-J2,2+J2)))</f>
        <v>1.0039827133293788</v>
      </c>
      <c r="K26" s="13">
        <f ca="1">SUM(Data!$B$1:INDIRECT("Data!"&amp;ADDRESS(15-K2,3+K2)))/SUM(Data!$B$1:INDIRECT("Data!"&amp;ADDRESS(15-K2,2+K2)))</f>
        <v>1.0019837333862329</v>
      </c>
      <c r="L26" s="13">
        <f ca="1">SUM(Data!$B$1:INDIRECT("Data!"&amp;ADDRESS(15-L2,3+L2)))/SUM(Data!$B$1:INDIRECT("Data!"&amp;ADDRESS(15-L2,2+L2)))</f>
        <v>1.0007552870090635</v>
      </c>
      <c r="M26" s="13">
        <f ca="1">SUM(Data!$B$1:INDIRECT("Data!"&amp;ADDRESS(15-M2,3+M2)))/SUM(Data!$B$1:INDIRECT("Data!"&amp;ADDRESS(15-M2,2+M2)))</f>
        <v>1.0002774694783574</v>
      </c>
      <c r="N26" s="13">
        <f ca="1">SUM(Data!$B$1:INDIRECT("Data!"&amp;ADDRESS(15-N2,3+N2)))/SUM(Data!$B$1:INDIRECT("Data!"&amp;ADDRESS(15-N2,2+N2)))</f>
        <v>1.0001610824742269</v>
      </c>
      <c r="O26" s="13">
        <f ca="1">SUM(Data!$B$1:INDIRECT("Data!"&amp;ADDRESS(15-O2,3+O2)))/SUM(Data!$B$1:INDIRECT("Data!"&amp;ADDRESS(15-O2,2+O2)))</f>
        <v>1.0002440810349036</v>
      </c>
      <c r="P26" s="13">
        <f ca="1">SUM(Data!$B$1:INDIRECT("Data!"&amp;ADDRESS(15-P2,3+P2)))/SUM(Data!$B$1:INDIRECT("Data!"&amp;ADDRESS(15-P2,2+P2)))</f>
        <v>1</v>
      </c>
      <c r="Q26" s="13">
        <f ca="1">SUM(Data!$B$1:INDIRECT("Data!"&amp;ADDRESS(15-Q2,3+Q2)))/SUM(Data!$B$1:INDIRECT("Data!"&amp;ADDRESS(15-Q2,2+Q2)))</f>
        <v>1</v>
      </c>
      <c r="R26" s="16"/>
    </row>
    <row r="27" spans="1:18" ht="16" x14ac:dyDescent="0.2">
      <c r="B27" s="7"/>
    </row>
    <row r="28" spans="1:18" ht="16" x14ac:dyDescent="0.2">
      <c r="B28" s="4" t="s">
        <v>7</v>
      </c>
      <c r="C28" s="13">
        <f ca="1">(SUM(OFFSET(Data!$B$1:$Q$15,0,0,15-C2,2+C2)))/SUM(OFFSET(Data!$B$1:$Q$15,0,0,15-C2,1+C2))</f>
        <v>4.7462863933452173</v>
      </c>
      <c r="D28" s="13">
        <f ca="1">(SUM(OFFSET(Data!$B$1:$Q$15,0,0,15-D2,2+D2)))/SUM(OFFSET(Data!$B$1:$Q$15,0,0,15-D2,1+D2))</f>
        <v>1.6607325819672132</v>
      </c>
      <c r="E28" s="13">
        <f ca="1">(SUM(OFFSET(Data!$B$1:$Q$15,0,0,15-E2,2+E2)))/SUM(OFFSET(Data!$B$1:$Q$15,0,0,15-E2,1+E2))</f>
        <v>1.2397311426437641</v>
      </c>
      <c r="F28" s="13">
        <f ca="1">(SUM(OFFSET(Data!$B$1:$Q$15,0,0,15-F2,2+F2)))/SUM(OFFSET(Data!$B$1:$Q$15,0,0,15-F2,1+F2))</f>
        <v>1.1103959703372044</v>
      </c>
      <c r="G28" s="13">
        <f ca="1">(SUM(OFFSET(Data!$B$1:$Q$15,0,0,15-G2,2+G2)))/SUM(OFFSET(Data!$B$1:$Q$15,0,0,15-G2,1+G2))</f>
        <v>1.0538445274508421</v>
      </c>
      <c r="H28" s="13">
        <f ca="1">(SUM(OFFSET(Data!$B$1:$Q$15,0,0,15-H2,2+H2)))/SUM(OFFSET(Data!$B$1:$Q$15,0,0,15-H2,1+H2))</f>
        <v>1.0232359837987637</v>
      </c>
      <c r="I28" s="13">
        <f ca="1">(SUM(OFFSET(Data!$B$1:$Q$15,0,0,15-I2,2+I2)))/SUM(OFFSET(Data!$B$1:$Q$15,0,0,15-I2,1+I2))</f>
        <v>1.0090349404333574</v>
      </c>
      <c r="J28" s="13">
        <f ca="1">(SUM(OFFSET(Data!$B$1:$Q$15,0,0,15-J2,2+J2)))/SUM(OFFSET(Data!$B$1:$Q$15,0,0,15-J2,1+J2))</f>
        <v>1.0039827133293788</v>
      </c>
      <c r="K28" s="13">
        <f ca="1">(SUM(OFFSET(Data!$B$1:$Q$15,0,0,15-K2,2+K2)))/SUM(OFFSET(Data!$B$1:$Q$15,0,0,15-K2,1+K2))</f>
        <v>1.0019837333862329</v>
      </c>
      <c r="L28" s="13">
        <f ca="1">(SUM(OFFSET(Data!$B$1:$Q$15,0,0,15-L2,2+L2)))/SUM(OFFSET(Data!$B$1:$Q$15,0,0,15-L2,1+L2))</f>
        <v>1.0007552870090635</v>
      </c>
      <c r="M28" s="13">
        <f ca="1">(SUM(OFFSET(Data!$B$1:$Q$15,0,0,15-M2,2+M2)))/SUM(OFFSET(Data!$B$1:$Q$15,0,0,15-M2,1+M2))</f>
        <v>1.0002774694783574</v>
      </c>
      <c r="N28" s="13">
        <f ca="1">(SUM(OFFSET(Data!$B$1:$Q$15,0,0,15-N2,2+N2)))/SUM(OFFSET(Data!$B$1:$Q$15,0,0,15-N2,1+N2))</f>
        <v>1.0001610824742269</v>
      </c>
      <c r="O28" s="13">
        <f ca="1">(SUM(OFFSET(Data!$B$1:$Q$15,0,0,15-O2,2+O2)))/SUM(OFFSET(Data!$B$1:$Q$15,0,0,15-O2,1+O2))</f>
        <v>1.0002440810349036</v>
      </c>
      <c r="P28" s="13">
        <f ca="1">(SUM(OFFSET(Data!$B$1:$Q$15,0,0,15-P2,2+P2)))/SUM(OFFSET(Data!$B$1:$Q$15,0,0,15-P2,1+P2))</f>
        <v>1</v>
      </c>
      <c r="Q28" s="13">
        <f ca="1">(SUM(OFFSET(Data!$B$1:$Q$15,0,0,15-Q2,2+Q2)))/SUM(OFFSET(Data!$B$1:$Q$15,0,0,15-Q2,1+Q2))</f>
        <v>1</v>
      </c>
      <c r="R28" s="16"/>
    </row>
    <row r="30" spans="1:18" ht="16" x14ac:dyDescent="0.2">
      <c r="A30" s="7" t="s">
        <v>8</v>
      </c>
      <c r="B30" s="7" t="s">
        <v>5</v>
      </c>
      <c r="C30" s="17">
        <f>(SUM(Data!$B10:C15))/SUM(Data!$B10:B15)</f>
        <v>4.9335664335664333</v>
      </c>
      <c r="D30" s="17">
        <f>SUM(Data!$B9:D14)/SUM(Data!$B9:C14)</f>
        <v>1.6825132978723405</v>
      </c>
      <c r="E30" s="17">
        <f>SUM(Data!$B8:E13)/SUM(Data!$B8:D13)</f>
        <v>1.2015379113018598</v>
      </c>
      <c r="F30" s="17">
        <f>SUM(Data!$B7:F12)/SUM(Data!$B7:E12)</f>
        <v>1.1085318058486584</v>
      </c>
      <c r="G30" s="17">
        <f>SUM(Data!$B6:G11)/SUM(Data!$B6:F11)</f>
        <v>1.0629314922995221</v>
      </c>
      <c r="H30" s="17">
        <f>SUM(Data!$B5:H10)/SUM(Data!$B5:G10)</f>
        <v>1.0243209876543209</v>
      </c>
      <c r="I30" s="17">
        <f>SUM(Data!$B4:I9)/SUM(Data!$B4:H9)</f>
        <v>1.0072872590503057</v>
      </c>
      <c r="J30" s="17">
        <f>SUM(Data!$B3:J8)/SUM(Data!$B3:I8)</f>
        <v>1.0035489410417859</v>
      </c>
      <c r="K30" s="17">
        <f>SUM(Data!$B2:K7)/SUM(Data!$B2:J7)</f>
        <v>1.0021094704119018</v>
      </c>
      <c r="L30" s="17">
        <f>SUM(Data!$B1:L6)/SUM(Data!$B1:K6)</f>
        <v>1.0007552870090635</v>
      </c>
      <c r="M30" s="14"/>
      <c r="N30" s="14"/>
    </row>
    <row r="31" spans="1:18" ht="16" x14ac:dyDescent="0.2">
      <c r="O31" s="14"/>
      <c r="P31" s="14"/>
      <c r="Q31" s="14"/>
      <c r="R31" s="14"/>
    </row>
    <row r="32" spans="1:18" ht="16" x14ac:dyDescent="0.2">
      <c r="A32" s="7"/>
      <c r="B32" s="7" t="s">
        <v>6</v>
      </c>
      <c r="C32" s="17">
        <f ca="1">(SUM(INDIRECT("Data!"&amp;ADDRESS(10-C2,2)):INDIRECT("Data!"&amp;ADDRESS(15-C2,3+C2))))/SUM(INDIRECT("Data!"&amp;ADDRESS(10-C2,2)):INDIRECT("Data!"&amp;ADDRESS(15-C2,2+C2)))</f>
        <v>4.9335664335664333</v>
      </c>
      <c r="D32" s="17">
        <f ca="1">(SUM(INDIRECT("Data!"&amp;ADDRESS(10-D2,2)):INDIRECT("Data!"&amp;ADDRESS(15-D2,3+D2))))/SUM(INDIRECT("Data!"&amp;ADDRESS(10-D2,2)):INDIRECT("Data!"&amp;ADDRESS(15-D2,2+D2)))</f>
        <v>1.6825132978723405</v>
      </c>
      <c r="E32" s="17">
        <f ca="1">(SUM(INDIRECT("Data!"&amp;ADDRESS(10-E2,2)):INDIRECT("Data!"&amp;ADDRESS(15-E2,3+E2))))/SUM(INDIRECT("Data!"&amp;ADDRESS(10-E2,2)):INDIRECT("Data!"&amp;ADDRESS(15-E2,2+E2)))</f>
        <v>1.2015379113018598</v>
      </c>
      <c r="F32" s="17">
        <f ca="1">(SUM(INDIRECT("Data!"&amp;ADDRESS(10-F2,2)):INDIRECT("Data!"&amp;ADDRESS(15-F2,3+F2))))/SUM(INDIRECT("Data!"&amp;ADDRESS(10-F2,2)):INDIRECT("Data!"&amp;ADDRESS(15-F2,2+F2)))</f>
        <v>1.1085318058486584</v>
      </c>
      <c r="G32" s="17">
        <f ca="1">(SUM(INDIRECT("Data!"&amp;ADDRESS(10-G2,2)):INDIRECT("Data!"&amp;ADDRESS(15-G2,3+G2))))/SUM(INDIRECT("Data!"&amp;ADDRESS(10-G2,2)):INDIRECT("Data!"&amp;ADDRESS(15-G2,2+G2)))</f>
        <v>1.0629314922995221</v>
      </c>
      <c r="H32" s="17">
        <f ca="1">(SUM(INDIRECT("Data!"&amp;ADDRESS(10-H2,2)):INDIRECT("Data!"&amp;ADDRESS(15-H2,3+H2))))/SUM(INDIRECT("Data!"&amp;ADDRESS(10-H2,2)):INDIRECT("Data!"&amp;ADDRESS(15-H2,2+H2)))</f>
        <v>1.0243209876543209</v>
      </c>
      <c r="I32" s="17">
        <f ca="1">(SUM(INDIRECT("Data!"&amp;ADDRESS(10-I2,2)):INDIRECT("Data!"&amp;ADDRESS(15-I2,3+I2))))/SUM(INDIRECT("Data!"&amp;ADDRESS(10-I2,2)):INDIRECT("Data!"&amp;ADDRESS(15-I2,2+I2)))</f>
        <v>1.0072872590503057</v>
      </c>
      <c r="J32" s="17">
        <f ca="1">(SUM(INDIRECT("Data!"&amp;ADDRESS(10-J2,2)):INDIRECT("Data!"&amp;ADDRESS(15-J2,3+J2))))/SUM(INDIRECT("Data!"&amp;ADDRESS(10-J2,2)):INDIRECT("Data!"&amp;ADDRESS(15-J2,2+J2)))</f>
        <v>1.0035489410417859</v>
      </c>
      <c r="K32" s="17">
        <f ca="1">(SUM(INDIRECT("Data!"&amp;ADDRESS(10-K2,2)):INDIRECT("Data!"&amp;ADDRESS(15-K2,3+K2))))/SUM(INDIRECT("Data!"&amp;ADDRESS(10-K2,2)):INDIRECT("Data!"&amp;ADDRESS(15-K2,2+K2)))</f>
        <v>1.0021094704119018</v>
      </c>
      <c r="L32" s="17">
        <f ca="1">(SUM(INDIRECT("Data!"&amp;ADDRESS(10-L2,2)):INDIRECT("Data!"&amp;ADDRESS(15-L2,3+L2))))/SUM(INDIRECT("Data!"&amp;ADDRESS(10-L2,2)):INDIRECT("Data!"&amp;ADDRESS(15-L2,2+L2)))</f>
        <v>1.0007552870090635</v>
      </c>
      <c r="M32" s="14"/>
      <c r="N32" s="15"/>
      <c r="O32" s="15"/>
      <c r="P32" s="15"/>
      <c r="Q32" s="15"/>
      <c r="R32" s="15"/>
    </row>
    <row r="34" spans="1:18" x14ac:dyDescent="0.15">
      <c r="B34" s="4" t="s">
        <v>7</v>
      </c>
      <c r="C34" s="18">
        <f ca="1">(SUM(OFFSET(Data!$B$10:$Q$15,-C2,0,,2+C2)))/SUM(OFFSET(Data!$B$10:$Q$15,-C2,0,,1+C2))</f>
        <v>4.9335664335664333</v>
      </c>
      <c r="D34" s="18">
        <f ca="1">(SUM(OFFSET(Data!$B$10:$Q$15,-D2,0,,2+D2)))/SUM(OFFSET(Data!$B$10:$Q$15,-D2,0,,1+D2))</f>
        <v>1.6825132978723405</v>
      </c>
      <c r="E34" s="18">
        <f ca="1">(SUM(OFFSET(Data!$B$10:$Q$15,-E2,0,,2+E2)))/SUM(OFFSET(Data!$B$10:$Q$15,-E2,0,,1+E2))</f>
        <v>1.2015379113018598</v>
      </c>
      <c r="F34" s="18">
        <f ca="1">(SUM(OFFSET(Data!$B$10:$Q$15,-F2,0,,2+F2)))/SUM(OFFSET(Data!$B$10:$Q$15,-F2,0,,1+F2))</f>
        <v>1.1085318058486584</v>
      </c>
      <c r="G34" s="18">
        <f ca="1">(SUM(OFFSET(Data!$B$10:$Q$15,-G2,0,,2+G2)))/SUM(OFFSET(Data!$B$10:$Q$15,-G2,0,,1+G2))</f>
        <v>1.0629314922995221</v>
      </c>
      <c r="H34" s="18">
        <f ca="1">(SUM(OFFSET(Data!$B$10:$Q$15,-H2,0,,2+H2)))/SUM(OFFSET(Data!$B$10:$Q$15,-H2,0,,1+H2))</f>
        <v>1.0243209876543209</v>
      </c>
      <c r="I34" s="18">
        <f ca="1">(SUM(OFFSET(Data!$B$10:$Q$15,-I2,0,,2+I2)))/SUM(OFFSET(Data!$B$10:$Q$15,-I2,0,,1+I2))</f>
        <v>1.0072872590503057</v>
      </c>
      <c r="J34" s="18">
        <f ca="1">(SUM(OFFSET(Data!$B$10:$Q$15,-J2,0,,2+J2)))/SUM(OFFSET(Data!$B$10:$Q$15,-J2,0,,1+J2))</f>
        <v>1.0035489410417859</v>
      </c>
      <c r="K34" s="18">
        <f ca="1">(SUM(OFFSET(Data!$B$10:$Q$15,-K2,0,,2+K2)))/SUM(OFFSET(Data!$B$10:$Q$15,-K2,0,,1+K2))</f>
        <v>1.0021094704119018</v>
      </c>
      <c r="L34" s="18">
        <f ca="1">(SUM(OFFSET(Data!$B$10:$Q$15,-L2,0,,2+L2)))/SUM(OFFSET(Data!$B$10:$Q$15,-L2,0,,1+L2))</f>
        <v>1.0007552870090635</v>
      </c>
    </row>
    <row r="36" spans="1:18" ht="16" x14ac:dyDescent="0.2">
      <c r="A36" s="7" t="s">
        <v>9</v>
      </c>
      <c r="B36" s="7" t="s">
        <v>5</v>
      </c>
      <c r="C36" s="19">
        <f>(SUM(Data!$B13:C15))/SUM(Data!$B13:B15)</f>
        <v>7.2318840579710146</v>
      </c>
      <c r="D36" s="19">
        <f>SUM(Data!$B12:D14)/SUM(Data!$B12:C14)</f>
        <v>1.5258438818565401</v>
      </c>
      <c r="E36" s="19">
        <f>SUM(Data!$B11:E13)/SUM(Data!$B11:D13)</f>
        <v>1.2094960433152853</v>
      </c>
      <c r="F36" s="19">
        <f>SUM(Data!$B10:F12)/SUM(Data!$B10:E12)</f>
        <v>1.1192954363490792</v>
      </c>
      <c r="G36" s="19">
        <f>SUM(Data!$B9:G11)/SUM(Data!$B9:F11)</f>
        <v>1.0697957939652545</v>
      </c>
      <c r="H36" s="19">
        <f>SUM(Data!$B8:H10)/SUM(Data!$B8:G10)</f>
        <v>1.0203335618003198</v>
      </c>
      <c r="I36" s="19">
        <f>SUM(Data!$B7:I9)/SUM(Data!$B7:H9)</f>
        <v>1.0094758661533907</v>
      </c>
      <c r="J36" s="19">
        <f>SUM(Data!$B6:J8)/SUM(Data!$B6:I8)</f>
        <v>1.0032292787944026</v>
      </c>
      <c r="K36" s="19">
        <f>SUM(Data!$B5:K7)/SUM(Data!$B5:J7)</f>
        <v>1.0015400410677617</v>
      </c>
      <c r="L36" s="19">
        <f>SUM(Data!$B4:L6)/SUM(Data!$B4:K6)</f>
        <v>1.0003861749372465</v>
      </c>
      <c r="M36" s="19">
        <f>SUM(Data!$B3:M5)/SUM(Data!$B3:L5)</f>
        <v>1</v>
      </c>
      <c r="N36" s="19">
        <f>SUM(Data!$B2:N4)/SUM(Data!$B2:M4)</f>
        <v>1</v>
      </c>
      <c r="O36" s="19">
        <f>SUM(Data!$B1:O3)/SUM(Data!$B1:N3)</f>
        <v>1.0002440810349036</v>
      </c>
    </row>
    <row r="37" spans="1:18" ht="16" x14ac:dyDescent="0.2">
      <c r="A37" s="7"/>
      <c r="B37" s="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/>
    </row>
    <row r="38" spans="1:18" ht="16" x14ac:dyDescent="0.2">
      <c r="B38" s="4" t="s">
        <v>6</v>
      </c>
      <c r="C38" s="19">
        <f ca="1">(SUM(INDIRECT("Data!"&amp;ADDRESS(13-C2,2)):INDIRECT("Data!"&amp;ADDRESS(15-C2,3+C2))))/SUM(INDIRECT("Data!"&amp;ADDRESS(13-C2,2)):INDIRECT("Data!"&amp;ADDRESS(15-C2,2+C2)))</f>
        <v>7.2318840579710146</v>
      </c>
      <c r="D38" s="19">
        <f ca="1">(SUM(INDIRECT("Data!"&amp;ADDRESS(13-D2,2)):INDIRECT("Data!"&amp;ADDRESS(15-D2,3+D2))))/SUM(INDIRECT("Data!"&amp;ADDRESS(13-D2,2)):INDIRECT("Data!"&amp;ADDRESS(15-D2,2+D2)))</f>
        <v>1.5258438818565401</v>
      </c>
      <c r="E38" s="19">
        <f ca="1">(SUM(INDIRECT("Data!"&amp;ADDRESS(13-E2,2)):INDIRECT("Data!"&amp;ADDRESS(15-E2,3+E2))))/SUM(INDIRECT("Data!"&amp;ADDRESS(13-E2,2)):INDIRECT("Data!"&amp;ADDRESS(15-E2,2+E2)))</f>
        <v>1.2094960433152853</v>
      </c>
      <c r="F38" s="19">
        <f ca="1">(SUM(INDIRECT("Data!"&amp;ADDRESS(13-F2,2)):INDIRECT("Data!"&amp;ADDRESS(15-F2,3+F2))))/SUM(INDIRECT("Data!"&amp;ADDRESS(13-F2,2)):INDIRECT("Data!"&amp;ADDRESS(15-F2,2+F2)))</f>
        <v>1.1192954363490792</v>
      </c>
      <c r="G38" s="19">
        <f ca="1">(SUM(INDIRECT("Data!"&amp;ADDRESS(13-G2,2)):INDIRECT("Data!"&amp;ADDRESS(15-G2,3+G2))))/SUM(INDIRECT("Data!"&amp;ADDRESS(13-G2,2)):INDIRECT("Data!"&amp;ADDRESS(15-G2,2+G2)))</f>
        <v>1.0697957939652545</v>
      </c>
      <c r="H38" s="19">
        <f ca="1">(SUM(INDIRECT("Data!"&amp;ADDRESS(13-H2,2)):INDIRECT("Data!"&amp;ADDRESS(15-H2,3+H2))))/SUM(INDIRECT("Data!"&amp;ADDRESS(13-H2,2)):INDIRECT("Data!"&amp;ADDRESS(15-H2,2+H2)))</f>
        <v>1.0203335618003198</v>
      </c>
      <c r="I38" s="19">
        <f ca="1">(SUM(INDIRECT("Data!"&amp;ADDRESS(13-I2,2)):INDIRECT("Data!"&amp;ADDRESS(15-I2,3+I2))))/SUM(INDIRECT("Data!"&amp;ADDRESS(13-I2,2)):INDIRECT("Data!"&amp;ADDRESS(15-I2,2+I2)))</f>
        <v>1.0094758661533907</v>
      </c>
      <c r="J38" s="19">
        <f ca="1">(SUM(INDIRECT("Data!"&amp;ADDRESS(13-J2,2)):INDIRECT("Data!"&amp;ADDRESS(15-J2,3+J2))))/SUM(INDIRECT("Data!"&amp;ADDRESS(13-J2,2)):INDIRECT("Data!"&amp;ADDRESS(15-J2,2+J2)))</f>
        <v>1.0032292787944026</v>
      </c>
      <c r="K38" s="19">
        <f ca="1">(SUM(INDIRECT("Data!"&amp;ADDRESS(13-K2,2)):INDIRECT("Data!"&amp;ADDRESS(15-K2,3+K2))))/SUM(INDIRECT("Data!"&amp;ADDRESS(13-K2,2)):INDIRECT("Data!"&amp;ADDRESS(15-K2,2+K2)))</f>
        <v>1.0015400410677617</v>
      </c>
      <c r="L38" s="19">
        <f ca="1">(SUM(INDIRECT("Data!"&amp;ADDRESS(13-L2,2)):INDIRECT("Data!"&amp;ADDRESS(15-L2,3+L2))))/SUM(INDIRECT("Data!"&amp;ADDRESS(13-L2,2)):INDIRECT("Data!"&amp;ADDRESS(15-L2,2+L2)))</f>
        <v>1.0003861749372465</v>
      </c>
      <c r="M38" s="19">
        <f ca="1">(SUM(INDIRECT("Data!"&amp;ADDRESS(13-M2,2)):INDIRECT("Data!"&amp;ADDRESS(15-M2,3+M2))))/SUM(INDIRECT("Data!"&amp;ADDRESS(13-M2,2)):INDIRECT("Data!"&amp;ADDRESS(15-M2,2+M2)))</f>
        <v>1</v>
      </c>
      <c r="N38" s="19">
        <f ca="1">(SUM(INDIRECT("Data!"&amp;ADDRESS(13-N2,2)):INDIRECT("Data!"&amp;ADDRESS(15-N2,3+N2))))/SUM(INDIRECT("Data!"&amp;ADDRESS(13-N2,2)):INDIRECT("Data!"&amp;ADDRESS(15-N2,2+N2)))</f>
        <v>1</v>
      </c>
      <c r="O38" s="19">
        <f ca="1">(SUM(INDIRECT("Data!"&amp;ADDRESS(13-O2,2)):INDIRECT("Data!"&amp;ADDRESS(15-O2,3+O2))))/SUM(INDIRECT("Data!"&amp;ADDRESS(13-O2,2)):INDIRECT("Data!"&amp;ADDRESS(15-O2,2+O2)))</f>
        <v>1.0002440810349036</v>
      </c>
    </row>
    <row r="39" spans="1:18" ht="16" x14ac:dyDescent="0.2">
      <c r="P39" s="14"/>
      <c r="Q39" s="15"/>
      <c r="R39" s="15"/>
    </row>
    <row r="40" spans="1:18" x14ac:dyDescent="0.15">
      <c r="B40" s="4" t="s">
        <v>7</v>
      </c>
      <c r="C40" s="20">
        <f ca="1">(SUM(OFFSET(Data!$B$13:$Q$15,-C2,0,,2+C2)))/SUM(OFFSET(Data!$B$13:$Q$15,-C2,0,,1+C2))</f>
        <v>7.2318840579710146</v>
      </c>
      <c r="D40" s="20">
        <f ca="1">(SUM(OFFSET(Data!$B$13:$Q$15,-D2,0,,2+D2)))/SUM(OFFSET(Data!$B$13:$Q$15,-D2,0,,1+D2))</f>
        <v>1.5258438818565401</v>
      </c>
      <c r="E40" s="20">
        <f ca="1">(SUM(OFFSET(Data!$B$13:$Q$15,-E2,0,,2+E2)))/SUM(OFFSET(Data!$B$13:$Q$15,-E2,0,,1+E2))</f>
        <v>1.2094960433152853</v>
      </c>
      <c r="F40" s="20">
        <f ca="1">(SUM(OFFSET(Data!$B$13:$Q$15,-F2,0,,2+F2)))/SUM(OFFSET(Data!$B$13:$Q$15,-F2,0,,1+F2))</f>
        <v>1.1192954363490792</v>
      </c>
      <c r="G40" s="20">
        <f ca="1">(SUM(OFFSET(Data!$B$13:$Q$15,-G2,0,,2+G2)))/SUM(OFFSET(Data!$B$13:$Q$15,-G2,0,,1+G2))</f>
        <v>1.0697957939652545</v>
      </c>
      <c r="H40" s="20">
        <f ca="1">(SUM(OFFSET(Data!$B$13:$Q$15,-H2,0,,2+H2)))/SUM(OFFSET(Data!$B$13:$Q$15,-H2,0,,1+H2))</f>
        <v>1.0203335618003198</v>
      </c>
      <c r="I40" s="20">
        <f ca="1">(SUM(OFFSET(Data!$B$13:$Q$15,-I2,0,,2+I2)))/SUM(OFFSET(Data!$B$13:$Q$15,-I2,0,,1+I2))</f>
        <v>1.0094758661533907</v>
      </c>
      <c r="J40" s="20">
        <f ca="1">(SUM(OFFSET(Data!$B$13:$Q$15,-J2,0,,2+J2)))/SUM(OFFSET(Data!$B$13:$Q$15,-J2,0,,1+J2))</f>
        <v>1.0032292787944026</v>
      </c>
      <c r="K40" s="20">
        <f ca="1">(SUM(OFFSET(Data!$B$13:$Q$15,-K2,0,,2+K2)))/SUM(OFFSET(Data!$B$13:$Q$15,-K2,0,,1+K2))</f>
        <v>1.0015400410677617</v>
      </c>
      <c r="L40" s="20">
        <f ca="1">(SUM(OFFSET(Data!$B$13:$Q$15,-L2,0,,2+L2)))/SUM(OFFSET(Data!$B$13:$Q$15,-L2,0,,1+L2))</f>
        <v>1.0003861749372465</v>
      </c>
      <c r="M40" s="20">
        <f ca="1">(SUM(OFFSET(Data!$B$13:$Q$15,-M2,0,,2+M2)))/SUM(OFFSET(Data!$B$13:$Q$15,-M2,0,,1+M2))</f>
        <v>1</v>
      </c>
      <c r="N40" s="20">
        <f ca="1">(SUM(OFFSET(Data!$B$13:$Q$15,-N2,0,,2+N2)))/SUM(OFFSET(Data!$B$13:$Q$15,-N2,0,,1+N2))</f>
        <v>1</v>
      </c>
      <c r="O40" s="20">
        <f ca="1">(SUM(OFFSET(Data!$B$13:$Q$15,-O2,0,,2+O2)))/SUM(OFFSET(Data!$B$13:$Q$15,-O2,0,,1+O2))</f>
        <v>1.0002440810349036</v>
      </c>
      <c r="P40" s="15"/>
      <c r="Q40" s="15"/>
      <c r="R40" s="15"/>
    </row>
    <row r="41" spans="1:18" x14ac:dyDescent="0.15">
      <c r="R41" s="15"/>
    </row>
    <row r="42" spans="1:18" ht="16" x14ac:dyDescent="0.2">
      <c r="P42" s="15"/>
      <c r="Q42" s="15"/>
      <c r="R42" s="14"/>
    </row>
    <row r="43" spans="1:18" ht="16" x14ac:dyDescent="0.2">
      <c r="A43" s="12"/>
      <c r="B43" s="1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14"/>
      <c r="O43" s="15"/>
      <c r="P43" s="14"/>
      <c r="Q43" s="14"/>
    </row>
    <row r="44" spans="1:18" ht="16" x14ac:dyDescent="0.2">
      <c r="A44" s="7" t="s">
        <v>10</v>
      </c>
      <c r="B44" s="7"/>
      <c r="C44" s="13">
        <f>C24</f>
        <v>4.7462863933452173</v>
      </c>
      <c r="D44" s="13">
        <f t="shared" ref="D44:R44" si="0">D24</f>
        <v>1.6607325819672132</v>
      </c>
      <c r="E44" s="13">
        <f t="shared" si="0"/>
        <v>1.2397311426437641</v>
      </c>
      <c r="F44" s="13">
        <f t="shared" si="0"/>
        <v>1.1103959703372044</v>
      </c>
      <c r="G44" s="13">
        <f t="shared" si="0"/>
        <v>1.0538445274508421</v>
      </c>
      <c r="H44" s="13">
        <f t="shared" si="0"/>
        <v>1.0232359837987637</v>
      </c>
      <c r="I44" s="13">
        <f t="shared" si="0"/>
        <v>1.0090349404333574</v>
      </c>
      <c r="J44" s="13">
        <f t="shared" si="0"/>
        <v>1.0039827133293788</v>
      </c>
      <c r="K44" s="13">
        <f t="shared" si="0"/>
        <v>1.0019837333862329</v>
      </c>
      <c r="L44" s="13">
        <f t="shared" si="0"/>
        <v>1.0007552870090635</v>
      </c>
      <c r="M44" s="13">
        <f t="shared" si="0"/>
        <v>1</v>
      </c>
      <c r="N44" s="13">
        <f t="shared" si="0"/>
        <v>1</v>
      </c>
      <c r="O44" s="13">
        <f t="shared" si="0"/>
        <v>1.0002440810349036</v>
      </c>
      <c r="P44" s="13">
        <f t="shared" si="0"/>
        <v>1</v>
      </c>
      <c r="Q44" s="13">
        <f t="shared" si="0"/>
        <v>1</v>
      </c>
      <c r="R44" s="13">
        <f t="shared" si="0"/>
        <v>0</v>
      </c>
    </row>
    <row r="45" spans="1:18" ht="16" x14ac:dyDescent="0.2">
      <c r="A45" s="7" t="s">
        <v>11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/>
      <c r="P45"/>
      <c r="Q45"/>
      <c r="R45"/>
    </row>
    <row r="46" spans="1:18" ht="1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/>
      <c r="P46"/>
      <c r="Q46"/>
      <c r="R46"/>
    </row>
    <row r="47" spans="1:18" ht="16" x14ac:dyDescent="0.2">
      <c r="A47" s="3" t="s">
        <v>10</v>
      </c>
      <c r="B47" s="3"/>
      <c r="C47" s="13">
        <f>C44</f>
        <v>4.7462863933452173</v>
      </c>
      <c r="D47" s="13">
        <f t="shared" ref="D47:G47" si="1">D44</f>
        <v>1.6607325819672132</v>
      </c>
      <c r="E47" s="13">
        <f t="shared" si="1"/>
        <v>1.2397311426437641</v>
      </c>
      <c r="F47" s="13">
        <f t="shared" si="1"/>
        <v>1.1103959703372044</v>
      </c>
      <c r="G47" s="13">
        <f t="shared" si="1"/>
        <v>1.0538445274508421</v>
      </c>
      <c r="H47" s="24">
        <f>H56</f>
        <v>1.0226234675847377</v>
      </c>
      <c r="I47" s="24">
        <f t="shared" ref="I47:L47" si="2">I56</f>
        <v>1.0097291642267632</v>
      </c>
      <c r="J47" s="24">
        <f t="shared" si="2"/>
        <v>1.004184002129505</v>
      </c>
      <c r="K47" s="24">
        <f t="shared" si="2"/>
        <v>1.0017993193877379</v>
      </c>
      <c r="L47" s="24">
        <f t="shared" si="2"/>
        <v>1.0007737926891238</v>
      </c>
      <c r="M47" s="25">
        <f>B63</f>
        <v>1.000583851328835</v>
      </c>
      <c r="N47" s="14"/>
      <c r="O47" s="14"/>
      <c r="P47" s="14"/>
      <c r="Q47" s="14"/>
      <c r="R47" s="14"/>
    </row>
    <row r="48" spans="1:18" ht="16" x14ac:dyDescent="0.2">
      <c r="A48" s="3" t="s">
        <v>12</v>
      </c>
      <c r="B48" s="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/>
      <c r="P48"/>
      <c r="Q48"/>
      <c r="R48"/>
    </row>
    <row r="49" spans="1:18" ht="1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/>
      <c r="P49"/>
      <c r="Q49"/>
      <c r="R49"/>
    </row>
    <row r="50" spans="1:18" ht="16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7"/>
      <c r="N50" s="7"/>
      <c r="O50"/>
      <c r="P50"/>
      <c r="Q50"/>
      <c r="R50"/>
    </row>
    <row r="51" spans="1:18" ht="16" x14ac:dyDescent="0.2">
      <c r="A51" s="3" t="s">
        <v>13</v>
      </c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/>
      <c r="P51"/>
      <c r="Q51"/>
      <c r="R51"/>
    </row>
    <row r="52" spans="1:18" ht="16" x14ac:dyDescent="0.2">
      <c r="A52" s="7"/>
      <c r="B52" s="7"/>
      <c r="C52" s="7"/>
      <c r="D52" s="7"/>
      <c r="E52" s="7"/>
      <c r="F52" s="7"/>
      <c r="G52" s="7" t="s">
        <v>14</v>
      </c>
      <c r="H52" s="7"/>
      <c r="I52" s="7"/>
      <c r="J52" s="7"/>
      <c r="K52" s="7"/>
      <c r="L52" s="7"/>
      <c r="M52" s="7"/>
      <c r="N52" s="7"/>
      <c r="O52"/>
      <c r="P52"/>
      <c r="Q52"/>
      <c r="R52"/>
    </row>
    <row r="53" spans="1:18" ht="16" x14ac:dyDescent="0.2">
      <c r="A53" s="7" t="s">
        <v>15</v>
      </c>
      <c r="B53" s="7"/>
      <c r="C53" s="7"/>
      <c r="D53" s="7"/>
      <c r="E53" s="7"/>
      <c r="F53" s="7"/>
      <c r="G53" s="10">
        <f t="shared" ref="G53:H53" si="3">LN(G44-1)</f>
        <v>-2.9216545063407944</v>
      </c>
      <c r="H53" s="10">
        <f t="shared" si="3"/>
        <v>-3.7620531760993106</v>
      </c>
      <c r="I53" s="10">
        <f>LN(I44-1)</f>
        <v>-4.7066559478365573</v>
      </c>
      <c r="J53" s="10">
        <f t="shared" ref="J53:L53" si="4">LN(J44-1)</f>
        <v>-5.5257919509156999</v>
      </c>
      <c r="K53" s="10">
        <f t="shared" si="4"/>
        <v>-6.222774661088569</v>
      </c>
      <c r="L53" s="10">
        <f t="shared" si="4"/>
        <v>-7.1884127364969252</v>
      </c>
      <c r="M53" s="10"/>
      <c r="N53" s="7"/>
      <c r="O53"/>
      <c r="P53"/>
      <c r="Q53"/>
      <c r="R53"/>
    </row>
    <row r="54" spans="1:18" ht="16" x14ac:dyDescent="0.2">
      <c r="A54" s="7"/>
      <c r="B54" s="7"/>
      <c r="C54" s="7"/>
      <c r="D54" s="7"/>
      <c r="E54" s="7"/>
      <c r="F54" s="7"/>
      <c r="G54" s="7" t="s">
        <v>16</v>
      </c>
      <c r="H54" s="7"/>
      <c r="I54" s="7"/>
      <c r="J54" s="7"/>
      <c r="K54" s="7"/>
      <c r="L54" s="7"/>
      <c r="M54" s="7"/>
      <c r="N54" s="7"/>
      <c r="O54"/>
      <c r="P54"/>
      <c r="Q54"/>
      <c r="R54"/>
    </row>
    <row r="55" spans="1:18" ht="16" x14ac:dyDescent="0.2">
      <c r="A55" s="7" t="s">
        <v>17</v>
      </c>
      <c r="B55" s="7">
        <f>SLOPE(G53:L53,G2:L2)</f>
        <v>-0.84385976025221632</v>
      </c>
      <c r="C55" s="7"/>
      <c r="D55" s="7"/>
      <c r="E55" s="7"/>
      <c r="F55" s="7" t="s">
        <v>18</v>
      </c>
      <c r="G55" s="7">
        <f>_xlfn.FORECAST.LINEAR(G2,$G$53:$L$53,$G$2:$L$2)</f>
        <v>-2.9449077624991022</v>
      </c>
      <c r="H55" s="7">
        <f t="shared" ref="H55:L55" si="5">_xlfn.FORECAST.LINEAR(H2,$G$53:$L$53,$G$2:$L$2)</f>
        <v>-3.7887675227513187</v>
      </c>
      <c r="I55" s="7">
        <f t="shared" si="5"/>
        <v>-4.6326272830035347</v>
      </c>
      <c r="J55" s="7">
        <f t="shared" si="5"/>
        <v>-5.4764870432557515</v>
      </c>
      <c r="K55" s="7">
        <f t="shared" si="5"/>
        <v>-6.3203468035079675</v>
      </c>
      <c r="L55" s="7">
        <f t="shared" si="5"/>
        <v>-7.1642065637601835</v>
      </c>
      <c r="M55" s="7"/>
      <c r="N55" s="7"/>
      <c r="O55"/>
      <c r="P55"/>
      <c r="Q55"/>
      <c r="R55"/>
    </row>
    <row r="56" spans="1:18" ht="16" x14ac:dyDescent="0.2">
      <c r="A56" s="7" t="s">
        <v>19</v>
      </c>
      <c r="B56" s="7">
        <f>INTERCEPT(G53:L53,G2:L2)</f>
        <v>0.43053127850976303</v>
      </c>
      <c r="C56" s="7"/>
      <c r="D56" s="7"/>
      <c r="E56" s="7"/>
      <c r="F56" s="7" t="s">
        <v>20</v>
      </c>
      <c r="G56" s="26">
        <f t="shared" ref="G56:L56" si="6">EXP(G55)+1</f>
        <v>1.0526069119225829</v>
      </c>
      <c r="H56" s="26">
        <f t="shared" si="6"/>
        <v>1.0226234675847377</v>
      </c>
      <c r="I56" s="26">
        <f t="shared" si="6"/>
        <v>1.0097291642267632</v>
      </c>
      <c r="J56" s="26">
        <f t="shared" si="6"/>
        <v>1.004184002129505</v>
      </c>
      <c r="K56" s="26">
        <f t="shared" si="6"/>
        <v>1.0017993193877379</v>
      </c>
      <c r="L56" s="26">
        <f t="shared" si="6"/>
        <v>1.0007737926891238</v>
      </c>
      <c r="M56" s="7"/>
      <c r="N56" s="7"/>
      <c r="O56"/>
      <c r="P56"/>
      <c r="Q56"/>
      <c r="R56"/>
    </row>
    <row r="57" spans="1:18" ht="1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/>
      <c r="P57"/>
      <c r="Q57"/>
      <c r="R57"/>
    </row>
    <row r="58" spans="1:18" ht="1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/>
      <c r="P58"/>
      <c r="Q58"/>
      <c r="R58"/>
    </row>
    <row r="59" spans="1:18" ht="16" x14ac:dyDescent="0.2">
      <c r="A59" s="3" t="s">
        <v>21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/>
      <c r="P59"/>
      <c r="Q59"/>
      <c r="R59"/>
    </row>
    <row r="60" spans="1:18" ht="16" x14ac:dyDescent="0.2">
      <c r="A60" s="7" t="s">
        <v>22</v>
      </c>
      <c r="B60" s="7">
        <f>EXP(B56)</f>
        <v>1.5380744524236765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/>
      <c r="P60"/>
      <c r="Q60"/>
      <c r="R60"/>
    </row>
    <row r="61" spans="1:18" ht="16" x14ac:dyDescent="0.2">
      <c r="A61" s="7" t="s">
        <v>23</v>
      </c>
      <c r="B61" s="7">
        <f>EXP(B55)</f>
        <v>0.43004743593447631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/>
      <c r="P61"/>
      <c r="Q61"/>
      <c r="R61"/>
    </row>
    <row r="62" spans="1:18" ht="16" x14ac:dyDescent="0.2">
      <c r="A62" s="7" t="s">
        <v>32</v>
      </c>
      <c r="B62" s="27">
        <f>B60*B61^(10)/(1-B61)</f>
        <v>5.8385132883501795E-4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/>
      <c r="P62"/>
      <c r="Q62"/>
      <c r="R62"/>
    </row>
    <row r="63" spans="1:18" ht="16" x14ac:dyDescent="0.2">
      <c r="A63" s="7" t="s">
        <v>24</v>
      </c>
      <c r="B63" s="7">
        <f>1+(L47-1)*B61/(1-B61)</f>
        <v>1.000583851328835</v>
      </c>
      <c r="C63" s="7" t="s">
        <v>25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/>
      <c r="P63"/>
      <c r="Q63"/>
      <c r="R63"/>
    </row>
    <row r="64" spans="1:18" ht="16" x14ac:dyDescent="0.2">
      <c r="A64" s="7"/>
      <c r="B64" s="7"/>
      <c r="C64" s="7"/>
      <c r="D64" s="7"/>
      <c r="E64" s="7"/>
      <c r="F64" s="7"/>
      <c r="G64" s="7"/>
      <c r="H64" s="7"/>
      <c r="I64" s="8"/>
      <c r="J64" s="7"/>
      <c r="K64" s="7"/>
      <c r="L64" s="7"/>
      <c r="M64" s="7"/>
      <c r="N64" s="7"/>
      <c r="O64"/>
      <c r="P64"/>
      <c r="Q64"/>
      <c r="R64"/>
    </row>
    <row r="65" spans="1:18" ht="16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/>
      <c r="P65"/>
      <c r="Q65"/>
      <c r="R65"/>
    </row>
    <row r="66" spans="1:18" ht="16" x14ac:dyDescent="0.2">
      <c r="A66" s="3" t="s">
        <v>26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/>
      <c r="P66"/>
      <c r="Q66"/>
      <c r="R66"/>
    </row>
    <row r="67" spans="1:18" ht="16" x14ac:dyDescent="0.2">
      <c r="A67" s="7"/>
      <c r="B67" s="7"/>
      <c r="C67" s="3">
        <v>0</v>
      </c>
      <c r="D67" s="3">
        <v>1</v>
      </c>
      <c r="E67" s="3">
        <v>2</v>
      </c>
      <c r="F67" s="3">
        <v>3</v>
      </c>
      <c r="G67" s="3">
        <v>4</v>
      </c>
      <c r="H67" s="3">
        <v>5</v>
      </c>
      <c r="I67" s="3">
        <v>6</v>
      </c>
      <c r="J67" s="3">
        <v>7</v>
      </c>
      <c r="K67" s="3">
        <v>8</v>
      </c>
      <c r="L67" s="3">
        <v>9</v>
      </c>
      <c r="M67" s="3">
        <v>10</v>
      </c>
      <c r="N67" s="3" t="s">
        <v>27</v>
      </c>
      <c r="O67"/>
      <c r="P67"/>
      <c r="Q67"/>
      <c r="R67"/>
    </row>
    <row r="68" spans="1:18" ht="16" x14ac:dyDescent="0.2">
      <c r="A68" s="7" t="s">
        <v>28</v>
      </c>
      <c r="B68" s="7"/>
      <c r="C68" s="28">
        <f>PRODUCT(C47:$M47)</f>
        <v>11.894321635967851</v>
      </c>
      <c r="D68" s="7">
        <f>PRODUCT(D47:$M47)</f>
        <v>2.5060269545986338</v>
      </c>
      <c r="E68" s="7">
        <f>PRODUCT(E47:$M47)</f>
        <v>1.5089888533589981</v>
      </c>
      <c r="F68" s="7">
        <f>PRODUCT(F47:$M47)</f>
        <v>1.217190406414276</v>
      </c>
      <c r="G68" s="7">
        <f>PRODUCT(G47:$M47)</f>
        <v>1.0961768944862442</v>
      </c>
      <c r="H68" s="7">
        <f>PRODUCT(H47:$M47)</f>
        <v>1.0401694613699803</v>
      </c>
      <c r="I68" s="7">
        <f>PRODUCT(I47:$M47)</f>
        <v>1.0171578243032926</v>
      </c>
      <c r="J68" s="7">
        <f>PRODUCT(J47:$M47)</f>
        <v>1.0073570818192801</v>
      </c>
      <c r="K68" s="7">
        <f>PRODUCT(K47:$M47)</f>
        <v>1.0031598588336859</v>
      </c>
      <c r="L68" s="7">
        <f>PRODUCT(L47:$M47)</f>
        <v>1.0013580957978485</v>
      </c>
      <c r="M68" s="7">
        <f>PRODUCT(M47:$M47)</f>
        <v>1.000583851328835</v>
      </c>
      <c r="N68" s="7">
        <v>1</v>
      </c>
      <c r="O68"/>
      <c r="P68"/>
      <c r="Q68"/>
      <c r="R68"/>
    </row>
    <row r="69" spans="1:18" ht="16" x14ac:dyDescent="0.2">
      <c r="A69" s="7" t="s">
        <v>29</v>
      </c>
      <c r="B69" s="7"/>
      <c r="C69" s="22">
        <f>1/C68</f>
        <v>8.407373119758664E-2</v>
      </c>
      <c r="D69" s="23">
        <f>1/D68-1/C68</f>
        <v>0.31496427522328219</v>
      </c>
      <c r="E69" s="23">
        <f t="shared" ref="E69:N69" si="7">1/E68-1/D68</f>
        <v>0.26365741228551021</v>
      </c>
      <c r="F69" s="23">
        <f t="shared" si="7"/>
        <v>0.15886872995126788</v>
      </c>
      <c r="G69" s="23">
        <f t="shared" si="7"/>
        <v>9.0697371385319858E-2</v>
      </c>
      <c r="H69" s="23">
        <f t="shared" si="7"/>
        <v>4.9120290458300797E-2</v>
      </c>
      <c r="I69" s="23">
        <f t="shared" si="7"/>
        <v>2.1749790226431753E-2</v>
      </c>
      <c r="J69" s="23">
        <f t="shared" si="7"/>
        <v>9.5650488000001976E-3</v>
      </c>
      <c r="K69" s="23">
        <f t="shared" si="7"/>
        <v>4.1534448955764525E-3</v>
      </c>
      <c r="L69" s="23">
        <f t="shared" si="7"/>
        <v>1.7936517015642028E-3</v>
      </c>
      <c r="M69" s="23">
        <f t="shared" si="7"/>
        <v>7.727432297904846E-4</v>
      </c>
      <c r="N69" s="23">
        <f t="shared" si="7"/>
        <v>5.8351064536932284E-4</v>
      </c>
      <c r="O69"/>
      <c r="P69"/>
      <c r="Q69"/>
      <c r="R69"/>
    </row>
    <row r="70" spans="1:18" ht="16" x14ac:dyDescent="0.2">
      <c r="A70" s="7"/>
      <c r="B70" s="7"/>
      <c r="C70" s="29" t="s">
        <v>30</v>
      </c>
      <c r="D70" s="29"/>
      <c r="E70" s="29"/>
      <c r="F70" s="29"/>
      <c r="G70" s="29"/>
      <c r="H70" s="7"/>
      <c r="I70" s="7"/>
      <c r="J70" s="7"/>
      <c r="K70" s="7"/>
      <c r="L70" s="7"/>
      <c r="M70" s="7"/>
      <c r="N70" s="7"/>
      <c r="O70"/>
      <c r="P70"/>
      <c r="Q70"/>
      <c r="R70"/>
    </row>
    <row r="71" spans="1:18" ht="15" x14ac:dyDescent="0.2">
      <c r="A71"/>
      <c r="B71"/>
      <c r="C71" s="29" t="s">
        <v>31</v>
      </c>
      <c r="D71" s="29"/>
      <c r="E71" s="29"/>
      <c r="F71" s="29"/>
      <c r="G71" s="29"/>
      <c r="H71"/>
      <c r="I71"/>
      <c r="J71"/>
      <c r="K71"/>
      <c r="L71"/>
      <c r="M71"/>
      <c r="N71"/>
      <c r="O71"/>
      <c r="P71"/>
      <c r="Q71"/>
      <c r="R71"/>
    </row>
    <row r="72" spans="1:18" ht="1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ht="1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ht="1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ht="1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ht="1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ht="1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0849-5D30-41D0-ACDD-783CF1DD4EC1}">
  <dimension ref="A1:U60"/>
  <sheetViews>
    <sheetView workbookViewId="0">
      <selection activeCell="N9" sqref="N9"/>
    </sheetView>
  </sheetViews>
  <sheetFormatPr baseColWidth="10" defaultColWidth="11.5" defaultRowHeight="15" x14ac:dyDescent="0.2"/>
  <cols>
    <col min="3" max="3" width="6.5" customWidth="1"/>
    <col min="4" max="5" width="8.33203125" bestFit="1" customWidth="1"/>
    <col min="6" max="8" width="7" bestFit="1" customWidth="1"/>
    <col min="9" max="14" width="6.5" customWidth="1"/>
    <col min="15" max="15" width="12.1640625" bestFit="1" customWidth="1"/>
  </cols>
  <sheetData>
    <row r="1" spans="1:20" ht="16" x14ac:dyDescent="0.2">
      <c r="A1" s="1" t="s">
        <v>33</v>
      </c>
      <c r="B1" s="1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35</v>
      </c>
      <c r="S1" s="3"/>
    </row>
    <row r="2" spans="1:20" ht="16" x14ac:dyDescent="0.2">
      <c r="A2" s="1" t="s">
        <v>36</v>
      </c>
      <c r="B2" s="1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27</v>
      </c>
      <c r="O2" s="3"/>
      <c r="P2" s="30" t="s">
        <v>37</v>
      </c>
      <c r="Q2" s="3" t="s">
        <v>38</v>
      </c>
      <c r="R2" s="3" t="s">
        <v>39</v>
      </c>
      <c r="S2" s="3" t="s">
        <v>40</v>
      </c>
      <c r="T2" s="3" t="s">
        <v>41</v>
      </c>
    </row>
    <row r="3" spans="1:20" ht="16" x14ac:dyDescent="0.2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1"/>
      <c r="Q3" s="7"/>
      <c r="R3" s="7"/>
      <c r="S3" s="7"/>
    </row>
    <row r="4" spans="1:20" ht="16" x14ac:dyDescent="0.2">
      <c r="A4" s="8">
        <v>0</v>
      </c>
      <c r="B4" s="32"/>
      <c r="C4" s="33">
        <f>Data!B1</f>
        <v>91</v>
      </c>
      <c r="D4" s="33">
        <f>Data!C1</f>
        <v>377</v>
      </c>
      <c r="E4" s="33">
        <f>Data!D1</f>
        <v>301</v>
      </c>
      <c r="F4" s="33">
        <f>Data!E1</f>
        <v>170</v>
      </c>
      <c r="G4" s="33">
        <f>Data!F1</f>
        <v>72</v>
      </c>
      <c r="H4" s="33">
        <f>Data!G1</f>
        <v>44</v>
      </c>
      <c r="I4" s="33">
        <f>Data!H1</f>
        <v>11</v>
      </c>
      <c r="J4" s="33">
        <f>Data!I1</f>
        <v>6</v>
      </c>
      <c r="K4" s="33">
        <f>Data!J1</f>
        <v>3</v>
      </c>
      <c r="L4" s="33">
        <f>Data!K1</f>
        <v>1</v>
      </c>
      <c r="M4" s="33">
        <f>Data!L1</f>
        <v>1</v>
      </c>
      <c r="N4" s="46">
        <v>2</v>
      </c>
      <c r="O4" s="34"/>
      <c r="P4" s="35">
        <f>SUM(C4:M4)</f>
        <v>1077</v>
      </c>
      <c r="Q4" s="36">
        <f>P4/Data!A1</f>
        <v>9.9226091763405203E-2</v>
      </c>
      <c r="R4" s="37">
        <f t="shared" ref="R4:R18" si="0">S4-P4</f>
        <v>2</v>
      </c>
      <c r="S4" s="37">
        <f t="shared" ref="S4:S18" si="1">SUM(C4:O4)</f>
        <v>1079</v>
      </c>
      <c r="T4" s="36">
        <f>S4/Data!A1</f>
        <v>9.9410355629261107E-2</v>
      </c>
    </row>
    <row r="5" spans="1:20" ht="16" x14ac:dyDescent="0.2">
      <c r="A5" s="8">
        <v>1</v>
      </c>
      <c r="B5" s="32"/>
      <c r="C5" s="33">
        <f>Data!B2</f>
        <v>63</v>
      </c>
      <c r="D5" s="33">
        <f>Data!C2</f>
        <v>550</v>
      </c>
      <c r="E5" s="33">
        <f>Data!D2</f>
        <v>555</v>
      </c>
      <c r="F5" s="33">
        <f>Data!E2</f>
        <v>404</v>
      </c>
      <c r="G5" s="33">
        <f>Data!F2</f>
        <v>236</v>
      </c>
      <c r="H5" s="33">
        <f>Data!G2</f>
        <v>104</v>
      </c>
      <c r="I5" s="33">
        <f>Data!H2</f>
        <v>56</v>
      </c>
      <c r="J5" s="33">
        <f>Data!I2</f>
        <v>26</v>
      </c>
      <c r="K5" s="33">
        <f>Data!J2</f>
        <v>13</v>
      </c>
      <c r="L5" s="33">
        <f>Data!K2</f>
        <v>5</v>
      </c>
      <c r="M5" s="33">
        <f>Data!L2</f>
        <v>0</v>
      </c>
      <c r="N5" s="34">
        <f>SUM($C5:M5)*(CL!M$47-1)</f>
        <v>1.1747088736159865</v>
      </c>
      <c r="O5" s="34"/>
      <c r="P5" s="35">
        <f t="shared" ref="P5:P9" si="2">SUM(C5:M5)</f>
        <v>2012</v>
      </c>
      <c r="Q5" s="36">
        <f>P5/Data!A2</f>
        <v>0.19791461735195751</v>
      </c>
      <c r="R5" s="37">
        <f t="shared" si="0"/>
        <v>1.1747088736160549</v>
      </c>
      <c r="S5" s="37">
        <f t="shared" si="1"/>
        <v>2013.1747088736161</v>
      </c>
      <c r="T5" s="36">
        <f>S5/Data!A2</f>
        <v>0.19803017006429433</v>
      </c>
    </row>
    <row r="6" spans="1:20" ht="16" x14ac:dyDescent="0.2">
      <c r="A6" s="8">
        <v>2</v>
      </c>
      <c r="B6" s="32"/>
      <c r="C6" s="33">
        <f>Data!B3</f>
        <v>12</v>
      </c>
      <c r="D6" s="33">
        <f>Data!C3</f>
        <v>169</v>
      </c>
      <c r="E6" s="33">
        <f>Data!D3</f>
        <v>274</v>
      </c>
      <c r="F6" s="33">
        <f>Data!E3</f>
        <v>225</v>
      </c>
      <c r="G6" s="33">
        <f>Data!F3</f>
        <v>166</v>
      </c>
      <c r="H6" s="33">
        <f>Data!G3</f>
        <v>72</v>
      </c>
      <c r="I6" s="33">
        <f>Data!H3</f>
        <v>47</v>
      </c>
      <c r="J6" s="33">
        <f>Data!I3</f>
        <v>19</v>
      </c>
      <c r="K6" s="33">
        <f>Data!J3</f>
        <v>11</v>
      </c>
      <c r="L6" s="33">
        <f>Data!K3</f>
        <v>6</v>
      </c>
      <c r="M6" s="33">
        <f>Data!L3</f>
        <v>4</v>
      </c>
      <c r="N6" s="46">
        <v>1</v>
      </c>
      <c r="O6" s="34"/>
      <c r="P6" s="35">
        <f t="shared" si="2"/>
        <v>1005</v>
      </c>
      <c r="Q6" s="36">
        <f>P6/Data!A3</f>
        <v>9.9841049076097754E-2</v>
      </c>
      <c r="R6" s="37">
        <f t="shared" si="0"/>
        <v>1</v>
      </c>
      <c r="S6" s="37">
        <f t="shared" si="1"/>
        <v>1006</v>
      </c>
      <c r="T6" s="36">
        <f>S6/Data!A3</f>
        <v>9.9940393403536665E-2</v>
      </c>
    </row>
    <row r="7" spans="1:20" ht="16" x14ac:dyDescent="0.2">
      <c r="A7" s="8">
        <v>3</v>
      </c>
      <c r="B7" s="32"/>
      <c r="C7" s="33">
        <f>Data!B4</f>
        <v>385</v>
      </c>
      <c r="D7" s="33">
        <f>Data!C4</f>
        <v>906</v>
      </c>
      <c r="E7" s="33">
        <f>Data!D4</f>
        <v>441</v>
      </c>
      <c r="F7" s="33">
        <f>Data!E4</f>
        <v>235</v>
      </c>
      <c r="G7" s="33">
        <f>Data!F4</f>
        <v>80</v>
      </c>
      <c r="H7" s="33">
        <f>Data!G4</f>
        <v>41</v>
      </c>
      <c r="I7" s="33">
        <f>Data!H4</f>
        <v>16</v>
      </c>
      <c r="J7" s="33">
        <f>Data!I4</f>
        <v>2</v>
      </c>
      <c r="K7" s="33">
        <f>Data!J4</f>
        <v>3</v>
      </c>
      <c r="L7" s="33">
        <f>Data!K4</f>
        <v>2</v>
      </c>
      <c r="M7" s="33">
        <f>Data!L4</f>
        <v>1</v>
      </c>
      <c r="N7" s="34">
        <f>SUM($C7:M7)*(CL!M$47-1)</f>
        <v>1.2330940064994849</v>
      </c>
      <c r="O7" s="34"/>
      <c r="P7" s="35">
        <f t="shared" si="2"/>
        <v>2112</v>
      </c>
      <c r="Q7" s="36">
        <f>P7/Data!A4</f>
        <v>0.20401854714064915</v>
      </c>
      <c r="R7" s="37">
        <f t="shared" si="0"/>
        <v>1.2330940064994138</v>
      </c>
      <c r="S7" s="37">
        <f t="shared" si="1"/>
        <v>2113.2330940064994</v>
      </c>
      <c r="T7" s="36">
        <f>S7/Data!A4</f>
        <v>0.2041376636405042</v>
      </c>
    </row>
    <row r="8" spans="1:20" ht="16" x14ac:dyDescent="0.2">
      <c r="A8" s="8">
        <v>4</v>
      </c>
      <c r="B8" s="32"/>
      <c r="C8" s="33">
        <f>Data!B5</f>
        <v>92</v>
      </c>
      <c r="D8" s="33">
        <f>Data!C5</f>
        <v>361</v>
      </c>
      <c r="E8" s="33">
        <f>Data!D5</f>
        <v>265</v>
      </c>
      <c r="F8" s="33">
        <f>Data!E5</f>
        <v>158</v>
      </c>
      <c r="G8" s="33">
        <f>Data!F5</f>
        <v>69</v>
      </c>
      <c r="H8" s="33">
        <f>Data!G5</f>
        <v>29</v>
      </c>
      <c r="I8" s="33">
        <f>Data!H5</f>
        <v>17</v>
      </c>
      <c r="J8" s="33">
        <f>Data!I5</f>
        <v>9</v>
      </c>
      <c r="K8" s="33">
        <f>Data!J5</f>
        <v>2</v>
      </c>
      <c r="L8" s="33">
        <f>Data!K5</f>
        <v>0</v>
      </c>
      <c r="M8" s="33">
        <f>Data!L5</f>
        <v>0</v>
      </c>
      <c r="N8" s="34">
        <f>SUM($C8:M8)*(CL!M$47-1)</f>
        <v>0.58501903149265333</v>
      </c>
      <c r="O8" s="34"/>
      <c r="P8" s="35">
        <f t="shared" si="2"/>
        <v>1002</v>
      </c>
      <c r="Q8" s="36">
        <f>P8/Data!A5</f>
        <v>0.10219275879653238</v>
      </c>
      <c r="R8" s="37">
        <f t="shared" si="0"/>
        <v>0.5850190314926067</v>
      </c>
      <c r="S8" s="37">
        <f t="shared" si="1"/>
        <v>1002.5850190314926</v>
      </c>
      <c r="T8" s="36">
        <f>S8/Data!A5</f>
        <v>0.10225242417455305</v>
      </c>
    </row>
    <row r="9" spans="1:20" ht="16" x14ac:dyDescent="0.2">
      <c r="A9" s="8">
        <v>5</v>
      </c>
      <c r="B9" s="32"/>
      <c r="C9" s="33">
        <f>Data!B6</f>
        <v>69</v>
      </c>
      <c r="D9" s="33">
        <f>Data!C6</f>
        <v>550</v>
      </c>
      <c r="E9" s="33">
        <f>Data!D6</f>
        <v>637</v>
      </c>
      <c r="F9" s="33">
        <f>Data!E6</f>
        <v>370</v>
      </c>
      <c r="G9" s="33">
        <f>Data!F6</f>
        <v>235</v>
      </c>
      <c r="H9" s="33">
        <f>Data!G6</f>
        <v>122</v>
      </c>
      <c r="I9" s="33">
        <f>Data!H6</f>
        <v>53</v>
      </c>
      <c r="J9" s="33">
        <f>Data!I6</f>
        <v>19</v>
      </c>
      <c r="K9" s="33">
        <f>Data!J6</f>
        <v>7</v>
      </c>
      <c r="L9" s="33">
        <f>Data!K6</f>
        <v>4</v>
      </c>
      <c r="M9" s="33">
        <f>Data!L6</f>
        <v>1</v>
      </c>
      <c r="N9" s="34">
        <f>SUM($C9:M9)*(CL!M$47-1)</f>
        <v>1.2068206967019106</v>
      </c>
      <c r="O9" s="34"/>
      <c r="P9" s="35">
        <f t="shared" si="2"/>
        <v>2067</v>
      </c>
      <c r="Q9" s="36">
        <f>P9/Data!A6</f>
        <v>0.19926732864166585</v>
      </c>
      <c r="R9" s="37">
        <f t="shared" si="0"/>
        <v>1.206820696701925</v>
      </c>
      <c r="S9" s="37">
        <f t="shared" si="1"/>
        <v>2068.2068206967019</v>
      </c>
      <c r="T9" s="36">
        <f>S9/Data!A6</f>
        <v>0.19938367113628669</v>
      </c>
    </row>
    <row r="10" spans="1:20" ht="16" x14ac:dyDescent="0.2">
      <c r="A10" s="8">
        <v>6</v>
      </c>
      <c r="B10" s="32"/>
      <c r="C10" s="33">
        <f>Data!B7</f>
        <v>6</v>
      </c>
      <c r="D10" s="33">
        <f>Data!C7</f>
        <v>143</v>
      </c>
      <c r="E10" s="33">
        <f>Data!D7</f>
        <v>212</v>
      </c>
      <c r="F10" s="33">
        <f>Data!E7</f>
        <v>200</v>
      </c>
      <c r="G10" s="33">
        <f>Data!F7</f>
        <v>120</v>
      </c>
      <c r="H10" s="33">
        <f>Data!G7</f>
        <v>85</v>
      </c>
      <c r="I10" s="33">
        <f>Data!H7</f>
        <v>38</v>
      </c>
      <c r="J10" s="33">
        <f>Data!I7</f>
        <v>22</v>
      </c>
      <c r="K10" s="33">
        <f>Data!J7</f>
        <v>6</v>
      </c>
      <c r="L10" s="33">
        <f>Data!K7</f>
        <v>2</v>
      </c>
      <c r="M10" s="34">
        <f>SUM($C10:L10)*(CL!L$47-1)</f>
        <v>0.64534310272925666</v>
      </c>
      <c r="N10" s="34">
        <f>SUM($C10:M10)*(CL!M$47-1)</f>
        <v>0.4873087926764591</v>
      </c>
      <c r="O10" s="34"/>
      <c r="P10" s="35">
        <f>SUM(C10:L10)</f>
        <v>834</v>
      </c>
      <c r="Q10" s="36">
        <f>P10/Data!A7</f>
        <v>9.9333015721772278E-2</v>
      </c>
      <c r="R10" s="37">
        <f t="shared" si="0"/>
        <v>1.1326518954057292</v>
      </c>
      <c r="S10" s="37">
        <f t="shared" si="1"/>
        <v>835.13265189540573</v>
      </c>
      <c r="T10" s="36">
        <f>S10/Data!A7</f>
        <v>9.9467919473011646E-2</v>
      </c>
    </row>
    <row r="11" spans="1:20" ht="16" x14ac:dyDescent="0.2">
      <c r="A11" s="8">
        <v>7</v>
      </c>
      <c r="B11" s="32"/>
      <c r="C11" s="33">
        <f>Data!B8</f>
        <v>315</v>
      </c>
      <c r="D11" s="33">
        <f>Data!C8</f>
        <v>711</v>
      </c>
      <c r="E11" s="33">
        <f>Data!D8</f>
        <v>421</v>
      </c>
      <c r="F11" s="33">
        <f>Data!E8</f>
        <v>175</v>
      </c>
      <c r="G11" s="33">
        <f>Data!F8</f>
        <v>87</v>
      </c>
      <c r="H11" s="33">
        <f>Data!G8</f>
        <v>38</v>
      </c>
      <c r="I11" s="33">
        <f>Data!H8</f>
        <v>13</v>
      </c>
      <c r="J11" s="33">
        <f>Data!I8</f>
        <v>4</v>
      </c>
      <c r="K11" s="33">
        <f>Data!J8</f>
        <v>2</v>
      </c>
      <c r="L11" s="34">
        <f>SUM($C11:K11)*(CL!K$47-1)</f>
        <v>3.1775980387451646</v>
      </c>
      <c r="M11" s="34">
        <f>SUM($C11:L11)*(CL!L$47-1)</f>
        <v>1.3689766911240018</v>
      </c>
      <c r="N11" s="34">
        <f>SUM($C11:M11)*(CL!M$47-1)</f>
        <v>1.0337359704202622</v>
      </c>
      <c r="O11" s="34"/>
      <c r="P11" s="35">
        <f>SUM(C11:K11)</f>
        <v>1766</v>
      </c>
      <c r="Q11" s="36">
        <f>P11/Data!A8</f>
        <v>0.20444547348923361</v>
      </c>
      <c r="R11" s="37">
        <f t="shared" si="0"/>
        <v>5.5803107002896013</v>
      </c>
      <c r="S11" s="37">
        <f t="shared" si="1"/>
        <v>1771.5803107002896</v>
      </c>
      <c r="T11" s="36">
        <f>S11/Data!A8</f>
        <v>0.20509149232464571</v>
      </c>
    </row>
    <row r="12" spans="1:20" ht="16" x14ac:dyDescent="0.2">
      <c r="A12" s="8">
        <v>8</v>
      </c>
      <c r="B12" s="32"/>
      <c r="C12" s="33">
        <f>Data!B9</f>
        <v>78</v>
      </c>
      <c r="D12" s="33">
        <f>Data!C9</f>
        <v>288</v>
      </c>
      <c r="E12" s="33">
        <f>Data!D9</f>
        <v>239</v>
      </c>
      <c r="F12" s="33">
        <f>Data!E9</f>
        <v>99</v>
      </c>
      <c r="G12" s="33">
        <f>Data!F9</f>
        <v>66</v>
      </c>
      <c r="H12" s="33">
        <f>Data!G9</f>
        <v>32</v>
      </c>
      <c r="I12" s="33">
        <f>Data!H9</f>
        <v>11</v>
      </c>
      <c r="J12" s="33">
        <f>Data!I9</f>
        <v>6</v>
      </c>
      <c r="K12" s="34">
        <f>SUM($C12:J12)*(CL!J$47-1)</f>
        <v>3.4266977440645805</v>
      </c>
      <c r="L12" s="34">
        <f>SUM($C12:K12)*(CL!K$47-1)</f>
        <v>1.4798083022441686</v>
      </c>
      <c r="M12" s="34">
        <f>SUM($C12:L12)*(CL!L$47-1)</f>
        <v>0.63753283090017498</v>
      </c>
      <c r="N12" s="34">
        <f>SUM($C12:M12)*(CL!M$47-1)</f>
        <v>0.48141113278142261</v>
      </c>
      <c r="O12" s="34"/>
      <c r="P12" s="35">
        <f>SUM(C12:J12)</f>
        <v>819</v>
      </c>
      <c r="Q12" s="36">
        <f>P12/Data!A9</f>
        <v>9.8639046127905583E-2</v>
      </c>
      <c r="R12" s="37">
        <f t="shared" si="0"/>
        <v>6.0254500099903225</v>
      </c>
      <c r="S12" s="37">
        <f t="shared" si="1"/>
        <v>825.02545000999032</v>
      </c>
      <c r="T12" s="36">
        <f>S12/Data!A9</f>
        <v>9.9364741660844316E-2</v>
      </c>
    </row>
    <row r="13" spans="1:20" ht="16" x14ac:dyDescent="0.2">
      <c r="A13" s="8">
        <v>9</v>
      </c>
      <c r="B13" s="32"/>
      <c r="C13" s="33">
        <f>Data!B10</f>
        <v>85</v>
      </c>
      <c r="D13" s="33">
        <f>Data!C10</f>
        <v>499</v>
      </c>
      <c r="E13" s="33">
        <f>Data!D10</f>
        <v>555</v>
      </c>
      <c r="F13" s="33">
        <f>Data!E10</f>
        <v>350</v>
      </c>
      <c r="G13" s="33">
        <f>Data!F10</f>
        <v>226</v>
      </c>
      <c r="H13" s="33">
        <f>Data!G10</f>
        <v>113</v>
      </c>
      <c r="I13" s="33">
        <f>Data!H10</f>
        <v>65</v>
      </c>
      <c r="J13" s="34">
        <f>SUM($C13:I13)*(CL!I$47-1)</f>
        <v>18.417307881262694</v>
      </c>
      <c r="K13" s="34">
        <f>SUM($C13:J13)*(CL!J$47-1)</f>
        <v>7.9973740865478842</v>
      </c>
      <c r="L13" s="34">
        <f>SUM($C13:K13)*(CL!K$47-1)</f>
        <v>3.453640050373493</v>
      </c>
      <c r="M13" s="34">
        <f>SUM($C13:L13)*(CL!L$47-1)</f>
        <v>1.4879014497254368</v>
      </c>
      <c r="N13" s="34">
        <f>SUM($C13:M13)*(CL!M$47-1)</f>
        <v>1.1235379382236093</v>
      </c>
      <c r="O13" s="34"/>
      <c r="P13" s="35">
        <f>SUM(C13:I13)</f>
        <v>1893</v>
      </c>
      <c r="Q13" s="36">
        <f>P13/Data!A10</f>
        <v>0.19580057923045097</v>
      </c>
      <c r="R13" s="37">
        <f t="shared" si="0"/>
        <v>32.479761406133093</v>
      </c>
      <c r="S13" s="37">
        <f t="shared" si="1"/>
        <v>1925.4797614061331</v>
      </c>
      <c r="T13" s="36">
        <f>S13/Data!A10</f>
        <v>0.19916009116736999</v>
      </c>
    </row>
    <row r="14" spans="1:20" ht="16" x14ac:dyDescent="0.2">
      <c r="A14" s="8">
        <v>10</v>
      </c>
      <c r="B14" s="32"/>
      <c r="C14" s="33">
        <f>Data!B11</f>
        <v>18</v>
      </c>
      <c r="D14" s="33">
        <f>Data!C11</f>
        <v>144</v>
      </c>
      <c r="E14" s="33">
        <f>Data!D11</f>
        <v>262</v>
      </c>
      <c r="F14" s="33">
        <f>Data!E11</f>
        <v>222</v>
      </c>
      <c r="G14" s="33">
        <f>Data!F11</f>
        <v>150</v>
      </c>
      <c r="H14" s="33">
        <f>Data!G11</f>
        <v>84</v>
      </c>
      <c r="I14" s="34">
        <f>SUM($C14:H14)*(CL!H$47-1)</f>
        <v>19.908651474569137</v>
      </c>
      <c r="J14" s="34">
        <f>SUM($C14:I14)*(CL!I$47-1)</f>
        <v>8.7553590592810693</v>
      </c>
      <c r="K14" s="34">
        <f>SUM($C14:J14)*(CL!J$47-1)</f>
        <v>3.8018521550781674</v>
      </c>
      <c r="L14" s="34">
        <f>SUM($C14:K14)*(CL!K$47-1)</f>
        <v>1.6418175173851948</v>
      </c>
      <c r="M14" s="34">
        <f>SUM($C14:L14)*(CL!L$47-1)</f>
        <v>0.70732984001557031</v>
      </c>
      <c r="N14" s="34">
        <f>SUM($C14:M14)*(CL!M$47-1)</f>
        <v>0.534115959253738</v>
      </c>
      <c r="O14" s="34"/>
      <c r="P14" s="35">
        <f>SUM(C14:H14)</f>
        <v>880</v>
      </c>
      <c r="Q14" s="36">
        <f>P14/Data!A11</f>
        <v>9.4613482421245024E-2</v>
      </c>
      <c r="R14" s="37">
        <f t="shared" si="0"/>
        <v>35.349126005583003</v>
      </c>
      <c r="S14" s="37">
        <f t="shared" si="1"/>
        <v>915.349126005583</v>
      </c>
      <c r="T14" s="36">
        <f>S14/Data!A11</f>
        <v>9.8414055048444582E-2</v>
      </c>
    </row>
    <row r="15" spans="1:20" ht="16" x14ac:dyDescent="0.2">
      <c r="A15" s="8">
        <v>11</v>
      </c>
      <c r="B15" s="32"/>
      <c r="C15" s="33">
        <f>Data!B12</f>
        <v>331</v>
      </c>
      <c r="D15" s="33">
        <f>Data!C12</f>
        <v>747</v>
      </c>
      <c r="E15" s="33">
        <f>Data!D12</f>
        <v>378</v>
      </c>
      <c r="F15" s="33">
        <f>Data!E12</f>
        <v>156</v>
      </c>
      <c r="G15" s="33">
        <f>Data!F12</f>
        <v>71</v>
      </c>
      <c r="H15" s="34">
        <f>SUM($C15:G15)*(CL!G$47-1)</f>
        <v>90.620339699767285</v>
      </c>
      <c r="I15" s="34">
        <f>SUM($C15:H15)*(CL!H$47-1)</f>
        <v>40.125442262829075</v>
      </c>
      <c r="J15" s="34">
        <f>SUM($C15:I15)*(CL!I$47-1)</f>
        <v>17.646230578313094</v>
      </c>
      <c r="K15" s="34">
        <f>SUM($C15:J15)*(CL!J$47-1)</f>
        <v>7.6625480804295805</v>
      </c>
      <c r="L15" s="34">
        <f>SUM($C15:K15)*(CL!K$47-1)</f>
        <v>3.3090465260338151</v>
      </c>
      <c r="M15" s="34">
        <f>SUM($C15:L15)*(CL!L$47-1)</f>
        <v>1.4256074899184064</v>
      </c>
      <c r="N15" s="34">
        <f>SUM($C15:M15)*(CL!M$47-1)</f>
        <v>1.0764987830575929</v>
      </c>
      <c r="O15" s="34"/>
      <c r="P15" s="35">
        <f>SUM(C15:G15)</f>
        <v>1683</v>
      </c>
      <c r="Q15" s="36">
        <f>P15/Data!A12</f>
        <v>0.20002376990729737</v>
      </c>
      <c r="R15" s="37">
        <f t="shared" si="0"/>
        <v>161.86571342034881</v>
      </c>
      <c r="S15" s="37">
        <f t="shared" si="1"/>
        <v>1844.8657134203488</v>
      </c>
      <c r="T15" s="36">
        <f>S15/Data!A12</f>
        <v>0.21926143492041228</v>
      </c>
    </row>
    <row r="16" spans="1:20" ht="16" x14ac:dyDescent="0.2">
      <c r="A16" s="8">
        <v>12</v>
      </c>
      <c r="B16" s="32"/>
      <c r="C16" s="33">
        <f>Data!B13</f>
        <v>67</v>
      </c>
      <c r="D16" s="33">
        <f>Data!C13</f>
        <v>272</v>
      </c>
      <c r="E16" s="33">
        <f>Data!D13</f>
        <v>182</v>
      </c>
      <c r="F16" s="33">
        <f>Data!E13</f>
        <v>125</v>
      </c>
      <c r="G16" s="34">
        <f>SUM($C16:F16)*(CL!F$47-1)</f>
        <v>71.315796837834029</v>
      </c>
      <c r="H16" s="34">
        <f>SUM($C16:G16)*(CL!G$47-1)</f>
        <v>38.62353011375744</v>
      </c>
      <c r="I16" s="34">
        <f>SUM($C16:H16)*(CL!H$47-1)</f>
        <v>17.101968859317729</v>
      </c>
      <c r="J16" s="34">
        <f>SUM($C16:I16)*(CL!I$47-1)</f>
        <v>7.521045721014147</v>
      </c>
      <c r="K16" s="34">
        <f>SUM($C16:J16)*(CL!J$47-1)</f>
        <v>3.2658744991809621</v>
      </c>
      <c r="L16" s="34">
        <f>SUM($C16:K16)*(CL!K$47-1)</f>
        <v>1.4103573057607917</v>
      </c>
      <c r="M16" s="34">
        <f>SUM($C16:L16)*(CL!L$47-1)</f>
        <v>0.60761186726607608</v>
      </c>
      <c r="N16" s="34">
        <f>SUM($C16:M16)*(CL!M$47-1)</f>
        <v>0.45881733949133441</v>
      </c>
      <c r="O16" s="34"/>
      <c r="P16" s="35">
        <f>SUM(C16:F16)</f>
        <v>646</v>
      </c>
      <c r="Q16" s="36">
        <f>P16/Data!A13</f>
        <v>8.3516483516483511E-2</v>
      </c>
      <c r="R16" s="37">
        <f t="shared" si="0"/>
        <v>140.30500254362255</v>
      </c>
      <c r="S16" s="37">
        <f t="shared" si="1"/>
        <v>786.30500254362255</v>
      </c>
      <c r="T16" s="36">
        <f>S16/Data!A13</f>
        <v>0.10165546251371979</v>
      </c>
    </row>
    <row r="17" spans="1:20" ht="16" x14ac:dyDescent="0.2">
      <c r="A17" s="8">
        <v>13</v>
      </c>
      <c r="B17" s="32"/>
      <c r="C17" s="33">
        <f>Data!B14</f>
        <v>60</v>
      </c>
      <c r="D17" s="33">
        <f>Data!C14</f>
        <v>419</v>
      </c>
      <c r="E17" s="33">
        <f>Data!D14</f>
        <v>437</v>
      </c>
      <c r="F17" s="34">
        <f>SUM($C17:E17)*(CL!E$47-1)</f>
        <v>219.59372666168787</v>
      </c>
      <c r="G17" s="34">
        <f>SUM($C17:F17)*(CL!F$47-1)</f>
        <v>125.36497136365908</v>
      </c>
      <c r="H17" s="34">
        <f>SUM($C17:G17)*(CL!G$47-1)</f>
        <v>67.895725230203936</v>
      </c>
      <c r="I17" s="34">
        <f>SUM($C17:H17)*(CL!H$47-1)</f>
        <v>30.063294969357209</v>
      </c>
      <c r="J17" s="34">
        <f>SUM($C17:I17)*(CL!I$47-1)</f>
        <v>13.221133651268419</v>
      </c>
      <c r="K17" s="34">
        <f>SUM($C17:J17)*(CL!J$47-1)</f>
        <v>5.7410318782264449</v>
      </c>
      <c r="L17" s="34">
        <f>SUM($C17:K17)*(CL!K$47-1)</f>
        <v>2.4792459888133673</v>
      </c>
      <c r="M17" s="34">
        <f>SUM($C17:L17)*(CL!L$47-1)</f>
        <v>1.0681118029606043</v>
      </c>
      <c r="N17" s="34">
        <f>SUM($C17:M17)*(CL!M$47-1)</f>
        <v>0.80654813066558106</v>
      </c>
      <c r="O17" s="34"/>
      <c r="P17" s="35">
        <f>SUM(C17:E17)</f>
        <v>916</v>
      </c>
      <c r="Q17" s="36">
        <f>P17/Data!A14</f>
        <v>0.10785352643353349</v>
      </c>
      <c r="R17" s="37">
        <f t="shared" si="0"/>
        <v>466.23378967684266</v>
      </c>
      <c r="S17" s="37">
        <f t="shared" si="1"/>
        <v>1382.2337896768427</v>
      </c>
      <c r="T17" s="42">
        <f>S17/Data!A14</f>
        <v>0.16274976918366216</v>
      </c>
    </row>
    <row r="18" spans="1:20" ht="16" x14ac:dyDescent="0.2">
      <c r="A18" s="8">
        <v>14</v>
      </c>
      <c r="B18" s="32"/>
      <c r="C18" s="33">
        <f>Data!B15</f>
        <v>11</v>
      </c>
      <c r="D18" s="33">
        <f>Data!C15</f>
        <v>169</v>
      </c>
      <c r="E18" s="34">
        <f>SUM($C18:D18)*(CL!D$47-1)</f>
        <v>118.93186475409837</v>
      </c>
      <c r="F18" s="34">
        <f>SUM($C18:E18)*(CL!E$47-1)</f>
        <v>71.663277510131138</v>
      </c>
      <c r="G18" s="34">
        <f>SUM($C18:F18)*(CL!F$47-1)</f>
        <v>40.912210332513915</v>
      </c>
      <c r="H18" s="34">
        <f>SUM($C18:G18)*(CL!G$47-1)</f>
        <v>22.157418943118714</v>
      </c>
      <c r="I18" s="34">
        <f>SUM($C18:H18)*(CL!H$47-1)</f>
        <v>9.8110009015747313</v>
      </c>
      <c r="J18" s="34">
        <f>SUM($C18:I18)*(CL!I$47-1)</f>
        <v>4.3146486206733945</v>
      </c>
      <c r="K18" s="34">
        <f>SUM($C18:J18)*(CL!J$47-1)</f>
        <v>1.8735560752958018</v>
      </c>
      <c r="L18" s="34">
        <f>SUM($C18:K18)*(CL!K$47-1)</f>
        <v>0.80908911203067491</v>
      </c>
      <c r="M18" s="34">
        <f>SUM($C18:L18)*(CL!L$47-1)</f>
        <v>0.3485727653109994</v>
      </c>
      <c r="N18" s="34">
        <f>SUM($C18:M18)*(CL!M$47-1)</f>
        <v>0.26321281300632565</v>
      </c>
      <c r="O18" s="34"/>
      <c r="P18" s="35">
        <f>SUM(C18:D18)</f>
        <v>180</v>
      </c>
      <c r="Q18" s="36">
        <f>P18/Data!A15</f>
        <v>2.0699172033118676E-2</v>
      </c>
      <c r="R18" s="37">
        <f t="shared" si="0"/>
        <v>271.08485182775405</v>
      </c>
      <c r="S18" s="37">
        <f t="shared" si="1"/>
        <v>451.08485182775405</v>
      </c>
      <c r="T18" s="42">
        <f>S18/Data!A15</f>
        <v>5.18726830528696E-2</v>
      </c>
    </row>
    <row r="19" spans="1:20" ht="16" x14ac:dyDescent="0.2">
      <c r="A19" s="8">
        <v>15</v>
      </c>
      <c r="B19" s="32"/>
      <c r="C19" s="33">
        <f>Data!B16</f>
        <v>323</v>
      </c>
      <c r="D19" s="34">
        <f>C19*(CL!C47-1)</f>
        <v>1210.0505050505051</v>
      </c>
      <c r="E19" s="34">
        <f>SUM($C19:D19)*(CL!D$47-1)</f>
        <v>1012.9364184881604</v>
      </c>
      <c r="F19" s="34">
        <f>SUM($C19:E19)*(CL!E$47-1)</f>
        <v>610.35235433600576</v>
      </c>
      <c r="G19" s="34">
        <f>SUM($C19:F19)*(CL!F$47-1)</f>
        <v>348.44713729440531</v>
      </c>
      <c r="H19" s="34">
        <f>SUM($C19:G19)*(CL!G$47-1)</f>
        <v>188.71356834090989</v>
      </c>
      <c r="I19" s="34">
        <f>SUM($C19:H19)*(CL!H$47-1)</f>
        <v>83.559777151167239</v>
      </c>
      <c r="J19" s="34">
        <f>SUM($C19:I19)*(CL!I$47-1)</f>
        <v>36.747634705771176</v>
      </c>
      <c r="K19" s="34">
        <f>SUM($C19:J19)*(CL!J$47-1)</f>
        <v>15.956978263737062</v>
      </c>
      <c r="L19" s="34">
        <f>SUM($C19:K19)*(CL!K$47-1)</f>
        <v>6.8909692879416165</v>
      </c>
      <c r="M19" s="34">
        <f>SUM($C19:L19)*(CL!L$47-1)</f>
        <v>2.9687758550382153</v>
      </c>
      <c r="N19" s="34">
        <f>SUM($C19:M19)*(CL!M$47-1)</f>
        <v>2.2417696439728427</v>
      </c>
      <c r="O19" s="34"/>
      <c r="P19" s="35">
        <f>SUM(C19)</f>
        <v>323</v>
      </c>
      <c r="Q19" s="36">
        <f>P19/Data!A16</f>
        <v>3.6821705426356592E-2</v>
      </c>
      <c r="R19" s="37">
        <f>S19-P19</f>
        <v>3518.8658884176143</v>
      </c>
      <c r="S19" s="37">
        <f>SUM(C19:O19)</f>
        <v>3841.8658884176143</v>
      </c>
      <c r="T19" s="42">
        <f>S19/Data!A16</f>
        <v>0.43796920752594781</v>
      </c>
    </row>
    <row r="20" spans="1:20" ht="1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"/>
      <c r="S20" s="3"/>
    </row>
    <row r="21" spans="1:20" ht="17" thickBo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8">
        <f>SUM(R4:R19)</f>
        <v>4646.1221885118939</v>
      </c>
      <c r="S21" s="3"/>
    </row>
    <row r="22" spans="1:20" ht="16" thickTop="1" x14ac:dyDescent="0.2"/>
    <row r="24" spans="1:20" ht="16" x14ac:dyDescent="0.2">
      <c r="A24" s="39"/>
      <c r="Q24" s="3"/>
      <c r="R24" s="3"/>
      <c r="S24" s="3"/>
      <c r="T24" s="3"/>
    </row>
    <row r="25" spans="1:20" ht="16" x14ac:dyDescent="0.2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11"/>
      <c r="Q25" s="37"/>
      <c r="R25" s="40"/>
      <c r="S25" s="37"/>
      <c r="T25" s="40"/>
    </row>
    <row r="26" spans="1:20" ht="16" x14ac:dyDescent="0.2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11"/>
      <c r="Q26" s="37"/>
      <c r="R26" s="40"/>
      <c r="S26" s="37"/>
      <c r="T26" s="40"/>
    </row>
    <row r="27" spans="1:20" ht="16" x14ac:dyDescent="0.2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11"/>
      <c r="Q27" s="37"/>
      <c r="R27" s="40"/>
      <c r="S27" s="37"/>
      <c r="T27" s="40"/>
    </row>
    <row r="28" spans="1:20" ht="16" x14ac:dyDescent="0.2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11"/>
      <c r="Q28" s="37"/>
      <c r="R28" s="40"/>
      <c r="S28" s="37"/>
      <c r="T28" s="40"/>
    </row>
    <row r="29" spans="1:20" ht="16" x14ac:dyDescent="0.2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11"/>
      <c r="Q29" s="37"/>
      <c r="R29" s="40"/>
      <c r="S29" s="37"/>
      <c r="T29" s="40"/>
    </row>
    <row r="30" spans="1:20" ht="16" x14ac:dyDescent="0.2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11"/>
      <c r="Q30" s="37"/>
      <c r="R30" s="40"/>
      <c r="S30" s="37"/>
      <c r="T30" s="40"/>
    </row>
    <row r="31" spans="1:20" ht="16" x14ac:dyDescent="0.2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11"/>
      <c r="Q31" s="37"/>
      <c r="R31" s="40"/>
      <c r="S31" s="37"/>
      <c r="T31" s="40"/>
    </row>
    <row r="32" spans="1:20" ht="16" x14ac:dyDescent="0.2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11"/>
      <c r="Q32" s="37"/>
      <c r="R32" s="40"/>
      <c r="S32" s="37"/>
      <c r="T32" s="40"/>
    </row>
    <row r="33" spans="1:21" ht="16" x14ac:dyDescent="0.2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11"/>
      <c r="Q33" s="37"/>
      <c r="R33" s="40"/>
      <c r="S33" s="37"/>
      <c r="T33" s="40"/>
    </row>
    <row r="34" spans="1:21" ht="16" x14ac:dyDescent="0.2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11"/>
      <c r="Q34" s="37"/>
      <c r="R34" s="40"/>
      <c r="S34" s="37"/>
      <c r="T34" s="40"/>
    </row>
    <row r="35" spans="1:21" ht="16" x14ac:dyDescent="0.2"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11"/>
      <c r="Q35" s="37"/>
      <c r="R35" s="40"/>
      <c r="S35" s="37"/>
      <c r="T35" s="40"/>
    </row>
    <row r="36" spans="1:21" ht="16" x14ac:dyDescent="0.2"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11"/>
      <c r="Q36" s="37"/>
      <c r="R36" s="40"/>
      <c r="S36" s="37"/>
      <c r="T36" s="40"/>
    </row>
    <row r="37" spans="1:21" ht="16" x14ac:dyDescent="0.2"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11"/>
      <c r="Q37" s="37"/>
      <c r="R37" s="40"/>
      <c r="S37" s="37"/>
      <c r="T37" s="40"/>
    </row>
    <row r="38" spans="1:21" ht="16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11"/>
      <c r="Q38" s="37"/>
      <c r="R38" s="40"/>
      <c r="S38" s="37"/>
      <c r="T38" s="40"/>
    </row>
    <row r="39" spans="1:21" ht="16" x14ac:dyDescent="0.2"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11"/>
      <c r="Q39" s="37"/>
      <c r="R39" s="40"/>
      <c r="S39" s="37"/>
      <c r="T39" s="40"/>
    </row>
    <row r="40" spans="1:21" ht="16" x14ac:dyDescent="0.2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11"/>
      <c r="Q40" s="37"/>
      <c r="R40" s="40"/>
      <c r="S40" s="37"/>
      <c r="T40" s="40"/>
    </row>
    <row r="41" spans="1:21" ht="16" x14ac:dyDescent="0.2">
      <c r="P41" s="7"/>
      <c r="Q41" s="3"/>
      <c r="R41" s="40"/>
      <c r="S41" s="3"/>
    </row>
    <row r="42" spans="1:21" ht="16" x14ac:dyDescent="0.2">
      <c r="A42" s="39"/>
      <c r="P42" s="7"/>
      <c r="Q42" s="37"/>
      <c r="R42" s="40"/>
      <c r="S42" s="3"/>
      <c r="T42" s="41"/>
      <c r="U42" s="41"/>
    </row>
    <row r="60" spans="3:15" x14ac:dyDescent="0.2">
      <c r="C60" t="str">
        <f t="shared" ref="C60:O60" si="3">IF(C42&gt;0,C21/C42,"")</f>
        <v/>
      </c>
      <c r="D60" t="str">
        <f t="shared" si="3"/>
        <v/>
      </c>
      <c r="E60" t="str">
        <f t="shared" si="3"/>
        <v/>
      </c>
      <c r="F60" t="str">
        <f t="shared" si="3"/>
        <v/>
      </c>
      <c r="G60" t="str">
        <f t="shared" si="3"/>
        <v/>
      </c>
      <c r="H60" t="str">
        <f t="shared" si="3"/>
        <v/>
      </c>
      <c r="I60" t="str">
        <f t="shared" si="3"/>
        <v/>
      </c>
      <c r="J60" t="str">
        <f t="shared" si="3"/>
        <v/>
      </c>
      <c r="K60" t="str">
        <f t="shared" si="3"/>
        <v/>
      </c>
      <c r="L60" t="str">
        <f t="shared" si="3"/>
        <v/>
      </c>
      <c r="M60" t="str">
        <f t="shared" si="3"/>
        <v/>
      </c>
      <c r="N60" t="str">
        <f t="shared" si="3"/>
        <v/>
      </c>
      <c r="O60" t="str">
        <f t="shared" si="3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E852-3E62-41BB-B97E-37D430093FE9}">
  <dimension ref="A1:AA46"/>
  <sheetViews>
    <sheetView tabSelected="1" topLeftCell="F18" workbookViewId="0">
      <selection activeCell="Z48" sqref="Z48"/>
    </sheetView>
  </sheetViews>
  <sheetFormatPr baseColWidth="10" defaultColWidth="9.1640625" defaultRowHeight="14" x14ac:dyDescent="0.15"/>
  <cols>
    <col min="1" max="1" width="21.5" style="4" bestFit="1" customWidth="1"/>
    <col min="2" max="2" width="17.1640625" style="4" customWidth="1"/>
    <col min="3" max="20" width="9.1640625" style="4"/>
    <col min="21" max="21" width="9.5" style="4" bestFit="1" customWidth="1"/>
    <col min="22" max="22" width="9.1640625" style="4"/>
    <col min="23" max="23" width="9.5" style="4" bestFit="1" customWidth="1"/>
    <col min="24" max="16384" width="9.1640625" style="4"/>
  </cols>
  <sheetData>
    <row r="1" spans="1:18" ht="16" x14ac:dyDescent="0.2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8" ht="16" x14ac:dyDescent="0.2">
      <c r="A4" s="8">
        <v>0</v>
      </c>
      <c r="B4" s="9"/>
      <c r="C4" s="10">
        <f>SUM(Data!$B1:C1)/SUM(Data!$B1:B1)</f>
        <v>5.1428571428571432</v>
      </c>
      <c r="D4" s="10">
        <f>SUM(Data!$B1:D1)/SUM(Data!$B1:C1)</f>
        <v>1.6431623931623931</v>
      </c>
      <c r="E4" s="10">
        <f>SUM(Data!$B1:E1)/SUM(Data!$B1:D1)</f>
        <v>1.2210663198959688</v>
      </c>
      <c r="F4" s="10">
        <f>SUM(Data!$B1:F1)/SUM(Data!$B1:E1)</f>
        <v>1.0766773162939298</v>
      </c>
      <c r="G4" s="10">
        <f>SUM(Data!$B1:G1)/SUM(Data!$B1:F1)</f>
        <v>1.043521266073195</v>
      </c>
      <c r="H4" s="10">
        <f>SUM(Data!$B1:H1)/SUM(Data!$B1:G1)</f>
        <v>1.0104265402843602</v>
      </c>
      <c r="I4" s="10">
        <f>SUM(Data!$B1:I1)/SUM(Data!$B1:H1)</f>
        <v>1.0056285178236397</v>
      </c>
      <c r="J4" s="10">
        <f>SUM(Data!$B1:J1)/SUM(Data!$B1:I1)</f>
        <v>1.0027985074626866</v>
      </c>
      <c r="K4" s="10">
        <f>SUM(Data!$B1:K1)/SUM(Data!$B1:J1)</f>
        <v>1.0009302325581395</v>
      </c>
      <c r="L4" s="10">
        <f>SUM(Data!$B1:L1)/SUM(Data!$B1:K1)</f>
        <v>1.0009293680297398</v>
      </c>
      <c r="M4" s="10">
        <f>SUM(Data!$B1:M1)/SUM(Data!$B1:L1)</f>
        <v>1.000928505106778</v>
      </c>
      <c r="N4" s="10">
        <f>SUM(Data!$B1:N1)/SUM(Data!$B1:M1)</f>
        <v>1.0009276437847867</v>
      </c>
      <c r="O4" s="10">
        <f>SUM(Data!$B1:O1)/SUM(Data!$B1:N1)</f>
        <v>1</v>
      </c>
      <c r="P4" s="10">
        <f>SUM(Data!$B1:P1)/SUM(Data!$B1:O1)</f>
        <v>1</v>
      </c>
      <c r="Q4" s="10">
        <f>SUM(Data!$B1:Q1)/SUM(Data!$B1:P1)</f>
        <v>1</v>
      </c>
      <c r="R4" s="11"/>
    </row>
    <row r="5" spans="1:18" ht="16" x14ac:dyDescent="0.2">
      <c r="A5" s="8">
        <v>1</v>
      </c>
      <c r="B5" s="9"/>
      <c r="C5" s="10">
        <f>SUM(Data!$B2:C2)/SUM(Data!$B2:B2)</f>
        <v>9.7301587301587293</v>
      </c>
      <c r="D5" s="10">
        <f>SUM(Data!$B2:D2)/SUM(Data!$B2:C2)</f>
        <v>1.9053833605220227</v>
      </c>
      <c r="E5" s="10">
        <f>SUM(Data!$B2:E2)/SUM(Data!$B2:D2)</f>
        <v>1.345890410958904</v>
      </c>
      <c r="F5" s="10">
        <f>SUM(Data!$B2:F2)/SUM(Data!$B2:E2)</f>
        <v>1.1501272264631044</v>
      </c>
      <c r="G5" s="10">
        <f>SUM(Data!$B2:G2)/SUM(Data!$B2:F2)</f>
        <v>1.0575221238938053</v>
      </c>
      <c r="H5" s="10">
        <f>SUM(Data!$B2:H2)/SUM(Data!$B2:G2)</f>
        <v>1.0292887029288702</v>
      </c>
      <c r="I5" s="10">
        <f>SUM(Data!$B2:I2)/SUM(Data!$B2:H2)</f>
        <v>1.0132113821138211</v>
      </c>
      <c r="J5" s="10">
        <f>SUM(Data!$B2:J2)/SUM(Data!$B2:I2)</f>
        <v>1.006519558676028</v>
      </c>
      <c r="K5" s="10">
        <f>SUM(Data!$B2:K2)/SUM(Data!$B2:J2)</f>
        <v>1.0024912805181863</v>
      </c>
      <c r="L5" s="10">
        <f>SUM(Data!$B2:L2)/SUM(Data!$B2:K2)</f>
        <v>1</v>
      </c>
      <c r="M5" s="10">
        <f>SUM(Data!$B2:M2)/SUM(Data!$B2:L2)</f>
        <v>1.0004970178926442</v>
      </c>
      <c r="N5" s="10">
        <f>SUM(Data!$B2:N2)/SUM(Data!$B2:M2)</f>
        <v>1</v>
      </c>
      <c r="O5" s="10">
        <f>SUM(Data!$B2:O2)/SUM(Data!$B2:N2)</f>
        <v>1</v>
      </c>
      <c r="P5" s="10">
        <f>SUM(Data!$B2:P2)/SUM(Data!$B2:O2)</f>
        <v>1</v>
      </c>
      <c r="Q5" s="10"/>
      <c r="R5" s="11"/>
    </row>
    <row r="6" spans="1:18" ht="16" x14ac:dyDescent="0.2">
      <c r="A6" s="8">
        <v>2</v>
      </c>
      <c r="B6" s="9"/>
      <c r="C6" s="10">
        <f>SUM(Data!$B3:C3)/SUM(Data!$B3:B3)</f>
        <v>15.083333333333334</v>
      </c>
      <c r="D6" s="10">
        <f>SUM(Data!$B3:D3)/SUM(Data!$B3:C3)</f>
        <v>2.5138121546961325</v>
      </c>
      <c r="E6" s="10">
        <f>SUM(Data!$B3:E3)/SUM(Data!$B3:D3)</f>
        <v>1.4945054945054945</v>
      </c>
      <c r="F6" s="10">
        <f>SUM(Data!$B3:F3)/SUM(Data!$B3:E3)</f>
        <v>1.2441176470588236</v>
      </c>
      <c r="G6" s="10">
        <f>SUM(Data!$B3:G3)/SUM(Data!$B3:F3)</f>
        <v>1.0851063829787233</v>
      </c>
      <c r="H6" s="10">
        <f>SUM(Data!$B3:H3)/SUM(Data!$B3:G3)</f>
        <v>1.05119825708061</v>
      </c>
      <c r="I6" s="10">
        <f>SUM(Data!$B3:I3)/SUM(Data!$B3:H3)</f>
        <v>1.0196891191709845</v>
      </c>
      <c r="J6" s="10">
        <f>SUM(Data!$B3:J3)/SUM(Data!$B3:I3)</f>
        <v>1.0111788617886179</v>
      </c>
      <c r="K6" s="10">
        <f>SUM(Data!$B3:K3)/SUM(Data!$B3:J3)</f>
        <v>1.0060301507537688</v>
      </c>
      <c r="L6" s="10">
        <f>SUM(Data!$B3:L3)/SUM(Data!$B3:K3)</f>
        <v>1.0039960039960041</v>
      </c>
      <c r="M6" s="10">
        <f>SUM(Data!$B3:M3)/SUM(Data!$B3:L3)</f>
        <v>1</v>
      </c>
      <c r="N6" s="10">
        <f>SUM(Data!$B3:N3)/SUM(Data!$B3:M3)</f>
        <v>1</v>
      </c>
      <c r="O6" s="10">
        <f>SUM(Data!$B3:O3)/SUM(Data!$B3:N3)</f>
        <v>1.0009950248756219</v>
      </c>
      <c r="P6" s="10"/>
      <c r="Q6" s="10"/>
      <c r="R6" s="11"/>
    </row>
    <row r="7" spans="1:18" ht="16" x14ac:dyDescent="0.2">
      <c r="A7" s="8">
        <v>3</v>
      </c>
      <c r="B7" s="9"/>
      <c r="C7" s="10">
        <f>SUM(Data!$B4:C4)/SUM(Data!$B4:B4)</f>
        <v>3.3532467532467534</v>
      </c>
      <c r="D7" s="10">
        <f>SUM(Data!$B4:D4)/SUM(Data!$B4:C4)</f>
        <v>1.3415956622773044</v>
      </c>
      <c r="E7" s="10">
        <f>SUM(Data!$B4:E4)/SUM(Data!$B4:D4)</f>
        <v>1.1356812933025404</v>
      </c>
      <c r="F7" s="10">
        <f>SUM(Data!$B4:F4)/SUM(Data!$B4:E4)</f>
        <v>1.0406710726995425</v>
      </c>
      <c r="G7" s="10">
        <f>SUM(Data!$B4:G4)/SUM(Data!$B4:F4)</f>
        <v>1.020029311187103</v>
      </c>
      <c r="H7" s="10">
        <f>SUM(Data!$B4:H4)/SUM(Data!$B4:G4)</f>
        <v>1.0076628352490422</v>
      </c>
      <c r="I7" s="10">
        <f>SUM(Data!$B4:I4)/SUM(Data!$B4:H4)</f>
        <v>1.0009505703422052</v>
      </c>
      <c r="J7" s="10">
        <f>SUM(Data!$B4:J4)/SUM(Data!$B4:I4)</f>
        <v>1.0014245014245013</v>
      </c>
      <c r="K7" s="10">
        <f>SUM(Data!$B4:K4)/SUM(Data!$B4:J4)</f>
        <v>1.0009483167377904</v>
      </c>
      <c r="L7" s="10">
        <f>SUM(Data!$B4:L4)/SUM(Data!$B4:K4)</f>
        <v>1.0004737091425864</v>
      </c>
      <c r="M7" s="10">
        <f>SUM(Data!$B4:M4)/SUM(Data!$B4:L4)</f>
        <v>1</v>
      </c>
      <c r="N7" s="10">
        <f>SUM(Data!$B4:N4)/SUM(Data!$B4:M4)</f>
        <v>1</v>
      </c>
      <c r="O7" s="10"/>
      <c r="P7" s="10"/>
      <c r="Q7" s="10"/>
      <c r="R7" s="11"/>
    </row>
    <row r="8" spans="1:18" ht="16" x14ac:dyDescent="0.2">
      <c r="A8" s="8">
        <v>4</v>
      </c>
      <c r="B8" s="9"/>
      <c r="C8" s="10">
        <f>SUM(Data!$B5:C5)/SUM(Data!$B5:B5)</f>
        <v>4.9239130434782608</v>
      </c>
      <c r="D8" s="10">
        <f>SUM(Data!$B5:D5)/SUM(Data!$B5:C5)</f>
        <v>1.5849889624724063</v>
      </c>
      <c r="E8" s="10">
        <f>SUM(Data!$B5:E5)/SUM(Data!$B5:D5)</f>
        <v>1.2200557103064067</v>
      </c>
      <c r="F8" s="10">
        <f>SUM(Data!$B5:F5)/SUM(Data!$B5:E5)</f>
        <v>1.0787671232876712</v>
      </c>
      <c r="G8" s="10">
        <f>SUM(Data!$B5:G5)/SUM(Data!$B5:F5)</f>
        <v>1.0306878306878307</v>
      </c>
      <c r="H8" s="10">
        <f>SUM(Data!$B5:H5)/SUM(Data!$B5:G5)</f>
        <v>1.017453798767967</v>
      </c>
      <c r="I8" s="10">
        <f>SUM(Data!$B5:I5)/SUM(Data!$B5:H5)</f>
        <v>1.0090817356205852</v>
      </c>
      <c r="J8" s="10">
        <f>SUM(Data!$B5:J5)/SUM(Data!$B5:I5)</f>
        <v>1.002</v>
      </c>
      <c r="K8" s="10">
        <f>SUM(Data!$B5:K5)/SUM(Data!$B5:J5)</f>
        <v>1</v>
      </c>
      <c r="L8" s="10">
        <f>SUM(Data!$B5:L5)/SUM(Data!$B5:K5)</f>
        <v>1</v>
      </c>
      <c r="M8" s="10">
        <f>SUM(Data!$B5:M5)/SUM(Data!$B5:L5)</f>
        <v>1</v>
      </c>
      <c r="N8" s="10"/>
      <c r="O8" s="10"/>
      <c r="P8" s="10"/>
      <c r="Q8" s="10"/>
      <c r="R8" s="11"/>
    </row>
    <row r="9" spans="1:18" ht="16" x14ac:dyDescent="0.2">
      <c r="A9" s="8">
        <v>5</v>
      </c>
      <c r="B9" s="9"/>
      <c r="C9" s="10">
        <f>SUM(Data!$B6:C6)/SUM(Data!$B6:B6)</f>
        <v>8.9710144927536231</v>
      </c>
      <c r="D9" s="10">
        <f>SUM(Data!$B6:D6)/SUM(Data!$B6:C6)</f>
        <v>2.0290791599353795</v>
      </c>
      <c r="E9" s="10">
        <f>SUM(Data!$B6:E6)/SUM(Data!$B6:D6)</f>
        <v>1.2945859872611465</v>
      </c>
      <c r="F9" s="10">
        <f>SUM(Data!$B6:F6)/SUM(Data!$B6:E6)</f>
        <v>1.1445264452644526</v>
      </c>
      <c r="G9" s="10">
        <f>SUM(Data!$B6:G6)/SUM(Data!$B6:F6)</f>
        <v>1.0655561526061257</v>
      </c>
      <c r="H9" s="10">
        <f>SUM(Data!$B6:H6)/SUM(Data!$B6:G6)</f>
        <v>1.0267271810388301</v>
      </c>
      <c r="I9" s="10">
        <f>SUM(Data!$B6:I6)/SUM(Data!$B6:H6)</f>
        <v>1.0093320235756384</v>
      </c>
      <c r="J9" s="10">
        <f>SUM(Data!$B6:J6)/SUM(Data!$B6:I6)</f>
        <v>1.0034063260340633</v>
      </c>
      <c r="K9" s="10">
        <f>SUM(Data!$B6:K6)/SUM(Data!$B6:J6)</f>
        <v>1.0019398642095054</v>
      </c>
      <c r="L9" s="10">
        <f>SUM(Data!$B6:L6)/SUM(Data!$B6:K6)</f>
        <v>1.000484027105518</v>
      </c>
      <c r="M9" s="10"/>
      <c r="N9" s="10"/>
      <c r="O9" s="10"/>
      <c r="P9" s="10"/>
      <c r="Q9" s="10"/>
      <c r="R9" s="11"/>
    </row>
    <row r="10" spans="1:18" ht="16" x14ac:dyDescent="0.2">
      <c r="A10" s="8">
        <v>6</v>
      </c>
      <c r="B10" s="9"/>
      <c r="C10" s="10">
        <f>SUM(Data!$B7:C7)/SUM(Data!$B7:B7)</f>
        <v>24.833333333333332</v>
      </c>
      <c r="D10" s="10">
        <f>SUM(Data!$B7:D7)/SUM(Data!$B7:C7)</f>
        <v>2.4228187919463089</v>
      </c>
      <c r="E10" s="10">
        <f>SUM(Data!$B7:E7)/SUM(Data!$B7:D7)</f>
        <v>1.554016620498615</v>
      </c>
      <c r="F10" s="10">
        <f>SUM(Data!$B7:F7)/SUM(Data!$B7:E7)</f>
        <v>1.213903743315508</v>
      </c>
      <c r="G10" s="10">
        <f>SUM(Data!$B7:G7)/SUM(Data!$B7:F7)</f>
        <v>1.1248164464023496</v>
      </c>
      <c r="H10" s="10">
        <f>SUM(Data!$B7:H7)/SUM(Data!$B7:G7)</f>
        <v>1.0496083550913837</v>
      </c>
      <c r="I10" s="10">
        <f>SUM(Data!$B7:I7)/SUM(Data!$B7:H7)</f>
        <v>1.027363184079602</v>
      </c>
      <c r="J10" s="10">
        <f>SUM(Data!$B7:J7)/SUM(Data!$B7:I7)</f>
        <v>1.0072639225181599</v>
      </c>
      <c r="K10" s="10">
        <f>SUM(Data!$B7:K7)/SUM(Data!$B7:J7)</f>
        <v>1.0024038461538463</v>
      </c>
      <c r="L10" s="10"/>
      <c r="M10" s="10"/>
      <c r="N10" s="10"/>
      <c r="O10" s="10"/>
      <c r="P10" s="10"/>
      <c r="Q10" s="10"/>
      <c r="R10" s="11"/>
    </row>
    <row r="11" spans="1:18" ht="16" x14ac:dyDescent="0.2">
      <c r="A11" s="8">
        <v>7</v>
      </c>
      <c r="B11" s="9"/>
      <c r="C11" s="10">
        <f>SUM(Data!$B8:C8)/SUM(Data!$B8:B8)</f>
        <v>3.2571428571428571</v>
      </c>
      <c r="D11" s="10">
        <f>SUM(Data!$B8:D8)/SUM(Data!$B8:C8)</f>
        <v>1.4103313840155944</v>
      </c>
      <c r="E11" s="10">
        <f>SUM(Data!$B8:E8)/SUM(Data!$B8:D8)</f>
        <v>1.1209398756046993</v>
      </c>
      <c r="F11" s="10">
        <f>SUM(Data!$B8:F8)/SUM(Data!$B8:E8)</f>
        <v>1.0536374845869296</v>
      </c>
      <c r="G11" s="10">
        <f>SUM(Data!$B8:G8)/SUM(Data!$B8:F8)</f>
        <v>1.0222352252779403</v>
      </c>
      <c r="H11" s="10">
        <f>SUM(Data!$B8:H8)/SUM(Data!$B8:G8)</f>
        <v>1.0074413279908414</v>
      </c>
      <c r="I11" s="10">
        <f>SUM(Data!$B8:I8)/SUM(Data!$B8:H8)</f>
        <v>1.0022727272727272</v>
      </c>
      <c r="J11" s="10">
        <f>SUM(Data!$B8:J8)/SUM(Data!$B8:I8)</f>
        <v>1.0011337868480725</v>
      </c>
      <c r="K11" s="10"/>
      <c r="L11" s="10"/>
      <c r="M11" s="10"/>
      <c r="N11" s="10"/>
      <c r="O11" s="10"/>
      <c r="P11" s="10"/>
      <c r="Q11" s="10"/>
      <c r="R11" s="11"/>
    </row>
    <row r="12" spans="1:18" ht="16" x14ac:dyDescent="0.2">
      <c r="A12" s="8">
        <v>8</v>
      </c>
      <c r="B12" s="9"/>
      <c r="C12" s="10">
        <f>SUM(Data!$B9:C9)/SUM(Data!$B9:B9)</f>
        <v>4.6923076923076925</v>
      </c>
      <c r="D12" s="10">
        <f>SUM(Data!$B9:D9)/SUM(Data!$B9:C9)</f>
        <v>1.6530054644808743</v>
      </c>
      <c r="E12" s="10">
        <f>SUM(Data!$B9:E9)/SUM(Data!$B9:D9)</f>
        <v>1.1636363636363636</v>
      </c>
      <c r="F12" s="10">
        <f>SUM(Data!$B9:F9)/SUM(Data!$B9:E9)</f>
        <v>1.09375</v>
      </c>
      <c r="G12" s="10">
        <f>SUM(Data!$B9:G9)/SUM(Data!$B9:F9)</f>
        <v>1.0415584415584416</v>
      </c>
      <c r="H12" s="10">
        <f>SUM(Data!$B9:H9)/SUM(Data!$B9:G9)</f>
        <v>1.013715710723192</v>
      </c>
      <c r="I12" s="10">
        <f>SUM(Data!$B9:I9)/SUM(Data!$B9:H9)</f>
        <v>1.0073800738007379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ht="16" x14ac:dyDescent="0.2">
      <c r="A13" s="8">
        <v>9</v>
      </c>
      <c r="B13" s="9"/>
      <c r="C13" s="10">
        <f>SUM(Data!$B10:C10)/SUM(Data!$B10:B10)</f>
        <v>6.8705882352941172</v>
      </c>
      <c r="D13" s="10">
        <f>SUM(Data!$B10:D10)/SUM(Data!$B10:C10)</f>
        <v>1.9503424657534247</v>
      </c>
      <c r="E13" s="10">
        <f>SUM(Data!$B10:E10)/SUM(Data!$B10:D10)</f>
        <v>1.3072870939420544</v>
      </c>
      <c r="F13" s="10">
        <f>SUM(Data!$B10:F10)/SUM(Data!$B10:E10)</f>
        <v>1.1517797179314977</v>
      </c>
      <c r="G13" s="10">
        <f>SUM(Data!$B10:G10)/SUM(Data!$B10:F10)</f>
        <v>1.0658892128279884</v>
      </c>
      <c r="H13" s="10">
        <f>SUM(Data!$B10:H10)/SUM(Data!$B10:G10)</f>
        <v>1.0355579868708971</v>
      </c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6" x14ac:dyDescent="0.2">
      <c r="A14" s="8">
        <v>10</v>
      </c>
      <c r="B14" s="9"/>
      <c r="C14" s="10">
        <f>SUM(Data!$B11:C11)/SUM(Data!$B11:B11)</f>
        <v>9</v>
      </c>
      <c r="D14" s="10">
        <f>SUM(Data!$B11:D11)/SUM(Data!$B11:C11)</f>
        <v>2.617283950617284</v>
      </c>
      <c r="E14" s="10">
        <f>SUM(Data!$B11:E11)/SUM(Data!$B11:D11)</f>
        <v>1.5235849056603774</v>
      </c>
      <c r="F14" s="10">
        <f>SUM(Data!$B11:F11)/SUM(Data!$B11:E11)</f>
        <v>1.2321981424148607</v>
      </c>
      <c r="G14" s="10">
        <f>SUM(Data!$B11:G11)/SUM(Data!$B11:F11)</f>
        <v>1.1055276381909547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6" x14ac:dyDescent="0.2">
      <c r="A15" s="8">
        <v>11</v>
      </c>
      <c r="B15" s="9"/>
      <c r="C15" s="10">
        <f>SUM(Data!$B12:C12)/SUM(Data!$B12:B12)</f>
        <v>3.2567975830815712</v>
      </c>
      <c r="D15" s="10">
        <f>SUM(Data!$B12:D12)/SUM(Data!$B12:C12)</f>
        <v>1.3506493506493507</v>
      </c>
      <c r="E15" s="10">
        <f>SUM(Data!$B12:E12)/SUM(Data!$B12:D12)</f>
        <v>1.1071428571428572</v>
      </c>
      <c r="F15" s="10">
        <f>SUM(Data!$B12:F12)/SUM(Data!$B12:E12)</f>
        <v>1.0440446650124069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6" x14ac:dyDescent="0.2">
      <c r="A16" s="8">
        <v>12</v>
      </c>
      <c r="B16" s="9"/>
      <c r="C16" s="10">
        <f>SUM(Data!$B13:C13)/SUM(Data!$B13:B13)</f>
        <v>5.0597014925373136</v>
      </c>
      <c r="D16" s="10">
        <f>SUM(Data!$B13:D13)/SUM(Data!$B13:C13)</f>
        <v>1.5368731563421829</v>
      </c>
      <c r="E16" s="10">
        <f>SUM(Data!$B13:E13)/SUM(Data!$B13:D13)</f>
        <v>1.2399232245681382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27" ht="16" x14ac:dyDescent="0.2">
      <c r="A17" s="8">
        <v>13</v>
      </c>
      <c r="B17" s="9"/>
      <c r="C17" s="10">
        <f>SUM(Data!$B14:C14)/SUM(Data!$B14:B14)</f>
        <v>7.9833333333333334</v>
      </c>
      <c r="D17" s="10">
        <f>SUM(Data!$B14:D14)/SUM(Data!$B14:C14)</f>
        <v>1.9123173277661796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27" ht="16" x14ac:dyDescent="0.2">
      <c r="A18" s="8">
        <v>14</v>
      </c>
      <c r="B18" s="9"/>
      <c r="C18" s="10">
        <f>SUM(Data!$B15:C15)/SUM(Data!$B15:B15)</f>
        <v>16.363636363636363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27" ht="16" x14ac:dyDescent="0.2">
      <c r="A19" s="8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27" s="44" customFormat="1" x14ac:dyDescent="0.15"/>
    <row r="22" spans="1:27" x14ac:dyDescent="0.15">
      <c r="A22" s="43" t="s">
        <v>3</v>
      </c>
    </row>
    <row r="24" spans="1:27" ht="16" x14ac:dyDescent="0.2">
      <c r="A24" s="7" t="s">
        <v>42</v>
      </c>
      <c r="B24" s="7"/>
      <c r="C24" s="14">
        <f>SUM(Data!$B1:C1,Data!$B5:C5,Data!$B9:C9,Data!$B13:C13)/SUM(Data!B1,Data!B5,Data!B9,Data!B13)</f>
        <v>4.9573170731707314</v>
      </c>
      <c r="D24" s="14">
        <f>SUM(Data!$B1:D1,Data!$B5:D5,Data!$B9:D9,Data!$B13:D13)/SUM(Data!$B1:C1,Data!$B5:C5,Data!$B9:C9,Data!$B13:C13)</f>
        <v>1.6070110701107012</v>
      </c>
      <c r="E24" s="14">
        <f>SUM(Data!$B1:E1,Data!$B5:E5,Data!$B9:E9,Data!$B13:E13)/SUM(Data!$B1:D1,Data!$B5:D5,Data!$B9:D9,Data!$B13:D13)</f>
        <v>1.211251435132032</v>
      </c>
      <c r="F24" s="14">
        <f>SUM(Data!$B1:F1,Data!$B5:F5,Data!$B9:F9)/SUM(Data!$B1:E1,Data!$B5:E5,Data!$B9:E9)</f>
        <v>1.0821754664549423</v>
      </c>
      <c r="G24" s="14">
        <f>SUM(Data!$B1:G1,Data!$B5:G5,Data!$B9:G9)/SUM(Data!$B1:F1,Data!$B5:F5,Data!$B9:F9)</f>
        <v>1.0385179750550257</v>
      </c>
      <c r="H24" s="14">
        <f>SUM(Data!$B1:H1,Data!$B5:H5,Data!$B9:H9)/SUM(Data!$B1:G1,Data!$B5:G5,Data!$B9:G9)</f>
        <v>1.0137760508654186</v>
      </c>
      <c r="I24" s="14">
        <f>SUM(Data!$B1:I1,Data!$B5:I5,Data!$B9:I9)/SUM(Data!$B1:H1,Data!$B5:H5,Data!$B9:H9)</f>
        <v>1.0073170731707317</v>
      </c>
      <c r="J24" s="14">
        <f>SUM(Data!$B1:J1,Data!$B5:J5)/SUM(Data!$B1:I1,Data!$B5:I5)</f>
        <v>1.0024131274131274</v>
      </c>
      <c r="K24" s="14">
        <f>SUM(Data!$B1:K1,Data!$B5:K5)/SUM(Data!$B1:J1,Data!$B5:J5)</f>
        <v>1.0004814636494945</v>
      </c>
      <c r="L24" s="14">
        <f>SUM(Data!$B1:L1,Data!$B5:L5)/SUM(Data!$B1:K1,Data!$B5:K5)</f>
        <v>1.0004812319538017</v>
      </c>
      <c r="M24" s="14">
        <f>SUM(Data!$B1:M1,Data!$B5:M5)/SUM(Data!$B1:L1,Data!$B5:L5)</f>
        <v>1.0004810004810005</v>
      </c>
      <c r="N24" s="14">
        <f>SUM(Data!$B1:N1)/SUM(Data!$B1:M1)</f>
        <v>1.0009276437847867</v>
      </c>
      <c r="O24" s="14">
        <f>SUM(Data!$B1:O1)/SUM(Data!$B1:N1)</f>
        <v>1</v>
      </c>
      <c r="P24" s="14">
        <f>SUM(Data!$B1:P1)/SUM(Data!$B1:O1)</f>
        <v>1</v>
      </c>
      <c r="Q24" s="14">
        <f>SUM(Data!$B1:Q1)/SUM(Data!$B1:P1)</f>
        <v>1</v>
      </c>
      <c r="R24" s="14"/>
    </row>
    <row r="25" spans="1:27" ht="16" x14ac:dyDescent="0.2">
      <c r="A25" s="7" t="s">
        <v>43</v>
      </c>
      <c r="B25" s="7"/>
      <c r="C25" s="14">
        <f>SUM(Data!$B2:C2,Data!$B6:C6,Data!$B10:C10,Data!$B14:C14)/SUM(Data!$B2:B2,Data!$B6:B6,Data!$B10:B10,Data!$B14:B14)</f>
        <v>8.2851985559566792</v>
      </c>
      <c r="D25" s="14">
        <f>SUM(Data!$B2:D2,Data!$B6:D6,Data!$B10:D10,Data!$B14:D14)/SUM(Data!$B2:C2,Data!$B6:C6,Data!$B10:C10,Data!$B14:C14)</f>
        <v>1.9516339869281045</v>
      </c>
      <c r="E25" s="14">
        <f>SUM(Data!$B2:E2,Data!$B6:E6,Data!$B10:E10)/SUM(Data!$B2:D2,Data!$B6:D6,Data!$B10:D10)</f>
        <v>1.315464496211058</v>
      </c>
      <c r="F25" s="14">
        <f>SUM(Data!$B2:F2,Data!$B6:F6,Data!$B10:F10)/SUM(Data!$B2:E2,Data!$B6:E6,Data!$B10:E10)</f>
        <v>1.1487091956475357</v>
      </c>
      <c r="G25" s="14">
        <f>SUM(Data!$B2:G2,Data!$B6:G6,Data!$B10:G10)/SUM(Data!$B2:F2,Data!$B6:F6,Data!$B10:F10)</f>
        <v>1.062964338781575</v>
      </c>
      <c r="H25" s="14">
        <f>SUM(Data!$B2:H2,Data!$B6:H6,Data!$B10:H10)/SUM(Data!$B2:G2,Data!$B6:G6,Data!$B10:G10)</f>
        <v>1.0304036344574523</v>
      </c>
      <c r="I25" s="14">
        <f>SUM(Data!$B2:I2,Data!$B6:I6)/SUM(Data!$B2:H2,Data!$B6:H6)</f>
        <v>1.0112387612387612</v>
      </c>
      <c r="J25" s="14">
        <f>SUM(Data!$B2:J2,Data!$B6:J6)/SUM(Data!$B2:I2,Data!$B6:I6)</f>
        <v>1.004939491232403</v>
      </c>
      <c r="K25" s="14">
        <f>SUM(Data!$B2:K2,Data!$B6:K6)/SUM(Data!$B2:J2,Data!$B6:J6)</f>
        <v>1.0022118456623248</v>
      </c>
      <c r="L25" s="14">
        <f>SUM(Data!$B2:L2,Data!$B6:L6)/SUM(Data!$B2:K2,Data!$B6:K6)</f>
        <v>1.0002452182442374</v>
      </c>
      <c r="M25" s="14">
        <f>SUM(Data!$B2:M2)/SUM(Data!$B2:L2)</f>
        <v>1.0004970178926442</v>
      </c>
      <c r="N25" s="14">
        <f>SUM(Data!$B2:N2)/SUM(Data!$B2:M2)</f>
        <v>1</v>
      </c>
      <c r="O25" s="14">
        <f>SUM(Data!$B2:O2)/SUM(Data!$B2:N2)</f>
        <v>1</v>
      </c>
      <c r="P25" s="14">
        <f>SUM(Data!$B2:P2)/SUM(Data!$B2:O2)</f>
        <v>1</v>
      </c>
      <c r="R25" s="7"/>
    </row>
    <row r="26" spans="1:27" ht="16" x14ac:dyDescent="0.2">
      <c r="A26" s="7" t="s">
        <v>44</v>
      </c>
      <c r="B26" s="7"/>
      <c r="C26" s="14">
        <f>SUM(Data!$B3:C3,Data!$B7:C7,Data!$B11:C11,Data!$B15:C15)/SUM(Data!$B3:B3,Data!$B7:B7,Data!$B11:B11,Data!$B15:B15)</f>
        <v>14.297872340425531</v>
      </c>
      <c r="D26" s="14">
        <f>SUM(Data!$B3:D3,Data!$B7:D7,Data!$B11:D11)/SUM(Data!$B3:C3,Data!$B7:C7,Data!$B11:C11)</f>
        <v>2.5203252032520327</v>
      </c>
      <c r="E26" s="14">
        <f>SUM(Data!$B3:E3,Data!$B7:E7,Data!$B11:E11)/SUM(Data!$B3:D3,Data!$B7:D7,Data!$B11:D11)</f>
        <v>1.5217741935483871</v>
      </c>
      <c r="F26" s="14">
        <f>SUM(Data!$B3:F3,Data!$B7:F7,Data!$B11:F11)/SUM(Data!$B3:E3,Data!$B7:E7,Data!$B11:E11)</f>
        <v>1.2310545839957605</v>
      </c>
      <c r="G26" s="14">
        <f>SUM(Data!$B3:G3,Data!$B7:G7,Data!$B11:G11)/SUM(Data!$B3:F3,Data!$B7:F7,Data!$B11:F11)</f>
        <v>1.1037451571244081</v>
      </c>
      <c r="H26" s="14">
        <f>SUM(Data!$B3:H3,Data!$B7:H7)/SUM(Data!$B3:G3,Data!$B7:G7)</f>
        <v>1.0504750593824228</v>
      </c>
      <c r="I26" s="14">
        <f>SUM(Data!$B3:I3,Data!$B7:I7)/SUM(Data!$B3:H3,Data!$B7:H7)</f>
        <v>1.0231769361221028</v>
      </c>
      <c r="J26" s="14">
        <f>SUM(Data!$B3:J3,Data!$B7:J7)/SUM(Data!$B3:I3,Data!$B7:I7)</f>
        <v>1.0093922651933702</v>
      </c>
      <c r="K26" s="14">
        <f>SUM(Data!$B3:K3,Data!$B7:K7)/SUM(Data!$B3:J3,Data!$B7:J7)</f>
        <v>1.0043787629994527</v>
      </c>
      <c r="L26" s="14">
        <f>SUM(Data!$B3:L3)/SUM(Data!$B3:K3)</f>
        <v>1.0039960039960041</v>
      </c>
      <c r="M26" s="14">
        <f>SUM(Data!$B3:M3)/SUM(Data!$B3:L3)</f>
        <v>1</v>
      </c>
      <c r="N26" s="14">
        <f>SUM(Data!$B3:N3)/SUM(Data!$B3:M3)</f>
        <v>1</v>
      </c>
      <c r="O26" s="14">
        <f>SUM(Data!$B3:O3)/SUM(Data!$B3:N3)</f>
        <v>1.0009950248756219</v>
      </c>
      <c r="R26" s="7"/>
    </row>
    <row r="27" spans="1:27" ht="16" x14ac:dyDescent="0.2">
      <c r="A27" s="7" t="s">
        <v>45</v>
      </c>
      <c r="B27" s="7"/>
      <c r="C27" s="14">
        <f>SUM(Data!$B4:C4,Data!$B8:C8,Data!$B12:C12)/SUM(Data!$B4:B4,Data!$B8:B8,Data!$B12:B12)</f>
        <v>3.2929194956353056</v>
      </c>
      <c r="D27" s="14">
        <f>SUM(Data!$B4:D4,Data!$B8:D8,Data!$B12:D12)/SUM(Data!$B4:C4,Data!$B8:C8,Data!$B12:C12)</f>
        <v>1.3652430044182622</v>
      </c>
      <c r="E27" s="14">
        <f>SUM(Data!$B4:E4,Data!$B8:E8,Data!$B12:E12)/SUM(Data!$B4:D4,Data!$B8:D8,Data!$B12:D12)</f>
        <v>1.1221143473570658</v>
      </c>
      <c r="F27" s="14">
        <f>SUM(Data!$B4:F4,Data!$B8:F8,Data!$B12:F12)/SUM(Data!$B4:E4,Data!$B8:E8,Data!$B12:E12)</f>
        <v>1.0457604306864066</v>
      </c>
      <c r="G27" s="14">
        <f>SUM(Data!$B4:G4,Data!$B8:G8)/SUM(Data!$B4:F4,Data!$B8:F8)</f>
        <v>1.0210330138445154</v>
      </c>
      <c r="H27" s="14">
        <f>SUM(Data!$B4:H4,Data!$B8:H8)/SUM(Data!$B4:G4,Data!$B8:G8)</f>
        <v>1.0075619295958278</v>
      </c>
      <c r="I27" s="14">
        <f>SUM(Data!$B4:I4,Data!$B8:I8)/SUM(Data!$B4:H4,Data!$B8:H8)</f>
        <v>1.0015527950310559</v>
      </c>
      <c r="J27" s="14">
        <f>SUM(Data!$B4:J4,Data!$B8:J8)/SUM(Data!$B4:I4,Data!$B8:I8)</f>
        <v>1.0012919896640826</v>
      </c>
      <c r="K27" s="14">
        <f>SUM(Data!$B4:K4)/SUM(Data!$B4:J4)</f>
        <v>1.0009483167377904</v>
      </c>
      <c r="L27" s="14">
        <f>SUM(Data!$B4:L4)/SUM(Data!$B4:K4)</f>
        <v>1.0004737091425864</v>
      </c>
      <c r="M27" s="14">
        <f>SUM(Data!$B4:M4)/SUM(Data!$B4:L4)</f>
        <v>1</v>
      </c>
      <c r="N27" s="14">
        <f>SUM(Data!$B4:N4)/SUM(Data!$B4:M4)</f>
        <v>1</v>
      </c>
      <c r="R27" s="7"/>
    </row>
    <row r="29" spans="1:27" s="44" customFormat="1" x14ac:dyDescent="0.15"/>
    <row r="32" spans="1:27" ht="16" x14ac:dyDescent="0.2">
      <c r="A32" s="3" t="s">
        <v>10</v>
      </c>
      <c r="B32" s="3" t="s">
        <v>46</v>
      </c>
      <c r="C32" s="13">
        <f t="shared" ref="C32:H35" si="0">C24</f>
        <v>4.9573170731707314</v>
      </c>
      <c r="D32" s="13">
        <f t="shared" si="0"/>
        <v>1.6070110701107012</v>
      </c>
      <c r="E32" s="13">
        <f t="shared" si="0"/>
        <v>1.211251435132032</v>
      </c>
      <c r="F32" s="13">
        <f t="shared" si="0"/>
        <v>1.0821754664549423</v>
      </c>
      <c r="G32" s="13">
        <f t="shared" si="0"/>
        <v>1.0385179750550257</v>
      </c>
      <c r="H32" s="13">
        <f t="shared" si="0"/>
        <v>1.0137760508654186</v>
      </c>
      <c r="I32" s="24" cm="1">
        <f t="array" ref="I32">EXP(_xlfn.FORECAST.LINEAR(I$2-8,LN($H24:$J24-1),$H$2:$J$2-8))+1</f>
        <v>1.0062423406236709</v>
      </c>
      <c r="J32" s="24" cm="1">
        <f t="array" ref="J32">EXP(_xlfn.FORECAST.LINEAR(J$2-8,LN($H24:$J24-1),$H$2:$J$2-8))+1</f>
        <v>1.0026126138257705</v>
      </c>
      <c r="K32" s="24" cm="1">
        <f t="array" ref="K32">EXP(_xlfn.FORECAST.LINEAR(K$2-8,LN($H24:$J24-1),$H$2:$J$2-8))+1</f>
        <v>1.0010934601961199</v>
      </c>
      <c r="L32" s="24" cm="1">
        <f t="array" ref="L32">EXP(_xlfn.FORECAST.LINEAR(L$2-8,LN($H24:$J24-1),$H$2:$J$2-8))+1</f>
        <v>1.0004576471228563</v>
      </c>
      <c r="M32" s="24" cm="1">
        <f t="array" ref="M32">EXP(_xlfn.FORECAST.LINEAR(M$2-8,LN($H24:$J24-1),$H$2:$J$2-8))+1</f>
        <v>1.0001915395638561</v>
      </c>
      <c r="N32" s="24" cm="1">
        <f t="array" ref="N32">EXP(_xlfn.FORECAST.LINEAR(N$2-8,LN($H24:$J24-1),$H$2:$J$2-8))+1</f>
        <v>1.0000801652685876</v>
      </c>
      <c r="O32" s="25" cm="1">
        <f t="array" ref="O32">EXP(INTERCEPT(LN(H24:J24-1),H$2:J$2-5))*EXP(SLOPE(LN(H24:J24-1),H$2:J$2-5))^(12-5)/(1-EXP(SLOPE(LN(H24:J24-1),H$2:J$2-5)))+1</f>
        <v>1.000057701557368</v>
      </c>
      <c r="Q32" s="47" t="s">
        <v>53</v>
      </c>
      <c r="R32" s="47"/>
      <c r="S32" s="47"/>
      <c r="T32" s="47"/>
      <c r="U32" s="47"/>
      <c r="V32" s="47"/>
      <c r="W32" s="47"/>
      <c r="X32" s="47"/>
      <c r="Y32" s="47"/>
      <c r="Z32" s="47"/>
      <c r="AA32" s="47"/>
    </row>
    <row r="33" spans="1:27" ht="16" x14ac:dyDescent="0.2">
      <c r="A33" s="3" t="s">
        <v>12</v>
      </c>
      <c r="B33" s="3" t="s">
        <v>47</v>
      </c>
      <c r="C33" s="13">
        <f t="shared" si="0"/>
        <v>8.2851985559566792</v>
      </c>
      <c r="D33" s="13">
        <f t="shared" si="0"/>
        <v>1.9516339869281045</v>
      </c>
      <c r="E33" s="13">
        <f t="shared" si="0"/>
        <v>1.315464496211058</v>
      </c>
      <c r="F33" s="13">
        <f t="shared" si="0"/>
        <v>1.1487091956475357</v>
      </c>
      <c r="G33" s="13">
        <f t="shared" si="0"/>
        <v>1.062964338781575</v>
      </c>
      <c r="H33" s="13">
        <f t="shared" si="0"/>
        <v>1.0304036344574523</v>
      </c>
      <c r="I33" s="24" cm="1">
        <f t="array" ref="I33">EXP(_xlfn.FORECAST.LINEAR(I$2-8,LN($H25:$K25-1),$H$2:$K$2-8))+1</f>
        <v>1.0120669540833569</v>
      </c>
      <c r="J33" s="24" cm="1">
        <f t="array" ref="J33">EXP(_xlfn.FORECAST.LINEAR(J$2-8,LN($H25:$K25-1),$H$2:$K$2-8))+1</f>
        <v>1.0050634069424842</v>
      </c>
      <c r="K33" s="24" cm="1">
        <f t="array" ref="K33">EXP(_xlfn.FORECAST.LINEAR(K$2-8,LN($H25:$K25-1),$H$2:$K$2-8))+1</f>
        <v>1.0021246529727463</v>
      </c>
      <c r="L33" s="24" cm="1">
        <f t="array" ref="L33">EXP(_xlfn.FORECAST.LINEAR(L$2-8,LN($H25:$K25-1),$H$2:$K$2-8))+1</f>
        <v>1.0008915242851062</v>
      </c>
      <c r="M33" s="24" cm="1">
        <f t="array" ref="M33">EXP(_xlfn.FORECAST.LINEAR(M$2-8,LN($H25:$K25-1),$H$2:$K$2-8))+1</f>
        <v>1.0003740919393094</v>
      </c>
      <c r="N33" s="24" cm="1">
        <f t="array" ref="N33">EXP(_xlfn.FORECAST.LINEAR(N$2-8,LN($H25:$K25-1),$H$2:$K$2-8))+1</f>
        <v>1.0001569724811699</v>
      </c>
      <c r="O33" s="25" cm="1">
        <f t="array" ref="O33">EXP(INTERCEPT(LN(H25:K25-1),H$2:K$2-5))*EXP(SLOPE(LN(H25:K25-1),H$2:K$2-5))^(12-5)/(1-EXP(SLOPE(LN(H25:K25-1),H$2:K$2-5)))+1</f>
        <v>1.0001134875706477</v>
      </c>
      <c r="Q33" s="47" t="s">
        <v>53</v>
      </c>
      <c r="R33" s="47"/>
      <c r="S33" s="47"/>
      <c r="T33" s="47"/>
      <c r="U33" s="47"/>
      <c r="V33" s="47"/>
      <c r="W33" s="47"/>
      <c r="X33" s="47"/>
      <c r="Y33" s="47"/>
      <c r="Z33" s="47"/>
      <c r="AA33" s="47"/>
    </row>
    <row r="34" spans="1:27" ht="16" x14ac:dyDescent="0.2">
      <c r="A34" s="3"/>
      <c r="B34" s="3" t="s">
        <v>48</v>
      </c>
      <c r="C34" s="13">
        <f t="shared" si="0"/>
        <v>14.297872340425531</v>
      </c>
      <c r="D34" s="13">
        <f t="shared" si="0"/>
        <v>2.5203252032520327</v>
      </c>
      <c r="E34" s="13">
        <f t="shared" si="0"/>
        <v>1.5217741935483871</v>
      </c>
      <c r="F34" s="13">
        <f t="shared" si="0"/>
        <v>1.2310545839957605</v>
      </c>
      <c r="G34" s="13">
        <f t="shared" si="0"/>
        <v>1.1037451571244081</v>
      </c>
      <c r="H34" s="13">
        <f t="shared" si="0"/>
        <v>1.0504750593824228</v>
      </c>
      <c r="I34" s="24" cm="1">
        <f t="array" ref="I34">EXP(_xlfn.FORECAST.LINEAR(I$2-8,LN($H26:$L26-1),$H$2:$L$2-8))+1</f>
        <v>1.0223581958359667</v>
      </c>
      <c r="J34" s="24" cm="1">
        <f t="array" ref="J34">EXP(_xlfn.FORECAST.LINEAR(J$2-8,LN($H26:$L26-1),$H$2:$L$2-8))+1</f>
        <v>1.0113966211738412</v>
      </c>
      <c r="K34" s="24" cm="1">
        <f t="array" ref="K34">EXP(_xlfn.FORECAST.LINEAR(K$2-8,LN($H26:$L26-1),$H$2:$L$2-8))+1</f>
        <v>1.0058091885021916</v>
      </c>
      <c r="L34" s="24" cm="1">
        <f t="array" ref="L34">EXP(_xlfn.FORECAST.LINEAR(L$2-8,LN($H26:$L26-1),$H$2:$L$2-8))+1</f>
        <v>1.0029611119417967</v>
      </c>
      <c r="M34" s="24" cm="1">
        <f t="array" ref="M34">EXP(_xlfn.FORECAST.LINEAR(M$2-8,LN($H26:$L26-1),$H$2:$L$2-8))+1</f>
        <v>1.0015093646777935</v>
      </c>
      <c r="N34" s="24" cm="1">
        <f t="array" ref="N34">EXP(_xlfn.FORECAST.LINEAR(N$2-8,LN($H26:$L26-1),$H$2:$L$2-8))+1</f>
        <v>1.0007693669727284</v>
      </c>
      <c r="O34" s="25" cm="1">
        <f t="array" ref="O34">EXP(INTERCEPT(LN(H26:L26-1),H$2:L$2-5))*EXP(SLOPE(LN(H26:L26-1),H$2:L$2-5))^(12-5)/(1-EXP(SLOPE(LN(H26:L26-1),H$2:L$2-5)))+1</f>
        <v>1.0007999018573626</v>
      </c>
      <c r="Q34" s="47" t="s">
        <v>53</v>
      </c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1:27" ht="16" x14ac:dyDescent="0.2">
      <c r="A35" s="3"/>
      <c r="B35" s="3" t="s">
        <v>49</v>
      </c>
      <c r="C35" s="13">
        <f t="shared" si="0"/>
        <v>3.2929194956353056</v>
      </c>
      <c r="D35" s="13">
        <f t="shared" si="0"/>
        <v>1.3652430044182622</v>
      </c>
      <c r="E35" s="13">
        <f t="shared" si="0"/>
        <v>1.1221143473570658</v>
      </c>
      <c r="F35" s="13">
        <f t="shared" si="0"/>
        <v>1.0457604306864066</v>
      </c>
      <c r="G35" s="13">
        <f t="shared" si="0"/>
        <v>1.0210330138445154</v>
      </c>
      <c r="H35" s="13">
        <f t="shared" si="0"/>
        <v>1.0075619295958278</v>
      </c>
      <c r="I35" s="24" cm="1">
        <f t="array" ref="I35">EXP(_xlfn.FORECAST.LINEAR(I$2-8,LN($H27:$K27-1),$H$2:$K$2-8))+1</f>
        <v>1.0026837029346951</v>
      </c>
      <c r="J35" s="24" cm="1">
        <f t="array" ref="J35">EXP(_xlfn.FORECAST.LINEAR(J$2-8,LN($H27:$K27-1),$H$2:$K$2-8))+1</f>
        <v>1.001413335174568</v>
      </c>
      <c r="K35" s="24" cm="1">
        <f t="array" ref="K35">EXP(_xlfn.FORECAST.LINEAR(K$2-8,LN($H27:$K27-1),$H$2:$K$2-8))+1</f>
        <v>1.000744313496791</v>
      </c>
      <c r="L35" s="24" cm="1">
        <f t="array" ref="L35">EXP(_xlfn.FORECAST.LINEAR(L$2-8,LN($H27:$K27-1),$H$2:$K$2-8))+1</f>
        <v>1.000391982447953</v>
      </c>
      <c r="M35" s="24" cm="1">
        <f t="array" ref="M35">EXP(_xlfn.FORECAST.LINEAR(M$2-8,LN($H27:$K27-1),$H$2:$K$2-8))+1</f>
        <v>1.0002064321554904</v>
      </c>
      <c r="N35" s="24" cm="1">
        <f t="array" ref="N35">EXP(_xlfn.FORECAST.LINEAR(N$2-8,LN($H27:$K27-1),$H$2:$K$2-8))+1</f>
        <v>1.0001087146504721</v>
      </c>
      <c r="O35" s="25" cm="1">
        <f t="array" ref="O35">EXP(INTERCEPT(LN(H27:K27-1),H$2:K$2-5))*EXP(SLOPE(LN(H27:K27-1),H$2:K$2-5))^(12-5)/(1-EXP(SLOPE(LN(H27:K27-1),H$2:K$2-5)))+1</f>
        <v>1.0001209494166381</v>
      </c>
      <c r="Q35" s="47" t="s">
        <v>53</v>
      </c>
      <c r="R35" s="47"/>
      <c r="S35" s="47"/>
      <c r="T35" s="47"/>
      <c r="U35" s="47"/>
      <c r="V35" s="47"/>
      <c r="W35" s="47"/>
      <c r="X35" s="47"/>
      <c r="Y35" s="47"/>
      <c r="Z35" s="47"/>
      <c r="AA35" s="47"/>
    </row>
    <row r="38" spans="1:27" x14ac:dyDescent="0.15">
      <c r="C38" s="4">
        <v>0</v>
      </c>
      <c r="D38" s="4">
        <v>1</v>
      </c>
      <c r="E38" s="4">
        <v>2</v>
      </c>
      <c r="F38" s="4">
        <v>3</v>
      </c>
      <c r="G38" s="4">
        <v>4</v>
      </c>
      <c r="H38" s="4">
        <v>5</v>
      </c>
      <c r="I38" s="4">
        <v>6</v>
      </c>
      <c r="J38" s="4">
        <v>7</v>
      </c>
      <c r="K38" s="4">
        <v>8</v>
      </c>
      <c r="L38" s="4">
        <v>9</v>
      </c>
      <c r="M38" s="4">
        <v>10</v>
      </c>
      <c r="N38" s="4">
        <v>11</v>
      </c>
      <c r="O38" s="4" t="s">
        <v>50</v>
      </c>
    </row>
    <row r="39" spans="1:27" x14ac:dyDescent="0.15">
      <c r="A39" s="4" t="s">
        <v>28</v>
      </c>
      <c r="B39" s="4" t="s">
        <v>46</v>
      </c>
      <c r="C39" s="15">
        <f>PRODUCT(C32:$O32)</f>
        <v>11.112345436937888</v>
      </c>
      <c r="D39" s="15">
        <f>PRODUCT(D32:$O32)</f>
        <v>2.2416047375864863</v>
      </c>
      <c r="E39" s="15">
        <f>PRODUCT(E32:$O32)</f>
        <v>1.3948906633431408</v>
      </c>
      <c r="F39" s="15">
        <f>PRODUCT(F32:$O32)</f>
        <v>1.1516111542861376</v>
      </c>
      <c r="G39" s="15">
        <f>PRODUCT(G32:$O32)</f>
        <v>1.0641630585644835</v>
      </c>
      <c r="H39" s="15">
        <f>PRODUCT(H32:$O32)</f>
        <v>1.024693923577104</v>
      </c>
      <c r="I39" s="15">
        <f>PRODUCT(I32:$O32)</f>
        <v>1.0107695113751853</v>
      </c>
      <c r="J39" s="15">
        <f>PRODUCT(J32:$O32)</f>
        <v>1.0044990859246774</v>
      </c>
      <c r="K39" s="15">
        <f>PRODUCT(K32:$O32)</f>
        <v>1.0018815563188543</v>
      </c>
      <c r="L39" s="15">
        <f>PRODUCT(L32:$O32)</f>
        <v>1.0007872353122556</v>
      </c>
      <c r="M39" s="15">
        <f>PRODUCT(M32:$O32)</f>
        <v>1.00032943742331</v>
      </c>
      <c r="N39" s="15">
        <f>PRODUCT(N32:$O32)</f>
        <v>1.0001378714516163</v>
      </c>
      <c r="O39" s="15">
        <f>PRODUCT(O32:$O32)</f>
        <v>1.000057701557368</v>
      </c>
      <c r="P39" s="15"/>
    </row>
    <row r="40" spans="1:27" x14ac:dyDescent="0.15">
      <c r="A40" s="4" t="s">
        <v>29</v>
      </c>
      <c r="C40" s="45">
        <f>1/C39</f>
        <v>8.9990003071355157E-2</v>
      </c>
      <c r="D40" s="45">
        <f>1/D39-1/C39</f>
        <v>0.35611897556896044</v>
      </c>
      <c r="E40" s="45">
        <f t="shared" ref="E40:O40" si="1">1/E39-1/D39</f>
        <v>0.27079308851044975</v>
      </c>
      <c r="F40" s="45">
        <f t="shared" si="1"/>
        <v>0.15144659053472009</v>
      </c>
      <c r="G40" s="45">
        <f t="shared" si="1"/>
        <v>7.1356955990827475E-2</v>
      </c>
      <c r="H40" s="45">
        <f t="shared" si="1"/>
        <v>3.6195557386651922E-2</v>
      </c>
      <c r="I40" s="45">
        <f t="shared" si="1"/>
        <v>1.34440641721848E-2</v>
      </c>
      <c r="J40" s="45">
        <f t="shared" si="1"/>
        <v>6.1758299527436833E-3</v>
      </c>
      <c r="K40" s="45">
        <f t="shared" si="1"/>
        <v>2.6009120987555701E-3</v>
      </c>
      <c r="L40" s="45">
        <f t="shared" si="1"/>
        <v>1.0914066530354205E-3</v>
      </c>
      <c r="M40" s="45">
        <f t="shared" si="1"/>
        <v>4.5728713027981538E-4</v>
      </c>
      <c r="N40" s="45">
        <f t="shared" si="1"/>
        <v>1.9147648433648357E-4</v>
      </c>
      <c r="O40" s="45">
        <f t="shared" si="1"/>
        <v>8.0154217609096357E-5</v>
      </c>
      <c r="P40" s="45"/>
    </row>
    <row r="41" spans="1:27" x14ac:dyDescent="0.15">
      <c r="B41" s="4" t="s">
        <v>47</v>
      </c>
      <c r="C41" s="15">
        <f>PRODUCT(C33:$O33)</f>
        <v>27.32171452141132</v>
      </c>
      <c r="D41" s="15">
        <f>PRODUCT(D33:$O33)</f>
        <v>3.2976535609720856</v>
      </c>
      <c r="E41" s="15">
        <f>PRODUCT(E33:$O33)</f>
        <v>1.6896885292321806</v>
      </c>
      <c r="F41" s="15">
        <f>PRODUCT(F33:$O33)</f>
        <v>1.2844805269157793</v>
      </c>
      <c r="G41" s="15">
        <f>PRODUCT(G33:$O33)</f>
        <v>1.1181946934721876</v>
      </c>
      <c r="H41" s="15">
        <f>PRODUCT(H33:$O33)</f>
        <v>1.0519588030148979</v>
      </c>
      <c r="I41" s="15">
        <f>PRODUCT(I33:$O33)</f>
        <v>1.0209191503568356</v>
      </c>
      <c r="J41" s="15">
        <f>PRODUCT(J33:$O33)</f>
        <v>1.0087466508394161</v>
      </c>
      <c r="K41" s="15">
        <f>PRODUCT(K33:$O33)</f>
        <v>1.0036646880898161</v>
      </c>
      <c r="L41" s="15">
        <f>PRODUCT(L33:$O33)</f>
        <v>1.0015367700140911</v>
      </c>
      <c r="M41" s="15">
        <f>PRODUCT(M33:$O33)</f>
        <v>1.0006446709891419</v>
      </c>
      <c r="N41" s="15">
        <f>PRODUCT(N33:$O33)</f>
        <v>1.000270477866243</v>
      </c>
      <c r="O41" s="15">
        <f>PRODUCT(O33:$O33)</f>
        <v>1.0001134875706477</v>
      </c>
      <c r="P41" s="15"/>
    </row>
    <row r="42" spans="1:27" x14ac:dyDescent="0.15">
      <c r="C42" s="45">
        <f>1/C41</f>
        <v>3.6600924119030889E-2</v>
      </c>
      <c r="D42" s="45">
        <f>1/D41-1/C41</f>
        <v>0.26664499953864379</v>
      </c>
      <c r="E42" s="45">
        <f t="shared" ref="E42:O42" si="2">1/E41-1/D41</f>
        <v>0.28857912735004854</v>
      </c>
      <c r="F42" s="45">
        <f t="shared" si="2"/>
        <v>0.1866997915612354</v>
      </c>
      <c r="G42" s="45">
        <f t="shared" si="2"/>
        <v>0.11577380313005414</v>
      </c>
      <c r="H42" s="45">
        <f t="shared" si="2"/>
        <v>5.6308922899695912E-2</v>
      </c>
      <c r="I42" s="45">
        <f t="shared" si="2"/>
        <v>2.8901925028162911E-2</v>
      </c>
      <c r="J42" s="45">
        <f t="shared" si="2"/>
        <v>1.181969608380784E-2</v>
      </c>
      <c r="K42" s="45">
        <f t="shared" si="2"/>
        <v>5.0195031014680369E-3</v>
      </c>
      <c r="L42" s="45">
        <f t="shared" si="2"/>
        <v>2.1168952120750317E-3</v>
      </c>
      <c r="M42" s="45">
        <f t="shared" si="2"/>
        <v>8.9015631956679275E-4</v>
      </c>
      <c r="N42" s="45">
        <f t="shared" si="2"/>
        <v>3.7385092846153878E-4</v>
      </c>
      <c r="O42" s="45">
        <f t="shared" si="2"/>
        <v>1.5693003506878078E-4</v>
      </c>
      <c r="P42" s="45"/>
    </row>
    <row r="43" spans="1:27" x14ac:dyDescent="0.15">
      <c r="B43" s="4" t="s">
        <v>48</v>
      </c>
      <c r="C43" s="15">
        <f>PRODUCT(C34:$O34)</f>
        <v>81.897496357715809</v>
      </c>
      <c r="D43" s="15">
        <f>PRODUCT(D34:$O34)</f>
        <v>5.727949894066434</v>
      </c>
      <c r="E43" s="15">
        <f>PRODUCT(E34:$O34)</f>
        <v>2.2727026999037783</v>
      </c>
      <c r="F43" s="15">
        <f>PRODUCT(F34:$O34)</f>
        <v>1.4934559342239986</v>
      </c>
      <c r="G43" s="15">
        <f>PRODUCT(G34:$O34)</f>
        <v>1.2131516779512206</v>
      </c>
      <c r="H43" s="15">
        <f>PRODUCT(H34:$O34)</f>
        <v>1.0991229905930908</v>
      </c>
      <c r="I43" s="15">
        <f>PRODUCT(I34:$O34)</f>
        <v>1.0463104104911052</v>
      </c>
      <c r="J43" s="15">
        <f>PRODUCT(J34:$O34)</f>
        <v>1.0234283979457448</v>
      </c>
      <c r="K43" s="15">
        <f>PRODUCT(K34:$O34)</f>
        <v>1.0118962002838601</v>
      </c>
      <c r="L43" s="15">
        <f>PRODUCT(L34:$O34)</f>
        <v>1.0060518554127877</v>
      </c>
      <c r="M43" s="15">
        <f>PRODUCT(M34:$O34)</f>
        <v>1.0030816184537874</v>
      </c>
      <c r="N43" s="15">
        <f>PRODUCT(N34:$O34)</f>
        <v>1.0015698842481615</v>
      </c>
      <c r="O43" s="15">
        <f>PRODUCT(O34:$O34)</f>
        <v>1.0007999018573626</v>
      </c>
      <c r="P43" s="15"/>
    </row>
    <row r="44" spans="1:27" x14ac:dyDescent="0.15">
      <c r="C44" s="45">
        <f>1/C43</f>
        <v>1.2210385475425916E-2</v>
      </c>
      <c r="D44" s="45">
        <f>1/D43-1/C43</f>
        <v>0.16237214727959992</v>
      </c>
      <c r="E44" s="45">
        <f t="shared" ref="E44:O44" si="3">1/E43-1/D43</f>
        <v>0.26542222459503939</v>
      </c>
      <c r="F44" s="45">
        <f t="shared" si="3"/>
        <v>0.22958312742378389</v>
      </c>
      <c r="G44" s="45">
        <f t="shared" si="3"/>
        <v>0.15471135016502291</v>
      </c>
      <c r="H44" s="45">
        <f t="shared" si="3"/>
        <v>8.5517053646262831E-2</v>
      </c>
      <c r="I44" s="45">
        <f t="shared" si="3"/>
        <v>4.5923031193430108E-2</v>
      </c>
      <c r="J44" s="45">
        <f t="shared" si="3"/>
        <v>2.1368606879742624E-2</v>
      </c>
      <c r="K44" s="45">
        <f t="shared" si="3"/>
        <v>1.1135728886082275E-2</v>
      </c>
      <c r="L44" s="45">
        <f t="shared" si="3"/>
        <v>5.7408936811521594E-3</v>
      </c>
      <c r="M44" s="45">
        <f t="shared" si="3"/>
        <v>2.9432995186732258E-3</v>
      </c>
      <c r="N44" s="45">
        <f t="shared" si="3"/>
        <v>1.5047276812031329E-3</v>
      </c>
      <c r="O44" s="45">
        <f t="shared" si="3"/>
        <v>7.681610487979551E-4</v>
      </c>
      <c r="P44" s="45"/>
    </row>
    <row r="45" spans="1:27" x14ac:dyDescent="0.15">
      <c r="B45" s="4" t="s">
        <v>49</v>
      </c>
      <c r="C45" s="15">
        <f>PRODUCT(C35:$O35)</f>
        <v>5.4579803386051235</v>
      </c>
      <c r="D45" s="15">
        <f>PRODUCT(D35:$O35)</f>
        <v>1.6574897582037946</v>
      </c>
      <c r="E45" s="15">
        <f>PRODUCT(E35:$O35)</f>
        <v>1.2140620774761346</v>
      </c>
      <c r="F45" s="15">
        <f>PRODUCT(F35:$O35)</f>
        <v>1.0819414976162045</v>
      </c>
      <c r="G45" s="15">
        <f>PRODUCT(G35:$O35)</f>
        <v>1.0345978542198717</v>
      </c>
      <c r="H45" s="15">
        <f>PRODUCT(H35:$O35)</f>
        <v>1.0132854082007403</v>
      </c>
      <c r="I45" s="15">
        <f>PRODUCT(I35:$O35)</f>
        <v>1.0056805228907448</v>
      </c>
      <c r="J45" s="15">
        <f>PRODUCT(J35:$O35)</f>
        <v>1.0029887989076502</v>
      </c>
      <c r="K45" s="15">
        <f>PRODUCT(K35:$O35)</f>
        <v>1.0015732402173452</v>
      </c>
      <c r="L45" s="15">
        <f>PRODUCT(L35:$O35)</f>
        <v>1.0008283101980939</v>
      </c>
      <c r="M45" s="15">
        <f>PRODUCT(M35:$O35)</f>
        <v>1.0004361567843369</v>
      </c>
      <c r="N45" s="15">
        <f>PRODUCT(N35:$O35)</f>
        <v>1.0002296772160837</v>
      </c>
      <c r="O45" s="15">
        <f>PRODUCT(O35:$O35)</f>
        <v>1.0001209494166381</v>
      </c>
      <c r="P45" s="15"/>
    </row>
    <row r="46" spans="1:27" x14ac:dyDescent="0.15">
      <c r="C46" s="45">
        <f>1/C45</f>
        <v>0.18321795572014948</v>
      </c>
      <c r="D46" s="45">
        <f>1/D45-1/C45</f>
        <v>0.4201040226211768</v>
      </c>
      <c r="E46" s="45">
        <f t="shared" ref="E46:O46" si="4">1/E45-1/D45</f>
        <v>0.22035913200095558</v>
      </c>
      <c r="F46" s="45">
        <f t="shared" si="4"/>
        <v>0.10058328121979176</v>
      </c>
      <c r="G46" s="45">
        <f t="shared" si="4"/>
        <v>4.2294736625989482E-2</v>
      </c>
      <c r="H46" s="45">
        <f t="shared" si="4"/>
        <v>2.0329651524722103E-2</v>
      </c>
      <c r="I46" s="45">
        <f t="shared" si="4"/>
        <v>7.4627834711008534E-3</v>
      </c>
      <c r="J46" s="45">
        <f t="shared" si="4"/>
        <v>2.6685442082350352E-3</v>
      </c>
      <c r="K46" s="45">
        <f t="shared" si="4"/>
        <v>1.409123587528649E-3</v>
      </c>
      <c r="L46" s="45">
        <f t="shared" si="4"/>
        <v>7.4314435220912411E-4</v>
      </c>
      <c r="M46" s="45">
        <f t="shared" si="4"/>
        <v>3.9165803360952101E-4</v>
      </c>
      <c r="N46" s="45">
        <f t="shared" si="4"/>
        <v>2.0634215795845012E-4</v>
      </c>
      <c r="O46" s="45">
        <f t="shared" si="4"/>
        <v>1.0868968692734349E-4</v>
      </c>
      <c r="P46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5D59-91E8-4115-A0FD-0EEDB6DE2D11}">
  <dimension ref="A1:T22"/>
  <sheetViews>
    <sheetView workbookViewId="0">
      <selection activeCell="O6" sqref="O6"/>
    </sheetView>
  </sheetViews>
  <sheetFormatPr baseColWidth="10" defaultColWidth="8.83203125" defaultRowHeight="15" x14ac:dyDescent="0.2"/>
  <cols>
    <col min="1" max="1" width="11.33203125" customWidth="1"/>
    <col min="2" max="2" width="11.83203125" bestFit="1" customWidth="1"/>
  </cols>
  <sheetData>
    <row r="1" spans="1:20" ht="16" x14ac:dyDescent="0.2">
      <c r="A1" s="1" t="s">
        <v>33</v>
      </c>
      <c r="B1" s="1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35</v>
      </c>
      <c r="S1" s="3"/>
    </row>
    <row r="2" spans="1:20" ht="16" x14ac:dyDescent="0.2">
      <c r="A2" s="1" t="s">
        <v>36</v>
      </c>
      <c r="B2" s="1" t="s">
        <v>51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52</v>
      </c>
      <c r="P2" s="30" t="s">
        <v>37</v>
      </c>
      <c r="Q2" s="3" t="s">
        <v>38</v>
      </c>
      <c r="R2" s="3" t="s">
        <v>39</v>
      </c>
      <c r="S2" s="3" t="s">
        <v>40</v>
      </c>
      <c r="T2" s="3" t="s">
        <v>41</v>
      </c>
    </row>
    <row r="3" spans="1:20" ht="16" x14ac:dyDescent="0.2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1"/>
      <c r="Q3" s="7"/>
      <c r="R3" s="7"/>
      <c r="S3" s="7"/>
    </row>
    <row r="4" spans="1:20" ht="16" x14ac:dyDescent="0.2">
      <c r="A4" s="8">
        <f>'CL quarter'!A4</f>
        <v>0</v>
      </c>
      <c r="B4" s="32">
        <f>Data!A1</f>
        <v>10854</v>
      </c>
      <c r="C4" s="33">
        <f>Data!B1</f>
        <v>91</v>
      </c>
      <c r="D4" s="33">
        <f>Data!C1</f>
        <v>377</v>
      </c>
      <c r="E4" s="33">
        <f>Data!D1</f>
        <v>301</v>
      </c>
      <c r="F4" s="33">
        <f>Data!E1</f>
        <v>170</v>
      </c>
      <c r="G4" s="33">
        <f>Data!F1</f>
        <v>72</v>
      </c>
      <c r="H4" s="33">
        <f>Data!G1</f>
        <v>44</v>
      </c>
      <c r="I4" s="33">
        <f>Data!H1</f>
        <v>11</v>
      </c>
      <c r="J4" s="33">
        <f>Data!I1</f>
        <v>6</v>
      </c>
      <c r="K4" s="33">
        <f>Data!J1</f>
        <v>3</v>
      </c>
      <c r="L4" s="33">
        <f>Data!K1</f>
        <v>1</v>
      </c>
      <c r="M4" s="33">
        <f>Data!L1</f>
        <v>1</v>
      </c>
      <c r="N4" s="33">
        <f>Data!M1</f>
        <v>1</v>
      </c>
      <c r="O4" s="46">
        <v>1</v>
      </c>
      <c r="P4" s="35">
        <f>SUM(C4:N4)</f>
        <v>1078</v>
      </c>
      <c r="Q4" s="36">
        <f t="shared" ref="Q4:Q19" si="0">P4/B4</f>
        <v>9.9318223696333155E-2</v>
      </c>
      <c r="R4" s="37">
        <f t="shared" ref="R4:R19" si="1">S4-P4</f>
        <v>1</v>
      </c>
      <c r="S4" s="37">
        <f>SUM(C4:O4)</f>
        <v>1079</v>
      </c>
      <c r="T4" s="36">
        <f>S4/B4</f>
        <v>9.9410355629261107E-2</v>
      </c>
    </row>
    <row r="5" spans="1:20" ht="16" x14ac:dyDescent="0.2">
      <c r="A5" s="8">
        <f>'CL quarter'!A5</f>
        <v>1</v>
      </c>
      <c r="B5" s="32">
        <f>Data!A2</f>
        <v>10166</v>
      </c>
      <c r="C5" s="33">
        <f>Data!B2</f>
        <v>63</v>
      </c>
      <c r="D5" s="33">
        <f>Data!C2</f>
        <v>550</v>
      </c>
      <c r="E5" s="33">
        <f>Data!D2</f>
        <v>555</v>
      </c>
      <c r="F5" s="33">
        <f>Data!E2</f>
        <v>404</v>
      </c>
      <c r="G5" s="33">
        <f>Data!F2</f>
        <v>236</v>
      </c>
      <c r="H5" s="33">
        <f>Data!G2</f>
        <v>104</v>
      </c>
      <c r="I5" s="33">
        <f>Data!H2</f>
        <v>56</v>
      </c>
      <c r="J5" s="33">
        <f>Data!I2</f>
        <v>26</v>
      </c>
      <c r="K5" s="33">
        <f>Data!J2</f>
        <v>13</v>
      </c>
      <c r="L5" s="33">
        <f>Data!K2</f>
        <v>5</v>
      </c>
      <c r="M5" s="33">
        <f>Data!L2</f>
        <v>0</v>
      </c>
      <c r="N5" s="33">
        <f>Data!M2</f>
        <v>1</v>
      </c>
      <c r="O5" s="34">
        <f>SUM($C5:N5)*('CL quarter'!$N$33-1)</f>
        <v>0.31598560459492653</v>
      </c>
      <c r="P5" s="35">
        <f>SUM(C5:N5)</f>
        <v>2013</v>
      </c>
      <c r="Q5" s="36">
        <f t="shared" si="0"/>
        <v>0.19801298445799725</v>
      </c>
      <c r="R5" s="37">
        <f t="shared" si="1"/>
        <v>0.31598560459497094</v>
      </c>
      <c r="S5" s="37">
        <f t="shared" ref="S5:S19" si="2">SUM(C5:O5)</f>
        <v>2013.315985604595</v>
      </c>
      <c r="T5" s="36">
        <f t="shared" ref="T5:T19" si="3">S5/B5</f>
        <v>0.19804406704747146</v>
      </c>
    </row>
    <row r="6" spans="1:20" ht="16" x14ac:dyDescent="0.2">
      <c r="A6" s="8">
        <f>'CL quarter'!A6</f>
        <v>2</v>
      </c>
      <c r="B6" s="32">
        <f>Data!A3</f>
        <v>10066</v>
      </c>
      <c r="C6" s="33">
        <f>Data!B3</f>
        <v>12</v>
      </c>
      <c r="D6" s="33">
        <f>Data!C3</f>
        <v>169</v>
      </c>
      <c r="E6" s="33">
        <f>Data!D3</f>
        <v>274</v>
      </c>
      <c r="F6" s="33">
        <f>Data!E3</f>
        <v>225</v>
      </c>
      <c r="G6" s="33">
        <f>Data!F3</f>
        <v>166</v>
      </c>
      <c r="H6" s="33">
        <f>Data!G3</f>
        <v>72</v>
      </c>
      <c r="I6" s="33">
        <f>Data!H3</f>
        <v>47</v>
      </c>
      <c r="J6" s="33">
        <f>Data!I3</f>
        <v>19</v>
      </c>
      <c r="K6" s="33">
        <f>Data!J3</f>
        <v>11</v>
      </c>
      <c r="L6" s="33">
        <f>Data!K3</f>
        <v>6</v>
      </c>
      <c r="M6" s="33">
        <f>Data!L3</f>
        <v>4</v>
      </c>
      <c r="N6" s="33">
        <f>Data!M3</f>
        <v>0</v>
      </c>
      <c r="O6" s="46">
        <v>1</v>
      </c>
      <c r="P6" s="35">
        <f>SUM(C6:N6)</f>
        <v>1005</v>
      </c>
      <c r="Q6" s="36">
        <f t="shared" si="0"/>
        <v>9.9841049076097754E-2</v>
      </c>
      <c r="R6" s="37">
        <f t="shared" si="1"/>
        <v>1</v>
      </c>
      <c r="S6" s="37">
        <f t="shared" si="2"/>
        <v>1006</v>
      </c>
      <c r="T6" s="36">
        <f t="shared" si="3"/>
        <v>9.9940393403536665E-2</v>
      </c>
    </row>
    <row r="7" spans="1:20" ht="16" x14ac:dyDescent="0.2">
      <c r="A7" s="8">
        <f>'CL quarter'!A7</f>
        <v>3</v>
      </c>
      <c r="B7" s="32">
        <f>Data!A4</f>
        <v>10352</v>
      </c>
      <c r="C7" s="33">
        <f>Data!B4</f>
        <v>385</v>
      </c>
      <c r="D7" s="33">
        <f>Data!C4</f>
        <v>906</v>
      </c>
      <c r="E7" s="33">
        <f>Data!D4</f>
        <v>441</v>
      </c>
      <c r="F7" s="33">
        <f>Data!E4</f>
        <v>235</v>
      </c>
      <c r="G7" s="33">
        <f>Data!F4</f>
        <v>80</v>
      </c>
      <c r="H7" s="33">
        <f>Data!G4</f>
        <v>41</v>
      </c>
      <c r="I7" s="33">
        <f>Data!H4</f>
        <v>16</v>
      </c>
      <c r="J7" s="33">
        <f>Data!I4</f>
        <v>2</v>
      </c>
      <c r="K7" s="33">
        <f>Data!J4</f>
        <v>3</v>
      </c>
      <c r="L7" s="33">
        <f>Data!K4</f>
        <v>2</v>
      </c>
      <c r="M7" s="33">
        <f>Data!L4</f>
        <v>1</v>
      </c>
      <c r="N7" s="33">
        <f>Data!M4</f>
        <v>0</v>
      </c>
      <c r="O7" s="34">
        <f>SUM($C7:N7)*('CL quarter'!$N$35-1)</f>
        <v>0.22960534179713932</v>
      </c>
      <c r="P7" s="35">
        <f>SUM(C7:N7)</f>
        <v>2112</v>
      </c>
      <c r="Q7" s="36">
        <f t="shared" si="0"/>
        <v>0.20401854714064915</v>
      </c>
      <c r="R7" s="37">
        <f t="shared" si="1"/>
        <v>0.22960534179719616</v>
      </c>
      <c r="S7" s="37">
        <f t="shared" si="2"/>
        <v>2112.2296053417972</v>
      </c>
      <c r="T7" s="36">
        <f t="shared" si="3"/>
        <v>0.20404072694569139</v>
      </c>
    </row>
    <row r="8" spans="1:20" ht="16" x14ac:dyDescent="0.2">
      <c r="A8" s="8">
        <f>'CL quarter'!A8</f>
        <v>4</v>
      </c>
      <c r="B8" s="32">
        <f>Data!A5</f>
        <v>9805</v>
      </c>
      <c r="C8" s="33">
        <f>Data!B5</f>
        <v>92</v>
      </c>
      <c r="D8" s="33">
        <f>Data!C5</f>
        <v>361</v>
      </c>
      <c r="E8" s="33">
        <f>Data!D5</f>
        <v>265</v>
      </c>
      <c r="F8" s="33">
        <f>Data!E5</f>
        <v>158</v>
      </c>
      <c r="G8" s="33">
        <f>Data!F5</f>
        <v>69</v>
      </c>
      <c r="H8" s="33">
        <f>Data!G5</f>
        <v>29</v>
      </c>
      <c r="I8" s="33">
        <f>Data!H5</f>
        <v>17</v>
      </c>
      <c r="J8" s="33">
        <f>Data!I5</f>
        <v>9</v>
      </c>
      <c r="K8" s="33">
        <f>Data!J5</f>
        <v>2</v>
      </c>
      <c r="L8" s="33">
        <f>Data!K5</f>
        <v>0</v>
      </c>
      <c r="M8" s="33">
        <f>Data!L5</f>
        <v>0</v>
      </c>
      <c r="N8" s="33">
        <f>Data!M5</f>
        <v>0</v>
      </c>
      <c r="O8" s="34">
        <f>SUM($C8:N8)*('CL quarter'!$N$32-1)</f>
        <v>8.0325599124737135E-2</v>
      </c>
      <c r="P8" s="35">
        <f>SUM(C8:N8)</f>
        <v>1002</v>
      </c>
      <c r="Q8" s="36">
        <f t="shared" si="0"/>
        <v>0.10219275879653238</v>
      </c>
      <c r="R8" s="37">
        <f t="shared" si="1"/>
        <v>8.0325599124762448E-2</v>
      </c>
      <c r="S8" s="37">
        <f t="shared" si="2"/>
        <v>1002.0803255991248</v>
      </c>
      <c r="T8" s="36">
        <f t="shared" si="3"/>
        <v>0.10220095110648901</v>
      </c>
    </row>
    <row r="9" spans="1:20" ht="16" x14ac:dyDescent="0.2">
      <c r="A9" s="8">
        <f>'CL quarter'!A9</f>
        <v>5</v>
      </c>
      <c r="B9" s="32">
        <f>Data!A6</f>
        <v>10373</v>
      </c>
      <c r="C9" s="33">
        <f>Data!B6</f>
        <v>69</v>
      </c>
      <c r="D9" s="33">
        <f>Data!C6</f>
        <v>550</v>
      </c>
      <c r="E9" s="33">
        <f>Data!D6</f>
        <v>637</v>
      </c>
      <c r="F9" s="33">
        <f>Data!E6</f>
        <v>370</v>
      </c>
      <c r="G9" s="33">
        <f>Data!F6</f>
        <v>235</v>
      </c>
      <c r="H9" s="33">
        <f>Data!G6</f>
        <v>122</v>
      </c>
      <c r="I9" s="33">
        <f>Data!H6</f>
        <v>53</v>
      </c>
      <c r="J9" s="33">
        <f>Data!I6</f>
        <v>19</v>
      </c>
      <c r="K9" s="33">
        <f>Data!J6</f>
        <v>7</v>
      </c>
      <c r="L9" s="33">
        <f>Data!K6</f>
        <v>4</v>
      </c>
      <c r="M9" s="33">
        <f>Data!L6</f>
        <v>1</v>
      </c>
      <c r="N9" s="34">
        <f>SUM($C9:M9)*('CL quarter'!M$33-1)</f>
        <v>0.7732480385524747</v>
      </c>
      <c r="O9" s="34">
        <f>SUM($C9:N9)*('CL quarter'!$N$33-1)</f>
        <v>0.32458349724127022</v>
      </c>
      <c r="P9" s="35">
        <f>SUM(C9:M9)</f>
        <v>2067</v>
      </c>
      <c r="Q9" s="36">
        <f t="shared" si="0"/>
        <v>0.19926732864166585</v>
      </c>
      <c r="R9" s="37">
        <f t="shared" si="1"/>
        <v>1.09783153579383</v>
      </c>
      <c r="S9" s="37">
        <f t="shared" si="2"/>
        <v>2068.0978315357938</v>
      </c>
      <c r="T9" s="36">
        <f t="shared" si="3"/>
        <v>0.19937316413147535</v>
      </c>
    </row>
    <row r="10" spans="1:20" ht="16" x14ac:dyDescent="0.2">
      <c r="A10" s="8">
        <f>'CL quarter'!A10</f>
        <v>6</v>
      </c>
      <c r="B10" s="32">
        <f>Data!A7</f>
        <v>8396</v>
      </c>
      <c r="C10" s="33">
        <f>Data!B7</f>
        <v>6</v>
      </c>
      <c r="D10" s="33">
        <f>Data!C7</f>
        <v>143</v>
      </c>
      <c r="E10" s="33">
        <f>Data!D7</f>
        <v>212</v>
      </c>
      <c r="F10" s="33">
        <f>Data!E7</f>
        <v>200</v>
      </c>
      <c r="G10" s="33">
        <f>Data!F7</f>
        <v>120</v>
      </c>
      <c r="H10" s="33">
        <f>Data!G7</f>
        <v>85</v>
      </c>
      <c r="I10" s="33">
        <f>Data!H7</f>
        <v>38</v>
      </c>
      <c r="J10" s="33">
        <f>Data!I7</f>
        <v>22</v>
      </c>
      <c r="K10" s="33">
        <f>Data!J7</f>
        <v>6</v>
      </c>
      <c r="L10" s="33">
        <f>Data!K7</f>
        <v>2</v>
      </c>
      <c r="M10" s="34">
        <f>SUM($C10:L10)*('CL quarter'!L$34-1)</f>
        <v>2.4695673594584582</v>
      </c>
      <c r="N10" s="34">
        <f>SUM($C10:M10)*('CL quarter'!M$34-1)</f>
        <v>1.2625376190215782</v>
      </c>
      <c r="O10" s="34">
        <f>SUM($C10:N10)*('CL quarter'!$N$34-1)</f>
        <v>0.64452341356472265</v>
      </c>
      <c r="P10" s="35">
        <f>SUM(C10:L10)</f>
        <v>834</v>
      </c>
      <c r="Q10" s="36">
        <f t="shared" si="0"/>
        <v>9.9333015721772278E-2</v>
      </c>
      <c r="R10" s="37">
        <f t="shared" si="1"/>
        <v>4.3766283920447222</v>
      </c>
      <c r="S10" s="37">
        <f t="shared" si="2"/>
        <v>838.37662839204472</v>
      </c>
      <c r="T10" s="36">
        <f t="shared" si="3"/>
        <v>9.9854291137689941E-2</v>
      </c>
    </row>
    <row r="11" spans="1:20" ht="16" x14ac:dyDescent="0.2">
      <c r="A11" s="8">
        <f>'CL quarter'!A11</f>
        <v>7</v>
      </c>
      <c r="B11" s="32">
        <f>Data!A8</f>
        <v>8638</v>
      </c>
      <c r="C11" s="33">
        <f>Data!B8</f>
        <v>315</v>
      </c>
      <c r="D11" s="33">
        <f>Data!C8</f>
        <v>711</v>
      </c>
      <c r="E11" s="33">
        <f>Data!D8</f>
        <v>421</v>
      </c>
      <c r="F11" s="33">
        <f>Data!E8</f>
        <v>175</v>
      </c>
      <c r="G11" s="33">
        <f>Data!F8</f>
        <v>87</v>
      </c>
      <c r="H11" s="33">
        <f>Data!G8</f>
        <v>38</v>
      </c>
      <c r="I11" s="33">
        <f>Data!H8</f>
        <v>13</v>
      </c>
      <c r="J11" s="33">
        <f>Data!I8</f>
        <v>4</v>
      </c>
      <c r="K11" s="33">
        <f>Data!J8</f>
        <v>2</v>
      </c>
      <c r="L11" s="34">
        <f>SUM($C11:K11)*('CL quarter'!K$35-1)</f>
        <v>1.3144576353329929</v>
      </c>
      <c r="M11" s="34">
        <f>SUM($C11:L11)*('CL quarter'!L$35-1)</f>
        <v>0.69275624740666331</v>
      </c>
      <c r="N11" s="34">
        <f>SUM($C11:M11)*('CL quarter'!M$35-1)</f>
        <v>0.36497354008444799</v>
      </c>
      <c r="O11" s="34">
        <f>SUM($C11:N11)*('CL quarter'!$N$35-1)</f>
        <v>0.19224796426030891</v>
      </c>
      <c r="P11" s="35">
        <f>SUM(C11:K11)</f>
        <v>1766</v>
      </c>
      <c r="Q11" s="36">
        <f t="shared" si="0"/>
        <v>0.20444547348923361</v>
      </c>
      <c r="R11" s="37">
        <f t="shared" si="1"/>
        <v>2.5644353870843588</v>
      </c>
      <c r="S11" s="37">
        <f t="shared" si="2"/>
        <v>1768.5644353870844</v>
      </c>
      <c r="T11" s="36">
        <f t="shared" si="3"/>
        <v>0.20474235186236217</v>
      </c>
    </row>
    <row r="12" spans="1:20" ht="16" x14ac:dyDescent="0.2">
      <c r="A12" s="8">
        <f>'CL quarter'!A12</f>
        <v>8</v>
      </c>
      <c r="B12" s="32">
        <f>Data!A9</f>
        <v>8303</v>
      </c>
      <c r="C12" s="33">
        <f>Data!B9</f>
        <v>78</v>
      </c>
      <c r="D12" s="33">
        <f>Data!C9</f>
        <v>288</v>
      </c>
      <c r="E12" s="33">
        <f>Data!D9</f>
        <v>239</v>
      </c>
      <c r="F12" s="33">
        <f>Data!E9</f>
        <v>99</v>
      </c>
      <c r="G12" s="33">
        <f>Data!F9</f>
        <v>66</v>
      </c>
      <c r="H12" s="33">
        <f>Data!G9</f>
        <v>32</v>
      </c>
      <c r="I12" s="33">
        <f>Data!H9</f>
        <v>11</v>
      </c>
      <c r="J12" s="33">
        <f>Data!I9</f>
        <v>6</v>
      </c>
      <c r="K12" s="34">
        <f>SUM($C12:J12)*('CL quarter'!J$32-1)</f>
        <v>2.1397307233060339</v>
      </c>
      <c r="L12" s="34">
        <f>SUM($C12:K12)*('CL quarter'!K$32-1)</f>
        <v>0.89788361099853875</v>
      </c>
      <c r="M12" s="34">
        <f>SUM($C12:L12)*('CL quarter'!L$32-1)</f>
        <v>0.37620314907978547</v>
      </c>
      <c r="N12" s="34">
        <f>SUM($C12:M12)*('CL quarter'!M$32-1)</f>
        <v>0.15752478390999047</v>
      </c>
      <c r="O12" s="34">
        <f>SUM($C12:N12)*('CL quarter'!$N$32-1)</f>
        <v>6.5941652585289043E-2</v>
      </c>
      <c r="P12" s="35">
        <f>SUM(C12:J12)</f>
        <v>819</v>
      </c>
      <c r="Q12" s="36">
        <f t="shared" si="0"/>
        <v>9.8639046127905583E-2</v>
      </c>
      <c r="R12" s="37">
        <f t="shared" si="1"/>
        <v>3.6372839198794509</v>
      </c>
      <c r="S12" s="37">
        <f t="shared" si="2"/>
        <v>822.63728391987945</v>
      </c>
      <c r="T12" s="36">
        <f t="shared" si="3"/>
        <v>9.9077114768141572E-2</v>
      </c>
    </row>
    <row r="13" spans="1:20" ht="16" x14ac:dyDescent="0.2">
      <c r="A13" s="8">
        <f>'CL quarter'!A13</f>
        <v>9</v>
      </c>
      <c r="B13" s="32">
        <f>Data!A10</f>
        <v>9668</v>
      </c>
      <c r="C13" s="33">
        <f>Data!B10</f>
        <v>85</v>
      </c>
      <c r="D13" s="33">
        <f>Data!C10</f>
        <v>499</v>
      </c>
      <c r="E13" s="33">
        <f>Data!D10</f>
        <v>555</v>
      </c>
      <c r="F13" s="33">
        <f>Data!E10</f>
        <v>350</v>
      </c>
      <c r="G13" s="33">
        <f>Data!F10</f>
        <v>226</v>
      </c>
      <c r="H13" s="33">
        <f>Data!G10</f>
        <v>113</v>
      </c>
      <c r="I13" s="33">
        <f>Data!H10</f>
        <v>65</v>
      </c>
      <c r="J13" s="34">
        <f>SUM($C13:I13)*('CL quarter'!I$33-1)</f>
        <v>22.842744079794603</v>
      </c>
      <c r="K13" s="34">
        <f>SUM($C13:J13)*('CL quarter'!J$33-1)</f>
        <v>9.7006914510816014</v>
      </c>
      <c r="L13" s="34">
        <f>SUM($C13:K13)*('CL quarter'!K$33-1)</f>
        <v>4.0911115844528627</v>
      </c>
      <c r="M13" s="34">
        <f>SUM($C13:L13)*('CL quarter'!L$33-1)</f>
        <v>1.7203160601332068</v>
      </c>
      <c r="N13" s="34">
        <f>SUM($C13:M13)*('CL quarter'!M$33-1)</f>
        <v>0.72250428625989804</v>
      </c>
      <c r="O13" s="34">
        <f>SUM($C13:N13)*('CL quarter'!$N$33-1)</f>
        <v>0.30328297818259625</v>
      </c>
      <c r="P13" s="35">
        <f>SUM(C13:I13)</f>
        <v>1893</v>
      </c>
      <c r="Q13" s="36">
        <f t="shared" si="0"/>
        <v>0.19580057923045097</v>
      </c>
      <c r="R13" s="37">
        <f t="shared" si="1"/>
        <v>39.380650439904684</v>
      </c>
      <c r="S13" s="37">
        <f t="shared" si="2"/>
        <v>1932.3806504399047</v>
      </c>
      <c r="T13" s="36">
        <f t="shared" si="3"/>
        <v>0.19987387778650234</v>
      </c>
    </row>
    <row r="14" spans="1:20" ht="16" x14ac:dyDescent="0.2">
      <c r="A14" s="8">
        <f>'CL quarter'!A14</f>
        <v>10</v>
      </c>
      <c r="B14" s="32">
        <f>Data!A11</f>
        <v>9301</v>
      </c>
      <c r="C14" s="33">
        <f>Data!B11</f>
        <v>18</v>
      </c>
      <c r="D14" s="33">
        <f>Data!C11</f>
        <v>144</v>
      </c>
      <c r="E14" s="33">
        <f>Data!D11</f>
        <v>262</v>
      </c>
      <c r="F14" s="33">
        <f>Data!E11</f>
        <v>222</v>
      </c>
      <c r="G14" s="33">
        <f>Data!F11</f>
        <v>150</v>
      </c>
      <c r="H14" s="33">
        <f>Data!G11</f>
        <v>84</v>
      </c>
      <c r="I14" s="34">
        <f>SUM($C14:H14)*('CL quarter'!H$34-1)</f>
        <v>44.418052256532064</v>
      </c>
      <c r="J14" s="34">
        <f>SUM($C14:I14)*('CL quarter'!I$34-1)</f>
        <v>20.668319846654402</v>
      </c>
      <c r="K14" s="34">
        <f>SUM($C14:J14)*('CL quarter'!J$34-1)</f>
        <v>10.770791359419952</v>
      </c>
      <c r="L14" s="34">
        <f>SUM($C14:K14)*('CL quarter'!K$34-1)</f>
        <v>5.5527544437244369</v>
      </c>
      <c r="M14" s="34">
        <f>SUM($C14:L14)*('CL quarter'!L$34-1)</f>
        <v>2.8468423888742334</v>
      </c>
      <c r="N14" s="34">
        <f>SUM($C14:M14)*('CL quarter'!M$34-1)</f>
        <v>1.4554150943131774</v>
      </c>
      <c r="O14" s="34">
        <f>SUM($C14:N14)*('CL quarter'!$N$34-1)</f>
        <v>0.74298705290643663</v>
      </c>
      <c r="P14" s="35">
        <f>SUM(C14:H14)</f>
        <v>880</v>
      </c>
      <c r="Q14" s="36">
        <f t="shared" si="0"/>
        <v>9.4613482421245024E-2</v>
      </c>
      <c r="R14" s="37">
        <f t="shared" si="1"/>
        <v>86.455162442424694</v>
      </c>
      <c r="S14" s="37">
        <f t="shared" si="2"/>
        <v>966.45516244242469</v>
      </c>
      <c r="T14" s="36">
        <f t="shared" si="3"/>
        <v>0.1039087369575771</v>
      </c>
    </row>
    <row r="15" spans="1:20" ht="16" x14ac:dyDescent="0.2">
      <c r="A15" s="8">
        <f>'CL quarter'!A15</f>
        <v>11</v>
      </c>
      <c r="B15" s="32">
        <f>Data!A12</f>
        <v>8414</v>
      </c>
      <c r="C15" s="33">
        <f>Data!B12</f>
        <v>331</v>
      </c>
      <c r="D15" s="33">
        <f>Data!C12</f>
        <v>747</v>
      </c>
      <c r="E15" s="33">
        <f>Data!D12</f>
        <v>378</v>
      </c>
      <c r="F15" s="33">
        <f>Data!E12</f>
        <v>156</v>
      </c>
      <c r="G15" s="33">
        <f>Data!F12</f>
        <v>71</v>
      </c>
      <c r="H15" s="34">
        <f>SUM($C15:G15)*('CL quarter'!G$35-1)</f>
        <v>35.398562300319405</v>
      </c>
      <c r="I15" s="34">
        <f>SUM($C15:H15)*('CL quarter'!H$35-1)</f>
        <v>12.994408945686724</v>
      </c>
      <c r="J15" s="34">
        <f>SUM($C15:I15)*('CL quarter'!I$35-1)</f>
        <v>4.6465443980433907</v>
      </c>
      <c r="K15" s="34">
        <f>SUM($C15:J15)*('CL quarter'!J$35-1)</f>
        <v>2.4536057118997059</v>
      </c>
      <c r="L15" s="34">
        <f>SUM($C15:K15)*('CL quarter'!K$35-1)</f>
        <v>1.2939838943036324</v>
      </c>
      <c r="M15" s="34">
        <f>SUM($C15:L15)*('CL quarter'!L$35-1)</f>
        <v>0.68196600843309418</v>
      </c>
      <c r="N15" s="34">
        <f>SUM($C15:M15)*('CL quarter'!M$35-1)</f>
        <v>0.35928878194436165</v>
      </c>
      <c r="O15" s="34">
        <f>SUM($C15:N15)*('CL quarter'!$N$35-1)</f>
        <v>0.18925354669378902</v>
      </c>
      <c r="P15" s="35">
        <f>SUM(C15:G15)</f>
        <v>1683</v>
      </c>
      <c r="Q15" s="36">
        <f t="shared" si="0"/>
        <v>0.20002376990729737</v>
      </c>
      <c r="R15" s="37">
        <f t="shared" si="1"/>
        <v>58.017613587324149</v>
      </c>
      <c r="S15" s="37">
        <f t="shared" si="2"/>
        <v>1741.0176135873241</v>
      </c>
      <c r="T15" s="36">
        <f t="shared" si="3"/>
        <v>0.20691913639022155</v>
      </c>
    </row>
    <row r="16" spans="1:20" ht="16" x14ac:dyDescent="0.2">
      <c r="A16" s="8">
        <f>'CL quarter'!A16</f>
        <v>12</v>
      </c>
      <c r="B16" s="32">
        <f>Data!A13</f>
        <v>7735</v>
      </c>
      <c r="C16" s="33">
        <f>Data!B13</f>
        <v>67</v>
      </c>
      <c r="D16" s="33">
        <f>Data!C13</f>
        <v>272</v>
      </c>
      <c r="E16" s="33">
        <f>Data!D13</f>
        <v>182</v>
      </c>
      <c r="F16" s="33">
        <f>Data!E13</f>
        <v>125</v>
      </c>
      <c r="G16" s="34">
        <f>SUM($C16:F16)*('CL quarter'!F$32-1)</f>
        <v>53.085351329892752</v>
      </c>
      <c r="H16" s="34">
        <f>SUM($C16:G16)*('CL quarter'!G$32-1)</f>
        <v>26.927352123858718</v>
      </c>
      <c r="I16" s="34">
        <f>SUM($C16:H16)*('CL quarter'!H$32-1)</f>
        <v>10.001587931718916</v>
      </c>
      <c r="J16" s="34">
        <f>SUM($C16:I16)*('CL quarter'!I$32-1)</f>
        <v>4.5944519107178774</v>
      </c>
      <c r="K16" s="34">
        <f>SUM($C16:J16)*('CL quarter'!J$32-1)</f>
        <v>1.9349246422221318</v>
      </c>
      <c r="L16" s="34">
        <f>SUM($C16:K16)*('CL quarter'!K$32-1)</f>
        <v>0.81194194477151571</v>
      </c>
      <c r="M16" s="34">
        <f>SUM($C16:L16)*('CL quarter'!L$32-1)</f>
        <v>0.34019455612215938</v>
      </c>
      <c r="N16" s="34">
        <f>SUM($C16:M16)*('CL quarter'!M$32-1)</f>
        <v>0.14244717002390925</v>
      </c>
      <c r="O16" s="34">
        <f>SUM($C16:N16)*('CL quarter'!$N$32-1)</f>
        <v>5.9629993225964316E-2</v>
      </c>
      <c r="P16" s="35">
        <f>SUM(C16:F16)</f>
        <v>646</v>
      </c>
      <c r="Q16" s="36">
        <f t="shared" si="0"/>
        <v>8.3516483516483511E-2</v>
      </c>
      <c r="R16" s="37">
        <f t="shared" si="1"/>
        <v>97.89788160255398</v>
      </c>
      <c r="S16" s="37">
        <f t="shared" si="2"/>
        <v>743.89788160255398</v>
      </c>
      <c r="T16" s="36">
        <f t="shared" si="3"/>
        <v>9.6172964654499551E-2</v>
      </c>
    </row>
    <row r="17" spans="1:20" ht="16" x14ac:dyDescent="0.2">
      <c r="A17" s="8">
        <f>'CL quarter'!A17</f>
        <v>13</v>
      </c>
      <c r="B17" s="32">
        <f>Data!A14</f>
        <v>8493</v>
      </c>
      <c r="C17" s="33">
        <f>Data!B14</f>
        <v>60</v>
      </c>
      <c r="D17" s="33">
        <f>Data!C14</f>
        <v>419</v>
      </c>
      <c r="E17" s="33">
        <f>Data!D14</f>
        <v>437</v>
      </c>
      <c r="F17" s="34">
        <f>SUM($C17:E17)*('CL quarter'!E$33-1)</f>
        <v>288.96547852932912</v>
      </c>
      <c r="G17" s="34">
        <f>SUM($C17:F17)*('CL quarter'!F$33-1)</f>
        <v>179.18944709514449</v>
      </c>
      <c r="H17" s="34">
        <f>SUM($C17:G17)*('CL quarter'!G$33-1)</f>
        <v>87.152399663205159</v>
      </c>
      <c r="I17" s="34">
        <f>SUM($C17:H17)*('CL quarter'!H$33-1)</f>
        <v>44.733090092618468</v>
      </c>
      <c r="J17" s="34">
        <f>SUM($C17:I17)*('CL quarter'!I$33-1)</f>
        <v>18.293990080907363</v>
      </c>
      <c r="K17" s="34">
        <f>SUM($C17:J17)*('CL quarter'!J$33-1)</f>
        <v>7.7689594807046234</v>
      </c>
      <c r="L17" s="34">
        <f>SUM($C17:K17)*('CL quarter'!K$33-1)</f>
        <v>3.2764344986059504</v>
      </c>
      <c r="M17" s="34">
        <f>SUM($C17:L17)*('CL quarter'!L$33-1)</f>
        <v>1.3777436209137579</v>
      </c>
      <c r="N17" s="34">
        <f>SUM($C17:M17)*('CL quarter'!M$33-1)</f>
        <v>0.57862952892525166</v>
      </c>
      <c r="O17" s="34">
        <f>SUM($C17:N17)*('CL quarter'!$N$33-1)</f>
        <v>0.24288919821538138</v>
      </c>
      <c r="P17" s="35">
        <f>SUM(C17:E17)</f>
        <v>916</v>
      </c>
      <c r="Q17" s="36">
        <f t="shared" si="0"/>
        <v>0.10785352643353349</v>
      </c>
      <c r="R17" s="37">
        <f t="shared" si="1"/>
        <v>631.57906178856979</v>
      </c>
      <c r="S17" s="37">
        <f t="shared" si="2"/>
        <v>1547.5790617885698</v>
      </c>
      <c r="T17" s="36">
        <f t="shared" si="3"/>
        <v>0.18221818695261624</v>
      </c>
    </row>
    <row r="18" spans="1:20" ht="16" x14ac:dyDescent="0.2">
      <c r="A18" s="8">
        <f>'CL quarter'!A18</f>
        <v>14</v>
      </c>
      <c r="B18" s="32">
        <f>Data!A15</f>
        <v>8696</v>
      </c>
      <c r="C18" s="33">
        <f>Data!B15</f>
        <v>11</v>
      </c>
      <c r="D18" s="33">
        <f>Data!C15</f>
        <v>169</v>
      </c>
      <c r="E18" s="34">
        <f>SUM($C18:D18)*('CL quarter'!D$34-1)</f>
        <v>273.65853658536588</v>
      </c>
      <c r="F18" s="34">
        <f>SUM($C18:E18)*('CL quarter'!E$34-1)</f>
        <v>236.70731707317071</v>
      </c>
      <c r="G18" s="34">
        <f>SUM($C18:F18)*('CL quarter'!F$34-1)</f>
        <v>159.51219512195127</v>
      </c>
      <c r="H18" s="34">
        <f>SUM($C18:G18)*('CL quarter'!G$34-1)</f>
        <v>88.170731707317117</v>
      </c>
      <c r="I18" s="34">
        <f>SUM($C18:H18)*('CL quarter'!H$34-1)</f>
        <v>47.348067898731252</v>
      </c>
      <c r="J18" s="34">
        <f>SUM($C18:I18)*('CL quarter'!I$34-1)</f>
        <v>22.031695712370521</v>
      </c>
      <c r="K18" s="34">
        <f>SUM($C18:J18)*('CL quarter'!J$34-1)</f>
        <v>11.481281476809629</v>
      </c>
      <c r="L18" s="34">
        <f>SUM($C18:K18)*('CL quarter'!K$34-1)</f>
        <v>5.9190392435044874</v>
      </c>
      <c r="M18" s="34">
        <f>SUM($C18:L18)*('CL quarter'!L$34-1)</f>
        <v>3.0346329899141642</v>
      </c>
      <c r="N18" s="34">
        <f>SUM($C18:M18)*('CL quarter'!M$34-1)</f>
        <v>1.5514208571863863</v>
      </c>
      <c r="O18" s="34">
        <f>SUM($C18:N18)*('CL quarter'!$N$34-1)</f>
        <v>0.79199783965580828</v>
      </c>
      <c r="P18" s="35">
        <f>SUM(C18:D18)</f>
        <v>180</v>
      </c>
      <c r="Q18" s="36">
        <f t="shared" si="0"/>
        <v>2.0699172033118676E-2</v>
      </c>
      <c r="R18" s="37">
        <f t="shared" si="1"/>
        <v>850.20691650597746</v>
      </c>
      <c r="S18" s="37">
        <f t="shared" si="2"/>
        <v>1030.2069165059775</v>
      </c>
      <c r="T18" s="36">
        <f t="shared" si="3"/>
        <v>0.11846905663592197</v>
      </c>
    </row>
    <row r="19" spans="1:20" ht="16" x14ac:dyDescent="0.2">
      <c r="A19" s="8">
        <f>'CL quarter'!A19</f>
        <v>15</v>
      </c>
      <c r="B19" s="32">
        <f>Data!A16</f>
        <v>8772</v>
      </c>
      <c r="C19" s="33">
        <f>Data!B16</f>
        <v>323</v>
      </c>
      <c r="D19" s="34">
        <f>SUM($C19:C19)*('CL quarter'!C$35-1)</f>
        <v>740.61299709020375</v>
      </c>
      <c r="E19" s="34">
        <f>SUM($C19:D19)*('CL quarter'!D$35-1)</f>
        <v>388.47720659553841</v>
      </c>
      <c r="F19" s="34">
        <f>SUM($C19:E19)*('CL quarter'!E$35-1)</f>
        <v>177.32104752667323</v>
      </c>
      <c r="G19" s="34">
        <f>SUM($C19:F19)*('CL quarter'!F$35-1)</f>
        <v>74.562560620756742</v>
      </c>
      <c r="H19" s="34">
        <f>SUM($C19:G19)*('CL quarter'!G$35-1)</f>
        <v>35.839704774978784</v>
      </c>
      <c r="I19" s="34">
        <f>SUM($C19:H19)*('CL quarter'!H$35-1)</f>
        <v>13.156347322460419</v>
      </c>
      <c r="J19" s="34">
        <f>SUM($C19:I19)*('CL quarter'!I$35-1)</f>
        <v>4.7044503682626688</v>
      </c>
      <c r="K19" s="34">
        <f>SUM($C19:J19)*('CL quarter'!J$35-1)</f>
        <v>2.4841829338332659</v>
      </c>
      <c r="L19" s="34">
        <f>SUM($C19:K19)*('CL quarter'!K$35-1)</f>
        <v>1.3101097259817549</v>
      </c>
      <c r="M19" s="34">
        <f>SUM($C19:L19)*('CL quarter'!L$35-1)</f>
        <v>0.69046477654806471</v>
      </c>
      <c r="N19" s="34">
        <f>SUM($C19:M19)*('CL quarter'!M$35-1)</f>
        <v>0.36376629549532463</v>
      </c>
      <c r="O19" s="34">
        <f>SUM($C19:N19)*('CL quarter'!$N$35-1)</f>
        <v>0.19161205428565831</v>
      </c>
      <c r="P19" s="35">
        <f>SUM(C19)</f>
        <v>323</v>
      </c>
      <c r="Q19" s="36">
        <f t="shared" si="0"/>
        <v>3.6821705426356592E-2</v>
      </c>
      <c r="R19" s="37">
        <f t="shared" si="1"/>
        <v>1439.7144500850181</v>
      </c>
      <c r="S19" s="37">
        <f t="shared" si="2"/>
        <v>1762.7144500850181</v>
      </c>
      <c r="T19" s="36">
        <f t="shared" si="3"/>
        <v>0.20094783972697425</v>
      </c>
    </row>
    <row r="20" spans="1:20" ht="1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"/>
      <c r="S20" s="3"/>
    </row>
    <row r="21" spans="1:20" ht="17" thickBo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8">
        <f>SUM(R4:R19)</f>
        <v>3217.5538322320922</v>
      </c>
      <c r="S21" s="3"/>
    </row>
    <row r="22" spans="1:20" ht="16" thickTop="1" x14ac:dyDescent="0.2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CL</vt:lpstr>
      <vt:lpstr>CL IBNR</vt:lpstr>
      <vt:lpstr>CL quarter</vt:lpstr>
      <vt:lpstr>CL quarter IBNR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2024-08-15T23:10:57Z</dcterms:modified>
</cp:coreProperties>
</file>