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dolphus\Documents\GitHub\ACTL20004-ACTL90021-Tutorials\data\"/>
    </mc:Choice>
  </mc:AlternateContent>
  <xr:revisionPtr revIDLastSave="0" documentId="13_ncr:1_{148B9B92-CA56-40D3-9070-02B03F1BC42D}" xr6:coauthVersionLast="47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Data" sheetId="2" r:id="rId1"/>
    <sheet name="Exposure" sheetId="3" r:id="rId2"/>
    <sheet name="IBNR" sheetId="4" r:id="rId3"/>
    <sheet name="exposure-comparison" sheetId="5" r:id="rId4"/>
    <sheet name="CL" sheetId="6" r:id="rId5"/>
    <sheet name="CL IBNR" sheetId="7" r:id="rId6"/>
    <sheet name="CL-comparison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9" i="7" l="1"/>
  <c r="D18" i="7"/>
  <c r="C18" i="7"/>
  <c r="E17" i="7"/>
  <c r="D17" i="7"/>
  <c r="C17" i="7"/>
  <c r="F16" i="7"/>
  <c r="E16" i="7"/>
  <c r="D16" i="7"/>
  <c r="C16" i="7"/>
  <c r="G15" i="7"/>
  <c r="F15" i="7"/>
  <c r="E15" i="7"/>
  <c r="D15" i="7"/>
  <c r="C15" i="7"/>
  <c r="H14" i="7"/>
  <c r="G14" i="7"/>
  <c r="F14" i="7"/>
  <c r="E14" i="7"/>
  <c r="D14" i="7"/>
  <c r="C14" i="7"/>
  <c r="I13" i="7"/>
  <c r="H13" i="7"/>
  <c r="G13" i="7"/>
  <c r="F13" i="7"/>
  <c r="E13" i="7"/>
  <c r="D13" i="7"/>
  <c r="C13" i="7"/>
  <c r="J12" i="7"/>
  <c r="I12" i="7"/>
  <c r="H12" i="7"/>
  <c r="G12" i="7"/>
  <c r="F12" i="7"/>
  <c r="E12" i="7"/>
  <c r="D12" i="7"/>
  <c r="C12" i="7"/>
  <c r="K11" i="7"/>
  <c r="J11" i="7"/>
  <c r="I11" i="7"/>
  <c r="H11" i="7"/>
  <c r="G11" i="7"/>
  <c r="F11" i="7"/>
  <c r="E11" i="7"/>
  <c r="D11" i="7"/>
  <c r="C11" i="7"/>
  <c r="L10" i="7"/>
  <c r="K10" i="7"/>
  <c r="J10" i="7"/>
  <c r="I10" i="7"/>
  <c r="H10" i="7"/>
  <c r="G10" i="7"/>
  <c r="F10" i="7"/>
  <c r="E10" i="7"/>
  <c r="D10" i="7"/>
  <c r="C10" i="7"/>
  <c r="M9" i="7"/>
  <c r="L9" i="7"/>
  <c r="K9" i="7"/>
  <c r="J9" i="7"/>
  <c r="I9" i="7"/>
  <c r="H9" i="7"/>
  <c r="G9" i="7"/>
  <c r="F9" i="7"/>
  <c r="E9" i="7"/>
  <c r="D9" i="7"/>
  <c r="C9" i="7"/>
  <c r="M8" i="7"/>
  <c r="L8" i="7"/>
  <c r="K8" i="7"/>
  <c r="J8" i="7"/>
  <c r="I8" i="7"/>
  <c r="H8" i="7"/>
  <c r="G8" i="7"/>
  <c r="F8" i="7"/>
  <c r="E8" i="7"/>
  <c r="D8" i="7"/>
  <c r="C8" i="7"/>
  <c r="M7" i="7"/>
  <c r="L7" i="7"/>
  <c r="K7" i="7"/>
  <c r="J7" i="7"/>
  <c r="I7" i="7"/>
  <c r="H7" i="7"/>
  <c r="G7" i="7"/>
  <c r="F7" i="7"/>
  <c r="E7" i="7"/>
  <c r="D7" i="7"/>
  <c r="C7" i="7"/>
  <c r="M6" i="7"/>
  <c r="L6" i="7"/>
  <c r="K6" i="7"/>
  <c r="J6" i="7"/>
  <c r="I6" i="7"/>
  <c r="H6" i="7"/>
  <c r="G6" i="7"/>
  <c r="F6" i="7"/>
  <c r="E6" i="7"/>
  <c r="D6" i="7"/>
  <c r="C6" i="7"/>
  <c r="M5" i="7"/>
  <c r="L5" i="7"/>
  <c r="K5" i="7"/>
  <c r="J5" i="7"/>
  <c r="I5" i="7"/>
  <c r="H5" i="7"/>
  <c r="G5" i="7"/>
  <c r="F5" i="7"/>
  <c r="E5" i="7"/>
  <c r="D5" i="7"/>
  <c r="C5" i="7"/>
  <c r="M4" i="7"/>
  <c r="L4" i="7"/>
  <c r="K4" i="7"/>
  <c r="J4" i="7"/>
  <c r="I4" i="7"/>
  <c r="H4" i="7"/>
  <c r="G4" i="7"/>
  <c r="F4" i="7"/>
  <c r="E4" i="7"/>
  <c r="D4" i="7"/>
  <c r="C4" i="7"/>
  <c r="O40" i="6"/>
  <c r="N40" i="6"/>
  <c r="M40" i="6"/>
  <c r="L40" i="6"/>
  <c r="K40" i="6"/>
  <c r="J40" i="6"/>
  <c r="I40" i="6"/>
  <c r="H40" i="6"/>
  <c r="G40" i="6"/>
  <c r="F40" i="6"/>
  <c r="E40" i="6"/>
  <c r="D40" i="6"/>
  <c r="C40" i="6"/>
  <c r="O36" i="6"/>
  <c r="N36" i="6"/>
  <c r="M36" i="6"/>
  <c r="L36" i="6"/>
  <c r="K36" i="6"/>
  <c r="J36" i="6"/>
  <c r="I36" i="6"/>
  <c r="H36" i="6"/>
  <c r="G36" i="6"/>
  <c r="F36" i="6"/>
  <c r="E36" i="6"/>
  <c r="D36" i="6"/>
  <c r="C36" i="6"/>
  <c r="L34" i="6"/>
  <c r="K34" i="6"/>
  <c r="J34" i="6"/>
  <c r="I34" i="6"/>
  <c r="H34" i="6"/>
  <c r="G34" i="6"/>
  <c r="F34" i="6"/>
  <c r="E34" i="6"/>
  <c r="D34" i="6"/>
  <c r="C34" i="6"/>
  <c r="L30" i="6"/>
  <c r="K30" i="6"/>
  <c r="J30" i="6"/>
  <c r="I30" i="6"/>
  <c r="H30" i="6"/>
  <c r="G30" i="6"/>
  <c r="F30" i="6"/>
  <c r="E30" i="6"/>
  <c r="D30" i="6"/>
  <c r="C30" i="6"/>
  <c r="Q28" i="6"/>
  <c r="P28" i="6"/>
  <c r="O28" i="6"/>
  <c r="N28" i="6"/>
  <c r="M28" i="6"/>
  <c r="L28" i="6"/>
  <c r="K28" i="6"/>
  <c r="J28" i="6"/>
  <c r="I28" i="6"/>
  <c r="H28" i="6"/>
  <c r="G28" i="6"/>
  <c r="F28" i="6"/>
  <c r="E28" i="6"/>
  <c r="D28" i="6"/>
  <c r="C28" i="6"/>
  <c r="Q24" i="6"/>
  <c r="P24" i="6"/>
  <c r="O24" i="6"/>
  <c r="N24" i="6"/>
  <c r="M24" i="6"/>
  <c r="L24" i="6"/>
  <c r="K24" i="6"/>
  <c r="J24" i="6"/>
  <c r="I24" i="6"/>
  <c r="H24" i="6"/>
  <c r="G24" i="6"/>
  <c r="F24" i="6"/>
  <c r="E24" i="6"/>
  <c r="D24" i="6"/>
  <c r="C24" i="6"/>
  <c r="C18" i="6"/>
  <c r="D17" i="6"/>
  <c r="E16" i="6"/>
  <c r="D16" i="6"/>
  <c r="C16" i="6"/>
  <c r="F15" i="6"/>
  <c r="E15" i="6"/>
  <c r="D15" i="6"/>
  <c r="C15" i="6"/>
  <c r="G14" i="6"/>
  <c r="F14" i="6"/>
  <c r="E14" i="6"/>
  <c r="D14" i="6"/>
  <c r="C14" i="6"/>
  <c r="H13" i="6"/>
  <c r="G13" i="6"/>
  <c r="F13" i="6"/>
  <c r="E13" i="6"/>
  <c r="D13" i="6"/>
  <c r="C13" i="6"/>
  <c r="I12" i="6"/>
  <c r="H12" i="6"/>
  <c r="G12" i="6"/>
  <c r="F12" i="6"/>
  <c r="E12" i="6"/>
  <c r="D12" i="6"/>
  <c r="C12" i="6"/>
  <c r="J11" i="6"/>
  <c r="I11" i="6"/>
  <c r="H11" i="6"/>
  <c r="G11" i="6"/>
  <c r="F11" i="6"/>
  <c r="E11" i="6"/>
  <c r="D11" i="6"/>
  <c r="C11" i="6"/>
  <c r="K10" i="6"/>
  <c r="J10" i="6"/>
  <c r="I10" i="6"/>
  <c r="H10" i="6"/>
  <c r="G10" i="6"/>
  <c r="F10" i="6"/>
  <c r="E10" i="6"/>
  <c r="D10" i="6"/>
  <c r="C10" i="6"/>
  <c r="L9" i="6"/>
  <c r="K9" i="6"/>
  <c r="J9" i="6"/>
  <c r="I9" i="6"/>
  <c r="H9" i="6"/>
  <c r="G9" i="6"/>
  <c r="F9" i="6"/>
  <c r="E9" i="6"/>
  <c r="D9" i="6"/>
  <c r="C9" i="6"/>
  <c r="M8" i="6"/>
  <c r="L8" i="6"/>
  <c r="K8" i="6"/>
  <c r="J8" i="6"/>
  <c r="I8" i="6"/>
  <c r="H8" i="6"/>
  <c r="G8" i="6"/>
  <c r="F8" i="6"/>
  <c r="E8" i="6"/>
  <c r="D8" i="6"/>
  <c r="C8" i="6"/>
  <c r="N7" i="6"/>
  <c r="M7" i="6"/>
  <c r="L7" i="6"/>
  <c r="K7" i="6"/>
  <c r="J7" i="6"/>
  <c r="I7" i="6"/>
  <c r="H7" i="6"/>
  <c r="G7" i="6"/>
  <c r="F7" i="6"/>
  <c r="E7" i="6"/>
  <c r="D7" i="6"/>
  <c r="C7" i="6"/>
  <c r="O6" i="6"/>
  <c r="N6" i="6"/>
  <c r="M6" i="6"/>
  <c r="L6" i="6"/>
  <c r="K6" i="6"/>
  <c r="J6" i="6"/>
  <c r="I6" i="6"/>
  <c r="H6" i="6"/>
  <c r="G6" i="6"/>
  <c r="F6" i="6"/>
  <c r="E6" i="6"/>
  <c r="D6" i="6"/>
  <c r="C6" i="6"/>
  <c r="P5" i="6"/>
  <c r="O5" i="6"/>
  <c r="N5" i="6"/>
  <c r="M5" i="6"/>
  <c r="L5" i="6"/>
  <c r="K5" i="6"/>
  <c r="J5" i="6"/>
  <c r="I5" i="6"/>
  <c r="H5" i="6"/>
  <c r="G5" i="6"/>
  <c r="F5" i="6"/>
  <c r="E5" i="6"/>
  <c r="D5" i="6"/>
  <c r="C5" i="6"/>
  <c r="Q4" i="6"/>
  <c r="P4" i="6"/>
  <c r="O4" i="6"/>
  <c r="N4" i="6"/>
  <c r="M4" i="6"/>
  <c r="L4" i="6"/>
  <c r="K4" i="6"/>
  <c r="J4" i="6"/>
  <c r="I4" i="6"/>
  <c r="H4" i="6"/>
  <c r="G4" i="6"/>
  <c r="F4" i="6"/>
  <c r="E4" i="6"/>
  <c r="D4" i="6"/>
  <c r="C4" i="6"/>
  <c r="N26" i="6"/>
  <c r="Q26" i="6"/>
  <c r="F26" i="6"/>
  <c r="C38" i="6"/>
  <c r="C26" i="6"/>
  <c r="I26" i="6"/>
  <c r="C32" i="6"/>
  <c r="K26" i="6"/>
  <c r="O26" i="6"/>
  <c r="M26" i="6"/>
  <c r="D26" i="6"/>
  <c r="J26" i="6"/>
  <c r="P26" i="6"/>
  <c r="E26" i="6"/>
  <c r="G26" i="6"/>
  <c r="H26" i="6"/>
  <c r="L26" i="6"/>
  <c r="P2" i="8" l="1"/>
  <c r="S2" i="8"/>
  <c r="Q2" i="8" s="1"/>
  <c r="P3" i="8"/>
  <c r="Q3" i="8" s="1"/>
  <c r="S3" i="8"/>
  <c r="P4" i="8"/>
  <c r="S4" i="8"/>
  <c r="Q4" i="8" s="1"/>
  <c r="P5" i="8"/>
  <c r="S5" i="8"/>
  <c r="Q5" i="8" s="1"/>
  <c r="P6" i="8"/>
  <c r="S6" i="8"/>
  <c r="P7" i="8"/>
  <c r="S7" i="8"/>
  <c r="Q7" i="8" s="1"/>
  <c r="P8" i="8"/>
  <c r="Q8" i="8"/>
  <c r="S8" i="8"/>
  <c r="P9" i="8"/>
  <c r="Q9" i="8"/>
  <c r="S9" i="8"/>
  <c r="P10" i="8"/>
  <c r="S10" i="8"/>
  <c r="Q10" i="8" s="1"/>
  <c r="P11" i="8"/>
  <c r="Q11" i="8" s="1"/>
  <c r="S11" i="8"/>
  <c r="P12" i="8"/>
  <c r="S12" i="8"/>
  <c r="Q12" i="8" s="1"/>
  <c r="P13" i="8"/>
  <c r="S13" i="8"/>
  <c r="Q13" i="8" s="1"/>
  <c r="P14" i="8"/>
  <c r="S14" i="8"/>
  <c r="P15" i="8"/>
  <c r="S15" i="8"/>
  <c r="Q15" i="8" s="1"/>
  <c r="P16" i="8"/>
  <c r="Q16" i="8"/>
  <c r="S16" i="8"/>
  <c r="P17" i="8"/>
  <c r="Q17" i="8"/>
  <c r="S17" i="8"/>
  <c r="O20" i="8"/>
  <c r="O21" i="8"/>
  <c r="O22" i="8"/>
  <c r="O23" i="8"/>
  <c r="O24" i="8"/>
  <c r="O25" i="8"/>
  <c r="O26" i="8"/>
  <c r="O27" i="8"/>
  <c r="O28" i="8"/>
  <c r="O29" i="8"/>
  <c r="O30" i="8"/>
  <c r="O31" i="8"/>
  <c r="O32" i="8"/>
  <c r="O33" i="8"/>
  <c r="O34" i="8"/>
  <c r="O35" i="8"/>
  <c r="M25" i="8"/>
  <c r="L26" i="8"/>
  <c r="K27" i="8"/>
  <c r="I29" i="8"/>
  <c r="G31" i="8"/>
  <c r="C35" i="8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E33" i="8" l="1"/>
  <c r="P10" i="7"/>
  <c r="Q10" i="7" s="1"/>
  <c r="J28" i="8"/>
  <c r="F32" i="8"/>
  <c r="H30" i="8"/>
  <c r="D34" i="8"/>
  <c r="Q19" i="8"/>
  <c r="Q14" i="8"/>
  <c r="Q6" i="8"/>
  <c r="P15" i="7"/>
  <c r="Q15" i="7" s="1"/>
  <c r="P14" i="7"/>
  <c r="Q14" i="7" s="1"/>
  <c r="P13" i="7"/>
  <c r="Q13" i="7" s="1"/>
  <c r="P12" i="7"/>
  <c r="Q12" i="7" s="1"/>
  <c r="P19" i="7"/>
  <c r="Q19" i="7" s="1"/>
  <c r="P11" i="7"/>
  <c r="Q11" i="7" s="1"/>
  <c r="P18" i="7"/>
  <c r="Q18" i="7" s="1"/>
  <c r="P17" i="7"/>
  <c r="Q17" i="7" s="1"/>
  <c r="P9" i="7"/>
  <c r="Q9" i="7" s="1"/>
  <c r="P16" i="7"/>
  <c r="Q16" i="7" s="1"/>
  <c r="J32" i="6"/>
  <c r="M38" i="6"/>
  <c r="L32" i="6"/>
  <c r="L38" i="6"/>
  <c r="I38" i="6"/>
  <c r="K32" i="6"/>
  <c r="G38" i="6"/>
  <c r="H38" i="6"/>
  <c r="D38" i="6"/>
  <c r="G32" i="6"/>
  <c r="E38" i="6"/>
  <c r="D32" i="6"/>
  <c r="O38" i="6"/>
  <c r="I32" i="6"/>
  <c r="K38" i="6"/>
  <c r="J38" i="6"/>
  <c r="F32" i="6"/>
  <c r="F38" i="6"/>
  <c r="E32" i="6"/>
  <c r="N38" i="6"/>
  <c r="H32" i="6"/>
  <c r="C44" i="6" l="1"/>
  <c r="D44" i="6"/>
  <c r="E44" i="6"/>
  <c r="F44" i="6"/>
  <c r="F47" i="6" s="1"/>
  <c r="G44" i="6"/>
  <c r="G53" i="6" s="1"/>
  <c r="H44" i="6"/>
  <c r="I44" i="6"/>
  <c r="I53" i="6" s="1"/>
  <c r="J44" i="6"/>
  <c r="J53" i="6" s="1"/>
  <c r="K44" i="6"/>
  <c r="K53" i="6" s="1"/>
  <c r="L44" i="6"/>
  <c r="L53" i="6" s="1"/>
  <c r="M44" i="6"/>
  <c r="N44" i="6"/>
  <c r="O44" i="6"/>
  <c r="P44" i="6"/>
  <c r="Q44" i="6"/>
  <c r="R44" i="6"/>
  <c r="C47" i="6"/>
  <c r="D19" i="7" s="1"/>
  <c r="D35" i="8" s="1"/>
  <c r="D47" i="6"/>
  <c r="E47" i="6"/>
  <c r="G47" i="6" l="1"/>
  <c r="E19" i="7"/>
  <c r="E35" i="8" s="1"/>
  <c r="E18" i="7"/>
  <c r="E34" i="8" s="1"/>
  <c r="F17" i="7"/>
  <c r="F33" i="8" s="1"/>
  <c r="F19" i="7"/>
  <c r="F35" i="8" s="1"/>
  <c r="H15" i="7"/>
  <c r="G16" i="7"/>
  <c r="G32" i="8" s="1"/>
  <c r="J55" i="6"/>
  <c r="J56" i="6" s="1"/>
  <c r="J47" i="6" s="1"/>
  <c r="I55" i="6"/>
  <c r="I56" i="6" s="1"/>
  <c r="I47" i="6" s="1"/>
  <c r="K55" i="6"/>
  <c r="K56" i="6" s="1"/>
  <c r="K47" i="6" s="1"/>
  <c r="L55" i="6"/>
  <c r="L56" i="6" s="1"/>
  <c r="L47" i="6" s="1"/>
  <c r="H55" i="6"/>
  <c r="H56" i="6" s="1"/>
  <c r="H47" i="6" s="1"/>
  <c r="G55" i="6"/>
  <c r="G56" i="6" s="1"/>
  <c r="B55" i="6"/>
  <c r="B61" i="6" s="1"/>
  <c r="B56" i="6"/>
  <c r="B60" i="6" s="1"/>
  <c r="B62" i="6" s="1"/>
  <c r="B63" i="6" s="1"/>
  <c r="M47" i="6" s="1"/>
  <c r="F18" i="7" l="1"/>
  <c r="F34" i="8" s="1"/>
  <c r="G19" i="7"/>
  <c r="G35" i="8" s="1"/>
  <c r="M68" i="6"/>
  <c r="N8" i="7"/>
  <c r="N6" i="7"/>
  <c r="N7" i="7"/>
  <c r="N9" i="7"/>
  <c r="N4" i="7"/>
  <c r="N5" i="7"/>
  <c r="J68" i="6"/>
  <c r="K12" i="7"/>
  <c r="I14" i="7"/>
  <c r="I30" i="8" s="1"/>
  <c r="I15" i="7"/>
  <c r="I31" i="8" s="1"/>
  <c r="G17" i="7"/>
  <c r="H17" i="7" s="1"/>
  <c r="H33" i="8" s="1"/>
  <c r="H31" i="8"/>
  <c r="M10" i="7"/>
  <c r="N10" i="7" s="1"/>
  <c r="N26" i="8" s="1"/>
  <c r="L11" i="7"/>
  <c r="M11" i="7" s="1"/>
  <c r="D68" i="6"/>
  <c r="J13" i="7"/>
  <c r="J14" i="7"/>
  <c r="H16" i="7"/>
  <c r="H19" i="7"/>
  <c r="H35" i="8" s="1"/>
  <c r="C68" i="6"/>
  <c r="C69" i="6" s="1"/>
  <c r="F68" i="6"/>
  <c r="G68" i="6"/>
  <c r="H68" i="6"/>
  <c r="E68" i="6"/>
  <c r="L68" i="6"/>
  <c r="M69" i="6" s="1"/>
  <c r="N69" i="6"/>
  <c r="K68" i="6"/>
  <c r="I68" i="6"/>
  <c r="H69" i="6" l="1"/>
  <c r="G69" i="6"/>
  <c r="G18" i="7"/>
  <c r="G34" i="8" s="1"/>
  <c r="J15" i="7"/>
  <c r="J31" i="8" s="1"/>
  <c r="J69" i="6"/>
  <c r="K69" i="6"/>
  <c r="K13" i="7"/>
  <c r="N25" i="8"/>
  <c r="S9" i="7"/>
  <c r="T9" i="7" s="1"/>
  <c r="K14" i="7"/>
  <c r="K30" i="8" s="1"/>
  <c r="J30" i="8"/>
  <c r="I16" i="7"/>
  <c r="H32" i="8"/>
  <c r="G33" i="8"/>
  <c r="P6" i="7"/>
  <c r="Q6" i="7" s="1"/>
  <c r="S6" i="7"/>
  <c r="T6" i="7" s="1"/>
  <c r="N11" i="7"/>
  <c r="N27" i="8" s="1"/>
  <c r="M27" i="8"/>
  <c r="I19" i="7"/>
  <c r="I35" i="8" s="1"/>
  <c r="I17" i="7"/>
  <c r="J19" i="7"/>
  <c r="J35" i="8" s="1"/>
  <c r="L27" i="8"/>
  <c r="S5" i="7"/>
  <c r="T5" i="7" s="1"/>
  <c r="P5" i="7"/>
  <c r="Q5" i="7" s="1"/>
  <c r="P4" i="7"/>
  <c r="Q4" i="7" s="1"/>
  <c r="S4" i="7"/>
  <c r="T4" i="7" s="1"/>
  <c r="S7" i="7"/>
  <c r="T7" i="7" s="1"/>
  <c r="P7" i="7"/>
  <c r="Q7" i="7" s="1"/>
  <c r="L69" i="6"/>
  <c r="P8" i="7"/>
  <c r="Q8" i="7" s="1"/>
  <c r="S8" i="7"/>
  <c r="T8" i="7" s="1"/>
  <c r="J29" i="8"/>
  <c r="K28" i="8"/>
  <c r="E69" i="6"/>
  <c r="J16" i="7"/>
  <c r="J32" i="8" s="1"/>
  <c r="L12" i="7"/>
  <c r="L28" i="8" s="1"/>
  <c r="M26" i="8"/>
  <c r="S10" i="7"/>
  <c r="T10" i="7" s="1"/>
  <c r="I69" i="6"/>
  <c r="F69" i="6"/>
  <c r="D69" i="6"/>
  <c r="S11" i="7" l="1"/>
  <c r="T11" i="7" s="1"/>
  <c r="H18" i="7"/>
  <c r="H34" i="8" s="1"/>
  <c r="K15" i="7"/>
  <c r="I18" i="7"/>
  <c r="T8" i="8"/>
  <c r="R10" i="7"/>
  <c r="R8" i="8" s="1"/>
  <c r="T6" i="8"/>
  <c r="R8" i="7"/>
  <c r="R6" i="8" s="1"/>
  <c r="T7" i="8"/>
  <c r="R9" i="7"/>
  <c r="R7" i="8" s="1"/>
  <c r="T4" i="8"/>
  <c r="R6" i="7"/>
  <c r="R4" i="8" s="1"/>
  <c r="K29" i="8"/>
  <c r="L13" i="7"/>
  <c r="M13" i="7" s="1"/>
  <c r="M29" i="8" s="1"/>
  <c r="I33" i="8"/>
  <c r="J17" i="7"/>
  <c r="T3" i="8"/>
  <c r="R5" i="7"/>
  <c r="R3" i="8" s="1"/>
  <c r="M12" i="7"/>
  <c r="T5" i="8"/>
  <c r="R7" i="7"/>
  <c r="R5" i="8" s="1"/>
  <c r="L14" i="7"/>
  <c r="L30" i="8" s="1"/>
  <c r="K19" i="7"/>
  <c r="I32" i="8"/>
  <c r="K16" i="7"/>
  <c r="T2" i="8"/>
  <c r="R4" i="7"/>
  <c r="R2" i="8" s="1"/>
  <c r="T9" i="8"/>
  <c r="R11" i="7"/>
  <c r="R9" i="8" s="1"/>
  <c r="L15" i="7"/>
  <c r="K31" i="8"/>
  <c r="I34" i="8" l="1"/>
  <c r="J18" i="7"/>
  <c r="K18" i="7" s="1"/>
  <c r="K34" i="8" s="1"/>
  <c r="N13" i="7"/>
  <c r="N29" i="8" s="1"/>
  <c r="L31" i="8"/>
  <c r="M15" i="7"/>
  <c r="N15" i="7" s="1"/>
  <c r="N31" i="8" s="1"/>
  <c r="K17" i="7"/>
  <c r="K33" i="8" s="1"/>
  <c r="J33" i="8"/>
  <c r="M14" i="7"/>
  <c r="M30" i="8" s="1"/>
  <c r="K35" i="8"/>
  <c r="L19" i="7"/>
  <c r="L16" i="7"/>
  <c r="K32" i="8"/>
  <c r="N12" i="7"/>
  <c r="M28" i="8"/>
  <c r="L29" i="8"/>
  <c r="S13" i="7"/>
  <c r="T13" i="7" s="1"/>
  <c r="M25" i="5"/>
  <c r="N25" i="5"/>
  <c r="L26" i="5"/>
  <c r="M26" i="5"/>
  <c r="N26" i="5"/>
  <c r="K27" i="5"/>
  <c r="L27" i="5"/>
  <c r="M27" i="5"/>
  <c r="N27" i="5"/>
  <c r="J28" i="5"/>
  <c r="K28" i="5"/>
  <c r="L28" i="5"/>
  <c r="M28" i="5"/>
  <c r="N28" i="5"/>
  <c r="I29" i="5"/>
  <c r="J29" i="5"/>
  <c r="K29" i="5"/>
  <c r="L29" i="5"/>
  <c r="M29" i="5"/>
  <c r="N29" i="5"/>
  <c r="H30" i="5"/>
  <c r="I30" i="5"/>
  <c r="J30" i="5"/>
  <c r="K30" i="5"/>
  <c r="L30" i="5"/>
  <c r="M30" i="5"/>
  <c r="N30" i="5"/>
  <c r="G31" i="5"/>
  <c r="H31" i="5"/>
  <c r="I31" i="5"/>
  <c r="J31" i="5"/>
  <c r="K31" i="5"/>
  <c r="L31" i="5"/>
  <c r="M31" i="5"/>
  <c r="N31" i="5"/>
  <c r="F32" i="5"/>
  <c r="G32" i="5"/>
  <c r="H32" i="5"/>
  <c r="I32" i="5"/>
  <c r="J32" i="5"/>
  <c r="K32" i="5"/>
  <c r="L32" i="5"/>
  <c r="M32" i="5"/>
  <c r="N32" i="5"/>
  <c r="E33" i="5"/>
  <c r="F33" i="5"/>
  <c r="G33" i="5"/>
  <c r="H33" i="5"/>
  <c r="I33" i="5"/>
  <c r="J33" i="5"/>
  <c r="K33" i="5"/>
  <c r="L33" i="5"/>
  <c r="M33" i="5"/>
  <c r="N33" i="5"/>
  <c r="D34" i="5"/>
  <c r="E34" i="5"/>
  <c r="F34" i="5"/>
  <c r="G34" i="5"/>
  <c r="H34" i="5"/>
  <c r="I34" i="5"/>
  <c r="J34" i="5"/>
  <c r="K34" i="5"/>
  <c r="L34" i="5"/>
  <c r="M34" i="5"/>
  <c r="N34" i="5"/>
  <c r="C35" i="5"/>
  <c r="D35" i="5"/>
  <c r="E35" i="5"/>
  <c r="F35" i="5"/>
  <c r="G35" i="5"/>
  <c r="H35" i="5"/>
  <c r="I35" i="5"/>
  <c r="J35" i="5"/>
  <c r="K35" i="5"/>
  <c r="L35" i="5"/>
  <c r="M35" i="5"/>
  <c r="N35" i="5"/>
  <c r="O21" i="5"/>
  <c r="O22" i="5"/>
  <c r="O23" i="5"/>
  <c r="O24" i="5"/>
  <c r="O25" i="5"/>
  <c r="O26" i="5"/>
  <c r="O27" i="5"/>
  <c r="O28" i="5"/>
  <c r="O29" i="5"/>
  <c r="O30" i="5"/>
  <c r="O31" i="5"/>
  <c r="O32" i="5"/>
  <c r="O33" i="5"/>
  <c r="O34" i="5"/>
  <c r="O35" i="5"/>
  <c r="O20" i="5"/>
  <c r="R19" i="5"/>
  <c r="T3" i="5"/>
  <c r="T4" i="5"/>
  <c r="T5" i="5"/>
  <c r="T6" i="5"/>
  <c r="T7" i="5"/>
  <c r="T8" i="5"/>
  <c r="T9" i="5"/>
  <c r="T10" i="5"/>
  <c r="T11" i="5"/>
  <c r="T12" i="5"/>
  <c r="T13" i="5"/>
  <c r="T14" i="5"/>
  <c r="T15" i="5"/>
  <c r="T16" i="5"/>
  <c r="T17" i="5"/>
  <c r="T2" i="5"/>
  <c r="R3" i="5"/>
  <c r="R4" i="5"/>
  <c r="R5" i="5"/>
  <c r="R6" i="5"/>
  <c r="R7" i="5"/>
  <c r="R8" i="5"/>
  <c r="R9" i="5"/>
  <c r="R10" i="5"/>
  <c r="R11" i="5"/>
  <c r="R12" i="5"/>
  <c r="R13" i="5"/>
  <c r="R14" i="5"/>
  <c r="R15" i="5"/>
  <c r="R16" i="5"/>
  <c r="R17" i="5"/>
  <c r="R2" i="5"/>
  <c r="S17" i="5"/>
  <c r="P17" i="5"/>
  <c r="Q17" i="5" s="1"/>
  <c r="S16" i="5"/>
  <c r="Q16" i="5" s="1"/>
  <c r="P16" i="5"/>
  <c r="S15" i="5"/>
  <c r="Q15" i="5"/>
  <c r="P15" i="5"/>
  <c r="S14" i="5"/>
  <c r="P14" i="5"/>
  <c r="Q14" i="5" s="1"/>
  <c r="S13" i="5"/>
  <c r="P13" i="5"/>
  <c r="S12" i="5"/>
  <c r="P12" i="5"/>
  <c r="Q12" i="5" s="1"/>
  <c r="S11" i="5"/>
  <c r="P11" i="5"/>
  <c r="Q11" i="5" s="1"/>
  <c r="S10" i="5"/>
  <c r="P10" i="5"/>
  <c r="S9" i="5"/>
  <c r="P9" i="5"/>
  <c r="Q9" i="5" s="1"/>
  <c r="S8" i="5"/>
  <c r="Q8" i="5" s="1"/>
  <c r="P8" i="5"/>
  <c r="S7" i="5"/>
  <c r="Q7" i="5"/>
  <c r="P7" i="5"/>
  <c r="S6" i="5"/>
  <c r="P6" i="5"/>
  <c r="Q6" i="5" s="1"/>
  <c r="S5" i="5"/>
  <c r="P5" i="5"/>
  <c r="S4" i="5"/>
  <c r="P4" i="5"/>
  <c r="Q4" i="5" s="1"/>
  <c r="S3" i="5"/>
  <c r="P3" i="5"/>
  <c r="Q3" i="5" s="1"/>
  <c r="S2" i="5"/>
  <c r="Q2" i="5" s="1"/>
  <c r="P2" i="5"/>
  <c r="N14" i="7" l="1"/>
  <c r="J34" i="8"/>
  <c r="L18" i="7"/>
  <c r="L34" i="8" s="1"/>
  <c r="L17" i="7"/>
  <c r="M19" i="7"/>
  <c r="M35" i="8" s="1"/>
  <c r="L35" i="8"/>
  <c r="M31" i="8"/>
  <c r="S15" i="7"/>
  <c r="T15" i="7" s="1"/>
  <c r="T11" i="8"/>
  <c r="R13" i="7"/>
  <c r="R11" i="8" s="1"/>
  <c r="M17" i="7"/>
  <c r="M33" i="8" s="1"/>
  <c r="L33" i="8"/>
  <c r="L32" i="8"/>
  <c r="M16" i="7"/>
  <c r="N16" i="7"/>
  <c r="N32" i="8" s="1"/>
  <c r="N17" i="7"/>
  <c r="S14" i="7"/>
  <c r="T14" i="7" s="1"/>
  <c r="N30" i="8"/>
  <c r="N28" i="8"/>
  <c r="S12" i="7"/>
  <c r="T12" i="7" s="1"/>
  <c r="Q5" i="5"/>
  <c r="Q13" i="5"/>
  <c r="T19" i="5"/>
  <c r="Q10" i="5"/>
  <c r="N19" i="7" l="1"/>
  <c r="M18" i="7"/>
  <c r="M34" i="8" s="1"/>
  <c r="N18" i="7"/>
  <c r="N34" i="8" s="1"/>
  <c r="S19" i="7"/>
  <c r="T19" i="7" s="1"/>
  <c r="N35" i="8"/>
  <c r="S16" i="7"/>
  <c r="T16" i="7" s="1"/>
  <c r="M32" i="8"/>
  <c r="T13" i="8"/>
  <c r="R15" i="7"/>
  <c r="R13" i="8" s="1"/>
  <c r="S17" i="7"/>
  <c r="T17" i="7" s="1"/>
  <c r="N33" i="8"/>
  <c r="T10" i="8"/>
  <c r="R12" i="7"/>
  <c r="R10" i="8" s="1"/>
  <c r="T12" i="8"/>
  <c r="R14" i="7"/>
  <c r="R12" i="8" s="1"/>
  <c r="Q19" i="5"/>
  <c r="S18" i="7" l="1"/>
  <c r="T18" i="7" s="1"/>
  <c r="T16" i="8"/>
  <c r="R18" i="7"/>
  <c r="R16" i="8" s="1"/>
  <c r="T14" i="8"/>
  <c r="R16" i="7"/>
  <c r="R14" i="8" s="1"/>
  <c r="T15" i="8"/>
  <c r="R17" i="7"/>
  <c r="R15" i="8" s="1"/>
  <c r="T17" i="8"/>
  <c r="R19" i="7"/>
  <c r="A4" i="4"/>
  <c r="C4" i="4"/>
  <c r="D4" i="4"/>
  <c r="E4" i="4"/>
  <c r="F4" i="4"/>
  <c r="G4" i="4"/>
  <c r="H4" i="4"/>
  <c r="I4" i="4"/>
  <c r="J4" i="4"/>
  <c r="K4" i="4"/>
  <c r="L4" i="4"/>
  <c r="M4" i="4"/>
  <c r="N4" i="4"/>
  <c r="A5" i="4"/>
  <c r="B5" i="4"/>
  <c r="C5" i="4"/>
  <c r="P5" i="4" s="1"/>
  <c r="Q5" i="4" s="1"/>
  <c r="D5" i="4"/>
  <c r="E5" i="4"/>
  <c r="F5" i="4"/>
  <c r="G5" i="4"/>
  <c r="H5" i="4"/>
  <c r="I5" i="4"/>
  <c r="J5" i="4"/>
  <c r="K5" i="4"/>
  <c r="L5" i="4"/>
  <c r="M5" i="4"/>
  <c r="N5" i="4"/>
  <c r="A6" i="4"/>
  <c r="C6" i="4"/>
  <c r="D6" i="4"/>
  <c r="E6" i="4"/>
  <c r="F6" i="4"/>
  <c r="G6" i="4"/>
  <c r="H6" i="4"/>
  <c r="I6" i="4"/>
  <c r="J6" i="4"/>
  <c r="K6" i="4"/>
  <c r="L6" i="4"/>
  <c r="M6" i="4"/>
  <c r="N6" i="4"/>
  <c r="A7" i="4"/>
  <c r="C7" i="4"/>
  <c r="P7" i="4" s="1"/>
  <c r="D7" i="4"/>
  <c r="E7" i="4"/>
  <c r="F7" i="4"/>
  <c r="G7" i="4"/>
  <c r="H7" i="4"/>
  <c r="I7" i="4"/>
  <c r="J7" i="4"/>
  <c r="K7" i="4"/>
  <c r="L7" i="4"/>
  <c r="M7" i="4"/>
  <c r="N7" i="4"/>
  <c r="A8" i="4"/>
  <c r="C8" i="4"/>
  <c r="D8" i="4"/>
  <c r="E8" i="4"/>
  <c r="F8" i="4"/>
  <c r="G8" i="4"/>
  <c r="H8" i="4"/>
  <c r="I8" i="4"/>
  <c r="J8" i="4"/>
  <c r="K8" i="4"/>
  <c r="L8" i="4"/>
  <c r="M8" i="4"/>
  <c r="N8" i="4"/>
  <c r="A9" i="4"/>
  <c r="B9" i="4"/>
  <c r="C9" i="4"/>
  <c r="P9" i="4" s="1"/>
  <c r="Q9" i="4" s="1"/>
  <c r="D9" i="4"/>
  <c r="E9" i="4"/>
  <c r="F9" i="4"/>
  <c r="G9" i="4"/>
  <c r="H9" i="4"/>
  <c r="I9" i="4"/>
  <c r="J9" i="4"/>
  <c r="K9" i="4"/>
  <c r="L9" i="4"/>
  <c r="M9" i="4"/>
  <c r="A10" i="4"/>
  <c r="C10" i="4"/>
  <c r="D10" i="4"/>
  <c r="E10" i="4"/>
  <c r="F10" i="4"/>
  <c r="G10" i="4"/>
  <c r="H10" i="4"/>
  <c r="I10" i="4"/>
  <c r="J10" i="4"/>
  <c r="K10" i="4"/>
  <c r="L10" i="4"/>
  <c r="A11" i="4"/>
  <c r="B11" i="4"/>
  <c r="C11" i="4"/>
  <c r="P11" i="4" s="1"/>
  <c r="Q11" i="4" s="1"/>
  <c r="D11" i="4"/>
  <c r="E11" i="4"/>
  <c r="F11" i="4"/>
  <c r="G11" i="4"/>
  <c r="H11" i="4"/>
  <c r="I11" i="4"/>
  <c r="J11" i="4"/>
  <c r="K11" i="4"/>
  <c r="A12" i="4"/>
  <c r="C12" i="4"/>
  <c r="D12" i="4"/>
  <c r="E12" i="4"/>
  <c r="F12" i="4"/>
  <c r="G12" i="4"/>
  <c r="H12" i="4"/>
  <c r="I12" i="4"/>
  <c r="J12" i="4"/>
  <c r="A13" i="4"/>
  <c r="B13" i="4"/>
  <c r="C13" i="4"/>
  <c r="P13" i="4" s="1"/>
  <c r="Q13" i="4" s="1"/>
  <c r="D13" i="4"/>
  <c r="E13" i="4"/>
  <c r="F13" i="4"/>
  <c r="G13" i="4"/>
  <c r="H13" i="4"/>
  <c r="I13" i="4"/>
  <c r="A14" i="4"/>
  <c r="B14" i="4"/>
  <c r="C14" i="4"/>
  <c r="D14" i="4"/>
  <c r="E14" i="4"/>
  <c r="F14" i="4"/>
  <c r="G14" i="4"/>
  <c r="H14" i="4"/>
  <c r="A15" i="4"/>
  <c r="B15" i="4"/>
  <c r="C15" i="4"/>
  <c r="P15" i="4" s="1"/>
  <c r="Q15" i="4" s="1"/>
  <c r="D15" i="4"/>
  <c r="E15" i="4"/>
  <c r="F15" i="4"/>
  <c r="G15" i="4"/>
  <c r="A16" i="4"/>
  <c r="C16" i="4"/>
  <c r="D16" i="4"/>
  <c r="E16" i="4"/>
  <c r="F16" i="4"/>
  <c r="A17" i="4"/>
  <c r="C17" i="4"/>
  <c r="P17" i="4" s="1"/>
  <c r="D17" i="4"/>
  <c r="E17" i="4"/>
  <c r="A18" i="4"/>
  <c r="C18" i="4"/>
  <c r="D18" i="4"/>
  <c r="P18" i="4"/>
  <c r="A19" i="4"/>
  <c r="B19" i="4"/>
  <c r="C19" i="4"/>
  <c r="P19" i="4" s="1"/>
  <c r="Q19" i="4" s="1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B4" i="3"/>
  <c r="D4" i="3" s="1"/>
  <c r="J4" i="3"/>
  <c r="R4" i="3"/>
  <c r="R24" i="3" s="1" a="1"/>
  <c r="R24" i="3" s="1"/>
  <c r="R31" i="3" s="1"/>
  <c r="B5" i="3"/>
  <c r="C5" i="3" s="1"/>
  <c r="H5" i="3"/>
  <c r="I5" i="3"/>
  <c r="J5" i="3"/>
  <c r="P5" i="3"/>
  <c r="Q5" i="3"/>
  <c r="B6" i="3"/>
  <c r="C6" i="3" s="1"/>
  <c r="H6" i="3"/>
  <c r="I6" i="3"/>
  <c r="J6" i="3"/>
  <c r="P6" i="3"/>
  <c r="B7" i="3"/>
  <c r="D7" i="3" s="1"/>
  <c r="J7" i="3"/>
  <c r="B8" i="3"/>
  <c r="B8" i="4" s="1"/>
  <c r="C8" i="3"/>
  <c r="D8" i="3"/>
  <c r="E8" i="3"/>
  <c r="F8" i="3"/>
  <c r="G8" i="3"/>
  <c r="J8" i="3"/>
  <c r="K8" i="3"/>
  <c r="L8" i="3"/>
  <c r="M8" i="3"/>
  <c r="N8" i="3"/>
  <c r="B9" i="3"/>
  <c r="I9" i="3" s="1"/>
  <c r="F9" i="3"/>
  <c r="G9" i="3"/>
  <c r="H9" i="3"/>
  <c r="J9" i="3"/>
  <c r="B10" i="3"/>
  <c r="E10" i="3" s="1"/>
  <c r="C10" i="3"/>
  <c r="K10" i="3"/>
  <c r="B11" i="3"/>
  <c r="D11" i="3" s="1"/>
  <c r="C11" i="3"/>
  <c r="G11" i="3"/>
  <c r="H11" i="3"/>
  <c r="I11" i="3"/>
  <c r="I28" i="3" s="1"/>
  <c r="J11" i="3"/>
  <c r="K11" i="3"/>
  <c r="B12" i="3"/>
  <c r="B12" i="4" s="1"/>
  <c r="C12" i="3"/>
  <c r="D12" i="3"/>
  <c r="E12" i="3"/>
  <c r="F12" i="3"/>
  <c r="G12" i="3"/>
  <c r="H12" i="3"/>
  <c r="I12" i="3"/>
  <c r="J12" i="3"/>
  <c r="B13" i="3"/>
  <c r="C13" i="3"/>
  <c r="D13" i="3"/>
  <c r="E13" i="3"/>
  <c r="F13" i="3"/>
  <c r="G13" i="3"/>
  <c r="H13" i="3"/>
  <c r="I13" i="3"/>
  <c r="B14" i="3"/>
  <c r="C14" i="3"/>
  <c r="D14" i="3"/>
  <c r="E14" i="3"/>
  <c r="F14" i="3"/>
  <c r="G14" i="3"/>
  <c r="H14" i="3"/>
  <c r="B15" i="3"/>
  <c r="C15" i="3" s="1"/>
  <c r="D15" i="3"/>
  <c r="E15" i="3"/>
  <c r="F15" i="3"/>
  <c r="G15" i="3"/>
  <c r="G28" i="3" s="1"/>
  <c r="B16" i="3"/>
  <c r="B16" i="4" s="1"/>
  <c r="B17" i="3"/>
  <c r="E17" i="3" s="1"/>
  <c r="C17" i="3"/>
  <c r="B18" i="3"/>
  <c r="B18" i="4" s="1"/>
  <c r="B19" i="3"/>
  <c r="C19" i="3"/>
  <c r="H28" i="3"/>
  <c r="T19" i="8" l="1"/>
  <c r="R21" i="7"/>
  <c r="R19" i="8" s="1"/>
  <c r="R17" i="8"/>
  <c r="C28" i="3"/>
  <c r="L28" i="3"/>
  <c r="H16" i="4"/>
  <c r="Q18" i="4"/>
  <c r="D17" i="3"/>
  <c r="L10" i="3"/>
  <c r="D10" i="3"/>
  <c r="K7" i="3"/>
  <c r="C7" i="3"/>
  <c r="K4" i="3"/>
  <c r="K24" i="3" s="1" a="1"/>
  <c r="K24" i="3" s="1"/>
  <c r="K31" i="3" s="1"/>
  <c r="K40" i="3" s="1"/>
  <c r="C4" i="3"/>
  <c r="C24" i="3" s="1" a="1"/>
  <c r="C24" i="3" s="1"/>
  <c r="C31" i="3" s="1"/>
  <c r="C34" i="3" s="1"/>
  <c r="P16" i="4"/>
  <c r="Q16" i="4" s="1"/>
  <c r="P14" i="4"/>
  <c r="Q14" i="4" s="1"/>
  <c r="P12" i="4"/>
  <c r="Q12" i="4" s="1"/>
  <c r="P10" i="4"/>
  <c r="Q10" i="4" s="1"/>
  <c r="P8" i="4"/>
  <c r="Q8" i="4" s="1"/>
  <c r="P6" i="4"/>
  <c r="P4" i="4"/>
  <c r="F16" i="3"/>
  <c r="F28" i="3" s="1"/>
  <c r="F11" i="3"/>
  <c r="F26" i="3" s="1" a="1"/>
  <c r="F26" i="3" s="1"/>
  <c r="I10" i="3"/>
  <c r="I26" i="3" s="1" a="1"/>
  <c r="I26" i="3" s="1"/>
  <c r="M9" i="3"/>
  <c r="E9" i="3"/>
  <c r="H7" i="3"/>
  <c r="O6" i="3"/>
  <c r="G6" i="3"/>
  <c r="O5" i="3"/>
  <c r="O28" i="3" s="1"/>
  <c r="G5" i="3"/>
  <c r="P4" i="3"/>
  <c r="H4" i="3"/>
  <c r="I4" i="3"/>
  <c r="D18" i="3"/>
  <c r="E16" i="3"/>
  <c r="E28" i="3" s="1"/>
  <c r="E11" i="3"/>
  <c r="H10" i="3"/>
  <c r="L9" i="3"/>
  <c r="D9" i="3"/>
  <c r="I8" i="3"/>
  <c r="O7" i="3"/>
  <c r="G7" i="3"/>
  <c r="N6" i="3"/>
  <c r="N28" i="3" s="1"/>
  <c r="F6" i="3"/>
  <c r="N5" i="3"/>
  <c r="F5" i="3"/>
  <c r="O4" i="3"/>
  <c r="G4" i="3"/>
  <c r="H15" i="4"/>
  <c r="J10" i="3"/>
  <c r="J28" i="3" s="1"/>
  <c r="I7" i="3"/>
  <c r="Q4" i="3"/>
  <c r="Q24" i="3" s="1" a="1"/>
  <c r="Q24" i="3" s="1"/>
  <c r="Q31" i="3" s="1"/>
  <c r="C18" i="3"/>
  <c r="D16" i="3"/>
  <c r="D28" i="3" s="1"/>
  <c r="G10" i="3"/>
  <c r="G26" i="3" s="1" a="1"/>
  <c r="G26" i="3" s="1"/>
  <c r="K9" i="3"/>
  <c r="K28" i="3" s="1"/>
  <c r="C9" i="3"/>
  <c r="H8" i="3"/>
  <c r="N7" i="3"/>
  <c r="F7" i="3"/>
  <c r="M6" i="3"/>
  <c r="E6" i="3"/>
  <c r="M5" i="3"/>
  <c r="E5" i="3"/>
  <c r="N4" i="3"/>
  <c r="F4" i="3"/>
  <c r="B7" i="4"/>
  <c r="C16" i="3"/>
  <c r="C26" i="3" s="1" a="1"/>
  <c r="C26" i="3" s="1"/>
  <c r="F10" i="3"/>
  <c r="M7" i="3"/>
  <c r="M28" i="3" s="1"/>
  <c r="E7" i="3"/>
  <c r="L6" i="3"/>
  <c r="D6" i="3"/>
  <c r="L5" i="3"/>
  <c r="D5" i="3"/>
  <c r="M4" i="3"/>
  <c r="E4" i="3"/>
  <c r="B10" i="4"/>
  <c r="B6" i="4"/>
  <c r="B4" i="4"/>
  <c r="B17" i="4"/>
  <c r="H26" i="3" a="1"/>
  <c r="H26" i="3" s="1"/>
  <c r="D26" i="3" a="1"/>
  <c r="D26" i="3" s="1"/>
  <c r="H24" i="3" a="1"/>
  <c r="H24" i="3" s="1"/>
  <c r="H31" i="3" s="1"/>
  <c r="H34" i="3" s="1"/>
  <c r="H18" i="4" s="1"/>
  <c r="L7" i="3"/>
  <c r="K6" i="3"/>
  <c r="K26" i="3" s="1" a="1"/>
  <c r="K26" i="3" s="1"/>
  <c r="K5" i="3"/>
  <c r="L4" i="3"/>
  <c r="E26" i="3" l="1" a="1"/>
  <c r="E26" i="3" s="1"/>
  <c r="E24" i="3" a="1"/>
  <c r="E24" i="3" s="1"/>
  <c r="E31" i="3" s="1"/>
  <c r="E34" i="3" s="1"/>
  <c r="I24" i="3" a="1"/>
  <c r="I24" i="3" s="1"/>
  <c r="I31" i="3" s="1"/>
  <c r="I34" i="3" s="1"/>
  <c r="I17" i="4" s="1"/>
  <c r="H19" i="4"/>
  <c r="J24" i="3" a="1"/>
  <c r="J24" i="3" s="1"/>
  <c r="J31" i="3" s="1"/>
  <c r="M24" i="3" a="1"/>
  <c r="M24" i="3" s="1"/>
  <c r="M31" i="3" s="1"/>
  <c r="M40" i="3" s="1"/>
  <c r="M26" i="3" a="1"/>
  <c r="M26" i="3" s="1"/>
  <c r="G24" i="3" a="1"/>
  <c r="G24" i="3" s="1"/>
  <c r="G31" i="3" s="1"/>
  <c r="G34" i="3" s="1"/>
  <c r="J26" i="3" a="1"/>
  <c r="J26" i="3" s="1"/>
  <c r="F17" i="4"/>
  <c r="H17" i="4"/>
  <c r="F24" i="3" a="1"/>
  <c r="F24" i="3" s="1"/>
  <c r="F31" i="3" s="1"/>
  <c r="F34" i="3" s="1"/>
  <c r="O24" i="3" a="1"/>
  <c r="O24" i="3" s="1"/>
  <c r="O31" i="3" s="1"/>
  <c r="Q4" i="4"/>
  <c r="L24" i="3" a="1"/>
  <c r="L24" i="3" s="1"/>
  <c r="L31" i="3" s="1"/>
  <c r="L40" i="3" s="1"/>
  <c r="L26" i="3" a="1"/>
  <c r="L26" i="3" s="1"/>
  <c r="N24" i="3" a="1"/>
  <c r="N24" i="3" s="1"/>
  <c r="N31" i="3" s="1"/>
  <c r="Q6" i="4"/>
  <c r="Q7" i="4"/>
  <c r="Q17" i="4"/>
  <c r="P24" i="3" a="1"/>
  <c r="P24" i="3" s="1"/>
  <c r="P31" i="3" s="1"/>
  <c r="P28" i="3"/>
  <c r="D24" i="3" a="1"/>
  <c r="D24" i="3" s="1"/>
  <c r="D31" i="3" s="1"/>
  <c r="D34" i="3" s="1"/>
  <c r="D19" i="4" s="1"/>
  <c r="J34" i="3" l="1"/>
  <c r="J40" i="3"/>
  <c r="E19" i="4"/>
  <c r="E18" i="4"/>
  <c r="G16" i="4"/>
  <c r="G18" i="4"/>
  <c r="G19" i="4"/>
  <c r="F19" i="4"/>
  <c r="F18" i="4"/>
  <c r="I14" i="4"/>
  <c r="I19" i="4"/>
  <c r="I16" i="4"/>
  <c r="I18" i="4"/>
  <c r="I15" i="4"/>
  <c r="G17" i="4"/>
  <c r="N42" i="3" l="1" a="1"/>
  <c r="N42" i="3" s="1"/>
  <c r="N43" i="3" s="1"/>
  <c r="N34" i="3" s="1"/>
  <c r="L42" i="3" a="1"/>
  <c r="L42" i="3" s="1"/>
  <c r="L43" i="3" s="1"/>
  <c r="L34" i="3" s="1"/>
  <c r="J42" i="3" a="1"/>
  <c r="J42" i="3" s="1"/>
  <c r="J43" i="3" s="1"/>
  <c r="C42" i="3" a="1"/>
  <c r="C42" i="3" s="1"/>
  <c r="C47" i="3" s="1"/>
  <c r="M42" i="3" a="1"/>
  <c r="M42" i="3" s="1"/>
  <c r="M43" i="3" s="1"/>
  <c r="M34" i="3" s="1"/>
  <c r="K42" i="3" a="1"/>
  <c r="K42" i="3" s="1"/>
  <c r="K43" i="3" s="1"/>
  <c r="K34" i="3" s="1"/>
  <c r="C43" i="3" a="1"/>
  <c r="C43" i="3" s="1"/>
  <c r="C46" i="3" s="1"/>
  <c r="C48" i="3" s="1"/>
  <c r="O34" i="3" s="1"/>
  <c r="J14" i="4"/>
  <c r="J19" i="4"/>
  <c r="J16" i="4"/>
  <c r="J15" i="4"/>
  <c r="J18" i="4"/>
  <c r="J13" i="4"/>
  <c r="J17" i="4"/>
  <c r="N14" i="4" l="1"/>
  <c r="N13" i="4"/>
  <c r="N16" i="4"/>
  <c r="N11" i="4"/>
  <c r="N12" i="4"/>
  <c r="N18" i="4"/>
  <c r="N19" i="4"/>
  <c r="N9" i="4"/>
  <c r="S9" i="4" s="1"/>
  <c r="N15" i="4"/>
  <c r="N10" i="4"/>
  <c r="N17" i="4"/>
  <c r="O14" i="4"/>
  <c r="S14" i="4" s="1"/>
  <c r="O18" i="4"/>
  <c r="O9" i="4"/>
  <c r="O16" i="4"/>
  <c r="S16" i="4" s="1"/>
  <c r="O15" i="4"/>
  <c r="S15" i="4" s="1"/>
  <c r="O13" i="4"/>
  <c r="O8" i="4"/>
  <c r="S8" i="4" s="1"/>
  <c r="O19" i="4"/>
  <c r="S19" i="4" s="1"/>
  <c r="O12" i="4"/>
  <c r="O5" i="4"/>
  <c r="S5" i="4" s="1"/>
  <c r="O11" i="4"/>
  <c r="O17" i="4"/>
  <c r="O7" i="4"/>
  <c r="S7" i="4" s="1"/>
  <c r="O10" i="4"/>
  <c r="O6" i="4"/>
  <c r="S6" i="4" s="1"/>
  <c r="O4" i="4"/>
  <c r="S4" i="4" s="1"/>
  <c r="K19" i="4"/>
  <c r="K13" i="4"/>
  <c r="K15" i="4"/>
  <c r="K18" i="4"/>
  <c r="S18" i="4" s="1"/>
  <c r="K14" i="4"/>
  <c r="K16" i="4"/>
  <c r="K12" i="4"/>
  <c r="S12" i="4" s="1"/>
  <c r="K17" i="4"/>
  <c r="S17" i="4" s="1"/>
  <c r="L18" i="4"/>
  <c r="L11" i="4"/>
  <c r="L19" i="4"/>
  <c r="L15" i="4"/>
  <c r="L14" i="4"/>
  <c r="L16" i="4"/>
  <c r="L12" i="4"/>
  <c r="L13" i="4"/>
  <c r="L17" i="4"/>
  <c r="M13" i="4"/>
  <c r="S13" i="4" s="1"/>
  <c r="M15" i="4"/>
  <c r="M11" i="4"/>
  <c r="M18" i="4"/>
  <c r="M14" i="4"/>
  <c r="M16" i="4"/>
  <c r="M12" i="4"/>
  <c r="M19" i="4"/>
  <c r="M10" i="4"/>
  <c r="M17" i="4"/>
  <c r="R13" i="4" l="1"/>
  <c r="T13" i="4"/>
  <c r="R18" i="4"/>
  <c r="T18" i="4"/>
  <c r="R19" i="4"/>
  <c r="T19" i="4"/>
  <c r="R16" i="4"/>
  <c r="T16" i="4"/>
  <c r="R15" i="4"/>
  <c r="T15" i="4"/>
  <c r="R14" i="4"/>
  <c r="T14" i="4"/>
  <c r="R17" i="4"/>
  <c r="T17" i="4"/>
  <c r="R7" i="4"/>
  <c r="T7" i="4"/>
  <c r="R9" i="4"/>
  <c r="T9" i="4"/>
  <c r="R6" i="4"/>
  <c r="T6" i="4"/>
  <c r="S10" i="4"/>
  <c r="R8" i="4"/>
  <c r="T8" i="4"/>
  <c r="S11" i="4"/>
  <c r="R4" i="4"/>
  <c r="T4" i="4"/>
  <c r="R5" i="4"/>
  <c r="T5" i="4"/>
  <c r="R12" i="4"/>
  <c r="T12" i="4"/>
  <c r="R11" i="4" l="1"/>
  <c r="T11" i="4"/>
  <c r="R10" i="4"/>
  <c r="T10" i="4"/>
  <c r="R21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<sst xmlns="http://schemas.openxmlformats.org/spreadsheetml/2006/main" count="103" uniqueCount="56">
  <si>
    <t>sum from 16</t>
  </si>
  <si>
    <t>exp(slope)</t>
  </si>
  <si>
    <t>exp(interc)</t>
  </si>
  <si>
    <t>for 16 &amp; later:</t>
  </si>
  <si>
    <t>exp</t>
  </si>
  <si>
    <t>intercept</t>
  </si>
  <si>
    <t>log</t>
  </si>
  <si>
    <t>slope</t>
  </si>
  <si>
    <t>forecast:</t>
  </si>
  <si>
    <t>Negative exponential fit = loglinear fit:</t>
  </si>
  <si>
    <t>log:</t>
  </si>
  <si>
    <t>Smoothing of tail</t>
  </si>
  <si>
    <t>(smoothed)</t>
  </si>
  <si>
    <t xml:space="preserve">Model </t>
  </si>
  <si>
    <t>(unsmoothed)</t>
  </si>
  <si>
    <t>Last 3</t>
  </si>
  <si>
    <t>Last 6</t>
  </si>
  <si>
    <t>All</t>
  </si>
  <si>
    <t>Weighted averages:</t>
  </si>
  <si>
    <t>16 &amp; later</t>
  </si>
  <si>
    <t>Exposure</t>
  </si>
  <si>
    <t>of origin</t>
  </si>
  <si>
    <t>Number of claims notified, per 1,000 vehicle years of exposure, in development year</t>
  </si>
  <si>
    <t>Normaliser</t>
  </si>
  <si>
    <t>Period</t>
  </si>
  <si>
    <t>Ult Freq</t>
  </si>
  <si>
    <t>Total</t>
  </si>
  <si>
    <t>IBNR</t>
  </si>
  <si>
    <t>Not Freq</t>
  </si>
  <si>
    <t>to now</t>
  </si>
  <si>
    <t>12&amp; later</t>
  </si>
  <si>
    <t>origin</t>
  </si>
  <si>
    <t>Number</t>
  </si>
  <si>
    <t>Number of claims notified, actual and forecast (bold), in development year</t>
  </si>
  <si>
    <t>Period of</t>
  </si>
  <si>
    <t>True rectangle:</t>
  </si>
  <si>
    <t>A/E</t>
  </si>
  <si>
    <t>Ultimate</t>
  </si>
  <si>
    <t>Heatmap of A/E:</t>
  </si>
  <si>
    <t>(average)</t>
  </si>
  <si>
    <t>period will lead to a lot of instability for immature years</t>
  </si>
  <si>
    <t>the fact that there are so few in the first development</t>
  </si>
  <si>
    <t>\mu(j)</t>
  </si>
  <si>
    <t>Age to ultimate \pi</t>
  </si>
  <si>
    <t>11 &amp; later</t>
  </si>
  <si>
    <t>Implied proportions</t>
  </si>
  <si>
    <t>)</t>
  </si>
  <si>
    <t>(book eq.:</t>
  </si>
  <si>
    <r>
      <t xml:space="preserve">sum from </t>
    </r>
    <r>
      <rPr>
        <b/>
        <u/>
        <sz val="12"/>
        <color rgb="FF000000"/>
        <rFont val="Arial"/>
        <family val="2"/>
      </rPr>
      <t>10</t>
    </r>
  </si>
  <si>
    <t>for 11 &amp; later:</t>
  </si>
  <si>
    <t>log (y-1!):</t>
  </si>
  <si>
    <t>Note these were adjusted to exclude (13,0)</t>
  </si>
  <si>
    <t>Offset</t>
  </si>
  <si>
    <t>Indirect address</t>
  </si>
  <si>
    <t>Manual</t>
  </si>
  <si>
    <t>The overshoot here is due to the highly leveraged first observation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</si>
</sst>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%"/>
    <numFmt numFmtId="166" formatCode="0.00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i/>
      <sz val="12"/>
      <color rgb="FF000000"/>
      <name val="Arial"/>
      <family val="2"/>
    </font>
    <font>
      <sz val="12"/>
      <color rgb="FF000000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b/>
      <i/>
      <sz val="12"/>
      <color rgb="FF000000"/>
      <name val="Arial"/>
      <family val="2"/>
    </font>
    <font>
      <b/>
      <sz val="12"/>
      <color rgb="FF000000"/>
      <name val="Arial"/>
      <family val="2"/>
    </font>
    <font>
      <i/>
      <sz val="12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u/>
      <sz val="12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ABF8F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2">
    <xf numFmtId="0" fontId="0" fillId="0" borderId="0" xfId="0"/>
    <xf numFmtId="0" fontId="2" fillId="0" borderId="0" xfId="0" applyFont="1"/>
    <xf numFmtId="0" fontId="2" fillId="2" borderId="0" xfId="0" applyFont="1" applyFill="1"/>
    <xf numFmtId="0" fontId="3" fillId="0" borderId="0" xfId="0" applyFont="1"/>
    <xf numFmtId="0" fontId="2" fillId="3" borderId="0" xfId="0" applyFont="1" applyFill="1"/>
    <xf numFmtId="0" fontId="2" fillId="0" borderId="1" xfId="0" applyFont="1" applyBorder="1"/>
    <xf numFmtId="164" fontId="2" fillId="0" borderId="0" xfId="0" applyNumberFormat="1" applyFont="1"/>
    <xf numFmtId="2" fontId="2" fillId="2" borderId="0" xfId="0" applyNumberFormat="1" applyFont="1" applyFill="1"/>
    <xf numFmtId="2" fontId="2" fillId="3" borderId="0" xfId="0" applyNumberFormat="1" applyFont="1" applyFill="1"/>
    <xf numFmtId="164" fontId="2" fillId="4" borderId="0" xfId="0" applyNumberFormat="1" applyFont="1" applyFill="1"/>
    <xf numFmtId="164" fontId="2" fillId="5" borderId="0" xfId="0" applyNumberFormat="1" applyFont="1" applyFill="1"/>
    <xf numFmtId="164" fontId="2" fillId="6" borderId="0" xfId="0" applyNumberFormat="1" applyFont="1" applyFill="1"/>
    <xf numFmtId="3" fontId="4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65" fontId="10" fillId="0" borderId="0" xfId="1" applyNumberFormat="1" applyFont="1" applyBorder="1"/>
    <xf numFmtId="165" fontId="2" fillId="0" borderId="0" xfId="1" applyNumberFormat="1" applyFont="1" applyBorder="1"/>
    <xf numFmtId="164" fontId="3" fillId="0" borderId="0" xfId="0" applyNumberFormat="1" applyFont="1"/>
    <xf numFmtId="0" fontId="9" fillId="0" borderId="0" xfId="0" applyFont="1" applyAlignment="1">
      <alignment horizontal="left"/>
    </xf>
    <xf numFmtId="1" fontId="5" fillId="0" borderId="0" xfId="0" applyNumberFormat="1" applyFont="1"/>
    <xf numFmtId="164" fontId="3" fillId="0" borderId="2" xfId="0" applyNumberFormat="1" applyFont="1" applyBorder="1"/>
    <xf numFmtId="10" fontId="2" fillId="0" borderId="0" xfId="1" applyNumberFormat="1" applyFont="1" applyBorder="1"/>
    <xf numFmtId="164" fontId="2" fillId="0" borderId="3" xfId="0" applyNumberFormat="1" applyFont="1" applyBorder="1"/>
    <xf numFmtId="164" fontId="9" fillId="0" borderId="0" xfId="0" applyNumberFormat="1" applyFont="1"/>
    <xf numFmtId="164" fontId="5" fillId="0" borderId="0" xfId="0" applyNumberFormat="1" applyFont="1"/>
    <xf numFmtId="0" fontId="2" fillId="0" borderId="3" xfId="0" applyFont="1" applyBorder="1"/>
    <xf numFmtId="0" fontId="3" fillId="0" borderId="3" xfId="0" applyFont="1" applyBorder="1"/>
    <xf numFmtId="164" fontId="3" fillId="0" borderId="3" xfId="0" applyNumberFormat="1" applyFont="1" applyBorder="1"/>
    <xf numFmtId="0" fontId="11" fillId="0" borderId="0" xfId="0" applyFont="1"/>
    <xf numFmtId="0" fontId="11" fillId="7" borderId="0" xfId="0" applyFont="1" applyFill="1"/>
    <xf numFmtId="0" fontId="12" fillId="0" borderId="0" xfId="0" applyFont="1"/>
    <xf numFmtId="10" fontId="2" fillId="0" borderId="0" xfId="1" applyNumberFormat="1" applyFont="1"/>
    <xf numFmtId="10" fontId="2" fillId="7" borderId="0" xfId="1" applyNumberFormat="1" applyFont="1" applyFill="1"/>
    <xf numFmtId="2" fontId="2" fillId="0" borderId="0" xfId="0" applyNumberFormat="1" applyFont="1"/>
    <xf numFmtId="2" fontId="2" fillId="7" borderId="0" xfId="0" applyNumberFormat="1" applyFont="1" applyFill="1"/>
    <xf numFmtId="0" fontId="9" fillId="0" borderId="0" xfId="0" applyFont="1"/>
    <xf numFmtId="0" fontId="5" fillId="0" borderId="1" xfId="0" applyFont="1" applyBorder="1"/>
    <xf numFmtId="0" fontId="5" fillId="8" borderId="0" xfId="0" applyFont="1" applyFill="1"/>
    <xf numFmtId="0" fontId="5" fillId="9" borderId="0" xfId="0" applyFont="1" applyFill="1"/>
    <xf numFmtId="2" fontId="5" fillId="0" borderId="0" xfId="0" applyNumberFormat="1" applyFont="1"/>
    <xf numFmtId="166" fontId="5" fillId="0" borderId="0" xfId="0" applyNumberFormat="1" applyFont="1"/>
    <xf numFmtId="166" fontId="5" fillId="10" borderId="0" xfId="0" applyNumberFormat="1" applyFont="1" applyFill="1"/>
    <xf numFmtId="166" fontId="5" fillId="9" borderId="0" xfId="0" applyNumberFormat="1" applyFont="1" applyFill="1"/>
    <xf numFmtId="166" fontId="5" fillId="11" borderId="0" xfId="0" applyNumberFormat="1" applyFont="1" applyFill="1"/>
    <xf numFmtId="166" fontId="2" fillId="4" borderId="0" xfId="0" applyNumberFormat="1" applyFont="1" applyFill="1"/>
    <xf numFmtId="166" fontId="11" fillId="0" borderId="0" xfId="0" applyNumberFormat="1" applyFont="1"/>
    <xf numFmtId="166" fontId="2" fillId="0" borderId="0" xfId="0" applyNumberFormat="1" applyFont="1"/>
    <xf numFmtId="166" fontId="2" fillId="0" borderId="1" xfId="0" applyNumberFormat="1" applyFont="1" applyBorder="1"/>
    <xf numFmtId="166" fontId="2" fillId="7" borderId="0" xfId="0" applyNumberFormat="1" applyFont="1" applyFill="1"/>
    <xf numFmtId="166" fontId="11" fillId="5" borderId="0" xfId="0" applyNumberFormat="1" applyFont="1" applyFill="1"/>
    <xf numFmtId="166" fontId="2" fillId="5" borderId="0" xfId="0" applyNumberFormat="1" applyFont="1" applyFill="1"/>
    <xf numFmtId="166" fontId="11" fillId="6" borderId="0" xfId="0" applyNumberFormat="1" applyFont="1" applyFill="1"/>
    <xf numFmtId="166" fontId="2" fillId="6" borderId="0" xfId="0" applyNumberFormat="1" applyFont="1" applyFill="1"/>
    <xf numFmtId="0" fontId="11" fillId="4" borderId="0" xfId="0" applyFont="1" applyFill="1"/>
    <xf numFmtId="165" fontId="10" fillId="0" borderId="0" xfId="1" applyNumberFormat="1" applyFont="1" applyFill="1" applyBorder="1"/>
    <xf numFmtId="165" fontId="2" fillId="0" borderId="0" xfId="1" applyNumberFormat="1" applyFont="1" applyFill="1" applyBorder="1"/>
    <xf numFmtId="10" fontId="2" fillId="7" borderId="0" xfId="1" applyNumberFormat="1" applyFont="1" applyFill="1" applyBorder="1"/>
    <xf numFmtId="0" fontId="0" fillId="12" borderId="0" xfId="0" applyFill="1"/>
    <xf numFmtId="165" fontId="2" fillId="12" borderId="0" xfId="1" applyNumberFormat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All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Lit>
              <c:formatCode>General</c:formatCode>
              <c:ptCount val="16"/>
              <c:pt idx="0">
                <c:v>0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4</c:v>
              </c:pt>
              <c:pt idx="5">
                <c:v>5</c:v>
              </c:pt>
              <c:pt idx="6">
                <c:v>6</c:v>
              </c:pt>
              <c:pt idx="7">
                <c:v>7</c:v>
              </c:pt>
              <c:pt idx="8">
                <c:v>8</c:v>
              </c:pt>
              <c:pt idx="9">
                <c:v>9</c:v>
              </c:pt>
              <c:pt idx="10">
                <c:v>10</c:v>
              </c:pt>
              <c:pt idx="11">
                <c:v>11</c:v>
              </c:pt>
              <c:pt idx="12">
                <c:v>12</c:v>
              </c:pt>
              <c:pt idx="13">
                <c:v>13</c:v>
              </c:pt>
              <c:pt idx="14">
                <c:v>14</c:v>
              </c:pt>
              <c:pt idx="15">
                <c:v>15</c:v>
              </c:pt>
            </c:numLit>
          </c:xVal>
          <c:yVal>
            <c:numLit>
              <c:formatCode>General</c:formatCode>
              <c:ptCount val="16"/>
              <c:pt idx="0">
                <c:v>13.551124081279724</c:v>
              </c:pt>
              <c:pt idx="1">
                <c:v>45.27502513284503</c:v>
              </c:pt>
              <c:pt idx="2">
                <c:v>39.513188934162564</c:v>
              </c:pt>
              <c:pt idx="3">
                <c:v>23.666554709963876</c:v>
              </c:pt>
              <c:pt idx="4">
                <c:v>13.80142737195634</c:v>
              </c:pt>
              <c:pt idx="5">
                <c:v>7.2128547421687665</c:v>
              </c:pt>
              <c:pt idx="6">
                <c:v>3.3843574378240753</c:v>
              </c:pt>
              <c:pt idx="7">
                <c:v>1.2995526318815915</c:v>
              </c:pt>
              <c:pt idx="8">
                <c:v>0.5975842339478703</c:v>
              </c:pt>
              <c:pt idx="9">
                <c:v>0.28566531451751132</c:v>
              </c:pt>
              <c:pt idx="10">
                <c:v>0.11360685536224358</c:v>
              </c:pt>
              <c:pt idx="11">
                <c:v>3.9029721132642504E-2</c:v>
              </c:pt>
              <c:pt idx="12">
                <c:v>2.4132438824267577E-2</c:v>
              </c:pt>
              <c:pt idx="13">
                <c:v>3.2168821977739175E-2</c:v>
              </c:pt>
              <c:pt idx="14">
                <c:v>0</c:v>
              </c:pt>
              <c:pt idx="15">
                <c:v>0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F07E-483A-BF92-5F89B823D68B}"/>
            </c:ext>
          </c:extLst>
        </c:ser>
        <c:ser>
          <c:idx val="2"/>
          <c:order val="1"/>
          <c:tx>
            <c:v>Last 6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Lit>
              <c:formatCode>General</c:formatCode>
              <c:ptCount val="16"/>
              <c:pt idx="0">
                <c:v>0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4</c:v>
              </c:pt>
              <c:pt idx="5">
                <c:v>5</c:v>
              </c:pt>
              <c:pt idx="6">
                <c:v>6</c:v>
              </c:pt>
              <c:pt idx="7">
                <c:v>7</c:v>
              </c:pt>
              <c:pt idx="8">
                <c:v>8</c:v>
              </c:pt>
              <c:pt idx="9">
                <c:v>9</c:v>
              </c:pt>
              <c:pt idx="10">
                <c:v>10</c:v>
              </c:pt>
              <c:pt idx="11">
                <c:v>11</c:v>
              </c:pt>
              <c:pt idx="12">
                <c:v>12</c:v>
              </c:pt>
              <c:pt idx="13">
                <c:v>13</c:v>
              </c:pt>
              <c:pt idx="14">
                <c:v>14</c:v>
              </c:pt>
              <c:pt idx="15">
                <c:v>15</c:v>
              </c:pt>
            </c:numLit>
          </c:xVal>
          <c:yVal>
            <c:numLit>
              <c:formatCode>General</c:formatCode>
              <c:ptCount val="16"/>
              <c:pt idx="0">
                <c:v>15.755383089222152</c:v>
              </c:pt>
              <c:pt idx="1">
                <c:v>43.015275202171793</c:v>
              </c:pt>
              <c:pt idx="2">
                <c:v>39.546172516084297</c:v>
              </c:pt>
              <c:pt idx="3">
                <c:v>21.648514185827615</c:v>
              </c:pt>
              <c:pt idx="4">
                <c:v>13.657056145675265</c:v>
              </c:pt>
              <c:pt idx="5">
                <c:v>8.6687759468900296</c:v>
              </c:pt>
              <c:pt idx="6">
                <c:v>3.5699400177590928</c:v>
              </c:pt>
              <c:pt idx="7">
                <c:v>1.1097785812733814</c:v>
              </c:pt>
              <c:pt idx="8">
                <c:v>0.53791428075655034</c:v>
              </c:pt>
              <c:pt idx="9">
                <c:v>0.32117380574055915</c:v>
              </c:pt>
              <c:pt idx="10">
                <c:v>0.11360685536224358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F07E-483A-BF92-5F89B823D68B}"/>
            </c:ext>
          </c:extLst>
        </c:ser>
        <c:ser>
          <c:idx val="4"/>
          <c:order val="2"/>
          <c:tx>
            <c:v>Last 3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Lit>
              <c:formatCode>General</c:formatCode>
              <c:ptCount val="16"/>
              <c:pt idx="0">
                <c:v>0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4</c:v>
              </c:pt>
              <c:pt idx="5">
                <c:v>5</c:v>
              </c:pt>
              <c:pt idx="6">
                <c:v>6</c:v>
              </c:pt>
              <c:pt idx="7">
                <c:v>7</c:v>
              </c:pt>
              <c:pt idx="8">
                <c:v>8</c:v>
              </c:pt>
              <c:pt idx="9">
                <c:v>9</c:v>
              </c:pt>
              <c:pt idx="10">
                <c:v>10</c:v>
              </c:pt>
              <c:pt idx="11">
                <c:v>11</c:v>
              </c:pt>
              <c:pt idx="12">
                <c:v>12</c:v>
              </c:pt>
              <c:pt idx="13">
                <c:v>13</c:v>
              </c:pt>
              <c:pt idx="14">
                <c:v>14</c:v>
              </c:pt>
              <c:pt idx="15">
                <c:v>15</c:v>
              </c:pt>
            </c:numLit>
          </c:xVal>
          <c:yVal>
            <c:numLit>
              <c:formatCode>General</c:formatCode>
              <c:ptCount val="16"/>
              <c:pt idx="0">
                <c:v>15.176611070451834</c:v>
              </c:pt>
              <c:pt idx="1">
                <c:v>34.504894880436524</c:v>
              </c:pt>
              <c:pt idx="2">
                <c:v>40.459378297216134</c:v>
              </c:pt>
              <c:pt idx="3">
                <c:v>19.764243614931239</c:v>
              </c:pt>
              <c:pt idx="4">
                <c:v>16.323996640251252</c:v>
              </c:pt>
              <c:pt idx="5">
                <c:v>8.3968905837489007</c:v>
              </c:pt>
              <c:pt idx="6">
                <c:v>3.3447329850802361</c:v>
              </c:pt>
              <c:pt idx="7">
                <c:v>1.2629750957098316</c:v>
              </c:pt>
              <c:pt idx="8">
                <c:v>0.54730543291859746</c:v>
              </c:pt>
              <c:pt idx="9">
                <c:v>0.20998110170084691</c:v>
              </c:pt>
              <c:pt idx="10">
                <c:v>6.5509335080248934E-2</c:v>
              </c:pt>
              <c:pt idx="11">
                <c:v>0</c:v>
              </c:pt>
              <c:pt idx="12">
                <c:v>0</c:v>
              </c:pt>
              <c:pt idx="13">
                <c:v>3.2168821977739175E-2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F07E-483A-BF92-5F89B823D6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3671568"/>
        <c:axId val="1863590192"/>
      </c:scatterChart>
      <c:valAx>
        <c:axId val="1863671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590192"/>
        <c:crosses val="autoZero"/>
        <c:crossBetween val="midCat"/>
      </c:valAx>
      <c:valAx>
        <c:axId val="1863590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6715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Exposure!$A$24</c:f>
              <c:strCache>
                <c:ptCount val="1"/>
                <c:pt idx="0">
                  <c:v>All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Exposure!$C$2:$R$2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Exposure!$C$24:$R$24</c:f>
              <c:numCache>
                <c:formatCode>0.0</c:formatCode>
                <c:ptCount val="16"/>
                <c:pt idx="0">
                  <c:v>1.4522757469950252</c:v>
                </c:pt>
                <c:pt idx="1">
                  <c:v>17.648602545597694</c:v>
                </c:pt>
                <c:pt idx="2">
                  <c:v>26.608544027898866</c:v>
                </c:pt>
                <c:pt idx="3">
                  <c:v>21.192003300701401</c:v>
                </c:pt>
                <c:pt idx="4">
                  <c:v>14.161087441671734</c:v>
                </c:pt>
                <c:pt idx="5">
                  <c:v>7.7372004598107704</c:v>
                </c:pt>
                <c:pt idx="6">
                  <c:v>3.7484178755719992</c:v>
                </c:pt>
                <c:pt idx="7">
                  <c:v>2.1943909227146219</c:v>
                </c:pt>
                <c:pt idx="8">
                  <c:v>1.1482443947543362</c:v>
                </c:pt>
                <c:pt idx="9">
                  <c:v>0.34272397011446976</c:v>
                </c:pt>
                <c:pt idx="10">
                  <c:v>0.1597954618088846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25F-40A3-BCE2-70D203F3BD38}"/>
            </c:ext>
          </c:extLst>
        </c:ser>
        <c:ser>
          <c:idx val="2"/>
          <c:order val="1"/>
          <c:tx>
            <c:strRef>
              <c:f>Exposure!$A$26</c:f>
              <c:strCache>
                <c:ptCount val="1"/>
                <c:pt idx="0">
                  <c:v>Last 6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Exposure!$C$2:$R$2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Exposure!$C$26:$R$26</c:f>
              <c:numCache>
                <c:formatCode>0.0</c:formatCode>
                <c:ptCount val="16"/>
                <c:pt idx="0">
                  <c:v>1.6073090263091108</c:v>
                </c:pt>
                <c:pt idx="1">
                  <c:v>17.627118644067796</c:v>
                </c:pt>
                <c:pt idx="2">
                  <c:v>26.632585751978898</c:v>
                </c:pt>
                <c:pt idx="3">
                  <c:v>21.123260437375748</c:v>
                </c:pt>
                <c:pt idx="4">
                  <c:v>13.191524445543738</c:v>
                </c:pt>
                <c:pt idx="5">
                  <c:v>7.5943165115139646</c:v>
                </c:pt>
                <c:pt idx="6">
                  <c:v>3.6056707367040897</c:v>
                </c:pt>
                <c:pt idx="7">
                  <c:v>2.564924655338249</c:v>
                </c:pt>
                <c:pt idx="8">
                  <c:v>1.2160518848804214</c:v>
                </c:pt>
                <c:pt idx="9">
                  <c:v>0.40189695362109157</c:v>
                </c:pt>
                <c:pt idx="10">
                  <c:v>0.1597954618088846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25F-40A3-BCE2-70D203F3BD38}"/>
            </c:ext>
          </c:extLst>
        </c:ser>
        <c:ser>
          <c:idx val="4"/>
          <c:order val="2"/>
          <c:tx>
            <c:strRef>
              <c:f>Exposure!$A$28</c:f>
              <c:strCache>
                <c:ptCount val="1"/>
                <c:pt idx="0">
                  <c:v>Last 3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Exposure!$C$2:$R$2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Exposure!$C$28:$R$28</c:f>
              <c:numCache>
                <c:formatCode>0.0</c:formatCode>
                <c:ptCount val="16"/>
                <c:pt idx="0">
                  <c:v>1.0522623640827777</c:v>
                </c:pt>
                <c:pt idx="1">
                  <c:v>17.126220243192328</c:v>
                </c:pt>
                <c:pt idx="2">
                  <c:v>27.241208519068845</c:v>
                </c:pt>
                <c:pt idx="3">
                  <c:v>19.774472953096911</c:v>
                </c:pt>
                <c:pt idx="4">
                  <c:v>13.923838282167422</c:v>
                </c:pt>
                <c:pt idx="5">
                  <c:v>7.0828529072640425</c:v>
                </c:pt>
                <c:pt idx="6">
                  <c:v>3.0236855367041828</c:v>
                </c:pt>
                <c:pt idx="7">
                  <c:v>2.9182879377431905</c:v>
                </c:pt>
                <c:pt idx="8">
                  <c:v>1.4574898785425101</c:v>
                </c:pt>
                <c:pt idx="9">
                  <c:v>0.48</c:v>
                </c:pt>
                <c:pt idx="10">
                  <c:v>0.15852885225110969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25F-40A3-BCE2-70D203F3BD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3671568"/>
        <c:axId val="1863590192"/>
      </c:scatterChart>
      <c:valAx>
        <c:axId val="1863671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590192"/>
        <c:crosses val="autoZero"/>
        <c:crossBetween val="midCat"/>
      </c:valAx>
      <c:valAx>
        <c:axId val="1863590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6715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Claim</a:t>
            </a:r>
            <a:r>
              <a:rPr lang="en-GB" baseline="0"/>
              <a:t> frequency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IBNR!$Q$2</c:f>
              <c:strCache>
                <c:ptCount val="1"/>
                <c:pt idx="0">
                  <c:v>Not Freq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IBNR!$A$3:$A$19</c:f>
              <c:numCache>
                <c:formatCode>General</c:formatCode>
                <c:ptCount val="17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</c:numCache>
            </c:numRef>
          </c:xVal>
          <c:yVal>
            <c:numRef>
              <c:f>IBNR!$Q$3:$Q$19</c:f>
              <c:numCache>
                <c:formatCode>0.00%</c:formatCode>
                <c:ptCount val="17"/>
                <c:pt idx="1">
                  <c:v>9.2644320297951582E-2</c:v>
                </c:pt>
                <c:pt idx="2">
                  <c:v>0.10174418604651163</c:v>
                </c:pt>
                <c:pt idx="3">
                  <c:v>9.1182364729458912E-2</c:v>
                </c:pt>
                <c:pt idx="4">
                  <c:v>0.11027686532144533</c:v>
                </c:pt>
                <c:pt idx="5">
                  <c:v>0.10132808657156911</c:v>
                </c:pt>
                <c:pt idx="6">
                  <c:v>9.1417910447761194E-2</c:v>
                </c:pt>
                <c:pt idx="7">
                  <c:v>9.5031355523396047E-2</c:v>
                </c:pt>
                <c:pt idx="8">
                  <c:v>9.6527068437180799E-2</c:v>
                </c:pt>
                <c:pt idx="9">
                  <c:v>8.2826392138511937E-2</c:v>
                </c:pt>
                <c:pt idx="10">
                  <c:v>0.10118406889128095</c:v>
                </c:pt>
                <c:pt idx="11">
                  <c:v>8.7668593448940263E-2</c:v>
                </c:pt>
                <c:pt idx="12">
                  <c:v>7.9427725703009378E-2</c:v>
                </c:pt>
                <c:pt idx="13">
                  <c:v>6.8948412698412703E-2</c:v>
                </c:pt>
                <c:pt idx="14">
                  <c:v>4.0714995034756701E-2</c:v>
                </c:pt>
                <c:pt idx="15">
                  <c:v>1.824212271973466E-2</c:v>
                </c:pt>
                <c:pt idx="16">
                  <c:v>2.6609898882384245E-3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77B-4DE5-97C2-7AB637300720}"/>
            </c:ext>
          </c:extLst>
        </c:ser>
        <c:ser>
          <c:idx val="1"/>
          <c:order val="1"/>
          <c:tx>
            <c:strRef>
              <c:f>IBNR!$T$2</c:f>
              <c:strCache>
                <c:ptCount val="1"/>
                <c:pt idx="0">
                  <c:v>Ult Freq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IBNR!$A$3:$A$19</c:f>
              <c:numCache>
                <c:formatCode>General</c:formatCode>
                <c:ptCount val="17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</c:numCache>
            </c:numRef>
          </c:xVal>
          <c:yVal>
            <c:numRef>
              <c:f>IBNR!$T$3:$T$19</c:f>
              <c:numCache>
                <c:formatCode>0.00%</c:formatCode>
                <c:ptCount val="17"/>
                <c:pt idx="1">
                  <c:v>9.2687091725423415E-2</c:v>
                </c:pt>
                <c:pt idx="2">
                  <c:v>0.10178695747398346</c:v>
                </c:pt>
                <c:pt idx="3">
                  <c:v>9.1225136156930745E-2</c:v>
                </c:pt>
                <c:pt idx="4">
                  <c:v>0.11031963674891716</c:v>
                </c:pt>
                <c:pt idx="5">
                  <c:v>0.10137085799904094</c:v>
                </c:pt>
                <c:pt idx="6">
                  <c:v>9.1523832795277052E-2</c:v>
                </c:pt>
                <c:pt idx="7">
                  <c:v>9.5293669511178208E-2</c:v>
                </c:pt>
                <c:pt idx="8">
                  <c:v>9.7176682326977556E-2</c:v>
                </c:pt>
                <c:pt idx="9">
                  <c:v>8.4435144341872617E-2</c:v>
                </c:pt>
                <c:pt idx="10">
                  <c:v>0.10498721201735624</c:v>
                </c:pt>
                <c:pt idx="11">
                  <c:v>9.5220154450587555E-2</c:v>
                </c:pt>
                <c:pt idx="12">
                  <c:v>9.4716487164467442E-2</c:v>
                </c:pt>
                <c:pt idx="13">
                  <c:v>9.8398261601542525E-2</c:v>
                </c:pt>
                <c:pt idx="14">
                  <c:v>9.1356847238587904E-2</c:v>
                </c:pt>
                <c:pt idx="15">
                  <c:v>9.5492518951464725E-2</c:v>
                </c:pt>
                <c:pt idx="16">
                  <c:v>9.75599886655662E-2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77B-4DE5-97C2-7AB6373007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9690224"/>
        <c:axId val="1860952384"/>
      </c:scatterChart>
      <c:valAx>
        <c:axId val="1859690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0952384"/>
        <c:crosses val="autoZero"/>
        <c:crossBetween val="midCat"/>
      </c:valAx>
      <c:valAx>
        <c:axId val="186095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9690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CL!$A$24</c:f>
              <c:strCache>
                <c:ptCount val="1"/>
                <c:pt idx="0">
                  <c:v>All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CL!$C$2:$R$2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CL!$C$24:$Q$24</c:f>
              <c:numCache>
                <c:formatCode>0.000</c:formatCode>
                <c:ptCount val="15"/>
                <c:pt idx="0">
                  <c:v>12.976190476190476</c:v>
                </c:pt>
                <c:pt idx="1">
                  <c:v>2.3948811700182815</c:v>
                </c:pt>
                <c:pt idx="2">
                  <c:v>1.4600977198697069</c:v>
                </c:pt>
                <c:pt idx="3">
                  <c:v>1.2110036275695284</c:v>
                </c:pt>
                <c:pt idx="4">
                  <c:v>1.0950054288816504</c:v>
                </c:pt>
                <c:pt idx="5">
                  <c:v>1.0419618528610355</c:v>
                </c:pt>
                <c:pt idx="6">
                  <c:v>1.0237819025522041</c:v>
                </c:pt>
                <c:pt idx="7">
                  <c:v>1.0119647355163728</c:v>
                </c:pt>
                <c:pt idx="8">
                  <c:v>1.0035260930888577</c:v>
                </c:pt>
                <c:pt idx="9">
                  <c:v>1.0016313213703099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AFA-4F7F-BB39-01421C307FC5}"/>
            </c:ext>
          </c:extLst>
        </c:ser>
        <c:ser>
          <c:idx val="1"/>
          <c:order val="1"/>
          <c:tx>
            <c:strRef>
              <c:f>CL!$A$30</c:f>
              <c:strCache>
                <c:ptCount val="1"/>
                <c:pt idx="0">
                  <c:v>Last 6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CL!$C$2:$R$2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CL!$C$30:$L$30</c:f>
              <c:numCache>
                <c:formatCode>0.000</c:formatCode>
                <c:ptCount val="10"/>
                <c:pt idx="0">
                  <c:v>13.470588235294118</c:v>
                </c:pt>
                <c:pt idx="1">
                  <c:v>2.3982683982683981</c:v>
                </c:pt>
                <c:pt idx="2">
                  <c:v>1.4619565217391304</c:v>
                </c:pt>
                <c:pt idx="3">
                  <c:v>1.1997503121098627</c:v>
                </c:pt>
                <c:pt idx="4">
                  <c:v>1.0964730290456433</c:v>
                </c:pt>
                <c:pt idx="5">
                  <c:v>1.041044776119403</c:v>
                </c:pt>
                <c:pt idx="6">
                  <c:v>1.0278019113814074</c:v>
                </c:pt>
                <c:pt idx="7">
                  <c:v>1.0126475548060707</c:v>
                </c:pt>
                <c:pt idx="8">
                  <c:v>1.0041017227235438</c:v>
                </c:pt>
                <c:pt idx="9">
                  <c:v>1.0016313213703099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AFA-4F7F-BB39-01421C307FC5}"/>
            </c:ext>
          </c:extLst>
        </c:ser>
        <c:ser>
          <c:idx val="2"/>
          <c:order val="2"/>
          <c:tx>
            <c:strRef>
              <c:f>CL!$A$36</c:f>
              <c:strCache>
                <c:ptCount val="1"/>
                <c:pt idx="0">
                  <c:v>Last 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CL!$C$2:$R$2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CL!$C$36:$O$36</c:f>
              <c:numCache>
                <c:formatCode>0.000</c:formatCode>
                <c:ptCount val="13"/>
                <c:pt idx="0">
                  <c:v>8.9090909090909083</c:v>
                </c:pt>
                <c:pt idx="1">
                  <c:v>2.65</c:v>
                </c:pt>
                <c:pt idx="2">
                  <c:v>1.4230769230769231</c:v>
                </c:pt>
                <c:pt idx="3">
                  <c:v>1.2019464720194648</c:v>
                </c:pt>
                <c:pt idx="4">
                  <c:v>1.0882956878850103</c:v>
                </c:pt>
                <c:pt idx="5">
                  <c:v>1.0342857142857143</c:v>
                </c:pt>
                <c:pt idx="6">
                  <c:v>1.033395176252319</c:v>
                </c:pt>
                <c:pt idx="7">
                  <c:v>1.0157894736842106</c:v>
                </c:pt>
                <c:pt idx="8">
                  <c:v>1.0050335570469799</c:v>
                </c:pt>
                <c:pt idx="9">
                  <c:v>1.0015723270440251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AFA-4F7F-BB39-01421C307F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7025200"/>
        <c:axId val="927049680"/>
      </c:scatterChart>
      <c:valAx>
        <c:axId val="927025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7049680"/>
        <c:crosses val="autoZero"/>
        <c:crossBetween val="midCat"/>
      </c:valAx>
      <c:valAx>
        <c:axId val="927049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70252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Claim</a:t>
            </a:r>
            <a:r>
              <a:rPr lang="en-GB" baseline="0"/>
              <a:t> frequency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'CL IBNR'!$Q$2</c:f>
              <c:strCache>
                <c:ptCount val="1"/>
                <c:pt idx="0">
                  <c:v>Not Freq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'CL IBNR'!$A$3:$A$19</c:f>
              <c:numCache>
                <c:formatCode>General</c:formatCode>
                <c:ptCount val="17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</c:numCache>
            </c:numRef>
          </c:xVal>
          <c:yVal>
            <c:numRef>
              <c:f>'CL IBNR'!$Q$3:$Q$19</c:f>
              <c:numCache>
                <c:formatCode>0.00%</c:formatCode>
                <c:ptCount val="17"/>
                <c:pt idx="1">
                  <c:v>9.2773186432174207E-2</c:v>
                </c:pt>
                <c:pt idx="2">
                  <c:v>0.1018857098862168</c:v>
                </c:pt>
                <c:pt idx="3">
                  <c:v>9.1309197316866028E-2</c:v>
                </c:pt>
                <c:pt idx="4">
                  <c:v>0.11043025792319858</c:v>
                </c:pt>
                <c:pt idx="5">
                  <c:v>0.10146903162640528</c:v>
                </c:pt>
                <c:pt idx="6">
                  <c:v>9.1417910447761194E-2</c:v>
                </c:pt>
                <c:pt idx="7">
                  <c:v>9.5031355523396047E-2</c:v>
                </c:pt>
                <c:pt idx="8">
                  <c:v>9.6527068437180799E-2</c:v>
                </c:pt>
                <c:pt idx="9">
                  <c:v>8.2826392138511937E-2</c:v>
                </c:pt>
                <c:pt idx="10">
                  <c:v>0.10118406889128095</c:v>
                </c:pt>
                <c:pt idx="11">
                  <c:v>8.7668593448940263E-2</c:v>
                </c:pt>
                <c:pt idx="12">
                  <c:v>7.9427725703009378E-2</c:v>
                </c:pt>
                <c:pt idx="13">
                  <c:v>6.8948412698412703E-2</c:v>
                </c:pt>
                <c:pt idx="14">
                  <c:v>4.0714995034756701E-2</c:v>
                </c:pt>
                <c:pt idx="15">
                  <c:v>1.824212271973466E-2</c:v>
                </c:pt>
                <c:pt idx="16">
                  <c:v>2.6609898882384245E-3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755-4FA3-9AE3-157FD86201A8}"/>
            </c:ext>
          </c:extLst>
        </c:ser>
        <c:ser>
          <c:idx val="1"/>
          <c:order val="1"/>
          <c:tx>
            <c:strRef>
              <c:f>'CL IBNR'!$T$2</c:f>
              <c:strCache>
                <c:ptCount val="1"/>
                <c:pt idx="0">
                  <c:v>Ult Freq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'CL IBNR'!$A$3:$A$19</c:f>
              <c:numCache>
                <c:formatCode>General</c:formatCode>
                <c:ptCount val="17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</c:numCache>
            </c:numRef>
          </c:xVal>
          <c:yVal>
            <c:numRef>
              <c:f>'CL IBNR'!$T$3:$T$19</c:f>
              <c:numCache>
                <c:formatCode>0.00%</c:formatCode>
                <c:ptCount val="17"/>
                <c:pt idx="1">
                  <c:v>9.2773186432174207E-2</c:v>
                </c:pt>
                <c:pt idx="2">
                  <c:v>0.1018857098862168</c:v>
                </c:pt>
                <c:pt idx="3">
                  <c:v>9.1309197316866028E-2</c:v>
                </c:pt>
                <c:pt idx="4">
                  <c:v>0.11043025792319858</c:v>
                </c:pt>
                <c:pt idx="5">
                  <c:v>0.10146903162640528</c:v>
                </c:pt>
                <c:pt idx="6">
                  <c:v>9.1545070673884343E-2</c:v>
                </c:pt>
                <c:pt idx="7">
                  <c:v>9.5333038757032917E-2</c:v>
                </c:pt>
                <c:pt idx="8">
                  <c:v>9.7226815977718276E-2</c:v>
                </c:pt>
                <c:pt idx="9">
                  <c:v>8.4199584336922553E-2</c:v>
                </c:pt>
                <c:pt idx="10">
                  <c:v>0.10503441610853555</c:v>
                </c:pt>
                <c:pt idx="11">
                  <c:v>9.5388482165810334E-2</c:v>
                </c:pt>
                <c:pt idx="12">
                  <c:v>9.4632496893869669E-2</c:v>
                </c:pt>
                <c:pt idx="13">
                  <c:v>9.9480483731164859E-2</c:v>
                </c:pt>
                <c:pt idx="14">
                  <c:v>8.5772866606746892E-2</c:v>
                </c:pt>
                <c:pt idx="15">
                  <c:v>9.2035395092272834E-2</c:v>
                </c:pt>
                <c:pt idx="16">
                  <c:v>0.17420874179038018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755-4FA3-9AE3-157FD86201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9690224"/>
        <c:axId val="1860952384"/>
      </c:scatterChart>
      <c:valAx>
        <c:axId val="1859690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0952384"/>
        <c:crosses val="autoZero"/>
        <c:crossBetween val="midCat"/>
      </c:valAx>
      <c:valAx>
        <c:axId val="186095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9690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177800</xdr:colOff>
      <xdr:row>11</xdr:row>
      <xdr:rowOff>133350</xdr:rowOff>
    </xdr:from>
    <xdr:to>
      <xdr:col>27</xdr:col>
      <xdr:colOff>292100</xdr:colOff>
      <xdr:row>37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863DF65-A268-4D79-A7F7-1B9E9F27B2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177800</xdr:colOff>
      <xdr:row>11</xdr:row>
      <xdr:rowOff>133350</xdr:rowOff>
    </xdr:from>
    <xdr:to>
      <xdr:col>27</xdr:col>
      <xdr:colOff>292100</xdr:colOff>
      <xdr:row>37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1A367A8-FF39-418F-8B0C-4865F7D78A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38100</xdr:colOff>
      <xdr:row>1</xdr:row>
      <xdr:rowOff>184150</xdr:rowOff>
    </xdr:from>
    <xdr:to>
      <xdr:col>26</xdr:col>
      <xdr:colOff>685800</xdr:colOff>
      <xdr:row>21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74213EB-D30F-41DF-BA2D-0F9C5EA017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128586</xdr:colOff>
      <xdr:row>8</xdr:row>
      <xdr:rowOff>147637</xdr:rowOff>
    </xdr:from>
    <xdr:to>
      <xdr:col>31</xdr:col>
      <xdr:colOff>57149</xdr:colOff>
      <xdr:row>32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35756A-6C63-48FA-B93C-4CD0B5D142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256181</xdr:colOff>
      <xdr:row>1</xdr:row>
      <xdr:rowOff>184150</xdr:rowOff>
    </xdr:from>
    <xdr:to>
      <xdr:col>27</xdr:col>
      <xdr:colOff>82871</xdr:colOff>
      <xdr:row>21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4CB9C4D-73E0-4A1B-878C-011028D7ED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99D15-2E31-44E9-9A0F-78B81D77582D}">
  <dimension ref="A1:Q16"/>
  <sheetViews>
    <sheetView topLeftCell="J1" workbookViewId="0">
      <selection activeCell="L11" sqref="L11"/>
    </sheetView>
  </sheetViews>
  <sheetFormatPr defaultRowHeight="15" x14ac:dyDescent="0.25"/>
  <sheetData>
    <row r="1" spans="1:17" x14ac:dyDescent="0.25">
      <c r="A1">
        <v>2148</v>
      </c>
      <c r="B1">
        <v>4</v>
      </c>
      <c r="C1">
        <v>46</v>
      </c>
      <c r="D1">
        <v>44</v>
      </c>
      <c r="E1">
        <v>40</v>
      </c>
      <c r="F1">
        <v>35</v>
      </c>
      <c r="G1">
        <v>17</v>
      </c>
      <c r="H1">
        <v>7</v>
      </c>
      <c r="I1">
        <v>3</v>
      </c>
      <c r="J1">
        <v>3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</row>
    <row r="2" spans="1:17" x14ac:dyDescent="0.25">
      <c r="A2">
        <v>2064</v>
      </c>
      <c r="B2">
        <v>3</v>
      </c>
      <c r="C2">
        <v>46</v>
      </c>
      <c r="D2">
        <v>61</v>
      </c>
      <c r="E2">
        <v>43</v>
      </c>
      <c r="F2">
        <v>28</v>
      </c>
      <c r="G2">
        <v>17</v>
      </c>
      <c r="H2">
        <v>5</v>
      </c>
      <c r="I2">
        <v>3</v>
      </c>
      <c r="J2">
        <v>1</v>
      </c>
      <c r="K2">
        <v>2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>
        <v>1996</v>
      </c>
      <c r="B3">
        <v>4</v>
      </c>
      <c r="C3">
        <v>33</v>
      </c>
      <c r="D3">
        <v>49</v>
      </c>
      <c r="E3">
        <v>46</v>
      </c>
      <c r="F3">
        <v>27</v>
      </c>
      <c r="G3">
        <v>11</v>
      </c>
      <c r="H3">
        <v>7</v>
      </c>
      <c r="I3">
        <v>3</v>
      </c>
      <c r="J3">
        <v>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A4">
        <v>2131</v>
      </c>
      <c r="B4">
        <v>4</v>
      </c>
      <c r="C4">
        <v>36</v>
      </c>
      <c r="D4">
        <v>73</v>
      </c>
      <c r="E4">
        <v>47</v>
      </c>
      <c r="F4">
        <v>31</v>
      </c>
      <c r="G4">
        <v>18</v>
      </c>
      <c r="H4">
        <v>14</v>
      </c>
      <c r="I4">
        <v>8</v>
      </c>
      <c r="J4">
        <v>3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5">
      <c r="A5">
        <v>2033</v>
      </c>
      <c r="B5">
        <v>4</v>
      </c>
      <c r="C5">
        <v>40</v>
      </c>
      <c r="D5">
        <v>49</v>
      </c>
      <c r="E5">
        <v>52</v>
      </c>
      <c r="F5">
        <v>33</v>
      </c>
      <c r="G5">
        <v>19</v>
      </c>
      <c r="H5">
        <v>7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5">
      <c r="A6">
        <v>2144</v>
      </c>
      <c r="B6">
        <v>2</v>
      </c>
      <c r="C6">
        <v>30</v>
      </c>
      <c r="D6">
        <v>58</v>
      </c>
      <c r="E6">
        <v>39</v>
      </c>
      <c r="F6">
        <v>35</v>
      </c>
      <c r="G6">
        <v>9</v>
      </c>
      <c r="H6">
        <v>12</v>
      </c>
      <c r="I6">
        <v>5</v>
      </c>
      <c r="J6">
        <v>5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>
        <v>2073</v>
      </c>
      <c r="B7">
        <v>1</v>
      </c>
      <c r="C7">
        <v>26</v>
      </c>
      <c r="D7">
        <v>63</v>
      </c>
      <c r="E7">
        <v>43</v>
      </c>
      <c r="F7">
        <v>30</v>
      </c>
      <c r="G7">
        <v>14</v>
      </c>
      <c r="H7">
        <v>7</v>
      </c>
      <c r="I7">
        <v>8</v>
      </c>
      <c r="J7">
        <v>3</v>
      </c>
      <c r="K7">
        <v>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5">
      <c r="A8">
        <v>1958</v>
      </c>
      <c r="B8">
        <v>3</v>
      </c>
      <c r="C8">
        <v>34</v>
      </c>
      <c r="D8">
        <v>43</v>
      </c>
      <c r="E8">
        <v>44</v>
      </c>
      <c r="F8">
        <v>26</v>
      </c>
      <c r="G8">
        <v>27</v>
      </c>
      <c r="H8">
        <v>6</v>
      </c>
      <c r="I8">
        <v>5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5">
      <c r="A9">
        <v>2137</v>
      </c>
      <c r="B9">
        <v>1</v>
      </c>
      <c r="C9">
        <v>39</v>
      </c>
      <c r="D9">
        <v>49</v>
      </c>
      <c r="E9">
        <v>44</v>
      </c>
      <c r="F9">
        <v>21</v>
      </c>
      <c r="G9">
        <v>16</v>
      </c>
      <c r="H9">
        <v>2</v>
      </c>
      <c r="I9">
        <v>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5">
      <c r="A10">
        <v>1858</v>
      </c>
      <c r="B10">
        <v>2</v>
      </c>
      <c r="C10">
        <v>44</v>
      </c>
      <c r="D10">
        <v>51</v>
      </c>
      <c r="E10">
        <v>46</v>
      </c>
      <c r="F10">
        <v>23</v>
      </c>
      <c r="G10">
        <v>12</v>
      </c>
      <c r="H10">
        <v>10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5">
      <c r="A11">
        <v>2076</v>
      </c>
      <c r="B11">
        <v>3</v>
      </c>
      <c r="C11">
        <v>42</v>
      </c>
      <c r="D11">
        <v>58</v>
      </c>
      <c r="E11">
        <v>38</v>
      </c>
      <c r="F11">
        <v>26</v>
      </c>
      <c r="G11">
        <v>15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>
        <v>2027</v>
      </c>
      <c r="B12">
        <v>6</v>
      </c>
      <c r="C12">
        <v>22</v>
      </c>
      <c r="D12">
        <v>61</v>
      </c>
      <c r="E12">
        <v>38</v>
      </c>
      <c r="F12">
        <v>34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>
        <v>2016</v>
      </c>
      <c r="B13">
        <v>4</v>
      </c>
      <c r="C13">
        <v>33</v>
      </c>
      <c r="D13">
        <v>57</v>
      </c>
      <c r="E13">
        <v>45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>
        <v>2014</v>
      </c>
      <c r="B14">
        <v>0</v>
      </c>
      <c r="C14">
        <v>35</v>
      </c>
      <c r="D14">
        <v>47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>
        <v>1809</v>
      </c>
      <c r="B15">
        <v>1</v>
      </c>
      <c r="C15">
        <v>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25">
      <c r="A16">
        <v>1879</v>
      </c>
      <c r="B16">
        <v>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D11BA-D32C-41C3-BB87-1A8ED247C67E}">
  <dimension ref="A1:S49"/>
  <sheetViews>
    <sheetView topLeftCell="A9" workbookViewId="0">
      <selection activeCell="Y10" sqref="Y10"/>
    </sheetView>
  </sheetViews>
  <sheetFormatPr defaultColWidth="11.42578125" defaultRowHeight="15" x14ac:dyDescent="0.25"/>
  <cols>
    <col min="2" max="2" width="14.5703125" customWidth="1"/>
    <col min="3" max="18" width="6.7109375" customWidth="1"/>
  </cols>
  <sheetData>
    <row r="1" spans="1:19" ht="15.75" x14ac:dyDescent="0.25">
      <c r="A1" s="17" t="s">
        <v>24</v>
      </c>
      <c r="B1" s="16" t="s">
        <v>23</v>
      </c>
      <c r="C1" s="3" t="s">
        <v>22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9" ht="15.75" x14ac:dyDescent="0.25">
      <c r="A2" s="17" t="s">
        <v>21</v>
      </c>
      <c r="B2" s="16" t="s">
        <v>20</v>
      </c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>
        <v>11</v>
      </c>
      <c r="O2" s="3">
        <v>12</v>
      </c>
      <c r="P2" s="3">
        <v>13</v>
      </c>
      <c r="Q2" s="3">
        <v>14</v>
      </c>
      <c r="R2" s="3">
        <v>15</v>
      </c>
      <c r="S2" s="3" t="s">
        <v>19</v>
      </c>
    </row>
    <row r="3" spans="1:19" ht="15.75" x14ac:dyDescent="0.25">
      <c r="A3" s="15"/>
      <c r="B3" s="14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9" ht="15.75" x14ac:dyDescent="0.25">
      <c r="A4" s="13">
        <v>0</v>
      </c>
      <c r="B4" s="12">
        <f>Data!A1</f>
        <v>2148</v>
      </c>
      <c r="C4" s="6">
        <f>Data!B1/$B4*1000</f>
        <v>1.8621973929236499</v>
      </c>
      <c r="D4" s="6">
        <f>Data!C1/$B4*1000</f>
        <v>21.415270018621975</v>
      </c>
      <c r="E4" s="6">
        <f>Data!D1/$B4*1000</f>
        <v>20.484171322160147</v>
      </c>
      <c r="F4" s="6">
        <f>Data!E1/$B4*1000</f>
        <v>18.6219739292365</v>
      </c>
      <c r="G4" s="6">
        <f>Data!F1/$B4*1000</f>
        <v>16.294227188081937</v>
      </c>
      <c r="H4" s="6">
        <f>Data!G1/$B4*1000</f>
        <v>7.9143389199255125</v>
      </c>
      <c r="I4" s="6">
        <f>Data!H1/$B4*1000</f>
        <v>3.2588454376163876</v>
      </c>
      <c r="J4" s="6">
        <f>Data!I1/$B4*1000</f>
        <v>1.3966480446927374</v>
      </c>
      <c r="K4" s="6">
        <f>Data!J1/$B4*1000</f>
        <v>1.3966480446927374</v>
      </c>
      <c r="L4" s="6">
        <f>Data!K1/$B4*1000</f>
        <v>0</v>
      </c>
      <c r="M4" s="6">
        <f>Data!L1/$B4*1000</f>
        <v>0</v>
      </c>
      <c r="N4" s="6">
        <f>Data!M1/$B4*1000</f>
        <v>0</v>
      </c>
      <c r="O4" s="6">
        <f>Data!N1/$B4*1000</f>
        <v>0</v>
      </c>
      <c r="P4" s="6">
        <f>Data!O1/$B4*1000</f>
        <v>0</v>
      </c>
      <c r="Q4" s="6">
        <f>Data!P1/$B4*1000</f>
        <v>0</v>
      </c>
      <c r="R4" s="6">
        <f>Data!Q1/$B4*1000</f>
        <v>0</v>
      </c>
    </row>
    <row r="5" spans="1:19" ht="15.75" x14ac:dyDescent="0.25">
      <c r="A5" s="13">
        <v>1</v>
      </c>
      <c r="B5" s="12">
        <f>Data!A2</f>
        <v>2064</v>
      </c>
      <c r="C5" s="6">
        <f>Data!B2/$B5*1000</f>
        <v>1.4534883720930232</v>
      </c>
      <c r="D5" s="6">
        <f>Data!C2/$B5*1000</f>
        <v>22.286821705426359</v>
      </c>
      <c r="E5" s="6">
        <f>Data!D2/$B5*1000</f>
        <v>29.554263565891475</v>
      </c>
      <c r="F5" s="6">
        <f>Data!E2/$B5*1000</f>
        <v>20.833333333333332</v>
      </c>
      <c r="G5" s="6">
        <f>Data!F2/$B5*1000</f>
        <v>13.565891472868216</v>
      </c>
      <c r="H5" s="6">
        <f>Data!G2/$B5*1000</f>
        <v>8.2364341085271331</v>
      </c>
      <c r="I5" s="6">
        <f>Data!H2/$B5*1000</f>
        <v>2.4224806201550386</v>
      </c>
      <c r="J5" s="6">
        <f>Data!I2/$B5*1000</f>
        <v>1.4534883720930232</v>
      </c>
      <c r="K5" s="6">
        <f>Data!J2/$B5*1000</f>
        <v>0.48449612403100772</v>
      </c>
      <c r="L5" s="6">
        <f>Data!K2/$B5*1000</f>
        <v>0.96899224806201545</v>
      </c>
      <c r="M5" s="6">
        <f>Data!L2/$B5*1000</f>
        <v>0.48449612403100772</v>
      </c>
      <c r="N5" s="6">
        <f>Data!M2/$B5*1000</f>
        <v>0</v>
      </c>
      <c r="O5" s="6">
        <f>Data!N2/$B5*1000</f>
        <v>0</v>
      </c>
      <c r="P5" s="6">
        <f>Data!O2/$B5*1000</f>
        <v>0</v>
      </c>
      <c r="Q5" s="6">
        <f>Data!P2/$B5*1000</f>
        <v>0</v>
      </c>
      <c r="R5" s="6"/>
    </row>
    <row r="6" spans="1:19" ht="15.75" x14ac:dyDescent="0.25">
      <c r="A6" s="13">
        <v>2</v>
      </c>
      <c r="B6" s="12">
        <f>Data!A3</f>
        <v>1996</v>
      </c>
      <c r="C6" s="6">
        <f>Data!B3/$B6*1000</f>
        <v>2.0040080160320639</v>
      </c>
      <c r="D6" s="6">
        <f>Data!C3/$B6*1000</f>
        <v>16.53306613226453</v>
      </c>
      <c r="E6" s="6">
        <f>Data!D3/$B6*1000</f>
        <v>24.549098196392787</v>
      </c>
      <c r="F6" s="6">
        <f>Data!E3/$B6*1000</f>
        <v>23.046092184368735</v>
      </c>
      <c r="G6" s="6">
        <f>Data!F3/$B6*1000</f>
        <v>13.527054108216433</v>
      </c>
      <c r="H6" s="6">
        <f>Data!G3/$B6*1000</f>
        <v>5.5110220440881763</v>
      </c>
      <c r="I6" s="6">
        <f>Data!H3/$B6*1000</f>
        <v>3.5070140280561124</v>
      </c>
      <c r="J6" s="6">
        <f>Data!I3/$B6*1000</f>
        <v>1.503006012024048</v>
      </c>
      <c r="K6" s="6">
        <f>Data!J3/$B6*1000</f>
        <v>1.002004008016032</v>
      </c>
      <c r="L6" s="6">
        <f>Data!K3/$B6*1000</f>
        <v>0</v>
      </c>
      <c r="M6" s="6">
        <f>Data!L3/$B6*1000</f>
        <v>0</v>
      </c>
      <c r="N6" s="6">
        <f>Data!M3/$B6*1000</f>
        <v>0</v>
      </c>
      <c r="O6" s="6">
        <f>Data!N3/$B6*1000</f>
        <v>0</v>
      </c>
      <c r="P6" s="6">
        <f>Data!O3/$B6*1000</f>
        <v>0</v>
      </c>
      <c r="Q6" s="6"/>
      <c r="R6" s="6"/>
    </row>
    <row r="7" spans="1:19" ht="15.75" x14ac:dyDescent="0.25">
      <c r="A7" s="13">
        <v>3</v>
      </c>
      <c r="B7" s="12">
        <f>Data!A4</f>
        <v>2131</v>
      </c>
      <c r="C7" s="6">
        <f>Data!B4/$B7*1000</f>
        <v>1.8770530267480054</v>
      </c>
      <c r="D7" s="6">
        <f>Data!C4/$B7*1000</f>
        <v>16.89347724073205</v>
      </c>
      <c r="E7" s="6">
        <f>Data!D4/$B7*1000</f>
        <v>34.256217738151101</v>
      </c>
      <c r="F7" s="6">
        <f>Data!E4/$B7*1000</f>
        <v>22.055373064289068</v>
      </c>
      <c r="G7" s="6">
        <f>Data!F4/$B7*1000</f>
        <v>14.547160957297043</v>
      </c>
      <c r="H7" s="6">
        <f>Data!G4/$B7*1000</f>
        <v>8.4467386203660251</v>
      </c>
      <c r="I7" s="6">
        <f>Data!H4/$B7*1000</f>
        <v>6.5696855936180194</v>
      </c>
      <c r="J7" s="6">
        <f>Data!I4/$B7*1000</f>
        <v>3.7541060534960109</v>
      </c>
      <c r="K7" s="6">
        <f>Data!J4/$B7*1000</f>
        <v>1.4077897700610043</v>
      </c>
      <c r="L7" s="6">
        <f>Data!K4/$B7*1000</f>
        <v>0</v>
      </c>
      <c r="M7" s="6">
        <f>Data!L4/$B7*1000</f>
        <v>0.46926325668700136</v>
      </c>
      <c r="N7" s="6">
        <f>Data!M4/$B7*1000</f>
        <v>0</v>
      </c>
      <c r="O7" s="6">
        <f>Data!N4/$B7*1000</f>
        <v>0</v>
      </c>
      <c r="P7" s="6"/>
      <c r="Q7" s="6"/>
      <c r="R7" s="6"/>
    </row>
    <row r="8" spans="1:19" ht="15.75" x14ac:dyDescent="0.25">
      <c r="A8" s="13">
        <v>4</v>
      </c>
      <c r="B8" s="12">
        <f>Data!A5</f>
        <v>2033</v>
      </c>
      <c r="C8" s="6">
        <f>Data!B5/$B8*1000</f>
        <v>1.9675356615838662</v>
      </c>
      <c r="D8" s="6">
        <f>Data!C5/$B8*1000</f>
        <v>19.675356615838663</v>
      </c>
      <c r="E8" s="6">
        <f>Data!D5/$B8*1000</f>
        <v>24.102311854402362</v>
      </c>
      <c r="F8" s="6">
        <f>Data!E5/$B8*1000</f>
        <v>25.577963600590259</v>
      </c>
      <c r="G8" s="6">
        <f>Data!F5/$B8*1000</f>
        <v>16.232169208066896</v>
      </c>
      <c r="H8" s="6">
        <f>Data!G5/$B8*1000</f>
        <v>9.3457943925233646</v>
      </c>
      <c r="I8" s="6">
        <f>Data!H5/$B8*1000</f>
        <v>3.4431874077717657</v>
      </c>
      <c r="J8" s="6">
        <f>Data!I5/$B8*1000</f>
        <v>0.49188391539596654</v>
      </c>
      <c r="K8" s="6">
        <f>Data!J5/$B8*1000</f>
        <v>0.49188391539596654</v>
      </c>
      <c r="L8" s="6">
        <f>Data!K5/$B8*1000</f>
        <v>0</v>
      </c>
      <c r="M8" s="6">
        <f>Data!L5/$B8*1000</f>
        <v>0</v>
      </c>
      <c r="N8" s="6">
        <f>Data!M5/$B8*1000</f>
        <v>0</v>
      </c>
      <c r="O8" s="6"/>
      <c r="P8" s="6"/>
      <c r="Q8" s="6"/>
      <c r="R8" s="6"/>
    </row>
    <row r="9" spans="1:19" ht="15.75" x14ac:dyDescent="0.25">
      <c r="A9" s="13">
        <v>5</v>
      </c>
      <c r="B9" s="12">
        <f>Data!A6</f>
        <v>2144</v>
      </c>
      <c r="C9" s="6">
        <f>Data!B6/$B9*1000</f>
        <v>0.93283582089552242</v>
      </c>
      <c r="D9" s="6">
        <f>Data!C6/$B9*1000</f>
        <v>13.992537313432836</v>
      </c>
      <c r="E9" s="6">
        <f>Data!D6/$B9*1000</f>
        <v>27.052238805970148</v>
      </c>
      <c r="F9" s="6">
        <f>Data!E6/$B9*1000</f>
        <v>18.190298507462686</v>
      </c>
      <c r="G9" s="6">
        <f>Data!F6/$B9*1000</f>
        <v>16.32462686567164</v>
      </c>
      <c r="H9" s="6">
        <f>Data!G6/$B9*1000</f>
        <v>4.1977611940298507</v>
      </c>
      <c r="I9" s="6">
        <f>Data!H6/$B9*1000</f>
        <v>5.5970149253731343</v>
      </c>
      <c r="J9" s="6">
        <f>Data!I6/$B9*1000</f>
        <v>2.3320895522388057</v>
      </c>
      <c r="K9" s="6">
        <f>Data!J6/$B9*1000</f>
        <v>2.3320895522388057</v>
      </c>
      <c r="L9" s="6">
        <f>Data!K6/$B9*1000</f>
        <v>0.46641791044776121</v>
      </c>
      <c r="M9" s="6">
        <f>Data!L6/$B9*1000</f>
        <v>0</v>
      </c>
      <c r="N9" s="6"/>
      <c r="O9" s="6"/>
      <c r="P9" s="6"/>
      <c r="Q9" s="6"/>
      <c r="R9" s="6"/>
    </row>
    <row r="10" spans="1:19" ht="15.75" x14ac:dyDescent="0.25">
      <c r="A10" s="13">
        <v>6</v>
      </c>
      <c r="B10" s="12">
        <f>Data!A7</f>
        <v>2073</v>
      </c>
      <c r="C10" s="6">
        <f>Data!B7/$B10*1000</f>
        <v>0.482392667631452</v>
      </c>
      <c r="D10" s="6">
        <f>Data!C7/$B10*1000</f>
        <v>12.542209358417752</v>
      </c>
      <c r="E10" s="6">
        <f>Data!D7/$B10*1000</f>
        <v>30.390738060781477</v>
      </c>
      <c r="F10" s="6">
        <f>Data!E7/$B10*1000</f>
        <v>20.742884708152435</v>
      </c>
      <c r="G10" s="6">
        <f>Data!F7/$B10*1000</f>
        <v>14.471780028943559</v>
      </c>
      <c r="H10" s="6">
        <f>Data!G7/$B10*1000</f>
        <v>6.7534973468403283</v>
      </c>
      <c r="I10" s="6">
        <f>Data!H7/$B10*1000</f>
        <v>3.3767486734201642</v>
      </c>
      <c r="J10" s="6">
        <f>Data!I7/$B10*1000</f>
        <v>3.859141341051616</v>
      </c>
      <c r="K10" s="6">
        <f>Data!J7/$B10*1000</f>
        <v>1.4471780028943559</v>
      </c>
      <c r="L10" s="6">
        <f>Data!K7/$B10*1000</f>
        <v>0.964785335262904</v>
      </c>
      <c r="M10" s="6"/>
      <c r="N10" s="6"/>
      <c r="O10" s="6"/>
      <c r="P10" s="6"/>
      <c r="Q10" s="6"/>
      <c r="R10" s="6"/>
    </row>
    <row r="11" spans="1:19" ht="15.75" x14ac:dyDescent="0.25">
      <c r="A11" s="13">
        <v>7</v>
      </c>
      <c r="B11" s="12">
        <f>Data!A8</f>
        <v>1958</v>
      </c>
      <c r="C11" s="6">
        <f>Data!B8/$B11*1000</f>
        <v>1.5321756894790601</v>
      </c>
      <c r="D11" s="6">
        <f>Data!C8/$B11*1000</f>
        <v>17.364657814096017</v>
      </c>
      <c r="E11" s="6">
        <f>Data!D8/$B11*1000</f>
        <v>21.961184882533196</v>
      </c>
      <c r="F11" s="6">
        <f>Data!E8/$B11*1000</f>
        <v>22.471910112359549</v>
      </c>
      <c r="G11" s="6">
        <f>Data!F8/$B11*1000</f>
        <v>13.278855975485188</v>
      </c>
      <c r="H11" s="6">
        <f>Data!G8/$B11*1000</f>
        <v>13.789581205311542</v>
      </c>
      <c r="I11" s="6">
        <f>Data!H8/$B11*1000</f>
        <v>3.0643513789581203</v>
      </c>
      <c r="J11" s="6">
        <f>Data!I8/$B11*1000</f>
        <v>2.5536261491317669</v>
      </c>
      <c r="K11" s="6">
        <f>Data!J8/$B11*1000</f>
        <v>0.51072522982635349</v>
      </c>
      <c r="L11" s="6"/>
      <c r="M11" s="6"/>
      <c r="N11" s="6"/>
      <c r="O11" s="6"/>
      <c r="P11" s="6"/>
      <c r="Q11" s="6"/>
      <c r="R11" s="6"/>
    </row>
    <row r="12" spans="1:19" ht="15.75" x14ac:dyDescent="0.25">
      <c r="A12" s="13">
        <v>8</v>
      </c>
      <c r="B12" s="12">
        <f>Data!A9</f>
        <v>2137</v>
      </c>
      <c r="C12" s="6">
        <f>Data!B9/$B12*1000</f>
        <v>0.46794571829667764</v>
      </c>
      <c r="D12" s="6">
        <f>Data!C9/$B12*1000</f>
        <v>18.249883013570429</v>
      </c>
      <c r="E12" s="6">
        <f>Data!D9/$B12*1000</f>
        <v>22.929340196537204</v>
      </c>
      <c r="F12" s="6">
        <f>Data!E9/$B12*1000</f>
        <v>20.589611605053815</v>
      </c>
      <c r="G12" s="6">
        <f>Data!F9/$B12*1000</f>
        <v>9.8268600842302281</v>
      </c>
      <c r="H12" s="6">
        <f>Data!G9/$B12*1000</f>
        <v>7.4871314927468422</v>
      </c>
      <c r="I12" s="6">
        <f>Data!H9/$B12*1000</f>
        <v>0.93589143659335527</v>
      </c>
      <c r="J12" s="6">
        <f>Data!I9/$B12*1000</f>
        <v>2.3397285914833881</v>
      </c>
      <c r="K12" s="6"/>
      <c r="L12" s="6"/>
      <c r="M12" s="6"/>
      <c r="N12" s="6"/>
      <c r="O12" s="6"/>
      <c r="P12" s="6"/>
      <c r="Q12" s="6"/>
      <c r="R12" s="6"/>
    </row>
    <row r="13" spans="1:19" ht="15.75" x14ac:dyDescent="0.25">
      <c r="A13" s="13">
        <v>9</v>
      </c>
      <c r="B13" s="12">
        <f>Data!A10</f>
        <v>1858</v>
      </c>
      <c r="C13" s="6">
        <f>Data!B10/$B13*1000</f>
        <v>1.0764262648008611</v>
      </c>
      <c r="D13" s="6">
        <f>Data!C10/$B13*1000</f>
        <v>23.681377825618945</v>
      </c>
      <c r="E13" s="6">
        <f>Data!D10/$B13*1000</f>
        <v>27.44886975242196</v>
      </c>
      <c r="F13" s="6">
        <f>Data!E10/$B13*1000</f>
        <v>24.757804090419803</v>
      </c>
      <c r="G13" s="6">
        <f>Data!F10/$B13*1000</f>
        <v>12.378902045209902</v>
      </c>
      <c r="H13" s="6">
        <f>Data!G10/$B13*1000</f>
        <v>6.4585575888051672</v>
      </c>
      <c r="I13" s="6">
        <f>Data!H10/$B13*1000</f>
        <v>5.3821313240043063</v>
      </c>
      <c r="J13" s="6"/>
      <c r="K13" s="6"/>
      <c r="L13" s="6"/>
      <c r="M13" s="6"/>
      <c r="N13" s="6"/>
      <c r="O13" s="6"/>
      <c r="P13" s="6"/>
      <c r="Q13" s="6"/>
      <c r="R13" s="6"/>
    </row>
    <row r="14" spans="1:19" ht="15.75" x14ac:dyDescent="0.25">
      <c r="A14" s="13">
        <v>10</v>
      </c>
      <c r="B14" s="12">
        <f>Data!A11</f>
        <v>2076</v>
      </c>
      <c r="C14" s="6">
        <f>Data!B11/$B14*1000</f>
        <v>1.445086705202312</v>
      </c>
      <c r="D14" s="6">
        <f>Data!C11/$B14*1000</f>
        <v>20.23121387283237</v>
      </c>
      <c r="E14" s="6">
        <f>Data!D11/$B14*1000</f>
        <v>27.938342967244701</v>
      </c>
      <c r="F14" s="6">
        <f>Data!E11/$B14*1000</f>
        <v>18.304431599229286</v>
      </c>
      <c r="G14" s="6">
        <f>Data!F11/$B14*1000</f>
        <v>12.524084778420038</v>
      </c>
      <c r="H14" s="6">
        <f>Data!G11/$B14*1000</f>
        <v>7.2254335260115603</v>
      </c>
      <c r="I14" s="6"/>
      <c r="J14" s="6"/>
      <c r="K14" s="6"/>
      <c r="L14" s="6"/>
      <c r="M14" s="6"/>
      <c r="N14" s="6"/>
      <c r="O14" s="6"/>
      <c r="P14" s="6"/>
      <c r="Q14" s="6"/>
      <c r="R14" s="6"/>
    </row>
    <row r="15" spans="1:19" ht="15.75" x14ac:dyDescent="0.25">
      <c r="A15" s="13">
        <v>11</v>
      </c>
      <c r="B15" s="12">
        <f>Data!A12</f>
        <v>2027</v>
      </c>
      <c r="C15" s="6">
        <f>Data!B12/$B15*1000</f>
        <v>2.9600394671928956</v>
      </c>
      <c r="D15" s="6">
        <f>Data!C12/$B15*1000</f>
        <v>10.853478046373951</v>
      </c>
      <c r="E15" s="6">
        <f>Data!D12/$B15*1000</f>
        <v>30.093734583127777</v>
      </c>
      <c r="F15" s="6">
        <f>Data!E12/$B15*1000</f>
        <v>18.746916625555006</v>
      </c>
      <c r="G15" s="6">
        <f>Data!F12/$B15*1000</f>
        <v>16.773556980759743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</row>
    <row r="16" spans="1:19" ht="15.75" x14ac:dyDescent="0.25">
      <c r="A16" s="13">
        <v>12</v>
      </c>
      <c r="B16" s="12">
        <f>Data!A13</f>
        <v>2016</v>
      </c>
      <c r="C16" s="6">
        <f>Data!B13/$B16*1000</f>
        <v>1.984126984126984</v>
      </c>
      <c r="D16" s="6">
        <f>Data!C13/$B16*1000</f>
        <v>16.36904761904762</v>
      </c>
      <c r="E16" s="6">
        <f>Data!D13/$B16*1000</f>
        <v>28.273809523809526</v>
      </c>
      <c r="F16" s="6">
        <f>Data!E13/$B16*1000</f>
        <v>22.321428571428573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</row>
    <row r="17" spans="1:18" ht="15.75" x14ac:dyDescent="0.25">
      <c r="A17" s="13">
        <v>13</v>
      </c>
      <c r="B17" s="12">
        <f>Data!A14</f>
        <v>2014</v>
      </c>
      <c r="C17" s="6">
        <f>Data!B14/$B17*1000</f>
        <v>0</v>
      </c>
      <c r="D17" s="6">
        <f>Data!C14/$B17*1000</f>
        <v>17.37835153922542</v>
      </c>
      <c r="E17" s="6">
        <f>Data!D14/$B17*1000</f>
        <v>23.33664349553128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</row>
    <row r="18" spans="1:18" ht="15.75" x14ac:dyDescent="0.25">
      <c r="A18" s="13">
        <v>14</v>
      </c>
      <c r="B18" s="12">
        <f>Data!A15</f>
        <v>1809</v>
      </c>
      <c r="C18" s="6">
        <f>Data!B15/$B18*1000</f>
        <v>0.5527915975677169</v>
      </c>
      <c r="D18" s="6">
        <f>Data!C15/$B18*1000</f>
        <v>17.689331122166941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</row>
    <row r="19" spans="1:18" ht="15.75" x14ac:dyDescent="0.25">
      <c r="A19" s="13">
        <v>15</v>
      </c>
      <c r="B19" s="12">
        <f>Data!A16</f>
        <v>1879</v>
      </c>
      <c r="C19" s="6">
        <f>Data!B16/$B19*1000</f>
        <v>2.6609898882384244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</row>
    <row r="20" spans="1:18" ht="15.7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8" ht="15.75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spans="1:18" ht="15.75" x14ac:dyDescent="0.25">
      <c r="A22" s="3" t="s">
        <v>18</v>
      </c>
      <c r="B22" s="3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8" ht="15.7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8" ht="15.75" x14ac:dyDescent="0.25">
      <c r="A24" s="1" t="s">
        <v>17</v>
      </c>
      <c r="B24" s="1"/>
      <c r="C24" s="9" cm="1">
        <f t="array" ref="C24">SUMPRODUCT(C4:C19,$B4:$B19/SUM($B4:$B19))</f>
        <v>1.4522757469950252</v>
      </c>
      <c r="D24" s="9" cm="1">
        <f t="array" ref="D24">SUMPRODUCT(D4:D18,$B4:$B18/SUM($B4:$B18))</f>
        <v>17.648602545597694</v>
      </c>
      <c r="E24" s="9" cm="1">
        <f t="array" ref="E24">SUMPRODUCT(E4:E17,$B4:$B17/SUM($B4:$B17))</f>
        <v>26.608544027898866</v>
      </c>
      <c r="F24" s="9" cm="1">
        <f t="array" ref="F24">SUMPRODUCT(F4:F16,$B4:$B16/SUM($B4:$B16))</f>
        <v>21.192003300701401</v>
      </c>
      <c r="G24" s="9" cm="1">
        <f t="array" ref="G24">SUMPRODUCT(G4:G15,$B4:$B15/SUM($B4:$B15))</f>
        <v>14.161087441671734</v>
      </c>
      <c r="H24" s="9" cm="1">
        <f t="array" ref="H24">SUMPRODUCT(H4:H14,$B4:$B14/SUM($B4:$B14))</f>
        <v>7.7372004598107704</v>
      </c>
      <c r="I24" s="9" cm="1">
        <f t="array" ref="I24">SUMPRODUCT(I4:I13,$B4:$B13/SUM($B4:$B13))</f>
        <v>3.7484178755719992</v>
      </c>
      <c r="J24" s="9" cm="1">
        <f t="array" ref="J24">SUMPRODUCT(J4:J12,$B4:$B12/SUM($B4:$B12))</f>
        <v>2.1943909227146219</v>
      </c>
      <c r="K24" s="9" cm="1">
        <f t="array" ref="K24">SUMPRODUCT(K4:K11,$B4:$B11/SUM($B4:$B11))</f>
        <v>1.1482443947543362</v>
      </c>
      <c r="L24" s="9" cm="1">
        <f t="array" ref="L24">SUMPRODUCT(L4:L10,$B4:$B10/SUM($B4:$B10))</f>
        <v>0.34272397011446976</v>
      </c>
      <c r="M24" s="9" cm="1">
        <f t="array" ref="M24">SUMPRODUCT(M4:M9,$B4:$B9/SUM($B4:$B9))</f>
        <v>0.1597954618088846</v>
      </c>
      <c r="N24" s="9" cm="1">
        <f t="array" ref="N24">SUMPRODUCT(N4:N8,$B4:$B8/SUM($B4:$B8))</f>
        <v>0</v>
      </c>
      <c r="O24" s="9" cm="1">
        <f t="array" ref="O24">SUMPRODUCT(O4:O7,$B4:$B7/SUM($B4:$B7))</f>
        <v>0</v>
      </c>
      <c r="P24" s="9" cm="1">
        <f t="array" ref="P24">SUMPRODUCT(P4:P6,$B4:$B6/SUM($B4:$B6))</f>
        <v>0</v>
      </c>
      <c r="Q24" s="9" cm="1">
        <f t="array" ref="Q24">SUMPRODUCT(Q4:Q5,$B4:$B5/SUM($B4:$B5))</f>
        <v>0</v>
      </c>
      <c r="R24" s="9" cm="1">
        <f t="array" ref="R24">SUMPRODUCT(R4:R4,$B4:$B4/SUM($B4:$B4))</f>
        <v>0</v>
      </c>
    </row>
    <row r="25" spans="1:18" ht="15.7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8" ht="15.75" x14ac:dyDescent="0.25">
      <c r="A26" s="1" t="s">
        <v>16</v>
      </c>
      <c r="B26" s="1"/>
      <c r="C26" s="11" cm="1">
        <f t="array" ref="C26">SUMPRODUCT(C14:C19,$B14:$B19/SUM($B14:$B19))</f>
        <v>1.6073090263091108</v>
      </c>
      <c r="D26" s="11" cm="1">
        <f t="array" ref="D26">SUMPRODUCT(D13:D18,$B13:$B18/SUM($B13:$B18))</f>
        <v>17.627118644067796</v>
      </c>
      <c r="E26" s="11" cm="1">
        <f t="array" ref="E26">SUMPRODUCT(E12:E17,$B12:$B17/SUM($B12:$B17))</f>
        <v>26.632585751978898</v>
      </c>
      <c r="F26" s="11" cm="1">
        <f t="array" ref="F26">SUMPRODUCT(F11:F16,$B11:$B16/SUM($B11:$B16))</f>
        <v>21.123260437375748</v>
      </c>
      <c r="G26" s="11" cm="1">
        <f t="array" ref="G26">SUMPRODUCT(G10:G15,$B10:$B15/SUM($B10:$B15))</f>
        <v>13.191524445543738</v>
      </c>
      <c r="H26" s="11" cm="1">
        <f t="array" ref="H26">SUMPRODUCT(H9:H14,$B9:$B14/SUM($B9:$B14))</f>
        <v>7.5943165115139646</v>
      </c>
      <c r="I26" s="11" cm="1">
        <f t="array" ref="I26">SUMPRODUCT(I8:I13,$B8:$B13/SUM($B8:$B13))</f>
        <v>3.6056707367040897</v>
      </c>
      <c r="J26" s="11" cm="1">
        <f t="array" ref="J26">SUMPRODUCT(J7:J12,$B7:$B12/SUM($B7:$B12))</f>
        <v>2.564924655338249</v>
      </c>
      <c r="K26" s="11" cm="1">
        <f t="array" ref="K26">SUMPRODUCT(K6:K11,$B6:$B11/SUM($B6:$B11))</f>
        <v>1.2160518848804214</v>
      </c>
      <c r="L26" s="11" cm="1">
        <f t="array" ref="L26">SUMPRODUCT(L5:L10,$B5:$B10/SUM($B5:$B10))</f>
        <v>0.40189695362109157</v>
      </c>
      <c r="M26" s="11" cm="1">
        <f t="array" ref="M26">SUMPRODUCT(M4:M9,$B4:$B9/SUM($B4:$B9))</f>
        <v>0.1597954618088846</v>
      </c>
      <c r="N26" s="6"/>
      <c r="O26" s="6"/>
      <c r="P26" s="6"/>
      <c r="Q26" s="6"/>
      <c r="R26" s="6"/>
    </row>
    <row r="27" spans="1:18" ht="15.7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8" ht="15.75" x14ac:dyDescent="0.25">
      <c r="A28" s="1" t="s">
        <v>15</v>
      </c>
      <c r="B28" s="1"/>
      <c r="C28" s="10">
        <f>SUMPRODUCT(C17:C19,$B17:$B19)/SUM($B17:$B19)</f>
        <v>1.0522623640827777</v>
      </c>
      <c r="D28" s="10">
        <f>SUMPRODUCT(D16:D18,$B16:$B18)/SUM($B16:$B18)</f>
        <v>17.126220243192328</v>
      </c>
      <c r="E28" s="10">
        <f>SUMPRODUCT(E15:E17,$B15:$B17)/SUM($B15:$B17)</f>
        <v>27.241208519068845</v>
      </c>
      <c r="F28" s="10">
        <f>SUMPRODUCT(F14:F16,$B14:$B16)/SUM($B14:$B16)</f>
        <v>19.774472953096911</v>
      </c>
      <c r="G28" s="10">
        <f>SUMPRODUCT(G13:G15,$B13:$B15)/SUM($B13:$B15)</f>
        <v>13.923838282167422</v>
      </c>
      <c r="H28" s="10">
        <f>SUMPRODUCT(H12:H14,$B12:$B14)/SUM($B12:$B14)</f>
        <v>7.0828529072640425</v>
      </c>
      <c r="I28" s="10">
        <f>SUMPRODUCT(I11:I13,$B11:$B13)/SUM($B11:$B13)</f>
        <v>3.0236855367041828</v>
      </c>
      <c r="J28" s="10">
        <f>SUMPRODUCT(J10:J12,$B10:$B12)/SUM($B10:$B12)</f>
        <v>2.9182879377431905</v>
      </c>
      <c r="K28" s="10">
        <f>SUMPRODUCT(K9:K11,$B9:$B11)/SUM($B9:$B11)</f>
        <v>1.4574898785425101</v>
      </c>
      <c r="L28" s="10">
        <f>SUMPRODUCT(L8:L10,$B8:$B10)/SUM($B8:$B10)</f>
        <v>0.48</v>
      </c>
      <c r="M28" s="10">
        <f>SUMPRODUCT(M7:M9,$B7:$B9)/SUM($B7:$B9)</f>
        <v>0.15852885225110969</v>
      </c>
      <c r="N28" s="10">
        <f>SUMPRODUCT(N6:N8,$B6:$B8)/SUM($B6:$B8)</f>
        <v>0</v>
      </c>
      <c r="O28" s="10">
        <f>SUMPRODUCT(O5:O7,$B5:$B7)/SUM($B5:$B7)</f>
        <v>0</v>
      </c>
      <c r="P28" s="10">
        <f>SUMPRODUCT(P4:P6,$B4:$B6)/SUM($B4:$B6)</f>
        <v>0</v>
      </c>
    </row>
    <row r="29" spans="1:18" ht="15.7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8" ht="15.75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1"/>
    </row>
    <row r="31" spans="1:18" ht="15.75" x14ac:dyDescent="0.25">
      <c r="A31" s="1" t="s">
        <v>13</v>
      </c>
      <c r="B31" s="1"/>
      <c r="C31" s="9">
        <f t="shared" ref="C31:R31" si="0">C24</f>
        <v>1.4522757469950252</v>
      </c>
      <c r="D31" s="9">
        <f t="shared" si="0"/>
        <v>17.648602545597694</v>
      </c>
      <c r="E31" s="9">
        <f t="shared" si="0"/>
        <v>26.608544027898866</v>
      </c>
      <c r="F31" s="9">
        <f t="shared" si="0"/>
        <v>21.192003300701401</v>
      </c>
      <c r="G31" s="9">
        <f t="shared" si="0"/>
        <v>14.161087441671734</v>
      </c>
      <c r="H31" s="9">
        <f t="shared" si="0"/>
        <v>7.7372004598107704</v>
      </c>
      <c r="I31" s="9">
        <f t="shared" si="0"/>
        <v>3.7484178755719992</v>
      </c>
      <c r="J31" s="9">
        <f t="shared" si="0"/>
        <v>2.1943909227146219</v>
      </c>
      <c r="K31" s="9">
        <f t="shared" si="0"/>
        <v>1.1482443947543362</v>
      </c>
      <c r="L31" s="9">
        <f t="shared" si="0"/>
        <v>0.34272397011446976</v>
      </c>
      <c r="M31" s="9">
        <f t="shared" si="0"/>
        <v>0.1597954618088846</v>
      </c>
      <c r="N31" s="9">
        <f t="shared" si="0"/>
        <v>0</v>
      </c>
      <c r="O31" s="9">
        <f t="shared" si="0"/>
        <v>0</v>
      </c>
      <c r="P31" s="9">
        <f t="shared" si="0"/>
        <v>0</v>
      </c>
      <c r="Q31" s="9">
        <f t="shared" si="0"/>
        <v>0</v>
      </c>
      <c r="R31" s="9">
        <f t="shared" si="0"/>
        <v>0</v>
      </c>
    </row>
    <row r="32" spans="1:18" ht="15.75" x14ac:dyDescent="0.25">
      <c r="A32" s="1" t="s">
        <v>14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8" ht="15.7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8" ht="15.75" x14ac:dyDescent="0.25">
      <c r="A34" s="3" t="s">
        <v>13</v>
      </c>
      <c r="B34" s="3"/>
      <c r="C34" s="9">
        <f t="shared" ref="C34:J34" si="1">C31</f>
        <v>1.4522757469950252</v>
      </c>
      <c r="D34" s="9">
        <f t="shared" si="1"/>
        <v>17.648602545597694</v>
      </c>
      <c r="E34" s="9">
        <f t="shared" si="1"/>
        <v>26.608544027898866</v>
      </c>
      <c r="F34" s="9">
        <f t="shared" si="1"/>
        <v>21.192003300701401</v>
      </c>
      <c r="G34" s="9">
        <f t="shared" si="1"/>
        <v>14.161087441671734</v>
      </c>
      <c r="H34" s="9">
        <f t="shared" si="1"/>
        <v>7.7372004598107704</v>
      </c>
      <c r="I34" s="9">
        <f t="shared" si="1"/>
        <v>3.7484178755719992</v>
      </c>
      <c r="J34" s="9">
        <f t="shared" si="1"/>
        <v>2.1943909227146219</v>
      </c>
      <c r="K34" s="8">
        <f>K43</f>
        <v>0.95913831356390988</v>
      </c>
      <c r="L34" s="8">
        <f>L43</f>
        <v>0.38729990201460279</v>
      </c>
      <c r="M34" s="8">
        <f>M43</f>
        <v>0.15639164026630864</v>
      </c>
      <c r="N34" s="8">
        <f>N43</f>
        <v>6.3150920044034262E-2</v>
      </c>
      <c r="O34" s="7">
        <f>C48</f>
        <v>4.2771427471827952E-2</v>
      </c>
      <c r="P34" s="6"/>
      <c r="Q34" s="6"/>
      <c r="R34" s="6"/>
    </row>
    <row r="35" spans="1:18" ht="15.75" x14ac:dyDescent="0.25">
      <c r="A35" s="3" t="s">
        <v>12</v>
      </c>
      <c r="B35" s="3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8" ht="15.7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8" ht="15.75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1"/>
    </row>
    <row r="38" spans="1:18" ht="15.75" x14ac:dyDescent="0.25">
      <c r="A38" s="3" t="s">
        <v>11</v>
      </c>
      <c r="B38" s="3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8" ht="15.75" x14ac:dyDescent="0.25">
      <c r="A39" s="1"/>
      <c r="B39" s="1"/>
      <c r="C39" s="1"/>
      <c r="D39" s="1"/>
      <c r="E39" s="1"/>
      <c r="F39" s="1"/>
      <c r="G39" s="1" t="s">
        <v>10</v>
      </c>
      <c r="H39" s="1"/>
      <c r="I39" s="1"/>
      <c r="K39" s="1"/>
      <c r="L39" s="1"/>
      <c r="M39" s="1"/>
      <c r="N39" s="1"/>
    </row>
    <row r="40" spans="1:18" ht="15.75" x14ac:dyDescent="0.25">
      <c r="A40" s="1" t="s">
        <v>9</v>
      </c>
      <c r="B40" s="1"/>
      <c r="C40" s="1"/>
      <c r="D40" s="1"/>
      <c r="E40" s="1"/>
      <c r="F40" s="1"/>
      <c r="G40" s="1"/>
      <c r="H40" s="1"/>
      <c r="I40" s="1"/>
      <c r="J40" s="1">
        <f>LN(J31)</f>
        <v>0.78590452406444611</v>
      </c>
      <c r="K40" s="1">
        <f>LN(K31)</f>
        <v>0.1382341626567333</v>
      </c>
      <c r="L40" s="1">
        <f>LN(L31)</f>
        <v>-1.0708299076556582</v>
      </c>
      <c r="M40" s="1">
        <f>LN(M31)</f>
        <v>-1.8338606452466906</v>
      </c>
      <c r="N40" s="1"/>
    </row>
    <row r="41" spans="1:18" ht="15.75" x14ac:dyDescent="0.25">
      <c r="A41" s="1"/>
      <c r="B41" s="1"/>
      <c r="C41" s="1"/>
      <c r="D41" s="1"/>
      <c r="E41" s="1"/>
      <c r="F41" s="1"/>
      <c r="G41" s="1" t="s">
        <v>8</v>
      </c>
      <c r="H41" s="1"/>
      <c r="I41" s="1"/>
      <c r="J41" s="1"/>
      <c r="K41" s="1"/>
      <c r="L41" s="1"/>
      <c r="M41" s="1"/>
      <c r="N41" s="1"/>
    </row>
    <row r="42" spans="1:18" ht="15.75" x14ac:dyDescent="0.25">
      <c r="A42" s="1" t="s">
        <v>7</v>
      </c>
      <c r="B42" s="1"/>
      <c r="C42" s="1" cm="1">
        <f t="array" ref="C42">SLOPE(J40:M40,J2:M2-8)</f>
        <v>-0.90683595782458004</v>
      </c>
      <c r="D42" s="1"/>
      <c r="E42" s="1"/>
      <c r="F42" s="1" t="s">
        <v>6</v>
      </c>
      <c r="G42" s="1"/>
      <c r="H42" s="1"/>
      <c r="I42" s="1"/>
      <c r="J42" s="1" cm="1">
        <f t="array" ref="J42">_xlfn.FORECAST.LINEAR(J2-8,$J40:$M40,$J2:$M2-8)</f>
        <v>0.86511597019157771</v>
      </c>
      <c r="K42" s="1" cm="1">
        <f t="array" ref="K42">_xlfn.FORECAST.LINEAR(K2-8,$J40:$M40,$J2:$M2-8)</f>
        <v>-4.1719987633002331E-2</v>
      </c>
      <c r="L42" s="1" cm="1">
        <f t="array" ref="L42">_xlfn.FORECAST.LINEAR(L2-8,$J40:$M40,$J2:$M2-8)</f>
        <v>-0.94855594545758237</v>
      </c>
      <c r="M42" s="1" cm="1">
        <f t="array" ref="M42">_xlfn.FORECAST.LINEAR(M2-8,$J40:$M40,$J2:$M2-8)</f>
        <v>-1.8553919032821624</v>
      </c>
      <c r="N42" s="1" cm="1">
        <f t="array" ref="N42">_xlfn.FORECAST.LINEAR(N2-8,$J40:$M40,$J2:$M2-8)</f>
        <v>-2.7622278611067426</v>
      </c>
    </row>
    <row r="43" spans="1:18" ht="15.75" x14ac:dyDescent="0.25">
      <c r="A43" s="1" t="s">
        <v>5</v>
      </c>
      <c r="B43" s="1"/>
      <c r="C43" s="1" cm="1">
        <f t="array" ref="C43">INTERCEPT(J40:M40,J2:M2-8)</f>
        <v>-4.1719987633002331E-2</v>
      </c>
      <c r="D43" s="1"/>
      <c r="E43" s="1"/>
      <c r="F43" s="1" t="s">
        <v>4</v>
      </c>
      <c r="G43" s="1"/>
      <c r="H43" s="1"/>
      <c r="I43" s="1"/>
      <c r="J43" s="4">
        <f>EXP(J42)</f>
        <v>2.3752815318593479</v>
      </c>
      <c r="K43" s="4">
        <f>EXP(K42)</f>
        <v>0.95913831356390988</v>
      </c>
      <c r="L43" s="4">
        <f>EXP(L42)</f>
        <v>0.38729990201460279</v>
      </c>
      <c r="M43" s="4">
        <f>EXP(M42)</f>
        <v>0.15639164026630864</v>
      </c>
      <c r="N43" s="4">
        <f>EXP(N42)</f>
        <v>6.3150920044034262E-2</v>
      </c>
    </row>
    <row r="44" spans="1:18" ht="15.7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8" ht="15.75" x14ac:dyDescent="0.25">
      <c r="A45" s="3" t="s">
        <v>3</v>
      </c>
      <c r="B45" s="3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8" ht="15.75" x14ac:dyDescent="0.25">
      <c r="A46" s="1" t="s">
        <v>2</v>
      </c>
      <c r="B46" s="1"/>
      <c r="C46" s="1">
        <f>EXP(C43)</f>
        <v>0.95913831356390988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8" ht="15.75" x14ac:dyDescent="0.25">
      <c r="A47" s="1" t="s">
        <v>1</v>
      </c>
      <c r="B47" s="1"/>
      <c r="C47" s="1">
        <f>EXP(C42)</f>
        <v>0.40379984464961738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8" ht="15.75" x14ac:dyDescent="0.25">
      <c r="A48" s="1" t="s">
        <v>0</v>
      </c>
      <c r="B48" s="1"/>
      <c r="C48" s="2">
        <f>C46*C47^(12-8)/(1-C47)</f>
        <v>4.2771427471827952E-2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ht="15.7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C4402-A461-4845-8A71-2163FA7D628A}">
  <dimension ref="A1:U60"/>
  <sheetViews>
    <sheetView workbookViewId="0">
      <selection activeCell="B11" sqref="B11"/>
    </sheetView>
  </sheetViews>
  <sheetFormatPr defaultColWidth="11.42578125" defaultRowHeight="15" x14ac:dyDescent="0.25"/>
  <cols>
    <col min="3" max="14" width="6.42578125" customWidth="1"/>
    <col min="15" max="15" width="12.140625" bestFit="1" customWidth="1"/>
  </cols>
  <sheetData>
    <row r="1" spans="1:20" ht="15.75" x14ac:dyDescent="0.25">
      <c r="A1" s="17" t="s">
        <v>34</v>
      </c>
      <c r="B1" s="17"/>
      <c r="C1" s="3" t="s">
        <v>33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29"/>
      <c r="Q1" s="3"/>
      <c r="R1" s="3" t="s">
        <v>32</v>
      </c>
      <c r="S1" s="3"/>
    </row>
    <row r="2" spans="1:20" ht="15.75" x14ac:dyDescent="0.25">
      <c r="A2" s="17" t="s">
        <v>31</v>
      </c>
      <c r="B2" s="17" t="s">
        <v>20</v>
      </c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>
        <v>11</v>
      </c>
      <c r="O2" s="3" t="s">
        <v>30</v>
      </c>
      <c r="P2" s="29" t="s">
        <v>29</v>
      </c>
      <c r="Q2" s="3" t="s">
        <v>28</v>
      </c>
      <c r="R2" s="3" t="s">
        <v>27</v>
      </c>
      <c r="S2" s="3" t="s">
        <v>26</v>
      </c>
      <c r="T2" s="3" t="s">
        <v>25</v>
      </c>
    </row>
    <row r="3" spans="1:20" ht="15.75" x14ac:dyDescent="0.25">
      <c r="A3" s="15"/>
      <c r="B3" s="15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28"/>
      <c r="Q3" s="1"/>
      <c r="R3" s="1"/>
      <c r="S3" s="1"/>
    </row>
    <row r="4" spans="1:20" ht="15.75" x14ac:dyDescent="0.25">
      <c r="A4" s="13">
        <f>Exposure!A4</f>
        <v>0</v>
      </c>
      <c r="B4" s="27">
        <f>Exposure!B4</f>
        <v>2148</v>
      </c>
      <c r="C4" s="22">
        <f>Data!B1</f>
        <v>4</v>
      </c>
      <c r="D4" s="22">
        <f>Data!C1</f>
        <v>46</v>
      </c>
      <c r="E4" s="22">
        <f>Data!D1</f>
        <v>44</v>
      </c>
      <c r="F4" s="22">
        <f>Data!E1</f>
        <v>40</v>
      </c>
      <c r="G4" s="22">
        <f>Data!F1</f>
        <v>35</v>
      </c>
      <c r="H4" s="22">
        <f>Data!G1</f>
        <v>17</v>
      </c>
      <c r="I4" s="22">
        <f>Data!H1</f>
        <v>7</v>
      </c>
      <c r="J4" s="22">
        <f>Data!I1</f>
        <v>3</v>
      </c>
      <c r="K4" s="22">
        <f>Data!J1</f>
        <v>3</v>
      </c>
      <c r="L4" s="22">
        <f>Data!K1</f>
        <v>0</v>
      </c>
      <c r="M4" s="22">
        <f>Data!L1</f>
        <v>0</v>
      </c>
      <c r="N4" s="22">
        <f>Data!M1</f>
        <v>0</v>
      </c>
      <c r="O4" s="26">
        <f>$B4*Exposure!O$34/1000</f>
        <v>9.1873026209486439E-2</v>
      </c>
      <c r="P4" s="25">
        <f>SUM(C4:N4)</f>
        <v>199</v>
      </c>
      <c r="Q4" s="24">
        <f t="shared" ref="Q4:Q19" si="0">P4/B4</f>
        <v>9.2644320297951582E-2</v>
      </c>
      <c r="R4" s="20">
        <f t="shared" ref="R4:R19" si="1">S4-P4</f>
        <v>9.1873026209498221E-2</v>
      </c>
      <c r="S4" s="20">
        <f t="shared" ref="S4:S19" si="2">SUM(C4:O4)</f>
        <v>199.0918730262095</v>
      </c>
      <c r="T4" s="24">
        <f t="shared" ref="T4:T19" si="3">S4/B4</f>
        <v>9.2687091725423415E-2</v>
      </c>
    </row>
    <row r="5" spans="1:20" ht="15.75" x14ac:dyDescent="0.25">
      <c r="A5" s="13">
        <f>Exposure!A5</f>
        <v>1</v>
      </c>
      <c r="B5" s="27">
        <f>Exposure!B5</f>
        <v>2064</v>
      </c>
      <c r="C5" s="22">
        <f>Data!B2</f>
        <v>3</v>
      </c>
      <c r="D5" s="22">
        <f>Data!C2</f>
        <v>46</v>
      </c>
      <c r="E5" s="22">
        <f>Data!D2</f>
        <v>61</v>
      </c>
      <c r="F5" s="22">
        <f>Data!E2</f>
        <v>43</v>
      </c>
      <c r="G5" s="22">
        <f>Data!F2</f>
        <v>28</v>
      </c>
      <c r="H5" s="22">
        <f>Data!G2</f>
        <v>17</v>
      </c>
      <c r="I5" s="22">
        <f>Data!H2</f>
        <v>5</v>
      </c>
      <c r="J5" s="22">
        <f>Data!I2</f>
        <v>3</v>
      </c>
      <c r="K5" s="22">
        <f>Data!J2</f>
        <v>1</v>
      </c>
      <c r="L5" s="22">
        <f>Data!K2</f>
        <v>2</v>
      </c>
      <c r="M5" s="22">
        <f>Data!L2</f>
        <v>1</v>
      </c>
      <c r="N5" s="22">
        <f>Data!M2</f>
        <v>0</v>
      </c>
      <c r="O5" s="26">
        <f>$B5*Exposure!O$34/1000</f>
        <v>8.8280226301852893E-2</v>
      </c>
      <c r="P5" s="25">
        <f>SUM(C5:N5)</f>
        <v>210</v>
      </c>
      <c r="Q5" s="24">
        <f t="shared" si="0"/>
        <v>0.10174418604651163</v>
      </c>
      <c r="R5" s="20">
        <f t="shared" si="1"/>
        <v>8.8280226301861831E-2</v>
      </c>
      <c r="S5" s="20">
        <f t="shared" si="2"/>
        <v>210.08828022630186</v>
      </c>
      <c r="T5" s="24">
        <f t="shared" si="3"/>
        <v>0.10178695747398346</v>
      </c>
    </row>
    <row r="6" spans="1:20" ht="15.75" x14ac:dyDescent="0.25">
      <c r="A6" s="13">
        <f>Exposure!A6</f>
        <v>2</v>
      </c>
      <c r="B6" s="27">
        <f>Exposure!B6</f>
        <v>1996</v>
      </c>
      <c r="C6" s="22">
        <f>Data!B3</f>
        <v>4</v>
      </c>
      <c r="D6" s="22">
        <f>Data!C3</f>
        <v>33</v>
      </c>
      <c r="E6" s="22">
        <f>Data!D3</f>
        <v>49</v>
      </c>
      <c r="F6" s="22">
        <f>Data!E3</f>
        <v>46</v>
      </c>
      <c r="G6" s="22">
        <f>Data!F3</f>
        <v>27</v>
      </c>
      <c r="H6" s="22">
        <f>Data!G3</f>
        <v>11</v>
      </c>
      <c r="I6" s="22">
        <f>Data!H3</f>
        <v>7</v>
      </c>
      <c r="J6" s="22">
        <f>Data!I3</f>
        <v>3</v>
      </c>
      <c r="K6" s="22">
        <f>Data!J3</f>
        <v>2</v>
      </c>
      <c r="L6" s="22">
        <f>Data!K3</f>
        <v>0</v>
      </c>
      <c r="M6" s="22">
        <f>Data!L3</f>
        <v>0</v>
      </c>
      <c r="N6" s="22">
        <f>Data!M3</f>
        <v>0</v>
      </c>
      <c r="O6" s="26">
        <f>$B6*Exposure!O$34/1000</f>
        <v>8.5371769233768588E-2</v>
      </c>
      <c r="P6" s="25">
        <f>SUM(C6:N6)</f>
        <v>182</v>
      </c>
      <c r="Q6" s="24">
        <f t="shared" si="0"/>
        <v>9.1182364729458912E-2</v>
      </c>
      <c r="R6" s="20">
        <f t="shared" si="1"/>
        <v>8.5371769233773875E-2</v>
      </c>
      <c r="S6" s="20">
        <f t="shared" si="2"/>
        <v>182.08537176923377</v>
      </c>
      <c r="T6" s="24">
        <f t="shared" si="3"/>
        <v>9.1225136156930745E-2</v>
      </c>
    </row>
    <row r="7" spans="1:20" ht="15.75" x14ac:dyDescent="0.25">
      <c r="A7" s="13">
        <f>Exposure!A7</f>
        <v>3</v>
      </c>
      <c r="B7" s="27">
        <f>Exposure!B7</f>
        <v>2131</v>
      </c>
      <c r="C7" s="22">
        <f>Data!B4</f>
        <v>4</v>
      </c>
      <c r="D7" s="22">
        <f>Data!C4</f>
        <v>36</v>
      </c>
      <c r="E7" s="22">
        <f>Data!D4</f>
        <v>73</v>
      </c>
      <c r="F7" s="22">
        <f>Data!E4</f>
        <v>47</v>
      </c>
      <c r="G7" s="22">
        <f>Data!F4</f>
        <v>31</v>
      </c>
      <c r="H7" s="22">
        <f>Data!G4</f>
        <v>18</v>
      </c>
      <c r="I7" s="22">
        <f>Data!H4</f>
        <v>14</v>
      </c>
      <c r="J7" s="22">
        <f>Data!I4</f>
        <v>8</v>
      </c>
      <c r="K7" s="22">
        <f>Data!J4</f>
        <v>3</v>
      </c>
      <c r="L7" s="22">
        <f>Data!K4</f>
        <v>0</v>
      </c>
      <c r="M7" s="22">
        <f>Data!L4</f>
        <v>1</v>
      </c>
      <c r="N7" s="22">
        <f>Data!M4</f>
        <v>0</v>
      </c>
      <c r="O7" s="26">
        <f>$B7*Exposure!O$34/1000</f>
        <v>9.1145911942465366E-2</v>
      </c>
      <c r="P7" s="25">
        <f>SUM(C7:N7)</f>
        <v>235</v>
      </c>
      <c r="Q7" s="24">
        <f t="shared" si="0"/>
        <v>0.11027686532144533</v>
      </c>
      <c r="R7" s="20">
        <f t="shared" si="1"/>
        <v>9.1145911942476232E-2</v>
      </c>
      <c r="S7" s="20">
        <f t="shared" si="2"/>
        <v>235.09114591194248</v>
      </c>
      <c r="T7" s="24">
        <f t="shared" si="3"/>
        <v>0.11031963674891716</v>
      </c>
    </row>
    <row r="8" spans="1:20" ht="15.75" x14ac:dyDescent="0.25">
      <c r="A8" s="13">
        <f>Exposure!A8</f>
        <v>4</v>
      </c>
      <c r="B8" s="27">
        <f>Exposure!B8</f>
        <v>2033</v>
      </c>
      <c r="C8" s="22">
        <f>Data!B5</f>
        <v>4</v>
      </c>
      <c r="D8" s="22">
        <f>Data!C5</f>
        <v>40</v>
      </c>
      <c r="E8" s="22">
        <f>Data!D5</f>
        <v>49</v>
      </c>
      <c r="F8" s="22">
        <f>Data!E5</f>
        <v>52</v>
      </c>
      <c r="G8" s="22">
        <f>Data!F5</f>
        <v>33</v>
      </c>
      <c r="H8" s="22">
        <f>Data!G5</f>
        <v>19</v>
      </c>
      <c r="I8" s="22">
        <f>Data!H5</f>
        <v>7</v>
      </c>
      <c r="J8" s="22">
        <f>Data!I5</f>
        <v>1</v>
      </c>
      <c r="K8" s="22">
        <f>Data!J5</f>
        <v>1</v>
      </c>
      <c r="L8" s="22">
        <f>Data!K5</f>
        <v>0</v>
      </c>
      <c r="M8" s="22">
        <f>Data!L5</f>
        <v>0</v>
      </c>
      <c r="N8" s="22">
        <f>Data!M5</f>
        <v>0</v>
      </c>
      <c r="O8" s="26">
        <f>$B8*Exposure!O$34/1000</f>
        <v>8.6954312050226218E-2</v>
      </c>
      <c r="P8" s="25">
        <f>SUM(C8:N8)</f>
        <v>206</v>
      </c>
      <c r="Q8" s="24">
        <f t="shared" si="0"/>
        <v>0.10132808657156911</v>
      </c>
      <c r="R8" s="20">
        <f t="shared" si="1"/>
        <v>8.6954312050238514E-2</v>
      </c>
      <c r="S8" s="20">
        <f t="shared" si="2"/>
        <v>206.08695431205024</v>
      </c>
      <c r="T8" s="24">
        <f t="shared" si="3"/>
        <v>0.10137085799904094</v>
      </c>
    </row>
    <row r="9" spans="1:20" ht="15.75" x14ac:dyDescent="0.25">
      <c r="A9" s="13">
        <f>Exposure!A9</f>
        <v>5</v>
      </c>
      <c r="B9" s="27">
        <f>Exposure!B9</f>
        <v>2144</v>
      </c>
      <c r="C9" s="22">
        <f>Data!B6</f>
        <v>2</v>
      </c>
      <c r="D9" s="22">
        <f>Data!C6</f>
        <v>30</v>
      </c>
      <c r="E9" s="22">
        <f>Data!D6</f>
        <v>58</v>
      </c>
      <c r="F9" s="22">
        <f>Data!E6</f>
        <v>39</v>
      </c>
      <c r="G9" s="22">
        <f>Data!F6</f>
        <v>35</v>
      </c>
      <c r="H9" s="22">
        <f>Data!G6</f>
        <v>9</v>
      </c>
      <c r="I9" s="22">
        <f>Data!H6</f>
        <v>12</v>
      </c>
      <c r="J9" s="22">
        <f>Data!I6</f>
        <v>5</v>
      </c>
      <c r="K9" s="22">
        <f>Data!J6</f>
        <v>5</v>
      </c>
      <c r="L9" s="22">
        <f>Data!K6</f>
        <v>1</v>
      </c>
      <c r="M9" s="22">
        <f>Data!L6</f>
        <v>0</v>
      </c>
      <c r="N9" s="26">
        <f>$B9*Exposure!N$34/1000</f>
        <v>0.13539557257440948</v>
      </c>
      <c r="O9" s="26">
        <f>$B9*Exposure!O$34/1000</f>
        <v>9.1701940499599136E-2</v>
      </c>
      <c r="P9" s="25">
        <f>SUM(C9:M9)</f>
        <v>196</v>
      </c>
      <c r="Q9" s="24">
        <f t="shared" si="0"/>
        <v>9.1417910447761194E-2</v>
      </c>
      <c r="R9" s="20">
        <f t="shared" si="1"/>
        <v>0.22709751307399983</v>
      </c>
      <c r="S9" s="20">
        <f t="shared" si="2"/>
        <v>196.227097513074</v>
      </c>
      <c r="T9" s="24">
        <f t="shared" si="3"/>
        <v>9.1523832795277052E-2</v>
      </c>
    </row>
    <row r="10" spans="1:20" ht="15.75" x14ac:dyDescent="0.25">
      <c r="A10" s="13">
        <f>Exposure!A10</f>
        <v>6</v>
      </c>
      <c r="B10" s="27">
        <f>Exposure!B10</f>
        <v>2073</v>
      </c>
      <c r="C10" s="22">
        <f>Data!B7</f>
        <v>1</v>
      </c>
      <c r="D10" s="22">
        <f>Data!C7</f>
        <v>26</v>
      </c>
      <c r="E10" s="22">
        <f>Data!D7</f>
        <v>63</v>
      </c>
      <c r="F10" s="22">
        <f>Data!E7</f>
        <v>43</v>
      </c>
      <c r="G10" s="22">
        <f>Data!F7</f>
        <v>30</v>
      </c>
      <c r="H10" s="22">
        <f>Data!G7</f>
        <v>14</v>
      </c>
      <c r="I10" s="22">
        <f>Data!H7</f>
        <v>7</v>
      </c>
      <c r="J10" s="22">
        <f>Data!I7</f>
        <v>8</v>
      </c>
      <c r="K10" s="22">
        <f>Data!J7</f>
        <v>3</v>
      </c>
      <c r="L10" s="22">
        <f>Data!K7</f>
        <v>2</v>
      </c>
      <c r="M10" s="26">
        <f>$B10*Exposure!M$34/1000</f>
        <v>0.32419987027205782</v>
      </c>
      <c r="N10" s="26">
        <f>$B10*Exposure!N$34/1000</f>
        <v>0.13091185725128304</v>
      </c>
      <c r="O10" s="26">
        <f>$B10*Exposure!O$34/1000</f>
        <v>8.8665169149099346E-2</v>
      </c>
      <c r="P10" s="25">
        <f>SUM(C10:L10)</f>
        <v>197</v>
      </c>
      <c r="Q10" s="24">
        <f t="shared" si="0"/>
        <v>9.5031355523396047E-2</v>
      </c>
      <c r="R10" s="20">
        <f t="shared" si="1"/>
        <v>0.54377689667242635</v>
      </c>
      <c r="S10" s="20">
        <f t="shared" si="2"/>
        <v>197.54377689667243</v>
      </c>
      <c r="T10" s="24">
        <f t="shared" si="3"/>
        <v>9.5293669511178208E-2</v>
      </c>
    </row>
    <row r="11" spans="1:20" ht="15.75" x14ac:dyDescent="0.25">
      <c r="A11" s="13">
        <f>Exposure!A11</f>
        <v>7</v>
      </c>
      <c r="B11" s="27">
        <f>Exposure!B11</f>
        <v>1958</v>
      </c>
      <c r="C11" s="22">
        <f>Data!B8</f>
        <v>3</v>
      </c>
      <c r="D11" s="22">
        <f>Data!C8</f>
        <v>34</v>
      </c>
      <c r="E11" s="22">
        <f>Data!D8</f>
        <v>43</v>
      </c>
      <c r="F11" s="22">
        <f>Data!E8</f>
        <v>44</v>
      </c>
      <c r="G11" s="22">
        <f>Data!F8</f>
        <v>26</v>
      </c>
      <c r="H11" s="22">
        <f>Data!G8</f>
        <v>27</v>
      </c>
      <c r="I11" s="22">
        <f>Data!H8</f>
        <v>6</v>
      </c>
      <c r="J11" s="22">
        <f>Data!I8</f>
        <v>5</v>
      </c>
      <c r="K11" s="22">
        <f>Data!J8</f>
        <v>1</v>
      </c>
      <c r="L11" s="26">
        <f>$B11*Exposure!L$34/1000</f>
        <v>0.75833320814459226</v>
      </c>
      <c r="M11" s="26">
        <f>$B11*Exposure!M$34/1000</f>
        <v>0.30621483164143232</v>
      </c>
      <c r="N11" s="26">
        <f>$B11*Exposure!N$34/1000</f>
        <v>0.12364950144621908</v>
      </c>
      <c r="O11" s="26">
        <f>$B11*Exposure!O$34/1000</f>
        <v>8.3746454989839139E-2</v>
      </c>
      <c r="P11" s="25">
        <f>SUM(C11:K11)</f>
        <v>189</v>
      </c>
      <c r="Q11" s="24">
        <f t="shared" si="0"/>
        <v>9.6527068437180799E-2</v>
      </c>
      <c r="R11" s="20">
        <f t="shared" si="1"/>
        <v>1.2719439962220633</v>
      </c>
      <c r="S11" s="20">
        <f t="shared" si="2"/>
        <v>190.27194399622206</v>
      </c>
      <c r="T11" s="24">
        <f t="shared" si="3"/>
        <v>9.7176682326977556E-2</v>
      </c>
    </row>
    <row r="12" spans="1:20" ht="15.75" x14ac:dyDescent="0.25">
      <c r="A12" s="13">
        <f>Exposure!A12</f>
        <v>8</v>
      </c>
      <c r="B12" s="27">
        <f>Exposure!B12</f>
        <v>2137</v>
      </c>
      <c r="C12" s="22">
        <f>Data!B9</f>
        <v>1</v>
      </c>
      <c r="D12" s="22">
        <f>Data!C9</f>
        <v>39</v>
      </c>
      <c r="E12" s="22">
        <f>Data!D9</f>
        <v>49</v>
      </c>
      <c r="F12" s="22">
        <f>Data!E9</f>
        <v>44</v>
      </c>
      <c r="G12" s="22">
        <f>Data!F9</f>
        <v>21</v>
      </c>
      <c r="H12" s="22">
        <f>Data!G9</f>
        <v>16</v>
      </c>
      <c r="I12" s="22">
        <f>Data!H9</f>
        <v>2</v>
      </c>
      <c r="J12" s="22">
        <f>Data!I9</f>
        <v>5</v>
      </c>
      <c r="K12" s="26">
        <f>$B12*Exposure!K$34/1000</f>
        <v>2.0496785760860754</v>
      </c>
      <c r="L12" s="26">
        <f>$B12*Exposure!L$34/1000</f>
        <v>0.82765989060520617</v>
      </c>
      <c r="M12" s="26">
        <f>$B12*Exposure!M$34/1000</f>
        <v>0.33420893524910156</v>
      </c>
      <c r="N12" s="26">
        <f>$B12*Exposure!N$34/1000</f>
        <v>0.13495351613410123</v>
      </c>
      <c r="O12" s="26">
        <f>$B12*Exposure!O$34/1000</f>
        <v>9.1402540507296334E-2</v>
      </c>
      <c r="P12" s="25">
        <f>SUM(C12:J12)</f>
        <v>177</v>
      </c>
      <c r="Q12" s="24">
        <f t="shared" si="0"/>
        <v>8.2826392138511937E-2</v>
      </c>
      <c r="R12" s="20">
        <f t="shared" si="1"/>
        <v>3.4379034585817863</v>
      </c>
      <c r="S12" s="20">
        <f t="shared" si="2"/>
        <v>180.43790345858179</v>
      </c>
      <c r="T12" s="24">
        <f t="shared" si="3"/>
        <v>8.4435144341872617E-2</v>
      </c>
    </row>
    <row r="13" spans="1:20" ht="15.75" x14ac:dyDescent="0.25">
      <c r="A13" s="13">
        <f>Exposure!A13</f>
        <v>9</v>
      </c>
      <c r="B13" s="27">
        <f>Exposure!B13</f>
        <v>1858</v>
      </c>
      <c r="C13" s="22">
        <f>Data!B10</f>
        <v>2</v>
      </c>
      <c r="D13" s="22">
        <f>Data!C10</f>
        <v>44</v>
      </c>
      <c r="E13" s="22">
        <f>Data!D10</f>
        <v>51</v>
      </c>
      <c r="F13" s="22">
        <f>Data!E10</f>
        <v>46</v>
      </c>
      <c r="G13" s="22">
        <f>Data!F10</f>
        <v>23</v>
      </c>
      <c r="H13" s="22">
        <f>Data!G10</f>
        <v>12</v>
      </c>
      <c r="I13" s="22">
        <f>Data!H10</f>
        <v>10</v>
      </c>
      <c r="J13" s="26">
        <f>$B13*Exposure!J$34/1000</f>
        <v>4.0771783344037678</v>
      </c>
      <c r="K13" s="26">
        <f>$B13*Exposure!K$34/1000</f>
        <v>1.7820789866017446</v>
      </c>
      <c r="L13" s="26">
        <f>$B13*Exposure!L$34/1000</f>
        <v>0.71960321794313198</v>
      </c>
      <c r="M13" s="26">
        <f>$B13*Exposure!M$34/1000</f>
        <v>0.29057566761480141</v>
      </c>
      <c r="N13" s="26">
        <f>$B13*Exposure!N$34/1000</f>
        <v>0.11733440944181565</v>
      </c>
      <c r="O13" s="26">
        <f>$B13*Exposure!O$34/1000</f>
        <v>7.9469312242656326E-2</v>
      </c>
      <c r="P13" s="25">
        <f>SUM(C13:I13)</f>
        <v>188</v>
      </c>
      <c r="Q13" s="24">
        <f t="shared" si="0"/>
        <v>0.10118406889128095</v>
      </c>
      <c r="R13" s="20">
        <f t="shared" si="1"/>
        <v>7.0662399282478816</v>
      </c>
      <c r="S13" s="20">
        <f t="shared" si="2"/>
        <v>195.06623992824788</v>
      </c>
      <c r="T13" s="24">
        <f t="shared" si="3"/>
        <v>0.10498721201735624</v>
      </c>
    </row>
    <row r="14" spans="1:20" ht="15.75" x14ac:dyDescent="0.25">
      <c r="A14" s="13">
        <f>Exposure!A14</f>
        <v>10</v>
      </c>
      <c r="B14" s="27">
        <f>Exposure!B14</f>
        <v>2076</v>
      </c>
      <c r="C14" s="22">
        <f>Data!B11</f>
        <v>3</v>
      </c>
      <c r="D14" s="22">
        <f>Data!C11</f>
        <v>42</v>
      </c>
      <c r="E14" s="22">
        <f>Data!D11</f>
        <v>58</v>
      </c>
      <c r="F14" s="22">
        <f>Data!E11</f>
        <v>38</v>
      </c>
      <c r="G14" s="22">
        <f>Data!F11</f>
        <v>26</v>
      </c>
      <c r="H14" s="22">
        <f>Data!G11</f>
        <v>15</v>
      </c>
      <c r="I14" s="26">
        <f>$B14*Exposure!I$34/1000</f>
        <v>7.7817155096874702</v>
      </c>
      <c r="J14" s="26">
        <f>$B14*Exposure!J$34/1000</f>
        <v>4.5555555555555545</v>
      </c>
      <c r="K14" s="26">
        <f>$B14*Exposure!K$34/1000</f>
        <v>1.9911711389586768</v>
      </c>
      <c r="L14" s="26">
        <f>$B14*Exposure!L$34/1000</f>
        <v>0.80403459658231546</v>
      </c>
      <c r="M14" s="26">
        <f>$B14*Exposure!M$34/1000</f>
        <v>0.32466904519285672</v>
      </c>
      <c r="N14" s="26">
        <f>$B14*Exposure!N$34/1000</f>
        <v>0.13110131001141515</v>
      </c>
      <c r="O14" s="26">
        <f>$B14*Exposure!O$34/1000</f>
        <v>8.879348343151483E-2</v>
      </c>
      <c r="P14" s="25">
        <f>SUM(C14:H14)</f>
        <v>182</v>
      </c>
      <c r="Q14" s="24">
        <f t="shared" si="0"/>
        <v>8.7668593448940263E-2</v>
      </c>
      <c r="R14" s="20">
        <f t="shared" si="1"/>
        <v>15.677040639419772</v>
      </c>
      <c r="S14" s="20">
        <f t="shared" si="2"/>
        <v>197.67704063941977</v>
      </c>
      <c r="T14" s="24">
        <f t="shared" si="3"/>
        <v>9.5220154450587555E-2</v>
      </c>
    </row>
    <row r="15" spans="1:20" ht="15.75" x14ac:dyDescent="0.25">
      <c r="A15" s="13">
        <f>Exposure!A15</f>
        <v>11</v>
      </c>
      <c r="B15" s="27">
        <f>Exposure!B15</f>
        <v>2027</v>
      </c>
      <c r="C15" s="22">
        <f>Data!B12</f>
        <v>6</v>
      </c>
      <c r="D15" s="22">
        <f>Data!C12</f>
        <v>22</v>
      </c>
      <c r="E15" s="22">
        <f>Data!D12</f>
        <v>61</v>
      </c>
      <c r="F15" s="22">
        <f>Data!E12</f>
        <v>38</v>
      </c>
      <c r="G15" s="22">
        <f>Data!F12</f>
        <v>34</v>
      </c>
      <c r="H15" s="26">
        <f>$B15*Exposure!H$34/1000</f>
        <v>15.683305332036433</v>
      </c>
      <c r="I15" s="26">
        <f>$B15*Exposure!I$34/1000</f>
        <v>7.5980430337844425</v>
      </c>
      <c r="J15" s="26">
        <f>$B15*Exposure!J$34/1000</f>
        <v>4.4480304003425388</v>
      </c>
      <c r="K15" s="26">
        <f>$B15*Exposure!K$34/1000</f>
        <v>1.9441733615940455</v>
      </c>
      <c r="L15" s="26">
        <f>$B15*Exposure!L$34/1000</f>
        <v>0.78505690138359985</v>
      </c>
      <c r="M15" s="26">
        <f>$B15*Exposure!M$34/1000</f>
        <v>0.31700585481980759</v>
      </c>
      <c r="N15" s="26">
        <f>$B15*Exposure!N$34/1000</f>
        <v>0.12800691492925745</v>
      </c>
      <c r="O15" s="26">
        <f>$B15*Exposure!O$34/1000</f>
        <v>8.6697683485395263E-2</v>
      </c>
      <c r="P15" s="25">
        <f>SUM(C15:G15)</f>
        <v>161</v>
      </c>
      <c r="Q15" s="24">
        <f t="shared" si="0"/>
        <v>7.9427725703009378E-2</v>
      </c>
      <c r="R15" s="20">
        <f t="shared" si="1"/>
        <v>30.990319482375497</v>
      </c>
      <c r="S15" s="20">
        <f t="shared" si="2"/>
        <v>191.9903194823755</v>
      </c>
      <c r="T15" s="24">
        <f t="shared" si="3"/>
        <v>9.4716487164467442E-2</v>
      </c>
    </row>
    <row r="16" spans="1:20" ht="15.75" x14ac:dyDescent="0.25">
      <c r="A16" s="13">
        <f>Exposure!A16</f>
        <v>12</v>
      </c>
      <c r="B16" s="27">
        <f>Exposure!B16</f>
        <v>2016</v>
      </c>
      <c r="C16" s="22">
        <f>Data!B13</f>
        <v>4</v>
      </c>
      <c r="D16" s="22">
        <f>Data!C13</f>
        <v>33</v>
      </c>
      <c r="E16" s="22">
        <f>Data!D13</f>
        <v>57</v>
      </c>
      <c r="F16" s="22">
        <f>Data!E13</f>
        <v>45</v>
      </c>
      <c r="G16" s="26">
        <f>$B16*Exposure!G$34/1000</f>
        <v>28.548752282410216</v>
      </c>
      <c r="H16" s="26">
        <f>$B16*Exposure!H$34/1000</f>
        <v>15.598196126978513</v>
      </c>
      <c r="I16" s="26">
        <f>$B16*Exposure!I$34/1000</f>
        <v>7.5568104371531506</v>
      </c>
      <c r="J16" s="26">
        <f>$B16*Exposure!J$34/1000</f>
        <v>4.4238921001926776</v>
      </c>
      <c r="K16" s="26">
        <f>$B16*Exposure!K$34/1000</f>
        <v>1.9336228401448423</v>
      </c>
      <c r="L16" s="26">
        <f>$B16*Exposure!L$34/1000</f>
        <v>0.78079660246143923</v>
      </c>
      <c r="M16" s="26">
        <f>$B16*Exposure!M$34/1000</f>
        <v>0.3152855467768782</v>
      </c>
      <c r="N16" s="26">
        <f>$B16*Exposure!N$34/1000</f>
        <v>0.12731225480877309</v>
      </c>
      <c r="O16" s="26">
        <f>$B16*Exposure!O$34/1000</f>
        <v>8.6227197783205159E-2</v>
      </c>
      <c r="P16" s="25">
        <f>SUM(C16:F16)</f>
        <v>139</v>
      </c>
      <c r="Q16" s="24">
        <f t="shared" si="0"/>
        <v>6.8948412698412703E-2</v>
      </c>
      <c r="R16" s="20">
        <f t="shared" si="1"/>
        <v>59.370895388709727</v>
      </c>
      <c r="S16" s="20">
        <f t="shared" si="2"/>
        <v>198.37089538870973</v>
      </c>
      <c r="T16" s="24">
        <f t="shared" si="3"/>
        <v>9.8398261601542525E-2</v>
      </c>
    </row>
    <row r="17" spans="1:20" ht="15.75" x14ac:dyDescent="0.25">
      <c r="A17" s="13">
        <f>Exposure!A17</f>
        <v>13</v>
      </c>
      <c r="B17" s="27">
        <f>Exposure!B17</f>
        <v>2014</v>
      </c>
      <c r="C17" s="22">
        <f>Data!B14</f>
        <v>0</v>
      </c>
      <c r="D17" s="22">
        <f>Data!C14</f>
        <v>35</v>
      </c>
      <c r="E17" s="22">
        <f>Data!D14</f>
        <v>47</v>
      </c>
      <c r="F17" s="26">
        <f>$B17*Exposure!F$34/1000</f>
        <v>42.680694647612626</v>
      </c>
      <c r="G17" s="26">
        <f>$B17*Exposure!G$34/1000</f>
        <v>28.520430107526874</v>
      </c>
      <c r="H17" s="26">
        <f>$B17*Exposure!H$34/1000</f>
        <v>15.582721726058891</v>
      </c>
      <c r="I17" s="26">
        <f>$B17*Exposure!I$34/1000</f>
        <v>7.5493136014020061</v>
      </c>
      <c r="J17" s="26">
        <f>$B17*Exposure!J$34/1000</f>
        <v>4.4195033183472487</v>
      </c>
      <c r="K17" s="26">
        <f>$B17*Exposure!K$34/1000</f>
        <v>1.9317045635177144</v>
      </c>
      <c r="L17" s="26">
        <f>$B17*Exposure!L$34/1000</f>
        <v>0.78002200265740995</v>
      </c>
      <c r="M17" s="26">
        <f>$B17*Exposure!M$34/1000</f>
        <v>0.31497276349634556</v>
      </c>
      <c r="N17" s="26">
        <f>$B17*Exposure!N$34/1000</f>
        <v>0.12718595296868501</v>
      </c>
      <c r="O17" s="26">
        <f>$B17*Exposure!O$34/1000</f>
        <v>8.6141654928261507E-2</v>
      </c>
      <c r="P17" s="25">
        <f>SUM(C17:E17)</f>
        <v>82</v>
      </c>
      <c r="Q17" s="24">
        <f t="shared" si="0"/>
        <v>4.0714995034756701E-2</v>
      </c>
      <c r="R17" s="20">
        <f t="shared" si="1"/>
        <v>101.99269033851604</v>
      </c>
      <c r="S17" s="20">
        <f t="shared" si="2"/>
        <v>183.99269033851604</v>
      </c>
      <c r="T17" s="24">
        <f t="shared" si="3"/>
        <v>9.1356847238587904E-2</v>
      </c>
    </row>
    <row r="18" spans="1:20" ht="15.75" x14ac:dyDescent="0.25">
      <c r="A18" s="13">
        <f>Exposure!A18</f>
        <v>14</v>
      </c>
      <c r="B18" s="27">
        <f>Exposure!B18</f>
        <v>1809</v>
      </c>
      <c r="C18" s="22">
        <f>Data!B15</f>
        <v>1</v>
      </c>
      <c r="D18" s="22">
        <f>Data!C15</f>
        <v>32</v>
      </c>
      <c r="E18" s="26">
        <f>$B18*Exposure!E$34/1000</f>
        <v>48.134856146469048</v>
      </c>
      <c r="F18" s="26">
        <f>$B18*Exposure!F$34/1000</f>
        <v>38.336333970968838</v>
      </c>
      <c r="G18" s="26">
        <f>$B18*Exposure!G$34/1000</f>
        <v>25.617407181984166</v>
      </c>
      <c r="H18" s="26">
        <f>$B18*Exposure!H$34/1000</f>
        <v>13.996595631797684</v>
      </c>
      <c r="I18" s="26">
        <f>$B18*Exposure!I$34/1000</f>
        <v>6.780887936909747</v>
      </c>
      <c r="J18" s="26">
        <f>$B18*Exposure!J$34/1000</f>
        <v>3.9696531791907508</v>
      </c>
      <c r="K18" s="26">
        <f>$B18*Exposure!K$34/1000</f>
        <v>1.7350812092371128</v>
      </c>
      <c r="L18" s="26">
        <f>$B18*Exposure!L$34/1000</f>
        <v>0.70062552274441647</v>
      </c>
      <c r="M18" s="26">
        <f>$B18*Exposure!M$34/1000</f>
        <v>0.28291247724175234</v>
      </c>
      <c r="N18" s="26">
        <f>$B18*Exposure!N$34/1000</f>
        <v>0.11424001435965797</v>
      </c>
      <c r="O18" s="26">
        <f>$B18*Exposure!O$34/1000</f>
        <v>7.7373512296536759E-2</v>
      </c>
      <c r="P18" s="25">
        <f>SUM(C18:D18)</f>
        <v>33</v>
      </c>
      <c r="Q18" s="24">
        <f t="shared" si="0"/>
        <v>1.824212271973466E-2</v>
      </c>
      <c r="R18" s="20">
        <f t="shared" si="1"/>
        <v>139.74596678319969</v>
      </c>
      <c r="S18" s="20">
        <f t="shared" si="2"/>
        <v>172.74596678319969</v>
      </c>
      <c r="T18" s="24">
        <f t="shared" si="3"/>
        <v>9.5492518951464725E-2</v>
      </c>
    </row>
    <row r="19" spans="1:20" ht="15.75" x14ac:dyDescent="0.25">
      <c r="A19" s="13">
        <f>Exposure!A19</f>
        <v>15</v>
      </c>
      <c r="B19" s="27">
        <f>Exposure!B19</f>
        <v>1879</v>
      </c>
      <c r="C19" s="22">
        <f>Data!B16</f>
        <v>5</v>
      </c>
      <c r="D19" s="26">
        <f>$B19*Exposure!D$34/1000</f>
        <v>33.161724183178066</v>
      </c>
      <c r="E19" s="26">
        <f>$B19*Exposure!E$34/1000</f>
        <v>49.997454228421972</v>
      </c>
      <c r="F19" s="26">
        <f>$B19*Exposure!F$34/1000</f>
        <v>39.819774202017939</v>
      </c>
      <c r="G19" s="26">
        <f>$B19*Exposure!G$34/1000</f>
        <v>26.608683302901188</v>
      </c>
      <c r="H19" s="26">
        <f>$B19*Exposure!H$34/1000</f>
        <v>14.538199663984438</v>
      </c>
      <c r="I19" s="26">
        <f>$B19*Exposure!I$34/1000</f>
        <v>7.0432771881997871</v>
      </c>
      <c r="J19" s="26">
        <f>$B19*Exposure!J$34/1000</f>
        <v>4.1232605437807743</v>
      </c>
      <c r="K19" s="26">
        <f>$B19*Exposure!K$34/1000</f>
        <v>1.8022208911865867</v>
      </c>
      <c r="L19" s="26">
        <f>$B19*Exposure!L$34/1000</f>
        <v>0.72773651588543864</v>
      </c>
      <c r="M19" s="26">
        <f>$B19*Exposure!M$34/1000</f>
        <v>0.29385989206039392</v>
      </c>
      <c r="N19" s="26">
        <f>$B19*Exposure!N$34/1000</f>
        <v>0.11866057876274037</v>
      </c>
      <c r="O19" s="26">
        <f>$B19*Exposure!O$34/1000</f>
        <v>8.0367512219564716E-2</v>
      </c>
      <c r="P19" s="25">
        <f>SUM(C19)</f>
        <v>5</v>
      </c>
      <c r="Q19" s="24">
        <f t="shared" si="0"/>
        <v>2.6609898882384245E-3</v>
      </c>
      <c r="R19" s="20">
        <f t="shared" si="1"/>
        <v>178.31521870259888</v>
      </c>
      <c r="S19" s="20">
        <f t="shared" si="2"/>
        <v>183.31521870259888</v>
      </c>
      <c r="T19" s="24">
        <f t="shared" si="3"/>
        <v>9.75599886655662E-2</v>
      </c>
    </row>
    <row r="20" spans="1:20" ht="15.7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3"/>
      <c r="S20" s="3"/>
    </row>
    <row r="21" spans="1:20" ht="16.5" thickBo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23">
        <f>SUM(R4:R19)</f>
        <v>539.08271837335565</v>
      </c>
      <c r="S21" s="3"/>
    </row>
    <row r="22" spans="1:20" ht="15.75" thickTop="1" x14ac:dyDescent="0.25"/>
    <row r="24" spans="1:20" ht="15.75" x14ac:dyDescent="0.25">
      <c r="A24" s="21"/>
      <c r="Q24" s="3"/>
      <c r="R24" s="3"/>
      <c r="S24" s="3"/>
      <c r="T24" s="3"/>
    </row>
    <row r="25" spans="1:20" ht="15.75" x14ac:dyDescent="0.25"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6"/>
      <c r="Q25" s="20"/>
      <c r="R25" s="19"/>
      <c r="S25" s="20"/>
      <c r="T25" s="19"/>
    </row>
    <row r="26" spans="1:20" ht="15.75" x14ac:dyDescent="0.25"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6"/>
      <c r="Q26" s="20"/>
      <c r="R26" s="19"/>
      <c r="S26" s="20"/>
      <c r="T26" s="19"/>
    </row>
    <row r="27" spans="1:20" ht="15.75" x14ac:dyDescent="0.25"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6"/>
      <c r="Q27" s="20"/>
      <c r="R27" s="19"/>
      <c r="S27" s="20"/>
      <c r="T27" s="19"/>
    </row>
    <row r="28" spans="1:20" ht="15.75" x14ac:dyDescent="0.2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6"/>
      <c r="Q28" s="20"/>
      <c r="R28" s="19"/>
      <c r="S28" s="20"/>
      <c r="T28" s="19"/>
    </row>
    <row r="29" spans="1:20" ht="15.75" x14ac:dyDescent="0.25"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6"/>
      <c r="Q29" s="20"/>
      <c r="R29" s="19"/>
      <c r="S29" s="20"/>
      <c r="T29" s="19"/>
    </row>
    <row r="30" spans="1:20" ht="15.75" x14ac:dyDescent="0.25"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6"/>
      <c r="Q30" s="20"/>
      <c r="R30" s="19"/>
      <c r="S30" s="20"/>
      <c r="T30" s="19"/>
    </row>
    <row r="31" spans="1:20" ht="15.75" x14ac:dyDescent="0.25"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6"/>
      <c r="Q31" s="20"/>
      <c r="R31" s="19"/>
      <c r="S31" s="20"/>
      <c r="T31" s="19"/>
    </row>
    <row r="32" spans="1:20" ht="15.75" x14ac:dyDescent="0.25"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6"/>
      <c r="Q32" s="20"/>
      <c r="R32" s="19"/>
      <c r="S32" s="20"/>
      <c r="T32" s="19"/>
    </row>
    <row r="33" spans="1:21" ht="15.75" x14ac:dyDescent="0.25"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6"/>
      <c r="Q33" s="20"/>
      <c r="R33" s="19"/>
      <c r="S33" s="20"/>
      <c r="T33" s="19"/>
    </row>
    <row r="34" spans="1:21" ht="15.75" x14ac:dyDescent="0.25"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6"/>
      <c r="Q34" s="20"/>
      <c r="R34" s="19"/>
      <c r="S34" s="20"/>
      <c r="T34" s="19"/>
    </row>
    <row r="35" spans="1:21" ht="15.75" x14ac:dyDescent="0.25"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6"/>
      <c r="Q35" s="20"/>
      <c r="R35" s="19"/>
      <c r="S35" s="20"/>
      <c r="T35" s="19"/>
    </row>
    <row r="36" spans="1:21" ht="15.75" x14ac:dyDescent="0.25"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6"/>
      <c r="Q36" s="20"/>
      <c r="R36" s="19"/>
      <c r="S36" s="20"/>
      <c r="T36" s="19"/>
    </row>
    <row r="37" spans="1:21" ht="15.75" x14ac:dyDescent="0.25"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6"/>
      <c r="Q37" s="20"/>
      <c r="R37" s="19"/>
      <c r="S37" s="20"/>
      <c r="T37" s="19"/>
    </row>
    <row r="38" spans="1:21" ht="15.75" x14ac:dyDescent="0.25"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6"/>
      <c r="Q38" s="20"/>
      <c r="R38" s="19"/>
      <c r="S38" s="20"/>
      <c r="T38" s="19"/>
    </row>
    <row r="39" spans="1:21" ht="15.75" x14ac:dyDescent="0.25"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6"/>
      <c r="Q39" s="20"/>
      <c r="R39" s="19"/>
      <c r="S39" s="20"/>
      <c r="T39" s="19"/>
    </row>
    <row r="40" spans="1:21" ht="15.75" x14ac:dyDescent="0.25"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6"/>
      <c r="Q40" s="20"/>
      <c r="R40" s="19"/>
      <c r="S40" s="20"/>
      <c r="T40" s="19"/>
    </row>
    <row r="41" spans="1:21" ht="15.75" x14ac:dyDescent="0.25">
      <c r="P41" s="1"/>
      <c r="Q41" s="3"/>
      <c r="R41" s="19"/>
      <c r="S41" s="3"/>
    </row>
    <row r="42" spans="1:21" ht="15.75" x14ac:dyDescent="0.25">
      <c r="A42" s="21"/>
      <c r="P42" s="1"/>
      <c r="Q42" s="20"/>
      <c r="R42" s="19"/>
      <c r="S42" s="3"/>
      <c r="T42" s="18"/>
      <c r="U42" s="18"/>
    </row>
    <row r="60" spans="3:15" x14ac:dyDescent="0.25">
      <c r="C60" t="str">
        <f t="shared" ref="C60:O60" si="4">IF(C42&gt;0,C21/C42,"")</f>
        <v/>
      </c>
      <c r="D60" t="str">
        <f t="shared" si="4"/>
        <v/>
      </c>
      <c r="E60" t="str">
        <f t="shared" si="4"/>
        <v/>
      </c>
      <c r="F60" t="str">
        <f t="shared" si="4"/>
        <v/>
      </c>
      <c r="G60" t="str">
        <f t="shared" si="4"/>
        <v/>
      </c>
      <c r="H60" t="str">
        <f t="shared" si="4"/>
        <v/>
      </c>
      <c r="I60" t="str">
        <f t="shared" si="4"/>
        <v/>
      </c>
      <c r="J60" t="str">
        <f t="shared" si="4"/>
        <v/>
      </c>
      <c r="K60" t="str">
        <f t="shared" si="4"/>
        <v/>
      </c>
      <c r="L60" t="str">
        <f t="shared" si="4"/>
        <v/>
      </c>
      <c r="M60" t="str">
        <f t="shared" si="4"/>
        <v/>
      </c>
      <c r="N60" t="str">
        <f t="shared" si="4"/>
        <v/>
      </c>
      <c r="O60" t="str">
        <f t="shared" si="4"/>
        <v/>
      </c>
    </row>
  </sheetData>
  <conditionalFormatting sqref="C43:O5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43E3F-8704-49B9-A6D7-F74833BAC4DB}">
  <dimension ref="A1:U35"/>
  <sheetViews>
    <sheetView workbookViewId="0">
      <selection activeCell="R3" sqref="R3"/>
    </sheetView>
  </sheetViews>
  <sheetFormatPr defaultRowHeight="15" x14ac:dyDescent="0.25"/>
  <sheetData>
    <row r="1" spans="1:20" ht="15.75" x14ac:dyDescent="0.25">
      <c r="A1" s="21" t="s">
        <v>35</v>
      </c>
      <c r="Q1" s="3" t="s">
        <v>27</v>
      </c>
      <c r="R1" s="3" t="s">
        <v>36</v>
      </c>
      <c r="S1" s="29" t="s">
        <v>37</v>
      </c>
      <c r="T1" s="3" t="s">
        <v>36</v>
      </c>
    </row>
    <row r="2" spans="1:20" ht="15.75" x14ac:dyDescent="0.25">
      <c r="C2" s="22">
        <v>4</v>
      </c>
      <c r="D2" s="22">
        <v>46</v>
      </c>
      <c r="E2" s="22">
        <v>44</v>
      </c>
      <c r="F2" s="22">
        <v>40</v>
      </c>
      <c r="G2" s="22">
        <v>35</v>
      </c>
      <c r="H2" s="22">
        <v>17</v>
      </c>
      <c r="I2" s="22">
        <v>7</v>
      </c>
      <c r="J2" s="22">
        <v>3</v>
      </c>
      <c r="K2" s="22">
        <v>3</v>
      </c>
      <c r="L2" s="22">
        <v>0</v>
      </c>
      <c r="M2" s="22">
        <v>0</v>
      </c>
      <c r="N2" s="22">
        <v>0</v>
      </c>
      <c r="O2" s="22">
        <v>0</v>
      </c>
      <c r="P2" s="25">
        <f>SUM(C2:N2)</f>
        <v>199</v>
      </c>
      <c r="Q2" s="20">
        <f t="shared" ref="Q2:Q17" si="0">S2-P2</f>
        <v>0</v>
      </c>
      <c r="R2" s="19">
        <f>Q2/IBNR!R4</f>
        <v>0</v>
      </c>
      <c r="S2" s="30">
        <f t="shared" ref="S2:S17" si="1">SUM(C2:O2)</f>
        <v>199</v>
      </c>
      <c r="T2" s="19">
        <f>S2/IBNR!S4</f>
        <v>0.9995385395455223</v>
      </c>
    </row>
    <row r="3" spans="1:20" ht="15.75" x14ac:dyDescent="0.25">
      <c r="C3" s="22">
        <v>3</v>
      </c>
      <c r="D3" s="22">
        <v>46</v>
      </c>
      <c r="E3" s="22">
        <v>61</v>
      </c>
      <c r="F3" s="22">
        <v>43</v>
      </c>
      <c r="G3" s="22">
        <v>28</v>
      </c>
      <c r="H3" s="22">
        <v>17</v>
      </c>
      <c r="I3" s="22">
        <v>5</v>
      </c>
      <c r="J3" s="22">
        <v>3</v>
      </c>
      <c r="K3" s="22">
        <v>1</v>
      </c>
      <c r="L3" s="22">
        <v>2</v>
      </c>
      <c r="M3" s="22">
        <v>1</v>
      </c>
      <c r="N3" s="22">
        <v>0</v>
      </c>
      <c r="O3" s="22">
        <v>0</v>
      </c>
      <c r="P3" s="25">
        <f>SUM(C3:N3)</f>
        <v>210</v>
      </c>
      <c r="Q3" s="20">
        <f t="shared" si="0"/>
        <v>0</v>
      </c>
      <c r="R3" s="19">
        <f>Q3/IBNR!R5</f>
        <v>0</v>
      </c>
      <c r="S3" s="30">
        <f t="shared" si="1"/>
        <v>210</v>
      </c>
      <c r="T3" s="19">
        <f>S3/IBNR!S5</f>
        <v>0.99957979461678315</v>
      </c>
    </row>
    <row r="4" spans="1:20" ht="15.75" x14ac:dyDescent="0.25">
      <c r="C4" s="22">
        <v>4</v>
      </c>
      <c r="D4" s="22">
        <v>33</v>
      </c>
      <c r="E4" s="22">
        <v>49</v>
      </c>
      <c r="F4" s="22">
        <v>46</v>
      </c>
      <c r="G4" s="22">
        <v>27</v>
      </c>
      <c r="H4" s="22">
        <v>11</v>
      </c>
      <c r="I4" s="22">
        <v>7</v>
      </c>
      <c r="J4" s="22">
        <v>3</v>
      </c>
      <c r="K4" s="22">
        <v>2</v>
      </c>
      <c r="L4" s="22">
        <v>0</v>
      </c>
      <c r="M4" s="22">
        <v>0</v>
      </c>
      <c r="N4" s="22">
        <v>0</v>
      </c>
      <c r="O4" s="22">
        <v>0</v>
      </c>
      <c r="P4" s="25">
        <f>SUM(C4:N4)</f>
        <v>182</v>
      </c>
      <c r="Q4" s="20">
        <f t="shared" si="0"/>
        <v>0</v>
      </c>
      <c r="R4" s="19">
        <f>Q4/IBNR!R6</f>
        <v>0</v>
      </c>
      <c r="S4" s="30">
        <f t="shared" si="1"/>
        <v>182</v>
      </c>
      <c r="T4" s="19">
        <f>S4/IBNR!S6</f>
        <v>0.9995311442736764</v>
      </c>
    </row>
    <row r="5" spans="1:20" ht="15.75" x14ac:dyDescent="0.25">
      <c r="C5" s="22">
        <v>4</v>
      </c>
      <c r="D5" s="22">
        <v>36</v>
      </c>
      <c r="E5" s="22">
        <v>73</v>
      </c>
      <c r="F5" s="22">
        <v>47</v>
      </c>
      <c r="G5" s="22">
        <v>31</v>
      </c>
      <c r="H5" s="22">
        <v>18</v>
      </c>
      <c r="I5" s="22">
        <v>14</v>
      </c>
      <c r="J5" s="22">
        <v>8</v>
      </c>
      <c r="K5" s="22">
        <v>3</v>
      </c>
      <c r="L5" s="22">
        <v>0</v>
      </c>
      <c r="M5" s="22">
        <v>1</v>
      </c>
      <c r="N5" s="22">
        <v>0</v>
      </c>
      <c r="O5" s="22">
        <v>0</v>
      </c>
      <c r="P5" s="25">
        <f>SUM(C5:N5)</f>
        <v>235</v>
      </c>
      <c r="Q5" s="20">
        <f t="shared" si="0"/>
        <v>0</v>
      </c>
      <c r="R5" s="19">
        <f>Q5/IBNR!R7</f>
        <v>0</v>
      </c>
      <c r="S5" s="30">
        <f t="shared" si="1"/>
        <v>235</v>
      </c>
      <c r="T5" s="19">
        <f>S5/IBNR!S7</f>
        <v>0.99961229542869889</v>
      </c>
    </row>
    <row r="6" spans="1:20" ht="15.75" x14ac:dyDescent="0.25">
      <c r="C6" s="22">
        <v>4</v>
      </c>
      <c r="D6" s="22">
        <v>40</v>
      </c>
      <c r="E6" s="22">
        <v>49</v>
      </c>
      <c r="F6" s="22">
        <v>52</v>
      </c>
      <c r="G6" s="22">
        <v>33</v>
      </c>
      <c r="H6" s="22">
        <v>19</v>
      </c>
      <c r="I6" s="22">
        <v>7</v>
      </c>
      <c r="J6" s="22">
        <v>1</v>
      </c>
      <c r="K6" s="22">
        <v>1</v>
      </c>
      <c r="L6" s="22">
        <v>0</v>
      </c>
      <c r="M6" s="22">
        <v>0</v>
      </c>
      <c r="N6" s="22">
        <v>0</v>
      </c>
      <c r="O6" s="22">
        <v>0</v>
      </c>
      <c r="P6" s="25">
        <f>SUM(C6:N6)</f>
        <v>206</v>
      </c>
      <c r="Q6" s="20">
        <f t="shared" si="0"/>
        <v>0</v>
      </c>
      <c r="R6" s="19">
        <f>Q6/IBNR!R8</f>
        <v>0</v>
      </c>
      <c r="S6" s="30">
        <f t="shared" si="1"/>
        <v>206</v>
      </c>
      <c r="T6" s="19">
        <f>S6/IBNR!S8</f>
        <v>0.99957806978932506</v>
      </c>
    </row>
    <row r="7" spans="1:20" ht="15.75" x14ac:dyDescent="0.25">
      <c r="C7" s="22">
        <v>2</v>
      </c>
      <c r="D7" s="22">
        <v>30</v>
      </c>
      <c r="E7" s="22">
        <v>58</v>
      </c>
      <c r="F7" s="22">
        <v>39</v>
      </c>
      <c r="G7" s="22">
        <v>35</v>
      </c>
      <c r="H7" s="22">
        <v>9</v>
      </c>
      <c r="I7" s="22">
        <v>12</v>
      </c>
      <c r="J7" s="22">
        <v>5</v>
      </c>
      <c r="K7" s="22">
        <v>5</v>
      </c>
      <c r="L7" s="22">
        <v>1</v>
      </c>
      <c r="M7" s="22">
        <v>0</v>
      </c>
      <c r="N7" s="22">
        <v>0</v>
      </c>
      <c r="O7" s="22">
        <v>0</v>
      </c>
      <c r="P7" s="25">
        <f>SUM(C7:M7)</f>
        <v>196</v>
      </c>
      <c r="Q7" s="20">
        <f t="shared" si="0"/>
        <v>0</v>
      </c>
      <c r="R7" s="19">
        <f>Q7/IBNR!R9</f>
        <v>0</v>
      </c>
      <c r="S7" s="30">
        <f t="shared" si="1"/>
        <v>196</v>
      </c>
      <c r="T7" s="19">
        <f>S7/IBNR!S9</f>
        <v>0.99884268016011979</v>
      </c>
    </row>
    <row r="8" spans="1:20" ht="15.75" x14ac:dyDescent="0.25">
      <c r="C8" s="22">
        <v>1</v>
      </c>
      <c r="D8" s="22">
        <v>26</v>
      </c>
      <c r="E8" s="22">
        <v>63</v>
      </c>
      <c r="F8" s="22">
        <v>43</v>
      </c>
      <c r="G8" s="22">
        <v>30</v>
      </c>
      <c r="H8" s="22">
        <v>14</v>
      </c>
      <c r="I8" s="22">
        <v>7</v>
      </c>
      <c r="J8" s="22">
        <v>8</v>
      </c>
      <c r="K8" s="22">
        <v>3</v>
      </c>
      <c r="L8" s="22">
        <v>2</v>
      </c>
      <c r="M8" s="22">
        <v>0</v>
      </c>
      <c r="N8" s="22">
        <v>0</v>
      </c>
      <c r="O8" s="22">
        <v>0</v>
      </c>
      <c r="P8" s="25">
        <f>SUM(C8:L8)</f>
        <v>197</v>
      </c>
      <c r="Q8" s="20">
        <f t="shared" si="0"/>
        <v>0</v>
      </c>
      <c r="R8" s="19">
        <f>Q8/IBNR!R10</f>
        <v>0</v>
      </c>
      <c r="S8" s="30">
        <f t="shared" si="1"/>
        <v>197</v>
      </c>
      <c r="T8" s="19">
        <f>S8/IBNR!S10</f>
        <v>0.9972473094054648</v>
      </c>
    </row>
    <row r="9" spans="1:20" ht="15.75" x14ac:dyDescent="0.25">
      <c r="C9" s="22">
        <v>3</v>
      </c>
      <c r="D9" s="22">
        <v>34</v>
      </c>
      <c r="E9" s="22">
        <v>43</v>
      </c>
      <c r="F9" s="22">
        <v>44</v>
      </c>
      <c r="G9" s="22">
        <v>26</v>
      </c>
      <c r="H9" s="22">
        <v>27</v>
      </c>
      <c r="I9" s="22">
        <v>6</v>
      </c>
      <c r="J9" s="22">
        <v>5</v>
      </c>
      <c r="K9" s="22">
        <v>1</v>
      </c>
      <c r="L9" s="22">
        <v>2</v>
      </c>
      <c r="M9" s="22">
        <v>2</v>
      </c>
      <c r="N9" s="22">
        <v>0</v>
      </c>
      <c r="O9" s="22">
        <v>1</v>
      </c>
      <c r="P9" s="25">
        <f>SUM(C9:K9)</f>
        <v>189</v>
      </c>
      <c r="Q9" s="20">
        <f t="shared" si="0"/>
        <v>5</v>
      </c>
      <c r="R9" s="19">
        <f>Q9/IBNR!R11</f>
        <v>3.9309906842211872</v>
      </c>
      <c r="S9" s="30">
        <f t="shared" si="1"/>
        <v>194</v>
      </c>
      <c r="T9" s="19">
        <f>S9/IBNR!S11</f>
        <v>1.0195933038023302</v>
      </c>
    </row>
    <row r="10" spans="1:20" ht="15.75" x14ac:dyDescent="0.25">
      <c r="C10" s="22">
        <v>1</v>
      </c>
      <c r="D10" s="22">
        <v>39</v>
      </c>
      <c r="E10" s="22">
        <v>49</v>
      </c>
      <c r="F10" s="22">
        <v>44</v>
      </c>
      <c r="G10" s="22">
        <v>21</v>
      </c>
      <c r="H10" s="22">
        <v>16</v>
      </c>
      <c r="I10" s="22">
        <v>2</v>
      </c>
      <c r="J10" s="22">
        <v>5</v>
      </c>
      <c r="K10" s="22">
        <v>2</v>
      </c>
      <c r="L10" s="22">
        <v>0</v>
      </c>
      <c r="M10" s="22">
        <v>0</v>
      </c>
      <c r="N10" s="22">
        <v>0</v>
      </c>
      <c r="O10" s="22">
        <v>0</v>
      </c>
      <c r="P10" s="25">
        <f>SUM(C10:J10)</f>
        <v>177</v>
      </c>
      <c r="Q10" s="20">
        <f t="shared" si="0"/>
        <v>2</v>
      </c>
      <c r="R10" s="19">
        <f>Q10/IBNR!R12</f>
        <v>0.58174990196642862</v>
      </c>
      <c r="S10" s="30">
        <f t="shared" si="1"/>
        <v>179</v>
      </c>
      <c r="T10" s="19">
        <f>S10/IBNR!S12</f>
        <v>0.99203103432804052</v>
      </c>
    </row>
    <row r="11" spans="1:20" ht="15.75" x14ac:dyDescent="0.25">
      <c r="C11" s="22">
        <v>2</v>
      </c>
      <c r="D11" s="22">
        <v>44</v>
      </c>
      <c r="E11" s="22">
        <v>51</v>
      </c>
      <c r="F11" s="22">
        <v>46</v>
      </c>
      <c r="G11" s="22">
        <v>23</v>
      </c>
      <c r="H11" s="22">
        <v>12</v>
      </c>
      <c r="I11" s="22">
        <v>10</v>
      </c>
      <c r="J11" s="22">
        <v>5</v>
      </c>
      <c r="K11" s="22">
        <v>1</v>
      </c>
      <c r="L11" s="22">
        <v>1</v>
      </c>
      <c r="M11" s="22">
        <v>1</v>
      </c>
      <c r="N11" s="22">
        <v>0</v>
      </c>
      <c r="O11" s="22">
        <v>0</v>
      </c>
      <c r="P11" s="25">
        <f>SUM(C11:I11)</f>
        <v>188</v>
      </c>
      <c r="Q11" s="20">
        <f t="shared" si="0"/>
        <v>8</v>
      </c>
      <c r="R11" s="19">
        <f>Q11/IBNR!R13</f>
        <v>1.132143839047884</v>
      </c>
      <c r="S11" s="30">
        <f t="shared" si="1"/>
        <v>196</v>
      </c>
      <c r="T11" s="19">
        <f>S11/IBNR!S13</f>
        <v>1.0047868871215009</v>
      </c>
    </row>
    <row r="12" spans="1:20" ht="15.75" x14ac:dyDescent="0.25">
      <c r="C12" s="22">
        <v>3</v>
      </c>
      <c r="D12" s="22">
        <v>42</v>
      </c>
      <c r="E12" s="22">
        <v>58</v>
      </c>
      <c r="F12" s="22">
        <v>38</v>
      </c>
      <c r="G12" s="22">
        <v>26</v>
      </c>
      <c r="H12" s="22">
        <v>15</v>
      </c>
      <c r="I12" s="22">
        <v>10</v>
      </c>
      <c r="J12" s="22">
        <v>6</v>
      </c>
      <c r="K12" s="22">
        <v>1</v>
      </c>
      <c r="L12" s="22">
        <v>2</v>
      </c>
      <c r="M12" s="22">
        <v>1</v>
      </c>
      <c r="N12" s="22">
        <v>0</v>
      </c>
      <c r="O12" s="22">
        <v>0</v>
      </c>
      <c r="P12" s="25">
        <f>SUM(C12:H12)</f>
        <v>182</v>
      </c>
      <c r="Q12" s="20">
        <f t="shared" si="0"/>
        <v>20</v>
      </c>
      <c r="R12" s="19">
        <f>Q12/IBNR!R14</f>
        <v>1.275750982600006</v>
      </c>
      <c r="S12" s="30">
        <f t="shared" si="1"/>
        <v>202</v>
      </c>
      <c r="T12" s="19">
        <f>S12/IBNR!S14</f>
        <v>1.0218687984532593</v>
      </c>
    </row>
    <row r="13" spans="1:20" ht="15.75" x14ac:dyDescent="0.25">
      <c r="C13" s="22">
        <v>6</v>
      </c>
      <c r="D13" s="22">
        <v>22</v>
      </c>
      <c r="E13" s="22">
        <v>61</v>
      </c>
      <c r="F13" s="22">
        <v>38</v>
      </c>
      <c r="G13" s="22">
        <v>34</v>
      </c>
      <c r="H13" s="22">
        <v>15</v>
      </c>
      <c r="I13" s="22">
        <v>8</v>
      </c>
      <c r="J13" s="22">
        <v>4</v>
      </c>
      <c r="K13" s="22">
        <v>2</v>
      </c>
      <c r="L13" s="22">
        <v>2</v>
      </c>
      <c r="M13" s="22">
        <v>1</v>
      </c>
      <c r="N13" s="22">
        <v>0</v>
      </c>
      <c r="O13" s="22">
        <v>0</v>
      </c>
      <c r="P13" s="25">
        <f>SUM(C13:G13)</f>
        <v>161</v>
      </c>
      <c r="Q13" s="20">
        <f t="shared" si="0"/>
        <v>32</v>
      </c>
      <c r="R13" s="19">
        <f>Q13/IBNR!R15</f>
        <v>1.0325805133502648</v>
      </c>
      <c r="S13" s="30">
        <f t="shared" si="1"/>
        <v>193</v>
      </c>
      <c r="T13" s="19">
        <f>S13/IBNR!S15</f>
        <v>1.0052590178522891</v>
      </c>
    </row>
    <row r="14" spans="1:20" ht="15.75" x14ac:dyDescent="0.25">
      <c r="C14" s="22">
        <v>4</v>
      </c>
      <c r="D14" s="22">
        <v>33</v>
      </c>
      <c r="E14" s="22">
        <v>57</v>
      </c>
      <c r="F14" s="22">
        <v>45</v>
      </c>
      <c r="G14" s="22">
        <v>26</v>
      </c>
      <c r="H14" s="22">
        <v>21</v>
      </c>
      <c r="I14" s="22">
        <v>16</v>
      </c>
      <c r="J14" s="22">
        <v>3</v>
      </c>
      <c r="K14" s="22">
        <v>1</v>
      </c>
      <c r="L14" s="22">
        <v>2</v>
      </c>
      <c r="M14" s="22">
        <v>1</v>
      </c>
      <c r="N14" s="22">
        <v>1</v>
      </c>
      <c r="O14" s="22">
        <v>0</v>
      </c>
      <c r="P14" s="25">
        <f>SUM(C14:F14)</f>
        <v>139</v>
      </c>
      <c r="Q14" s="20">
        <f t="shared" si="0"/>
        <v>71</v>
      </c>
      <c r="R14" s="19">
        <f>Q14/IBNR!R16</f>
        <v>1.1958721446788509</v>
      </c>
      <c r="S14" s="30">
        <f t="shared" si="1"/>
        <v>210</v>
      </c>
      <c r="T14" s="19">
        <f>S14/IBNR!S16</f>
        <v>1.0586230383671098</v>
      </c>
    </row>
    <row r="15" spans="1:20" ht="15.75" x14ac:dyDescent="0.25">
      <c r="C15" s="22">
        <v>0</v>
      </c>
      <c r="D15" s="22">
        <v>35</v>
      </c>
      <c r="E15" s="22">
        <v>47</v>
      </c>
      <c r="F15" s="22">
        <v>50</v>
      </c>
      <c r="G15" s="22">
        <v>34</v>
      </c>
      <c r="H15" s="22">
        <v>20</v>
      </c>
      <c r="I15" s="22">
        <v>4</v>
      </c>
      <c r="J15" s="22">
        <v>1</v>
      </c>
      <c r="K15" s="22">
        <v>0</v>
      </c>
      <c r="L15" s="22">
        <v>0</v>
      </c>
      <c r="M15" s="22">
        <v>0</v>
      </c>
      <c r="N15" s="22">
        <v>0</v>
      </c>
      <c r="O15" s="22">
        <v>0</v>
      </c>
      <c r="P15" s="25">
        <f>SUM(C15:E15)</f>
        <v>82</v>
      </c>
      <c r="Q15" s="20">
        <f t="shared" si="0"/>
        <v>109</v>
      </c>
      <c r="R15" s="19">
        <f>Q15/IBNR!R17</f>
        <v>1.0687040378896422</v>
      </c>
      <c r="S15" s="30">
        <f t="shared" si="1"/>
        <v>191</v>
      </c>
      <c r="T15" s="19">
        <f>S15/IBNR!S17</f>
        <v>1.0380847176515093</v>
      </c>
    </row>
    <row r="16" spans="1:20" ht="15.75" x14ac:dyDescent="0.25">
      <c r="C16" s="22">
        <v>1</v>
      </c>
      <c r="D16" s="22">
        <v>32</v>
      </c>
      <c r="E16" s="22">
        <v>41</v>
      </c>
      <c r="F16" s="22">
        <v>33</v>
      </c>
      <c r="G16" s="22">
        <v>16</v>
      </c>
      <c r="H16" s="22">
        <v>15</v>
      </c>
      <c r="I16" s="22">
        <v>13</v>
      </c>
      <c r="J16" s="22">
        <v>1</v>
      </c>
      <c r="K16" s="22">
        <v>5</v>
      </c>
      <c r="L16" s="22">
        <v>1</v>
      </c>
      <c r="M16" s="22">
        <v>1</v>
      </c>
      <c r="N16" s="22">
        <v>0</v>
      </c>
      <c r="O16" s="22">
        <v>0</v>
      </c>
      <c r="P16" s="25">
        <f>SUM(C16:D16)</f>
        <v>33</v>
      </c>
      <c r="Q16" s="20">
        <f t="shared" si="0"/>
        <v>126</v>
      </c>
      <c r="R16" s="19">
        <f>Q16/IBNR!R18</f>
        <v>0.90163603931035075</v>
      </c>
      <c r="S16" s="30">
        <f t="shared" si="1"/>
        <v>159</v>
      </c>
      <c r="T16" s="19">
        <f>S16/IBNR!S18</f>
        <v>0.92042669916310571</v>
      </c>
    </row>
    <row r="17" spans="1:21" ht="15.75" x14ac:dyDescent="0.25">
      <c r="C17" s="22">
        <v>5</v>
      </c>
      <c r="D17" s="22">
        <v>31</v>
      </c>
      <c r="E17" s="22">
        <v>49</v>
      </c>
      <c r="F17" s="22">
        <v>37</v>
      </c>
      <c r="G17" s="22">
        <v>24</v>
      </c>
      <c r="H17" s="22">
        <v>19</v>
      </c>
      <c r="I17" s="22">
        <v>9</v>
      </c>
      <c r="J17" s="22">
        <v>3</v>
      </c>
      <c r="K17" s="22">
        <v>5</v>
      </c>
      <c r="L17" s="22">
        <v>2</v>
      </c>
      <c r="M17" s="22">
        <v>2</v>
      </c>
      <c r="N17" s="22">
        <v>0</v>
      </c>
      <c r="O17" s="22">
        <v>0</v>
      </c>
      <c r="P17" s="25">
        <f>SUM(C17)</f>
        <v>5</v>
      </c>
      <c r="Q17" s="20">
        <f t="shared" si="0"/>
        <v>181</v>
      </c>
      <c r="R17" s="19">
        <f>Q17/IBNR!R19</f>
        <v>1.0150563777838777</v>
      </c>
      <c r="S17" s="30">
        <f t="shared" si="1"/>
        <v>186</v>
      </c>
      <c r="T17" s="19">
        <f>S17/IBNR!S19</f>
        <v>1.0146457087218534</v>
      </c>
    </row>
    <row r="18" spans="1:21" ht="15.75" x14ac:dyDescent="0.25">
      <c r="P18" s="1"/>
      <c r="Q18" s="3"/>
      <c r="R18" s="19"/>
      <c r="S18" s="3"/>
    </row>
    <row r="19" spans="1:21" ht="15.75" x14ac:dyDescent="0.25">
      <c r="A19" s="21" t="s">
        <v>38</v>
      </c>
      <c r="P19" s="1"/>
      <c r="Q19" s="20">
        <f>SUM(Q2:Q17)</f>
        <v>554</v>
      </c>
      <c r="R19" s="19">
        <f>Q19/IBNR!R21</f>
        <v>1.0276716005136581</v>
      </c>
      <c r="S19" s="3"/>
      <c r="T19" s="18">
        <f>AVERAGE(T2:T17)</f>
        <v>1.0043280649175366</v>
      </c>
      <c r="U19" s="18" t="s">
        <v>39</v>
      </c>
    </row>
    <row r="20" spans="1:21" x14ac:dyDescent="0.25">
      <c r="O20">
        <f>IF(IBNR!O4&gt;0,'exposure-comparison'!O2/IBNR!O4)</f>
        <v>0</v>
      </c>
    </row>
    <row r="21" spans="1:21" x14ac:dyDescent="0.25">
      <c r="O21">
        <f>IF(IBNR!O5&gt;0,'exposure-comparison'!O3/IBNR!O5)</f>
        <v>0</v>
      </c>
    </row>
    <row r="22" spans="1:21" x14ac:dyDescent="0.25">
      <c r="O22">
        <f>IF(IBNR!O6&gt;0,'exposure-comparison'!O4/IBNR!O6)</f>
        <v>0</v>
      </c>
    </row>
    <row r="23" spans="1:21" x14ac:dyDescent="0.25">
      <c r="O23">
        <f>IF(IBNR!O7&gt;0,'exposure-comparison'!O5/IBNR!O7)</f>
        <v>0</v>
      </c>
    </row>
    <row r="24" spans="1:21" x14ac:dyDescent="0.25">
      <c r="O24">
        <f>IF(IBNR!O8&gt;0,'exposure-comparison'!O6/IBNR!O8)</f>
        <v>0</v>
      </c>
    </row>
    <row r="25" spans="1:21" x14ac:dyDescent="0.25">
      <c r="M25" t="str">
        <f>IF(IBNR!M9&gt;0,'exposure-comparison'!M7/IBNR!M9,"")</f>
        <v/>
      </c>
      <c r="N25">
        <f>IF(IBNR!N9&gt;0,'exposure-comparison'!N7/IBNR!N9)</f>
        <v>0</v>
      </c>
      <c r="O25">
        <f>IF(IBNR!O9&gt;0,'exposure-comparison'!O7/IBNR!O9)</f>
        <v>0</v>
      </c>
    </row>
    <row r="26" spans="1:21" x14ac:dyDescent="0.25">
      <c r="L26">
        <f>IF(IBNR!L10&gt;0,'exposure-comparison'!L8/IBNR!L10)</f>
        <v>1</v>
      </c>
      <c r="M26">
        <f>IF(IBNR!M10&gt;0,'exposure-comparison'!M8/IBNR!M10)</f>
        <v>0</v>
      </c>
      <c r="N26">
        <f>IF(IBNR!N10&gt;0,'exposure-comparison'!N8/IBNR!N10)</f>
        <v>0</v>
      </c>
      <c r="O26">
        <f>IF(IBNR!O10&gt;0,'exposure-comparison'!O8/IBNR!O10)</f>
        <v>0</v>
      </c>
    </row>
    <row r="27" spans="1:21" x14ac:dyDescent="0.25">
      <c r="K27">
        <f>IF(IBNR!K11&gt;0,'exposure-comparison'!K9/IBNR!K11)</f>
        <v>1</v>
      </c>
      <c r="L27">
        <f>IF(IBNR!L11&gt;0,'exposure-comparison'!L9/IBNR!L11)</f>
        <v>2.6373630727492259</v>
      </c>
      <c r="M27">
        <f>IF(IBNR!M11&gt;0,'exposure-comparison'!M9/IBNR!M11)</f>
        <v>6.5313622768669006</v>
      </c>
      <c r="N27">
        <f>IF(IBNR!N11&gt;0,'exposure-comparison'!N9/IBNR!N11)</f>
        <v>0</v>
      </c>
      <c r="O27">
        <f>IF(IBNR!O11&gt;0,'exposure-comparison'!O9/IBNR!O11)</f>
        <v>11.940803943538015</v>
      </c>
    </row>
    <row r="28" spans="1:21" x14ac:dyDescent="0.25">
      <c r="J28">
        <f>IF(IBNR!J12&gt;0,'exposure-comparison'!J10/IBNR!J12)</f>
        <v>1</v>
      </c>
      <c r="K28">
        <f>IF(IBNR!K12&gt;0,'exposure-comparison'!K10/IBNR!K12)</f>
        <v>0.97576274803977403</v>
      </c>
      <c r="L28">
        <f>IF(IBNR!L12&gt;0,'exposure-comparison'!L10/IBNR!L12)</f>
        <v>0</v>
      </c>
      <c r="M28">
        <f>IF(IBNR!M12&gt;0,'exposure-comparison'!M10/IBNR!M12)</f>
        <v>0</v>
      </c>
      <c r="N28">
        <f>IF(IBNR!N12&gt;0,'exposure-comparison'!N10/IBNR!N12)</f>
        <v>0</v>
      </c>
      <c r="O28">
        <f>IF(IBNR!O12&gt;0,'exposure-comparison'!O10/IBNR!O12)</f>
        <v>0</v>
      </c>
    </row>
    <row r="29" spans="1:21" x14ac:dyDescent="0.25">
      <c r="I29">
        <f>IF(IBNR!I13&gt;0,'exposure-comparison'!I11/IBNR!I13)</f>
        <v>1</v>
      </c>
      <c r="J29">
        <f>IF(IBNR!J13&gt;0,'exposure-comparison'!J11/IBNR!J13)</f>
        <v>1.2263383128987373</v>
      </c>
      <c r="K29">
        <f>IF(IBNR!K13&gt;0,'exposure-comparison'!K11/IBNR!K13)</f>
        <v>0.56114235537163537</v>
      </c>
      <c r="L29">
        <f>IF(IBNR!L13&gt;0,'exposure-comparison'!L11/IBNR!L13)</f>
        <v>1.3896547084076922</v>
      </c>
      <c r="M29">
        <f>IF(IBNR!M13&gt;0,'exposure-comparison'!M11/IBNR!M13)</f>
        <v>3.4414443859271779</v>
      </c>
      <c r="N29">
        <f>IF(IBNR!N13&gt;0,'exposure-comparison'!N11/IBNR!N13)</f>
        <v>0</v>
      </c>
      <c r="O29">
        <f>IF(IBNR!O13&gt;0,'exposure-comparison'!O11/IBNR!O13)</f>
        <v>0</v>
      </c>
    </row>
    <row r="30" spans="1:21" x14ac:dyDescent="0.25">
      <c r="H30">
        <f>IF(IBNR!H14&gt;0,'exposure-comparison'!H12/IBNR!H14)</f>
        <v>1</v>
      </c>
      <c r="I30">
        <f>IF(IBNR!I14&gt;0,'exposure-comparison'!I12/IBNR!I14)</f>
        <v>1.2850636839076144</v>
      </c>
      <c r="J30">
        <f>IF(IBNR!J14&gt;0,'exposure-comparison'!J12/IBNR!J14)</f>
        <v>1.3170731707317076</v>
      </c>
      <c r="K30">
        <f>IF(IBNR!K14&gt;0,'exposure-comparison'!K12/IBNR!K14)</f>
        <v>0.50221700206189723</v>
      </c>
      <c r="L30">
        <f>IF(IBNR!L14&gt;0,'exposure-comparison'!L12/IBNR!L14)</f>
        <v>2.4874551524291828</v>
      </c>
      <c r="M30">
        <f>IF(IBNR!M14&gt;0,'exposure-comparison'!M12/IBNR!M14)</f>
        <v>3.0800595708346319</v>
      </c>
      <c r="N30">
        <f>IF(IBNR!N14&gt;0,'exposure-comparison'!N12/IBNR!N14)</f>
        <v>0</v>
      </c>
      <c r="O30">
        <f>IF(IBNR!O14&gt;0,'exposure-comparison'!O12/IBNR!O14)</f>
        <v>0</v>
      </c>
    </row>
    <row r="31" spans="1:21" x14ac:dyDescent="0.25">
      <c r="G31">
        <f>IF(IBNR!G15&gt;0,'exposure-comparison'!G13/IBNR!G15)</f>
        <v>1</v>
      </c>
      <c r="H31">
        <f>IF(IBNR!H15&gt;0,'exposure-comparison'!H13/IBNR!H15)</f>
        <v>0.95643103812812735</v>
      </c>
      <c r="I31">
        <f>IF(IBNR!I15&gt;0,'exposure-comparison'!I13/IBNR!I15)</f>
        <v>1.0529026967112807</v>
      </c>
      <c r="J31">
        <f>IF(IBNR!J15&gt;0,'exposure-comparison'!J13/IBNR!J15)</f>
        <v>0.89927442935011492</v>
      </c>
      <c r="K31">
        <f>IF(IBNR!K15&gt;0,'exposure-comparison'!K13/IBNR!K15)</f>
        <v>1.02871484586137</v>
      </c>
      <c r="L31">
        <f>IF(IBNR!L15&gt;0,'exposure-comparison'!L13/IBNR!L15)</f>
        <v>2.5475860367256953</v>
      </c>
      <c r="M31">
        <f>IF(IBNR!M15&gt;0,'exposure-comparison'!M13/IBNR!M15)</f>
        <v>3.1545158702776006</v>
      </c>
      <c r="N31">
        <f>IF(IBNR!N15&gt;0,'exposure-comparison'!N13/IBNR!N15)</f>
        <v>0</v>
      </c>
      <c r="O31">
        <f>IF(IBNR!O15&gt;0,'exposure-comparison'!O13/IBNR!O15)</f>
        <v>0</v>
      </c>
    </row>
    <row r="32" spans="1:21" x14ac:dyDescent="0.25">
      <c r="F32">
        <f>IF(IBNR!F16&gt;0,'exposure-comparison'!F14/IBNR!F16)</f>
        <v>1</v>
      </c>
      <c r="G32">
        <f>IF(IBNR!G16&gt;0,'exposure-comparison'!G14/IBNR!G16)</f>
        <v>0.91072281348069339</v>
      </c>
      <c r="H32">
        <f>IF(IBNR!H16&gt;0,'exposure-comparison'!H14/IBNR!H16)</f>
        <v>1.3463095238095237</v>
      </c>
      <c r="I32">
        <f>IF(IBNR!I16&gt;0,'exposure-comparison'!I14/IBNR!I16)</f>
        <v>2.1172954030096887</v>
      </c>
      <c r="J32">
        <f>IF(IBNR!J16&gt;0,'exposure-comparison'!J14/IBNR!J16)</f>
        <v>0.67813588850174222</v>
      </c>
      <c r="K32">
        <f>IF(IBNR!K16&gt;0,'exposure-comparison'!K14/IBNR!K16)</f>
        <v>0.51716393664707272</v>
      </c>
      <c r="L32">
        <f>IF(IBNR!L16&gt;0,'exposure-comparison'!L14/IBNR!L16)</f>
        <v>2.5614865557752897</v>
      </c>
      <c r="M32">
        <f>IF(IBNR!M16&gt;0,'exposure-comparison'!M14/IBNR!M16)</f>
        <v>3.1717280104428056</v>
      </c>
      <c r="N32">
        <f>IF(IBNR!N16&gt;0,'exposure-comparison'!N14/IBNR!N16)</f>
        <v>7.8547033944377995</v>
      </c>
      <c r="O32">
        <f>IF(IBNR!O16&gt;0,'exposure-comparison'!O14/IBNR!O16)</f>
        <v>0</v>
      </c>
    </row>
    <row r="33" spans="3:15" x14ac:dyDescent="0.25">
      <c r="E33">
        <f>IF(IBNR!E17&gt;0,'exposure-comparison'!E15/IBNR!E17)</f>
        <v>1</v>
      </c>
      <c r="F33">
        <f>IF(IBNR!F17&gt;0,'exposure-comparison'!F15/IBNR!F17)</f>
        <v>1.1714898366303133</v>
      </c>
      <c r="G33">
        <f>IF(IBNR!G17&gt;0,'exposure-comparison'!G15/IBNR!G17)</f>
        <v>1.1921278841803653</v>
      </c>
      <c r="H33">
        <f>IF(IBNR!H17&gt;0,'exposure-comparison'!H15/IBNR!H17)</f>
        <v>1.2834728330259613</v>
      </c>
      <c r="I33">
        <f>IF(IBNR!I17&gt;0,'exposure-comparison'!I15/IBNR!I17)</f>
        <v>0.529849495092792</v>
      </c>
      <c r="J33">
        <f>IF(IBNR!J17&gt;0,'exposure-comparison'!J15/IBNR!J17)</f>
        <v>0.2262697701455664</v>
      </c>
      <c r="K33">
        <f>IF(IBNR!K17&gt;0,'exposure-comparison'!K15/IBNR!K17)</f>
        <v>0</v>
      </c>
      <c r="L33">
        <f>IF(IBNR!L17&gt;0,'exposure-comparison'!L15/IBNR!L17)</f>
        <v>0</v>
      </c>
      <c r="M33">
        <f>IF(IBNR!M17&gt;0,'exposure-comparison'!M15/IBNR!M17)</f>
        <v>0</v>
      </c>
      <c r="N33">
        <f>IF(IBNR!N17&gt;0,'exposure-comparison'!N15/IBNR!N17)</f>
        <v>0</v>
      </c>
      <c r="O33">
        <f>IF(IBNR!O17&gt;0,'exposure-comparison'!O15/IBNR!O17)</f>
        <v>0</v>
      </c>
    </row>
    <row r="34" spans="3:15" x14ac:dyDescent="0.25">
      <c r="D34">
        <f>IF(IBNR!D18&gt;0,'exposure-comparison'!D16/IBNR!D18)</f>
        <v>1</v>
      </c>
      <c r="E34">
        <f>IF(IBNR!E18&gt;0,'exposure-comparison'!E16/IBNR!E18)</f>
        <v>0.85177360612113462</v>
      </c>
      <c r="F34">
        <f>IF(IBNR!F18&gt;0,'exposure-comparison'!F16/IBNR!F18)</f>
        <v>0.86080218377140827</v>
      </c>
      <c r="G34">
        <f>IF(IBNR!G18&gt;0,'exposure-comparison'!G16/IBNR!G18)</f>
        <v>0.62457530874757083</v>
      </c>
      <c r="H34">
        <f>IF(IBNR!H18&gt;0,'exposure-comparison'!H16/IBNR!H18)</f>
        <v>1.0716891731817104</v>
      </c>
      <c r="I34">
        <f>IF(IBNR!I18&gt;0,'exposure-comparison'!I16/IBNR!I18)</f>
        <v>1.9171530514814095</v>
      </c>
      <c r="J34">
        <f>IF(IBNR!J18&gt;0,'exposure-comparison'!J16/IBNR!J18)</f>
        <v>0.25191117582817624</v>
      </c>
      <c r="K34">
        <f>IF(IBNR!K18&gt;0,'exposure-comparison'!K16/IBNR!K18)</f>
        <v>2.8817094977349327</v>
      </c>
      <c r="L34">
        <f>IF(IBNR!L18&gt;0,'exposure-comparison'!L16/IBNR!L18)</f>
        <v>1.4272959912777732</v>
      </c>
      <c r="M34">
        <f>IF(IBNR!M18&gt;0,'exposure-comparison'!M16/IBNR!M18)</f>
        <v>3.534662061388997</v>
      </c>
      <c r="N34">
        <f>IF(IBNR!N18&gt;0,'exposure-comparison'!N16/IBNR!N18)</f>
        <v>0</v>
      </c>
      <c r="O34">
        <f>IF(IBNR!O18&gt;0,'exposure-comparison'!O16/IBNR!O18)</f>
        <v>0</v>
      </c>
    </row>
    <row r="35" spans="3:15" x14ac:dyDescent="0.25">
      <c r="C35">
        <f>IF(IBNR!C19&gt;0,'exposure-comparison'!C17/IBNR!C19)</f>
        <v>1</v>
      </c>
      <c r="D35">
        <f>IF(IBNR!D19&gt;0,'exposure-comparison'!D17/IBNR!D19)</f>
        <v>0.93481267224716125</v>
      </c>
      <c r="E35">
        <f>IF(IBNR!E19&gt;0,'exposure-comparison'!E17/IBNR!E19)</f>
        <v>0.98004989966359224</v>
      </c>
      <c r="F35">
        <f>IF(IBNR!F19&gt;0,'exposure-comparison'!F17/IBNR!F19)</f>
        <v>0.92918658484318972</v>
      </c>
      <c r="G35">
        <f>IF(IBNR!G19&gt;0,'exposure-comparison'!G17/IBNR!G19)</f>
        <v>0.9019612029199221</v>
      </c>
      <c r="H35">
        <f>IF(IBNR!H19&gt;0,'exposure-comparison'!H17/IBNR!H19)</f>
        <v>1.3069018474872651</v>
      </c>
      <c r="I35">
        <f>IF(IBNR!I19&gt;0,'exposure-comparison'!I17/IBNR!I19)</f>
        <v>1.2778142559941388</v>
      </c>
      <c r="J35">
        <f>IF(IBNR!J19&gt;0,'exposure-comparison'!J17/IBNR!J19)</f>
        <v>0.72757953763678151</v>
      </c>
      <c r="K35">
        <f>IF(IBNR!K19&gt;0,'exposure-comparison'!K17/IBNR!K19)</f>
        <v>2.7743547000545465</v>
      </c>
      <c r="L35">
        <f>IF(IBNR!L19&gt;0,'exposure-comparison'!L17/IBNR!L19)</f>
        <v>2.7482474169467714</v>
      </c>
      <c r="M35">
        <f>IF(IBNR!M19&gt;0,'exposure-comparison'!M17/IBNR!M19)</f>
        <v>6.8059645226745031</v>
      </c>
      <c r="N35">
        <f>IF(IBNR!N19&gt;0,'exposure-comparison'!N17/IBNR!N19)</f>
        <v>0</v>
      </c>
      <c r="O35">
        <f>IF(IBNR!O19&gt;0,'exposure-comparison'!O17/IBNR!O19)</f>
        <v>0</v>
      </c>
    </row>
  </sheetData>
  <conditionalFormatting sqref="C20:O3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B6850-F37A-41DA-93E0-33BDB581DD20}">
  <dimension ref="A1:R71"/>
  <sheetViews>
    <sheetView topLeftCell="A18" workbookViewId="0">
      <selection activeCell="J34" sqref="J34"/>
    </sheetView>
  </sheetViews>
  <sheetFormatPr defaultRowHeight="14.25" x14ac:dyDescent="0.2"/>
  <cols>
    <col min="1" max="1" width="9.140625" style="31"/>
    <col min="2" max="2" width="17.140625" style="31" customWidth="1"/>
    <col min="3" max="3" width="10.85546875" style="31" bestFit="1" customWidth="1"/>
    <col min="4" max="4" width="11.28515625" style="31" customWidth="1"/>
    <col min="5" max="5" width="11" style="31" customWidth="1"/>
    <col min="6" max="6" width="12.5703125" style="31" customWidth="1"/>
    <col min="7" max="7" width="11" style="31" customWidth="1"/>
    <col min="8" max="11" width="9.140625" style="31"/>
    <col min="12" max="12" width="11.140625" style="31" customWidth="1"/>
    <col min="13" max="16384" width="9.140625" style="31"/>
  </cols>
  <sheetData>
    <row r="1" spans="1:18" ht="15.75" x14ac:dyDescent="0.25">
      <c r="A1" s="17" t="s">
        <v>24</v>
      </c>
      <c r="B1" s="16"/>
      <c r="C1" s="3" t="s">
        <v>22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8" ht="15.75" x14ac:dyDescent="0.25">
      <c r="A2" s="17" t="s">
        <v>21</v>
      </c>
      <c r="B2" s="16"/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>
        <v>11</v>
      </c>
      <c r="O2" s="3">
        <v>12</v>
      </c>
      <c r="P2" s="3">
        <v>13</v>
      </c>
      <c r="Q2" s="3">
        <v>14</v>
      </c>
      <c r="R2" s="3">
        <v>15</v>
      </c>
    </row>
    <row r="3" spans="1:18" ht="15" x14ac:dyDescent="0.2">
      <c r="A3" s="15"/>
      <c r="B3" s="14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8" ht="15" x14ac:dyDescent="0.2">
      <c r="A4" s="13">
        <v>0</v>
      </c>
      <c r="B4" s="12"/>
      <c r="C4" s="36">
        <f>SUM(Data!$B1:C1)/SUM(Data!$B1:B1)</f>
        <v>12.5</v>
      </c>
      <c r="D4" s="36">
        <f>SUM(Data!$B1:D1)/SUM(Data!$B1:C1)</f>
        <v>1.88</v>
      </c>
      <c r="E4" s="36">
        <f>SUM(Data!$B1:E1)/SUM(Data!$B1:D1)</f>
        <v>1.425531914893617</v>
      </c>
      <c r="F4" s="36">
        <f>SUM(Data!$B1:F1)/SUM(Data!$B1:E1)</f>
        <v>1.2611940298507462</v>
      </c>
      <c r="G4" s="36">
        <f>SUM(Data!$B1:G1)/SUM(Data!$B1:F1)</f>
        <v>1.1005917159763314</v>
      </c>
      <c r="H4" s="36">
        <f>SUM(Data!$B1:H1)/SUM(Data!$B1:G1)</f>
        <v>1.0376344086021505</v>
      </c>
      <c r="I4" s="36">
        <f>SUM(Data!$B1:I1)/SUM(Data!$B1:H1)</f>
        <v>1.0155440414507773</v>
      </c>
      <c r="J4" s="36">
        <f>SUM(Data!$B1:J1)/SUM(Data!$B1:I1)</f>
        <v>1.0153061224489797</v>
      </c>
      <c r="K4" s="36">
        <f>SUM(Data!$B1:K1)/SUM(Data!$B1:J1)</f>
        <v>1</v>
      </c>
      <c r="L4" s="36">
        <f>SUM(Data!$B1:L1)/SUM(Data!$B1:K1)</f>
        <v>1</v>
      </c>
      <c r="M4" s="36">
        <f>SUM(Data!$B1:M1)/SUM(Data!$B1:L1)</f>
        <v>1</v>
      </c>
      <c r="N4" s="36">
        <f>SUM(Data!$B1:N1)/SUM(Data!$B1:M1)</f>
        <v>1</v>
      </c>
      <c r="O4" s="36">
        <f>SUM(Data!$B1:O1)/SUM(Data!$B1:N1)</f>
        <v>1</v>
      </c>
      <c r="P4" s="36">
        <f>SUM(Data!$B1:P1)/SUM(Data!$B1:O1)</f>
        <v>1</v>
      </c>
      <c r="Q4" s="36">
        <f>SUM(Data!$B1:Q1)/SUM(Data!$B1:P1)</f>
        <v>1</v>
      </c>
      <c r="R4" s="6"/>
    </row>
    <row r="5" spans="1:18" ht="15" x14ac:dyDescent="0.2">
      <c r="A5" s="13">
        <v>1</v>
      </c>
      <c r="B5" s="12"/>
      <c r="C5" s="36">
        <f>SUM(Data!$B2:C2)/SUM(Data!$B2:B2)</f>
        <v>16.333333333333332</v>
      </c>
      <c r="D5" s="36">
        <f>SUM(Data!$B2:D2)/SUM(Data!$B2:C2)</f>
        <v>2.2448979591836733</v>
      </c>
      <c r="E5" s="36">
        <f>SUM(Data!$B2:E2)/SUM(Data!$B2:D2)</f>
        <v>1.3909090909090909</v>
      </c>
      <c r="F5" s="36">
        <f>SUM(Data!$B2:F2)/SUM(Data!$B2:E2)</f>
        <v>1.1830065359477124</v>
      </c>
      <c r="G5" s="36">
        <f>SUM(Data!$B2:G2)/SUM(Data!$B2:F2)</f>
        <v>1.0939226519337018</v>
      </c>
      <c r="H5" s="36">
        <f>SUM(Data!$B2:H2)/SUM(Data!$B2:G2)</f>
        <v>1.0252525252525253</v>
      </c>
      <c r="I5" s="36">
        <f>SUM(Data!$B2:I2)/SUM(Data!$B2:H2)</f>
        <v>1.0147783251231528</v>
      </c>
      <c r="J5" s="36">
        <f>SUM(Data!$B2:J2)/SUM(Data!$B2:I2)</f>
        <v>1.0048543689320388</v>
      </c>
      <c r="K5" s="36">
        <f>SUM(Data!$B2:K2)/SUM(Data!$B2:J2)</f>
        <v>1.0096618357487923</v>
      </c>
      <c r="L5" s="36">
        <f>SUM(Data!$B2:L2)/SUM(Data!$B2:K2)</f>
        <v>1.0047846889952152</v>
      </c>
      <c r="M5" s="36">
        <f>SUM(Data!$B2:M2)/SUM(Data!$B2:L2)</f>
        <v>1</v>
      </c>
      <c r="N5" s="36">
        <f>SUM(Data!$B2:N2)/SUM(Data!$B2:M2)</f>
        <v>1</v>
      </c>
      <c r="O5" s="36">
        <f>SUM(Data!$B2:O2)/SUM(Data!$B2:N2)</f>
        <v>1</v>
      </c>
      <c r="P5" s="36">
        <f>SUM(Data!$B2:P2)/SUM(Data!$B2:O2)</f>
        <v>1</v>
      </c>
      <c r="Q5" s="36"/>
      <c r="R5" s="6"/>
    </row>
    <row r="6" spans="1:18" ht="15" x14ac:dyDescent="0.2">
      <c r="A6" s="13">
        <v>2</v>
      </c>
      <c r="B6" s="12"/>
      <c r="C6" s="36">
        <f>SUM(Data!$B3:C3)/SUM(Data!$B3:B3)</f>
        <v>9.25</v>
      </c>
      <c r="D6" s="36">
        <f>SUM(Data!$B3:D3)/SUM(Data!$B3:C3)</f>
        <v>2.3243243243243241</v>
      </c>
      <c r="E6" s="36">
        <f>SUM(Data!$B3:E3)/SUM(Data!$B3:D3)</f>
        <v>1.5348837209302326</v>
      </c>
      <c r="F6" s="36">
        <f>SUM(Data!$B3:F3)/SUM(Data!$B3:E3)</f>
        <v>1.2045454545454546</v>
      </c>
      <c r="G6" s="36">
        <f>SUM(Data!$B3:G3)/SUM(Data!$B3:F3)</f>
        <v>1.0691823899371069</v>
      </c>
      <c r="H6" s="36">
        <f>SUM(Data!$B3:H3)/SUM(Data!$B3:G3)</f>
        <v>1.0411764705882354</v>
      </c>
      <c r="I6" s="36">
        <f>SUM(Data!$B3:I3)/SUM(Data!$B3:H3)</f>
        <v>1.0169491525423728</v>
      </c>
      <c r="J6" s="36">
        <f>SUM(Data!$B3:J3)/SUM(Data!$B3:I3)</f>
        <v>1.0111111111111111</v>
      </c>
      <c r="K6" s="36">
        <f>SUM(Data!$B3:K3)/SUM(Data!$B3:J3)</f>
        <v>1</v>
      </c>
      <c r="L6" s="36">
        <f>SUM(Data!$B3:L3)/SUM(Data!$B3:K3)</f>
        <v>1</v>
      </c>
      <c r="M6" s="36">
        <f>SUM(Data!$B3:M3)/SUM(Data!$B3:L3)</f>
        <v>1</v>
      </c>
      <c r="N6" s="36">
        <f>SUM(Data!$B3:N3)/SUM(Data!$B3:M3)</f>
        <v>1</v>
      </c>
      <c r="O6" s="36">
        <f>SUM(Data!$B3:O3)/SUM(Data!$B3:N3)</f>
        <v>1</v>
      </c>
      <c r="P6" s="36"/>
      <c r="Q6" s="36"/>
      <c r="R6" s="6"/>
    </row>
    <row r="7" spans="1:18" ht="15" x14ac:dyDescent="0.2">
      <c r="A7" s="13">
        <v>3</v>
      </c>
      <c r="B7" s="12"/>
      <c r="C7" s="36">
        <f>SUM(Data!$B4:C4)/SUM(Data!$B4:B4)</f>
        <v>10</v>
      </c>
      <c r="D7" s="36">
        <f>SUM(Data!$B4:D4)/SUM(Data!$B4:C4)</f>
        <v>2.8250000000000002</v>
      </c>
      <c r="E7" s="36">
        <f>SUM(Data!$B4:E4)/SUM(Data!$B4:D4)</f>
        <v>1.415929203539823</v>
      </c>
      <c r="F7" s="36">
        <f>SUM(Data!$B4:F4)/SUM(Data!$B4:E4)</f>
        <v>1.1937500000000001</v>
      </c>
      <c r="G7" s="36">
        <f>SUM(Data!$B4:G4)/SUM(Data!$B4:F4)</f>
        <v>1.0942408376963351</v>
      </c>
      <c r="H7" s="36">
        <f>SUM(Data!$B4:H4)/SUM(Data!$B4:G4)</f>
        <v>1.0669856459330143</v>
      </c>
      <c r="I7" s="36">
        <f>SUM(Data!$B4:I4)/SUM(Data!$B4:H4)</f>
        <v>1.0358744394618835</v>
      </c>
      <c r="J7" s="36">
        <f>SUM(Data!$B4:J4)/SUM(Data!$B4:I4)</f>
        <v>1.0129870129870129</v>
      </c>
      <c r="K7" s="36">
        <f>SUM(Data!$B4:K4)/SUM(Data!$B4:J4)</f>
        <v>1</v>
      </c>
      <c r="L7" s="36">
        <f>SUM(Data!$B4:L4)/SUM(Data!$B4:K4)</f>
        <v>1.0042735042735043</v>
      </c>
      <c r="M7" s="36">
        <f>SUM(Data!$B4:M4)/SUM(Data!$B4:L4)</f>
        <v>1</v>
      </c>
      <c r="N7" s="36">
        <f>SUM(Data!$B4:N4)/SUM(Data!$B4:M4)</f>
        <v>1</v>
      </c>
      <c r="O7" s="36"/>
      <c r="P7" s="36"/>
      <c r="Q7" s="36"/>
      <c r="R7" s="6"/>
    </row>
    <row r="8" spans="1:18" ht="15" x14ac:dyDescent="0.2">
      <c r="A8" s="13">
        <v>4</v>
      </c>
      <c r="B8" s="12"/>
      <c r="C8" s="36">
        <f>SUM(Data!$B5:C5)/SUM(Data!$B5:B5)</f>
        <v>11</v>
      </c>
      <c r="D8" s="36">
        <f>SUM(Data!$B5:D5)/SUM(Data!$B5:C5)</f>
        <v>2.1136363636363638</v>
      </c>
      <c r="E8" s="36">
        <f>SUM(Data!$B5:E5)/SUM(Data!$B5:D5)</f>
        <v>1.5591397849462365</v>
      </c>
      <c r="F8" s="36">
        <f>SUM(Data!$B5:F5)/SUM(Data!$B5:E5)</f>
        <v>1.2275862068965517</v>
      </c>
      <c r="G8" s="36">
        <f>SUM(Data!$B5:G5)/SUM(Data!$B5:F5)</f>
        <v>1.1067415730337078</v>
      </c>
      <c r="H8" s="36">
        <f>SUM(Data!$B5:H5)/SUM(Data!$B5:G5)</f>
        <v>1.0355329949238579</v>
      </c>
      <c r="I8" s="36">
        <f>SUM(Data!$B5:I5)/SUM(Data!$B5:H5)</f>
        <v>1.0049019607843137</v>
      </c>
      <c r="J8" s="36">
        <f>SUM(Data!$B5:J5)/SUM(Data!$B5:I5)</f>
        <v>1.0048780487804878</v>
      </c>
      <c r="K8" s="36">
        <f>SUM(Data!$B5:K5)/SUM(Data!$B5:J5)</f>
        <v>1</v>
      </c>
      <c r="L8" s="36">
        <f>SUM(Data!$B5:L5)/SUM(Data!$B5:K5)</f>
        <v>1</v>
      </c>
      <c r="M8" s="36">
        <f>SUM(Data!$B5:M5)/SUM(Data!$B5:L5)</f>
        <v>1</v>
      </c>
      <c r="N8" s="36"/>
      <c r="O8" s="36"/>
      <c r="P8" s="36"/>
      <c r="Q8" s="36"/>
      <c r="R8" s="6"/>
    </row>
    <row r="9" spans="1:18" ht="15" x14ac:dyDescent="0.2">
      <c r="A9" s="13">
        <v>5</v>
      </c>
      <c r="B9" s="12"/>
      <c r="C9" s="36">
        <f>SUM(Data!$B6:C6)/SUM(Data!$B6:B6)</f>
        <v>16</v>
      </c>
      <c r="D9" s="36">
        <f>SUM(Data!$B6:D6)/SUM(Data!$B6:C6)</f>
        <v>2.8125</v>
      </c>
      <c r="E9" s="36">
        <f>SUM(Data!$B6:E6)/SUM(Data!$B6:D6)</f>
        <v>1.4333333333333333</v>
      </c>
      <c r="F9" s="36">
        <f>SUM(Data!$B6:F6)/SUM(Data!$B6:E6)</f>
        <v>1.2713178294573644</v>
      </c>
      <c r="G9" s="36">
        <f>SUM(Data!$B6:G6)/SUM(Data!$B6:F6)</f>
        <v>1.0548780487804879</v>
      </c>
      <c r="H9" s="36">
        <f>SUM(Data!$B6:H6)/SUM(Data!$B6:G6)</f>
        <v>1.0693641618497109</v>
      </c>
      <c r="I9" s="36">
        <f>SUM(Data!$B6:I6)/SUM(Data!$B6:H6)</f>
        <v>1.027027027027027</v>
      </c>
      <c r="J9" s="36">
        <f>SUM(Data!$B6:J6)/SUM(Data!$B6:I6)</f>
        <v>1.0263157894736843</v>
      </c>
      <c r="K9" s="36">
        <f>SUM(Data!$B6:K6)/SUM(Data!$B6:J6)</f>
        <v>1.0051282051282051</v>
      </c>
      <c r="L9" s="36">
        <f>SUM(Data!$B6:L6)/SUM(Data!$B6:K6)</f>
        <v>1</v>
      </c>
      <c r="M9" s="36"/>
      <c r="N9" s="36"/>
      <c r="O9" s="36"/>
      <c r="P9" s="36"/>
      <c r="Q9" s="36"/>
      <c r="R9" s="6"/>
    </row>
    <row r="10" spans="1:18" ht="15" x14ac:dyDescent="0.2">
      <c r="A10" s="13">
        <v>6</v>
      </c>
      <c r="B10" s="12"/>
      <c r="C10" s="36">
        <f>SUM(Data!$B7:C7)/SUM(Data!$B7:B7)</f>
        <v>27</v>
      </c>
      <c r="D10" s="36">
        <f>SUM(Data!$B7:D7)/SUM(Data!$B7:C7)</f>
        <v>3.3333333333333335</v>
      </c>
      <c r="E10" s="36">
        <f>SUM(Data!$B7:E7)/SUM(Data!$B7:D7)</f>
        <v>1.4777777777777779</v>
      </c>
      <c r="F10" s="36">
        <f>SUM(Data!$B7:F7)/SUM(Data!$B7:E7)</f>
        <v>1.2255639097744362</v>
      </c>
      <c r="G10" s="36">
        <f>SUM(Data!$B7:G7)/SUM(Data!$B7:F7)</f>
        <v>1.0858895705521472</v>
      </c>
      <c r="H10" s="36">
        <f>SUM(Data!$B7:H7)/SUM(Data!$B7:G7)</f>
        <v>1.03954802259887</v>
      </c>
      <c r="I10" s="36">
        <f>SUM(Data!$B7:I7)/SUM(Data!$B7:H7)</f>
        <v>1.0434782608695652</v>
      </c>
      <c r="J10" s="36">
        <f>SUM(Data!$B7:J7)/SUM(Data!$B7:I7)</f>
        <v>1.015625</v>
      </c>
      <c r="K10" s="36">
        <f>SUM(Data!$B7:K7)/SUM(Data!$B7:J7)</f>
        <v>1.0102564102564102</v>
      </c>
      <c r="L10" s="36"/>
      <c r="M10" s="36"/>
      <c r="N10" s="36"/>
      <c r="O10" s="36"/>
      <c r="P10" s="36"/>
      <c r="Q10" s="36"/>
      <c r="R10" s="6"/>
    </row>
    <row r="11" spans="1:18" ht="15" x14ac:dyDescent="0.2">
      <c r="A11" s="13">
        <v>7</v>
      </c>
      <c r="B11" s="12"/>
      <c r="C11" s="36">
        <f>SUM(Data!$B8:C8)/SUM(Data!$B8:B8)</f>
        <v>12.333333333333334</v>
      </c>
      <c r="D11" s="36">
        <f>SUM(Data!$B8:D8)/SUM(Data!$B8:C8)</f>
        <v>2.1621621621621623</v>
      </c>
      <c r="E11" s="36">
        <f>SUM(Data!$B8:E8)/SUM(Data!$B8:D8)</f>
        <v>1.55</v>
      </c>
      <c r="F11" s="36">
        <f>SUM(Data!$B8:F8)/SUM(Data!$B8:E8)</f>
        <v>1.2096774193548387</v>
      </c>
      <c r="G11" s="36">
        <f>SUM(Data!$B8:G8)/SUM(Data!$B8:F8)</f>
        <v>1.18</v>
      </c>
      <c r="H11" s="36">
        <f>SUM(Data!$B8:H8)/SUM(Data!$B8:G8)</f>
        <v>1.0338983050847457</v>
      </c>
      <c r="I11" s="36">
        <f>SUM(Data!$B8:I8)/SUM(Data!$B8:H8)</f>
        <v>1.0273224043715847</v>
      </c>
      <c r="J11" s="36">
        <f>SUM(Data!$B8:J8)/SUM(Data!$B8:I8)</f>
        <v>1.0053191489361701</v>
      </c>
      <c r="K11" s="36"/>
      <c r="L11" s="36"/>
      <c r="M11" s="36"/>
      <c r="N11" s="36"/>
      <c r="O11" s="36"/>
      <c r="P11" s="36"/>
      <c r="Q11" s="36"/>
      <c r="R11" s="6"/>
    </row>
    <row r="12" spans="1:18" ht="15" x14ac:dyDescent="0.2">
      <c r="A12" s="13">
        <v>8</v>
      </c>
      <c r="B12" s="12"/>
      <c r="C12" s="36">
        <f>SUM(Data!$B9:C9)/SUM(Data!$B9:B9)</f>
        <v>40</v>
      </c>
      <c r="D12" s="36">
        <f>SUM(Data!$B9:D9)/SUM(Data!$B9:C9)</f>
        <v>2.2250000000000001</v>
      </c>
      <c r="E12" s="36">
        <f>SUM(Data!$B9:E9)/SUM(Data!$B9:D9)</f>
        <v>1.4943820224719102</v>
      </c>
      <c r="F12" s="36">
        <f>SUM(Data!$B9:F9)/SUM(Data!$B9:E9)</f>
        <v>1.1578947368421053</v>
      </c>
      <c r="G12" s="36">
        <f>SUM(Data!$B9:G9)/SUM(Data!$B9:F9)</f>
        <v>1.1038961038961039</v>
      </c>
      <c r="H12" s="36">
        <f>SUM(Data!$B9:H9)/SUM(Data!$B9:G9)</f>
        <v>1.0117647058823529</v>
      </c>
      <c r="I12" s="36">
        <f>SUM(Data!$B9:I9)/SUM(Data!$B9:H9)</f>
        <v>1.0290697674418605</v>
      </c>
      <c r="J12" s="36"/>
      <c r="K12" s="36"/>
      <c r="L12" s="36"/>
      <c r="M12" s="36"/>
      <c r="N12" s="36"/>
      <c r="O12" s="36"/>
      <c r="P12" s="36"/>
      <c r="Q12" s="36"/>
      <c r="R12" s="6"/>
    </row>
    <row r="13" spans="1:18" ht="15" x14ac:dyDescent="0.2">
      <c r="A13" s="13">
        <v>9</v>
      </c>
      <c r="B13" s="12"/>
      <c r="C13" s="36">
        <f>SUM(Data!$B10:C10)/SUM(Data!$B10:B10)</f>
        <v>23</v>
      </c>
      <c r="D13" s="36">
        <f>SUM(Data!$B10:D10)/SUM(Data!$B10:C10)</f>
        <v>2.1086956521739131</v>
      </c>
      <c r="E13" s="36">
        <f>SUM(Data!$B10:E10)/SUM(Data!$B10:D10)</f>
        <v>1.4742268041237114</v>
      </c>
      <c r="F13" s="36">
        <f>SUM(Data!$B10:F10)/SUM(Data!$B10:E10)</f>
        <v>1.1608391608391608</v>
      </c>
      <c r="G13" s="36">
        <f>SUM(Data!$B10:G10)/SUM(Data!$B10:F10)</f>
        <v>1.072289156626506</v>
      </c>
      <c r="H13" s="36">
        <f>SUM(Data!$B10:H10)/SUM(Data!$B10:G10)</f>
        <v>1.0561797752808988</v>
      </c>
      <c r="I13" s="36"/>
      <c r="J13" s="36"/>
      <c r="K13" s="36"/>
      <c r="L13" s="36"/>
      <c r="M13" s="36"/>
      <c r="N13" s="36"/>
      <c r="O13" s="36"/>
      <c r="P13" s="36"/>
      <c r="Q13" s="36"/>
      <c r="R13" s="6"/>
    </row>
    <row r="14" spans="1:18" ht="15" x14ac:dyDescent="0.2">
      <c r="A14" s="13">
        <v>10</v>
      </c>
      <c r="B14" s="12"/>
      <c r="C14" s="36">
        <f>SUM(Data!$B11:C11)/SUM(Data!$B11:B11)</f>
        <v>15</v>
      </c>
      <c r="D14" s="36">
        <f>SUM(Data!$B11:D11)/SUM(Data!$B11:C11)</f>
        <v>2.2888888888888888</v>
      </c>
      <c r="E14" s="36">
        <f>SUM(Data!$B11:E11)/SUM(Data!$B11:D11)</f>
        <v>1.3689320388349515</v>
      </c>
      <c r="F14" s="36">
        <f>SUM(Data!$B11:F11)/SUM(Data!$B11:E11)</f>
        <v>1.1843971631205674</v>
      </c>
      <c r="G14" s="36">
        <f>SUM(Data!$B11:G11)/SUM(Data!$B11:F11)</f>
        <v>1.0898203592814371</v>
      </c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6"/>
    </row>
    <row r="15" spans="1:18" ht="15" x14ac:dyDescent="0.2">
      <c r="A15" s="13">
        <v>11</v>
      </c>
      <c r="B15" s="12"/>
      <c r="C15" s="36">
        <f>SUM(Data!$B12:C12)/SUM(Data!$B12:B12)</f>
        <v>4.666666666666667</v>
      </c>
      <c r="D15" s="36">
        <f>SUM(Data!$B12:D12)/SUM(Data!$B12:C12)</f>
        <v>3.1785714285714284</v>
      </c>
      <c r="E15" s="36">
        <f>SUM(Data!$B12:E12)/SUM(Data!$B12:D12)</f>
        <v>1.4269662921348314</v>
      </c>
      <c r="F15" s="36">
        <f>SUM(Data!$B12:F12)/SUM(Data!$B12:E12)</f>
        <v>1.2677165354330708</v>
      </c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6"/>
    </row>
    <row r="16" spans="1:18" ht="15" x14ac:dyDescent="0.2">
      <c r="A16" s="13">
        <v>12</v>
      </c>
      <c r="B16" s="12"/>
      <c r="C16" s="36">
        <f>SUM(Data!$B13:C13)/SUM(Data!$B13:B13)</f>
        <v>9.25</v>
      </c>
      <c r="D16" s="36">
        <f>SUM(Data!$B13:D13)/SUM(Data!$B13:C13)</f>
        <v>2.5405405405405403</v>
      </c>
      <c r="E16" s="36">
        <f>SUM(Data!$B13:E13)/SUM(Data!$B13:D13)</f>
        <v>1.4787234042553192</v>
      </c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6"/>
    </row>
    <row r="17" spans="1:18" ht="15" x14ac:dyDescent="0.2">
      <c r="A17" s="13">
        <v>13</v>
      </c>
      <c r="B17" s="12"/>
      <c r="C17" s="36"/>
      <c r="D17" s="36">
        <f>SUM(Data!$B14:D14)/SUM(Data!$B14:C14)</f>
        <v>2.342857142857143</v>
      </c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6"/>
    </row>
    <row r="18" spans="1:18" ht="15" x14ac:dyDescent="0.2">
      <c r="A18" s="13">
        <v>14</v>
      </c>
      <c r="B18" s="12"/>
      <c r="C18" s="36">
        <f>SUM(Data!$B15:C15)/SUM(Data!$B15:B15)</f>
        <v>33</v>
      </c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6"/>
    </row>
    <row r="19" spans="1:18" ht="15" x14ac:dyDescent="0.2">
      <c r="A19" s="13">
        <v>15</v>
      </c>
      <c r="B19" s="12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6"/>
    </row>
    <row r="20" spans="1:18" ht="1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8" ht="15" x14ac:dyDescent="0.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spans="1:18" ht="15.75" x14ac:dyDescent="0.25">
      <c r="A22" s="3" t="s">
        <v>18</v>
      </c>
      <c r="B22" s="3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8" ht="1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8" ht="15" x14ac:dyDescent="0.2">
      <c r="A24" s="1" t="s">
        <v>17</v>
      </c>
      <c r="B24" s="1" t="s">
        <v>54</v>
      </c>
      <c r="C24" s="47">
        <f>(SUM(Data!$B1:C15)-Data!C14)/SUM(Data!$B1:B15)</f>
        <v>12.976190476190476</v>
      </c>
      <c r="D24" s="47">
        <f>SUM(Data!$B1:D14)/SUM(Data!$B1:C14)</f>
        <v>2.3948811700182815</v>
      </c>
      <c r="E24" s="47">
        <f>SUM(Data!$B1:E13)/SUM(Data!$B1:D13)</f>
        <v>1.4600977198697069</v>
      </c>
      <c r="F24" s="47">
        <f>SUM(Data!$B1:F12)/SUM(Data!$B1:E12)</f>
        <v>1.2110036275695284</v>
      </c>
      <c r="G24" s="47">
        <f>SUM(Data!$B1:G11)/SUM(Data!$B1:F11)</f>
        <v>1.0950054288816504</v>
      </c>
      <c r="H24" s="47">
        <f>SUM(Data!$B1:H10)/SUM(Data!$B1:G10)</f>
        <v>1.0419618528610355</v>
      </c>
      <c r="I24" s="47">
        <f>SUM(Data!$B1:I9)/SUM(Data!$B1:H9)</f>
        <v>1.0237819025522041</v>
      </c>
      <c r="J24" s="47">
        <f>SUM(Data!$B1:J8)/SUM(Data!$B1:I8)</f>
        <v>1.0119647355163728</v>
      </c>
      <c r="K24" s="47">
        <f>SUM(Data!$B1:K7)/SUM(Data!$B1:J7)</f>
        <v>1.0035260930888577</v>
      </c>
      <c r="L24" s="47">
        <f>SUM(Data!$B1:L6)/SUM(Data!$B1:K6)</f>
        <v>1.0016313213703099</v>
      </c>
      <c r="M24" s="47">
        <f>SUM(Data!$B1:L5)/SUM(Data!$B1:L5)</f>
        <v>1</v>
      </c>
      <c r="N24" s="47">
        <f>SUM(Data!$B1:M4)/SUM(Data!$B1:M4)</f>
        <v>1</v>
      </c>
      <c r="O24" s="47">
        <f>SUM(Data!$B1:O3)/SUM(Data!$B1:N3)</f>
        <v>1</v>
      </c>
      <c r="P24" s="47">
        <f>SUM(Data!$B1:P2)/SUM(Data!$B1:O2)</f>
        <v>1</v>
      </c>
      <c r="Q24" s="47">
        <f>SUM(Data!$B1:Q1)/SUM(Data!$B1:P1)</f>
        <v>1</v>
      </c>
      <c r="R24" s="47"/>
    </row>
    <row r="25" spans="1:18" ht="15" x14ac:dyDescent="0.2">
      <c r="A25" s="1"/>
      <c r="R25" s="48"/>
    </row>
    <row r="26" spans="1:18" ht="15" x14ac:dyDescent="0.2">
      <c r="B26" s="1" t="s">
        <v>53</v>
      </c>
      <c r="C26" s="47">
        <f ca="1">(SUM(Data!$B$1:INDIRECT("Data!"&amp;ADDRESS(15-C2,3+C2)))-Data!C14)/SUM(Data!$B$1:INDIRECT("Data!"&amp;ADDRESS(15-C2,2+C2)))</f>
        <v>12.976190476190476</v>
      </c>
      <c r="D26" s="47">
        <f ca="1">SUM(Data!$B$1:INDIRECT("Data!"&amp;ADDRESS(15-D2,3+D2)))/SUM(Data!$B$1:INDIRECT("Data!"&amp;ADDRESS(15-D2,2+D2)))</f>
        <v>2.3948811700182815</v>
      </c>
      <c r="E26" s="47">
        <f ca="1">SUM(Data!$B$1:INDIRECT("Data!"&amp;ADDRESS(15-E2,3+E2)))/SUM(Data!$B$1:INDIRECT("Data!"&amp;ADDRESS(15-E2,2+E2)))</f>
        <v>1.4600977198697069</v>
      </c>
      <c r="F26" s="47">
        <f ca="1">SUM(Data!$B$1:INDIRECT("Data!"&amp;ADDRESS(15-F2,3+F2)))/SUM(Data!$B$1:INDIRECT("Data!"&amp;ADDRESS(15-F2,2+F2)))</f>
        <v>1.2110036275695284</v>
      </c>
      <c r="G26" s="47">
        <f ca="1">SUM(Data!$B$1:INDIRECT("Data!"&amp;ADDRESS(15-G2,3+G2)))/SUM(Data!$B$1:INDIRECT("Data!"&amp;ADDRESS(15-G2,2+G2)))</f>
        <v>1.0950054288816504</v>
      </c>
      <c r="H26" s="47">
        <f ca="1">SUM(Data!$B$1:INDIRECT("Data!"&amp;ADDRESS(15-H2,3+H2)))/SUM(Data!$B$1:INDIRECT("Data!"&amp;ADDRESS(15-H2,2+H2)))</f>
        <v>1.0419618528610355</v>
      </c>
      <c r="I26" s="47">
        <f ca="1">SUM(Data!$B$1:INDIRECT("Data!"&amp;ADDRESS(15-I2,3+I2)))/SUM(Data!$B$1:INDIRECT("Data!"&amp;ADDRESS(15-I2,2+I2)))</f>
        <v>1.0237819025522041</v>
      </c>
      <c r="J26" s="47">
        <f ca="1">SUM(Data!$B$1:INDIRECT("Data!"&amp;ADDRESS(15-J2,3+J2)))/SUM(Data!$B$1:INDIRECT("Data!"&amp;ADDRESS(15-J2,2+J2)))</f>
        <v>1.0119647355163728</v>
      </c>
      <c r="K26" s="47">
        <f ca="1">SUM(Data!$B$1:INDIRECT("Data!"&amp;ADDRESS(15-K2,3+K2)))/SUM(Data!$B$1:INDIRECT("Data!"&amp;ADDRESS(15-K2,2+K2)))</f>
        <v>1.0035260930888577</v>
      </c>
      <c r="L26" s="47">
        <f ca="1">SUM(Data!$B$1:INDIRECT("Data!"&amp;ADDRESS(15-L2,3+L2)))/SUM(Data!$B$1:INDIRECT("Data!"&amp;ADDRESS(15-L2,2+L2)))</f>
        <v>1.0016313213703099</v>
      </c>
      <c r="M26" s="47">
        <f ca="1">SUM(Data!$B$1:INDIRECT("Data!"&amp;ADDRESS(15-M2,3+M2)))/SUM(Data!$B$1:INDIRECT("Data!"&amp;ADDRESS(15-M2,2+M2)))</f>
        <v>1</v>
      </c>
      <c r="N26" s="47">
        <f ca="1">SUM(Data!$B$1:INDIRECT("Data!"&amp;ADDRESS(15-N2,3+N2)))/SUM(Data!$B$1:INDIRECT("Data!"&amp;ADDRESS(15-N2,2+N2)))</f>
        <v>1</v>
      </c>
      <c r="O26" s="47">
        <f ca="1">SUM(Data!$B$1:INDIRECT("Data!"&amp;ADDRESS(15-O2,3+O2)))/SUM(Data!$B$1:INDIRECT("Data!"&amp;ADDRESS(15-O2,2+O2)))</f>
        <v>1</v>
      </c>
      <c r="P26" s="47">
        <f ca="1">SUM(Data!$B$1:INDIRECT("Data!"&amp;ADDRESS(15-P2,3+P2)))/SUM(Data!$B$1:INDIRECT("Data!"&amp;ADDRESS(15-P2,2+P2)))</f>
        <v>1</v>
      </c>
      <c r="Q26" s="47">
        <f ca="1">SUM(Data!$B$1:INDIRECT("Data!"&amp;ADDRESS(15-Q2,3+Q2)))/SUM(Data!$B$1:INDIRECT("Data!"&amp;ADDRESS(15-Q2,2+Q2)))</f>
        <v>1</v>
      </c>
      <c r="R26" s="56"/>
    </row>
    <row r="28" spans="1:18" ht="15" x14ac:dyDescent="0.2">
      <c r="B28" s="31" t="s">
        <v>52</v>
      </c>
      <c r="C28" s="47">
        <f ca="1">(SUM(OFFSET(Data!$B$1:$Q$15,0,0,15-C2,2+C2))-Data!C14)/SUM(OFFSET(Data!$B$1:$Q$15,0,0,15-C2,1+C2))</f>
        <v>12.976190476190476</v>
      </c>
      <c r="D28" s="47">
        <f ca="1">(SUM(OFFSET(Data!$B$1:$Q$15,0,0,15-D2,2+D2)))/SUM(OFFSET(Data!$B$1:$Q$15,0,0,15-D2,1+D2))</f>
        <v>2.3948811700182815</v>
      </c>
      <c r="E28" s="47">
        <f ca="1">(SUM(OFFSET(Data!$B$1:$Q$15,0,0,15-E2,2+E2)))/SUM(OFFSET(Data!$B$1:$Q$15,0,0,15-E2,1+E2))</f>
        <v>1.4600977198697069</v>
      </c>
      <c r="F28" s="47">
        <f ca="1">(SUM(OFFSET(Data!$B$1:$Q$15,0,0,15-F2,2+F2)))/SUM(OFFSET(Data!$B$1:$Q$15,0,0,15-F2,1+F2))</f>
        <v>1.2110036275695284</v>
      </c>
      <c r="G28" s="47">
        <f ca="1">(SUM(OFFSET(Data!$B$1:$Q$15,0,0,15-G2,2+G2)))/SUM(OFFSET(Data!$B$1:$Q$15,0,0,15-G2,1+G2))</f>
        <v>1.0950054288816504</v>
      </c>
      <c r="H28" s="47">
        <f ca="1">(SUM(OFFSET(Data!$B$1:$Q$15,0,0,15-H2,2+H2)))/SUM(OFFSET(Data!$B$1:$Q$15,0,0,15-H2,1+H2))</f>
        <v>1.0419618528610355</v>
      </c>
      <c r="I28" s="47">
        <f ca="1">(SUM(OFFSET(Data!$B$1:$Q$15,0,0,15-I2,2+I2)))/SUM(OFFSET(Data!$B$1:$Q$15,0,0,15-I2,1+I2))</f>
        <v>1.0237819025522041</v>
      </c>
      <c r="J28" s="47">
        <f ca="1">(SUM(OFFSET(Data!$B$1:$Q$15,0,0,15-J2,2+J2)))/SUM(OFFSET(Data!$B$1:$Q$15,0,0,15-J2,1+J2))</f>
        <v>1.0119647355163728</v>
      </c>
      <c r="K28" s="47">
        <f ca="1">(SUM(OFFSET(Data!$B$1:$Q$15,0,0,15-K2,2+K2)))/SUM(OFFSET(Data!$B$1:$Q$15,0,0,15-K2,1+K2))</f>
        <v>1.0035260930888577</v>
      </c>
      <c r="L28" s="47">
        <f ca="1">(SUM(OFFSET(Data!$B$1:$Q$15,0,0,15-L2,2+L2)))/SUM(OFFSET(Data!$B$1:$Q$15,0,0,15-L2,1+L2))</f>
        <v>1.0016313213703099</v>
      </c>
      <c r="M28" s="47">
        <f ca="1">(SUM(OFFSET(Data!$B$1:$Q$15,0,0,15-M2,2+M2)))/SUM(OFFSET(Data!$B$1:$Q$15,0,0,15-M2,1+M2))</f>
        <v>1</v>
      </c>
      <c r="N28" s="47">
        <f ca="1">(SUM(OFFSET(Data!$B$1:$Q$15,0,0,15-N2,2+N2)))/SUM(OFFSET(Data!$B$1:$Q$15,0,0,15-N2,1+N2))</f>
        <v>1</v>
      </c>
      <c r="O28" s="47">
        <f ca="1">(SUM(OFFSET(Data!$B$1:$Q$15,0,0,15-O2,2+O2)))/SUM(OFFSET(Data!$B$1:$Q$15,0,0,15-O2,1+O2))</f>
        <v>1</v>
      </c>
      <c r="P28" s="47">
        <f ca="1">(SUM(OFFSET(Data!$B$1:$Q$15,0,0,15-P2,2+P2)))/SUM(OFFSET(Data!$B$1:$Q$15,0,0,15-P2,1+P2))</f>
        <v>1</v>
      </c>
      <c r="Q28" s="47">
        <f ca="1">(SUM(OFFSET(Data!$B$1:$Q$15,0,0,15-Q2,2+Q2)))/SUM(OFFSET(Data!$B$1:$Q$15,0,0,15-Q2,1+Q2))</f>
        <v>1</v>
      </c>
      <c r="R28" s="56"/>
    </row>
    <row r="30" spans="1:18" ht="15" x14ac:dyDescent="0.2">
      <c r="A30" s="1" t="s">
        <v>16</v>
      </c>
      <c r="B30" s="1" t="s">
        <v>54</v>
      </c>
      <c r="C30" s="55">
        <f>(SUM(Data!$B9:C15)-Data!C14)/SUM(Data!$B9:B15)</f>
        <v>13.470588235294118</v>
      </c>
      <c r="D30" s="55">
        <f>SUM(Data!$B9:D14)/SUM(Data!$B9:C14)</f>
        <v>2.3982683982683981</v>
      </c>
      <c r="E30" s="55">
        <f>SUM(Data!$B8:E13)/SUM(Data!$B8:D13)</f>
        <v>1.4619565217391304</v>
      </c>
      <c r="F30" s="55">
        <f>SUM(Data!$B7:F12)/SUM(Data!$B7:E12)</f>
        <v>1.1997503121098627</v>
      </c>
      <c r="G30" s="55">
        <f>SUM(Data!$B6:G11)/SUM(Data!$B6:F11)</f>
        <v>1.0964730290456433</v>
      </c>
      <c r="H30" s="55">
        <f>SUM(Data!$B5:H10)/SUM(Data!$B5:G10)</f>
        <v>1.041044776119403</v>
      </c>
      <c r="I30" s="55">
        <f>SUM(Data!$B4:I9)/SUM(Data!$B4:H9)</f>
        <v>1.0278019113814074</v>
      </c>
      <c r="J30" s="55">
        <f>SUM(Data!$B3:J8)/SUM(Data!$B3:I8)</f>
        <v>1.0126475548060707</v>
      </c>
      <c r="K30" s="55">
        <f>SUM(Data!$B2:K7)/SUM(Data!$B2:J7)</f>
        <v>1.0041017227235438</v>
      </c>
      <c r="L30" s="55">
        <f>SUM(Data!$B1:L6)/SUM(Data!$B1:K6)</f>
        <v>1.0016313213703099</v>
      </c>
      <c r="M30" s="49"/>
      <c r="N30" s="49"/>
      <c r="O30" s="49"/>
      <c r="P30" s="49"/>
      <c r="Q30" s="49"/>
      <c r="R30" s="49"/>
    </row>
    <row r="31" spans="1:18" ht="15" x14ac:dyDescent="0.2">
      <c r="A31" s="1"/>
      <c r="B31" s="1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8"/>
      <c r="O31" s="48"/>
      <c r="P31" s="48"/>
      <c r="Q31" s="48"/>
      <c r="R31" s="48"/>
    </row>
    <row r="32" spans="1:18" ht="15" x14ac:dyDescent="0.2">
      <c r="B32" s="1" t="s">
        <v>53</v>
      </c>
      <c r="C32" s="55">
        <f ca="1">(SUM(INDIRECT("Data!"&amp;ADDRESS(9-C2,2)):INDIRECT("Data!"&amp;ADDRESS(15-C2,3+C2)))-Data!C14)/SUM(INDIRECT("Data!"&amp;ADDRESS(9-C2,2)):INDIRECT("Data!"&amp;ADDRESS(15-C2,2+C2)))</f>
        <v>13.470588235294118</v>
      </c>
      <c r="D32" s="55">
        <f ca="1">(SUM(INDIRECT("Data!"&amp;ADDRESS(10-D2,2)):INDIRECT("Data!"&amp;ADDRESS(15-D2,3+D2))))/SUM(INDIRECT("Data!"&amp;ADDRESS(10-D2,2)):INDIRECT("Data!"&amp;ADDRESS(15-D2,2+D2)))</f>
        <v>2.3982683982683981</v>
      </c>
      <c r="E32" s="55">
        <f ca="1">(SUM(INDIRECT("Data!"&amp;ADDRESS(10-E2,2)):INDIRECT("Data!"&amp;ADDRESS(15-E2,3+E2))))/SUM(INDIRECT("Data!"&amp;ADDRESS(10-E2,2)):INDIRECT("Data!"&amp;ADDRESS(15-E2,2+E2)))</f>
        <v>1.4619565217391304</v>
      </c>
      <c r="F32" s="55">
        <f ca="1">(SUM(INDIRECT("Data!"&amp;ADDRESS(10-F2,2)):INDIRECT("Data!"&amp;ADDRESS(15-F2,3+F2))))/SUM(INDIRECT("Data!"&amp;ADDRESS(10-F2,2)):INDIRECT("Data!"&amp;ADDRESS(15-F2,2+F2)))</f>
        <v>1.1997503121098627</v>
      </c>
      <c r="G32" s="55">
        <f ca="1">(SUM(INDIRECT("Data!"&amp;ADDRESS(10-G2,2)):INDIRECT("Data!"&amp;ADDRESS(15-G2,3+G2))))/SUM(INDIRECT("Data!"&amp;ADDRESS(10-G2,2)):INDIRECT("Data!"&amp;ADDRESS(15-G2,2+G2)))</f>
        <v>1.0964730290456433</v>
      </c>
      <c r="H32" s="55">
        <f ca="1">(SUM(INDIRECT("Data!"&amp;ADDRESS(10-H2,2)):INDIRECT("Data!"&amp;ADDRESS(15-H2,3+H2))))/SUM(INDIRECT("Data!"&amp;ADDRESS(10-H2,2)):INDIRECT("Data!"&amp;ADDRESS(15-H2,2+H2)))</f>
        <v>1.041044776119403</v>
      </c>
      <c r="I32" s="55">
        <f ca="1">(SUM(INDIRECT("Data!"&amp;ADDRESS(10-I2,2)):INDIRECT("Data!"&amp;ADDRESS(15-I2,3+I2))))/SUM(INDIRECT("Data!"&amp;ADDRESS(10-I2,2)):INDIRECT("Data!"&amp;ADDRESS(15-I2,2+I2)))</f>
        <v>1.0278019113814074</v>
      </c>
      <c r="J32" s="55">
        <f ca="1">(SUM(INDIRECT("Data!"&amp;ADDRESS(10-J2,2)):INDIRECT("Data!"&amp;ADDRESS(15-J2,3+J2))))/SUM(INDIRECT("Data!"&amp;ADDRESS(10-J2,2)):INDIRECT("Data!"&amp;ADDRESS(15-J2,2+J2)))</f>
        <v>1.0126475548060707</v>
      </c>
      <c r="K32" s="55">
        <f ca="1">(SUM(INDIRECT("Data!"&amp;ADDRESS(10-K2,2)):INDIRECT("Data!"&amp;ADDRESS(15-K2,3+K2))))/SUM(INDIRECT("Data!"&amp;ADDRESS(10-K2,2)):INDIRECT("Data!"&amp;ADDRESS(15-K2,2+K2)))</f>
        <v>1.0041017227235438</v>
      </c>
      <c r="L32" s="55">
        <f ca="1">(SUM(INDIRECT("Data!"&amp;ADDRESS(10-L2,2)):INDIRECT("Data!"&amp;ADDRESS(15-L2,3+L2))))/SUM(INDIRECT("Data!"&amp;ADDRESS(10-L2,2)):INDIRECT("Data!"&amp;ADDRESS(15-L2,2+L2)))</f>
        <v>1.0016313213703099</v>
      </c>
    </row>
    <row r="34" spans="1:18" ht="15" x14ac:dyDescent="0.2">
      <c r="B34" s="1" t="s">
        <v>52</v>
      </c>
      <c r="C34" s="54">
        <f ca="1">(SUM(OFFSET(Data!$B$9:$Q$15,-C2,0,,2+C2))-Data!C14)/SUM(OFFSET(Data!$B$9:$Q$15,-C2,0,,1+C2))</f>
        <v>13.470588235294118</v>
      </c>
      <c r="D34" s="54">
        <f ca="1">(SUM(OFFSET(Data!$B$10:$Q$15,-D2,0,,2+D2)))/SUM(OFFSET(Data!$B$10:$Q$15,-D2,0,,1+D2))</f>
        <v>2.3982683982683981</v>
      </c>
      <c r="E34" s="54">
        <f ca="1">(SUM(OFFSET(Data!$B$10:$Q$15,-E2,0,,2+E2)))/SUM(OFFSET(Data!$B$10:$Q$15,-E2,0,,1+E2))</f>
        <v>1.4619565217391304</v>
      </c>
      <c r="F34" s="54">
        <f ca="1">(SUM(OFFSET(Data!$B$10:$Q$15,-F2,0,,2+F2)))/SUM(OFFSET(Data!$B$10:$Q$15,-F2,0,,1+F2))</f>
        <v>1.1997503121098627</v>
      </c>
      <c r="G34" s="54">
        <f ca="1">(SUM(OFFSET(Data!$B$10:$Q$15,-G2,0,,2+G2)))/SUM(OFFSET(Data!$B$10:$Q$15,-G2,0,,1+G2))</f>
        <v>1.0964730290456433</v>
      </c>
      <c r="H34" s="54">
        <f ca="1">(SUM(OFFSET(Data!$B$10:$Q$15,-H2,0,,2+H2)))/SUM(OFFSET(Data!$B$10:$Q$15,-H2,0,,1+H2))</f>
        <v>1.041044776119403</v>
      </c>
      <c r="I34" s="54">
        <f ca="1">(SUM(OFFSET(Data!$B$10:$Q$15,-I2,0,,2+I2)))/SUM(OFFSET(Data!$B$10:$Q$15,-I2,0,,1+I2))</f>
        <v>1.0278019113814074</v>
      </c>
      <c r="J34" s="54">
        <f ca="1">(SUM(OFFSET(Data!$B$10:$Q$15,-J2,0,,2+J2)))/SUM(OFFSET(Data!$B$10:$Q$15,-J2,0,,1+J2))</f>
        <v>1.0126475548060707</v>
      </c>
      <c r="K34" s="54">
        <f ca="1">(SUM(OFFSET(Data!$B$10:$Q$15,-K2,0,,2+K2)))/SUM(OFFSET(Data!$B$10:$Q$15,-K2,0,,1+K2))</f>
        <v>1.0041017227235438</v>
      </c>
      <c r="L34" s="54">
        <f ca="1">(SUM(OFFSET(Data!$B$10:$Q$15,-L2,0,,2+L2)))/SUM(OFFSET(Data!$B$10:$Q$15,-L2,0,,1+L2))</f>
        <v>1.0016313213703099</v>
      </c>
    </row>
    <row r="36" spans="1:18" ht="15" x14ac:dyDescent="0.2">
      <c r="A36" s="1" t="s">
        <v>15</v>
      </c>
      <c r="B36" s="1" t="s">
        <v>54</v>
      </c>
      <c r="C36" s="53">
        <f>(SUM(Data!$B12:C15)-Data!C14)/SUM(Data!$B12:B15)</f>
        <v>8.9090909090909083</v>
      </c>
      <c r="D36" s="53">
        <f>SUM(Data!$B12:D14)/SUM(Data!$B12:C14)</f>
        <v>2.65</v>
      </c>
      <c r="E36" s="53">
        <f>SUM(Data!$B11:E13)/SUM(Data!$B11:D13)</f>
        <v>1.4230769230769231</v>
      </c>
      <c r="F36" s="53">
        <f>SUM(Data!$B10:F12)/SUM(Data!$B10:E12)</f>
        <v>1.2019464720194648</v>
      </c>
      <c r="G36" s="53">
        <f>SUM(Data!$B9:G11)/SUM(Data!$B9:F11)</f>
        <v>1.0882956878850103</v>
      </c>
      <c r="H36" s="53">
        <f>SUM(Data!$B8:H10)/SUM(Data!$B8:G10)</f>
        <v>1.0342857142857143</v>
      </c>
      <c r="I36" s="53">
        <f>SUM(Data!$B7:I9)/SUM(Data!$B7:H9)</f>
        <v>1.033395176252319</v>
      </c>
      <c r="J36" s="53">
        <f>SUM(Data!$B6:J8)/SUM(Data!$B6:I8)</f>
        <v>1.0157894736842106</v>
      </c>
      <c r="K36" s="53">
        <f>SUM(Data!$B5:K7)/SUM(Data!$B5:J7)</f>
        <v>1.0050335570469799</v>
      </c>
      <c r="L36" s="53">
        <f>SUM(Data!$B4:L6)/SUM(Data!$B4:K6)</f>
        <v>1.0015723270440251</v>
      </c>
      <c r="M36" s="53">
        <f>SUM(Data!$B3:M5)/SUM(Data!$B3:L5)</f>
        <v>1</v>
      </c>
      <c r="N36" s="53">
        <f>SUM(Data!$B2:N4)/SUM(Data!$B2:M4)</f>
        <v>1</v>
      </c>
      <c r="O36" s="53">
        <f>SUM(Data!$B1:O3)/SUM(Data!$B1:N3)</f>
        <v>1</v>
      </c>
      <c r="P36" s="49"/>
      <c r="Q36" s="48"/>
      <c r="R36" s="48"/>
    </row>
    <row r="37" spans="1:18" ht="15" x14ac:dyDescent="0.2">
      <c r="A37" s="1"/>
      <c r="B37" s="1"/>
      <c r="G37" s="49"/>
      <c r="H37" s="49"/>
      <c r="I37" s="49"/>
      <c r="J37" s="49"/>
      <c r="K37" s="49"/>
      <c r="L37" s="49"/>
      <c r="M37" s="49"/>
      <c r="N37" s="49"/>
      <c r="O37" s="48"/>
      <c r="P37" s="48"/>
      <c r="Q37" s="48"/>
      <c r="R37" s="48"/>
    </row>
    <row r="38" spans="1:18" ht="15" x14ac:dyDescent="0.2">
      <c r="B38" s="1" t="s">
        <v>53</v>
      </c>
      <c r="C38" s="53">
        <f ca="1">(SUM(INDIRECT("Data!"&amp;ADDRESS(12-C2,2)):INDIRECT("Data!"&amp;ADDRESS(15-C2,3+C2)))-Data!C14)/SUM(INDIRECT("Data!"&amp;ADDRESS(12-C2,2)):INDIRECT("Data!"&amp;ADDRESS(15-C2,2+C2)))</f>
        <v>8.9090909090909083</v>
      </c>
      <c r="D38" s="53">
        <f ca="1">(SUM(INDIRECT("Data!"&amp;ADDRESS(13-D2,2)):INDIRECT("Data!"&amp;ADDRESS(15-D2,3+D2))))/SUM(INDIRECT("Data!"&amp;ADDRESS(13-D2,2)):INDIRECT("Data!"&amp;ADDRESS(15-D2,2+D2)))</f>
        <v>2.65</v>
      </c>
      <c r="E38" s="53">
        <f ca="1">(SUM(INDIRECT("Data!"&amp;ADDRESS(13-E2,2)):INDIRECT("Data!"&amp;ADDRESS(15-E2,3+E2))))/SUM(INDIRECT("Data!"&amp;ADDRESS(13-E2,2)):INDIRECT("Data!"&amp;ADDRESS(15-E2,2+E2)))</f>
        <v>1.4230769230769231</v>
      </c>
      <c r="F38" s="53">
        <f ca="1">(SUM(INDIRECT("Data!"&amp;ADDRESS(13-F2,2)):INDIRECT("Data!"&amp;ADDRESS(15-F2,3+F2))))/SUM(INDIRECT("Data!"&amp;ADDRESS(13-F2,2)):INDIRECT("Data!"&amp;ADDRESS(15-F2,2+F2)))</f>
        <v>1.2019464720194648</v>
      </c>
      <c r="G38" s="53">
        <f ca="1">(SUM(INDIRECT("Data!"&amp;ADDRESS(13-G2,2)):INDIRECT("Data!"&amp;ADDRESS(15-G2,3+G2))))/SUM(INDIRECT("Data!"&amp;ADDRESS(13-G2,2)):INDIRECT("Data!"&amp;ADDRESS(15-G2,2+G2)))</f>
        <v>1.0882956878850103</v>
      </c>
      <c r="H38" s="53">
        <f ca="1">(SUM(INDIRECT("Data!"&amp;ADDRESS(13-H2,2)):INDIRECT("Data!"&amp;ADDRESS(15-H2,3+H2))))/SUM(INDIRECT("Data!"&amp;ADDRESS(13-H2,2)):INDIRECT("Data!"&amp;ADDRESS(15-H2,2+H2)))</f>
        <v>1.0342857142857143</v>
      </c>
      <c r="I38" s="53">
        <f ca="1">(SUM(INDIRECT("Data!"&amp;ADDRESS(13-I2,2)):INDIRECT("Data!"&amp;ADDRESS(15-I2,3+I2))))/SUM(INDIRECT("Data!"&amp;ADDRESS(13-I2,2)):INDIRECT("Data!"&amp;ADDRESS(15-I2,2+I2)))</f>
        <v>1.033395176252319</v>
      </c>
      <c r="J38" s="53">
        <f ca="1">(SUM(INDIRECT("Data!"&amp;ADDRESS(13-J2,2)):INDIRECT("Data!"&amp;ADDRESS(15-J2,3+J2))))/SUM(INDIRECT("Data!"&amp;ADDRESS(13-J2,2)):INDIRECT("Data!"&amp;ADDRESS(15-J2,2+J2)))</f>
        <v>1.0157894736842106</v>
      </c>
      <c r="K38" s="53">
        <f ca="1">(SUM(INDIRECT("Data!"&amp;ADDRESS(13-K2,2)):INDIRECT("Data!"&amp;ADDRESS(15-K2,3+K2))))/SUM(INDIRECT("Data!"&amp;ADDRESS(13-K2,2)):INDIRECT("Data!"&amp;ADDRESS(15-K2,2+K2)))</f>
        <v>1.0050335570469799</v>
      </c>
      <c r="L38" s="53">
        <f ca="1">(SUM(INDIRECT("Data!"&amp;ADDRESS(13-L2,2)):INDIRECT("Data!"&amp;ADDRESS(15-L2,3+L2))))/SUM(INDIRECT("Data!"&amp;ADDRESS(13-L2,2)):INDIRECT("Data!"&amp;ADDRESS(15-L2,2+L2)))</f>
        <v>1.0015723270440251</v>
      </c>
      <c r="M38" s="53">
        <f ca="1">(SUM(INDIRECT("Data!"&amp;ADDRESS(13-M2,2)):INDIRECT("Data!"&amp;ADDRESS(15-M2,3+M2))))/SUM(INDIRECT("Data!"&amp;ADDRESS(13-M2,2)):INDIRECT("Data!"&amp;ADDRESS(15-M2,2+M2)))</f>
        <v>1</v>
      </c>
      <c r="N38" s="53">
        <f ca="1">(SUM(INDIRECT("Data!"&amp;ADDRESS(13-N2,2)):INDIRECT("Data!"&amp;ADDRESS(15-N2,3+N2))))/SUM(INDIRECT("Data!"&amp;ADDRESS(13-N2,2)):INDIRECT("Data!"&amp;ADDRESS(15-N2,2+N2)))</f>
        <v>1</v>
      </c>
      <c r="O38" s="53">
        <f ca="1">(SUM(INDIRECT("Data!"&amp;ADDRESS(13-O2,2)):INDIRECT("Data!"&amp;ADDRESS(15-O2,3+O2))))/SUM(INDIRECT("Data!"&amp;ADDRESS(13-O2,2)):INDIRECT("Data!"&amp;ADDRESS(15-O2,2+O2)))</f>
        <v>1</v>
      </c>
    </row>
    <row r="40" spans="1:18" x14ac:dyDescent="0.2">
      <c r="B40" s="31" t="s">
        <v>52</v>
      </c>
      <c r="C40" s="52">
        <f ca="1">(SUM(OFFSET(Data!$B$12:$Q$15,-C2,0,,2+C2))-Data!C14)/SUM(OFFSET(Data!$B$12:$Q$15,-C2,0,,1+C2))</f>
        <v>8.9090909090909083</v>
      </c>
      <c r="D40" s="52">
        <f ca="1">(SUM(OFFSET(Data!$B$13:$Q$15,-D2,0,,2+D2)))/SUM(OFFSET(Data!$B$13:$Q$15,-D2,0,,1+D2))</f>
        <v>2.65</v>
      </c>
      <c r="E40" s="52">
        <f ca="1">(SUM(OFFSET(Data!$B$13:$Q$15,-E2,0,,2+E2)))/SUM(OFFSET(Data!$B$13:$Q$15,-E2,0,,1+E2))</f>
        <v>1.4230769230769231</v>
      </c>
      <c r="F40" s="52">
        <f ca="1">(SUM(OFFSET(Data!$B$13:$Q$15,-F2,0,,2+F2)))/SUM(OFFSET(Data!$B$13:$Q$15,-F2,0,,1+F2))</f>
        <v>1.2019464720194648</v>
      </c>
      <c r="G40" s="52">
        <f ca="1">(SUM(OFFSET(Data!$B$13:$Q$15,-G2,0,,2+G2)))/SUM(OFFSET(Data!$B$13:$Q$15,-G2,0,,1+G2))</f>
        <v>1.0882956878850103</v>
      </c>
      <c r="H40" s="52">
        <f ca="1">(SUM(OFFSET(Data!$B$13:$Q$15,-H2,0,,2+H2)))/SUM(OFFSET(Data!$B$13:$Q$15,-H2,0,,1+H2))</f>
        <v>1.0342857142857143</v>
      </c>
      <c r="I40" s="52">
        <f ca="1">(SUM(OFFSET(Data!$B$13:$Q$15,-I2,0,,2+I2)))/SUM(OFFSET(Data!$B$13:$Q$15,-I2,0,,1+I2))</f>
        <v>1.033395176252319</v>
      </c>
      <c r="J40" s="52">
        <f ca="1">(SUM(OFFSET(Data!$B$13:$Q$15,-J2,0,,2+J2)))/SUM(OFFSET(Data!$B$13:$Q$15,-J2,0,,1+J2))</f>
        <v>1.0157894736842106</v>
      </c>
      <c r="K40" s="52">
        <f ca="1">(SUM(OFFSET(Data!$B$13:$Q$15,-K2,0,,2+K2)))/SUM(OFFSET(Data!$B$13:$Q$15,-K2,0,,1+K2))</f>
        <v>1.0050335570469799</v>
      </c>
      <c r="L40" s="52">
        <f ca="1">(SUM(OFFSET(Data!$B$13:$Q$15,-L2,0,,2+L2)))/SUM(OFFSET(Data!$B$13:$Q$15,-L2,0,,1+L2))</f>
        <v>1.0015723270440251</v>
      </c>
      <c r="M40" s="52">
        <f ca="1">(SUM(OFFSET(Data!$B$13:$Q$15,-M2,0,,2+M2)))/SUM(OFFSET(Data!$B$13:$Q$15,-M2,0,,1+M2))</f>
        <v>1</v>
      </c>
      <c r="N40" s="52">
        <f ca="1">(SUM(OFFSET(Data!$B$13:$Q$15,-N2,0,,2+N2)))/SUM(OFFSET(Data!$B$13:$Q$15,-N2,0,,1+N2))</f>
        <v>1</v>
      </c>
      <c r="O40" s="52">
        <f ca="1">(SUM(OFFSET(Data!$B$13:$Q$15,-O2,0,,2+O2)))/SUM(OFFSET(Data!$B$13:$Q$15,-O2,0,,1+O2))</f>
        <v>1</v>
      </c>
    </row>
    <row r="41" spans="1:18" ht="15" x14ac:dyDescent="0.2">
      <c r="C41" s="51" t="s">
        <v>51</v>
      </c>
      <c r="D41" s="51"/>
      <c r="E41" s="51"/>
      <c r="F41" s="51"/>
    </row>
    <row r="43" spans="1:18" ht="15" x14ac:dyDescent="0.2">
      <c r="A43" s="5"/>
      <c r="B43" s="5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49"/>
      <c r="O43" s="48"/>
      <c r="P43" s="48"/>
      <c r="Q43" s="48"/>
      <c r="R43" s="48"/>
    </row>
    <row r="44" spans="1:18" ht="15" x14ac:dyDescent="0.2">
      <c r="A44" s="1" t="s">
        <v>13</v>
      </c>
      <c r="B44" s="1"/>
      <c r="C44" s="47">
        <f t="shared" ref="C44:R44" si="0">C24</f>
        <v>12.976190476190476</v>
      </c>
      <c r="D44" s="47">
        <f t="shared" si="0"/>
        <v>2.3948811700182815</v>
      </c>
      <c r="E44" s="47">
        <f t="shared" si="0"/>
        <v>1.4600977198697069</v>
      </c>
      <c r="F44" s="47">
        <f t="shared" si="0"/>
        <v>1.2110036275695284</v>
      </c>
      <c r="G44" s="47">
        <f t="shared" si="0"/>
        <v>1.0950054288816504</v>
      </c>
      <c r="H44" s="47">
        <f t="shared" si="0"/>
        <v>1.0419618528610355</v>
      </c>
      <c r="I44" s="47">
        <f t="shared" si="0"/>
        <v>1.0237819025522041</v>
      </c>
      <c r="J44" s="47">
        <f t="shared" si="0"/>
        <v>1.0119647355163728</v>
      </c>
      <c r="K44" s="47">
        <f t="shared" si="0"/>
        <v>1.0035260930888577</v>
      </c>
      <c r="L44" s="47">
        <f t="shared" si="0"/>
        <v>1.0016313213703099</v>
      </c>
      <c r="M44" s="47">
        <f t="shared" si="0"/>
        <v>1</v>
      </c>
      <c r="N44" s="47">
        <f t="shared" si="0"/>
        <v>1</v>
      </c>
      <c r="O44" s="47">
        <f t="shared" si="0"/>
        <v>1</v>
      </c>
      <c r="P44" s="47">
        <f t="shared" si="0"/>
        <v>1</v>
      </c>
      <c r="Q44" s="47">
        <f t="shared" si="0"/>
        <v>1</v>
      </c>
      <c r="R44" s="47">
        <f t="shared" si="0"/>
        <v>0</v>
      </c>
    </row>
    <row r="45" spans="1:18" x14ac:dyDescent="0.2">
      <c r="A45" s="31" t="s">
        <v>14</v>
      </c>
    </row>
    <row r="47" spans="1:18" ht="15.75" x14ac:dyDescent="0.25">
      <c r="A47" s="38" t="s">
        <v>13</v>
      </c>
      <c r="B47" s="38"/>
      <c r="C47" s="46">
        <f>C44</f>
        <v>12.976190476190476</v>
      </c>
      <c r="D47" s="46">
        <f>D44</f>
        <v>2.3948811700182815</v>
      </c>
      <c r="E47" s="46">
        <f>E44</f>
        <v>1.4600977198697069</v>
      </c>
      <c r="F47" s="46">
        <f>F44</f>
        <v>1.2110036275695284</v>
      </c>
      <c r="G47" s="46">
        <f>G44</f>
        <v>1.0950054288816504</v>
      </c>
      <c r="H47" s="45">
        <f>H56</f>
        <v>1.0481716607406639</v>
      </c>
      <c r="I47" s="45">
        <f>I56</f>
        <v>1.021123526939161</v>
      </c>
      <c r="J47" s="45">
        <f>J56</f>
        <v>1.0092627778135288</v>
      </c>
      <c r="K47" s="45">
        <f>K56</f>
        <v>1.0040617768552533</v>
      </c>
      <c r="L47" s="45">
        <f>L56</f>
        <v>1.0017811105430787</v>
      </c>
      <c r="M47" s="44">
        <f>B63</f>
        <v>1.0013909771673879</v>
      </c>
      <c r="N47" s="43"/>
      <c r="O47" s="43"/>
    </row>
    <row r="48" spans="1:18" ht="15.75" x14ac:dyDescent="0.25">
      <c r="A48" s="38" t="s">
        <v>12</v>
      </c>
      <c r="B48" s="38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33"/>
    </row>
    <row r="49" spans="1:15" ht="15" x14ac:dyDescent="0.2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33"/>
    </row>
    <row r="50" spans="1:15" ht="15" x14ac:dyDescent="0.2">
      <c r="A50" s="39"/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13"/>
      <c r="N50" s="13"/>
      <c r="O50" s="33"/>
    </row>
    <row r="51" spans="1:15" ht="15.75" x14ac:dyDescent="0.25">
      <c r="A51" s="38" t="s">
        <v>11</v>
      </c>
      <c r="B51" s="38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33"/>
    </row>
    <row r="52" spans="1:15" ht="15" x14ac:dyDescent="0.2">
      <c r="A52" s="13"/>
      <c r="B52" s="13"/>
      <c r="C52" s="13"/>
      <c r="D52" s="13"/>
      <c r="E52" s="13"/>
      <c r="F52" s="13"/>
      <c r="G52" s="13" t="s">
        <v>50</v>
      </c>
      <c r="H52" s="13"/>
      <c r="I52" s="13"/>
      <c r="J52" s="13"/>
      <c r="K52" s="13"/>
      <c r="L52" s="13"/>
      <c r="M52" s="13"/>
      <c r="N52" s="13"/>
      <c r="O52" s="33"/>
    </row>
    <row r="53" spans="1:15" ht="15" x14ac:dyDescent="0.2">
      <c r="A53" s="13" t="s">
        <v>9</v>
      </c>
      <c r="B53" s="13"/>
      <c r="C53" s="13"/>
      <c r="D53" s="13"/>
      <c r="E53" s="13"/>
      <c r="F53" s="13"/>
      <c r="G53" s="42">
        <f>LN(G44-1)</f>
        <v>-2.3538212428917378</v>
      </c>
      <c r="H53" s="42"/>
      <c r="I53" s="42">
        <f>LN(I44-1)</f>
        <v>-3.738830384519332</v>
      </c>
      <c r="J53" s="42">
        <f>LN(J44-1)</f>
        <v>-4.4257916626406422</v>
      </c>
      <c r="K53" s="42">
        <f>LN(K44-1)</f>
        <v>-5.6475647946579421</v>
      </c>
      <c r="L53" s="42">
        <f>LN(L44-1)</f>
        <v>-6.4183649359362693</v>
      </c>
      <c r="M53" s="42"/>
      <c r="N53" s="13"/>
      <c r="O53" s="33"/>
    </row>
    <row r="54" spans="1:15" ht="15" x14ac:dyDescent="0.2">
      <c r="A54" s="13"/>
      <c r="B54" s="13"/>
      <c r="C54" s="13"/>
      <c r="D54" s="13"/>
      <c r="E54" s="13"/>
      <c r="F54" s="13"/>
      <c r="G54" s="13" t="s">
        <v>8</v>
      </c>
      <c r="H54" s="13"/>
      <c r="I54" s="13"/>
      <c r="J54" s="13"/>
      <c r="K54" s="13"/>
      <c r="L54" s="13"/>
      <c r="M54" s="13"/>
      <c r="N54" s="13"/>
      <c r="O54" s="33"/>
    </row>
    <row r="55" spans="1:15" ht="15" x14ac:dyDescent="0.2">
      <c r="A55" s="13" t="s">
        <v>7</v>
      </c>
      <c r="B55" s="13">
        <f>SLOPE(G53:L53,G2:L2)</f>
        <v>-0.82438345658548107</v>
      </c>
      <c r="C55" s="13"/>
      <c r="D55" s="13"/>
      <c r="E55" s="13"/>
      <c r="F55" s="13" t="s">
        <v>6</v>
      </c>
      <c r="G55" s="13">
        <f t="shared" ref="G55:L55" si="1">_xlfn.FORECAST.LINEAR(G2,$G$53:$L$53,$G$2:$L$2)</f>
        <v>-2.2086009256898365</v>
      </c>
      <c r="H55" s="13">
        <f t="shared" si="1"/>
        <v>-3.032984382275318</v>
      </c>
      <c r="I55" s="13">
        <f t="shared" si="1"/>
        <v>-3.8573678388607986</v>
      </c>
      <c r="J55" s="13">
        <f t="shared" si="1"/>
        <v>-4.6817512954462792</v>
      </c>
      <c r="K55" s="13">
        <f t="shared" si="1"/>
        <v>-5.5061347520317607</v>
      </c>
      <c r="L55" s="13">
        <f t="shared" si="1"/>
        <v>-6.3305182086172422</v>
      </c>
      <c r="M55" s="13"/>
      <c r="N55" s="13"/>
      <c r="O55" s="33"/>
    </row>
    <row r="56" spans="1:15" ht="15" x14ac:dyDescent="0.2">
      <c r="A56" s="13" t="s">
        <v>5</v>
      </c>
      <c r="B56" s="13">
        <f>INTERCEPT(G53:L53,G2:L2)</f>
        <v>1.0889329006520878</v>
      </c>
      <c r="C56" s="13"/>
      <c r="D56" s="13"/>
      <c r="E56" s="13"/>
      <c r="F56" s="13" t="s">
        <v>4</v>
      </c>
      <c r="G56" s="41">
        <f t="shared" ref="G56:L56" si="2">EXP(G55)+1</f>
        <v>1.1098542352892597</v>
      </c>
      <c r="H56" s="41">
        <f t="shared" si="2"/>
        <v>1.0481716607406639</v>
      </c>
      <c r="I56" s="41">
        <f t="shared" si="2"/>
        <v>1.021123526939161</v>
      </c>
      <c r="J56" s="41">
        <f t="shared" si="2"/>
        <v>1.0092627778135288</v>
      </c>
      <c r="K56" s="41">
        <f t="shared" si="2"/>
        <v>1.0040617768552533</v>
      </c>
      <c r="L56" s="41">
        <f t="shared" si="2"/>
        <v>1.0017811105430787</v>
      </c>
      <c r="M56" s="13"/>
      <c r="N56" s="13"/>
      <c r="O56" s="33"/>
    </row>
    <row r="57" spans="1:15" ht="15" x14ac:dyDescent="0.2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33"/>
    </row>
    <row r="58" spans="1:15" ht="15" x14ac:dyDescent="0.2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33"/>
    </row>
    <row r="59" spans="1:15" ht="15.75" x14ac:dyDescent="0.25">
      <c r="A59" s="38" t="s">
        <v>49</v>
      </c>
      <c r="B59" s="38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33"/>
    </row>
    <row r="60" spans="1:15" ht="15" x14ac:dyDescent="0.2">
      <c r="A60" s="13" t="s">
        <v>2</v>
      </c>
      <c r="B60" s="13">
        <f>EXP(B56)</f>
        <v>2.9711019194419959</v>
      </c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33"/>
    </row>
    <row r="61" spans="1:15" ht="15" x14ac:dyDescent="0.2">
      <c r="A61" s="13" t="s">
        <v>1</v>
      </c>
      <c r="B61" s="13">
        <f>EXP(B55)</f>
        <v>0.43850526667289524</v>
      </c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33"/>
    </row>
    <row r="62" spans="1:15" ht="15.75" x14ac:dyDescent="0.25">
      <c r="A62" s="13" t="s">
        <v>48</v>
      </c>
      <c r="B62" s="40">
        <f>B60*B61^(10)/(1-B61)</f>
        <v>1.390977167387969E-3</v>
      </c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33"/>
    </row>
    <row r="63" spans="1:15" ht="15" x14ac:dyDescent="0.2">
      <c r="A63" s="13" t="s">
        <v>47</v>
      </c>
      <c r="B63" s="13">
        <f>1+B62</f>
        <v>1.0013909771673879</v>
      </c>
      <c r="C63" s="13" t="s">
        <v>46</v>
      </c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33"/>
    </row>
    <row r="64" spans="1:15" ht="15" x14ac:dyDescent="0.2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33"/>
    </row>
    <row r="65" spans="1:15" ht="15" x14ac:dyDescent="0.2">
      <c r="A65" s="39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3"/>
    </row>
    <row r="66" spans="1:15" ht="15.75" x14ac:dyDescent="0.25">
      <c r="A66" s="38" t="s">
        <v>45</v>
      </c>
      <c r="B66" s="38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33"/>
    </row>
    <row r="67" spans="1:15" ht="15.75" x14ac:dyDescent="0.25">
      <c r="A67" s="13"/>
      <c r="B67" s="13"/>
      <c r="C67" s="38">
        <v>0</v>
      </c>
      <c r="D67" s="38">
        <v>1</v>
      </c>
      <c r="E67" s="38">
        <v>2</v>
      </c>
      <c r="F67" s="38">
        <v>3</v>
      </c>
      <c r="G67" s="38">
        <v>4</v>
      </c>
      <c r="H67" s="38">
        <v>5</v>
      </c>
      <c r="I67" s="38">
        <v>6</v>
      </c>
      <c r="J67" s="38">
        <v>7</v>
      </c>
      <c r="K67" s="38">
        <v>8</v>
      </c>
      <c r="L67" s="38">
        <v>9</v>
      </c>
      <c r="M67" s="38">
        <v>10</v>
      </c>
      <c r="N67" s="38" t="s">
        <v>44</v>
      </c>
      <c r="O67" s="38"/>
    </row>
    <row r="68" spans="1:15" ht="15" x14ac:dyDescent="0.2">
      <c r="A68" s="13" t="s">
        <v>43</v>
      </c>
      <c r="B68" s="13"/>
      <c r="C68" s="37">
        <f>PRODUCT(C47:$M47)</f>
        <v>65.467645164824859</v>
      </c>
      <c r="D68" s="36">
        <f>PRODUCT(D47:$M47)</f>
        <v>5.0452130218764113</v>
      </c>
      <c r="E68" s="36">
        <f>PRODUCT(E47:$M47)</f>
        <v>2.106665284707173</v>
      </c>
      <c r="F68" s="36">
        <f>PRODUCT(F47:$M47)</f>
        <v>1.4428248575685489</v>
      </c>
      <c r="G68" s="36">
        <f>PRODUCT(G47:$M47)</f>
        <v>1.1914290136886572</v>
      </c>
      <c r="H68" s="36">
        <f>PRODUCT(H47:$M47)</f>
        <v>1.088057631737485</v>
      </c>
      <c r="I68" s="36">
        <f>PRODUCT(I47:$M47)</f>
        <v>1.0380528996258458</v>
      </c>
      <c r="J68" s="36">
        <f>PRODUCT(J47:$M47)</f>
        <v>1.0165791623051046</v>
      </c>
      <c r="K68" s="36">
        <f>PRODUCT(K47:$M47)</f>
        <v>1.0072492364252505</v>
      </c>
      <c r="L68" s="36">
        <f>PRODUCT(L47:$M47)</f>
        <v>1.0031745651945647</v>
      </c>
      <c r="M68" s="36">
        <f>PRODUCT(M47:$M47)</f>
        <v>1.0013909771673879</v>
      </c>
      <c r="N68" s="1">
        <v>1</v>
      </c>
      <c r="O68" s="33"/>
    </row>
    <row r="69" spans="1:15" ht="15" x14ac:dyDescent="0.2">
      <c r="A69" s="13" t="s">
        <v>42</v>
      </c>
      <c r="B69" s="13"/>
      <c r="C69" s="35">
        <f>1/C68</f>
        <v>1.5274720779743128E-2</v>
      </c>
      <c r="D69" s="34">
        <f t="shared" ref="D69:N69" si="3">1/D68-1/C68</f>
        <v>0.18293296552882843</v>
      </c>
      <c r="E69" s="34">
        <f t="shared" si="3"/>
        <v>0.27647616938471686</v>
      </c>
      <c r="F69" s="34">
        <f t="shared" si="3"/>
        <v>0.21840095966344297</v>
      </c>
      <c r="G69" s="34">
        <f t="shared" si="3"/>
        <v>0.14624341025362697</v>
      </c>
      <c r="H69" s="34">
        <f t="shared" si="3"/>
        <v>7.9740738046586324E-2</v>
      </c>
      <c r="I69" s="34">
        <f t="shared" si="3"/>
        <v>4.4273078314556513E-2</v>
      </c>
      <c r="J69" s="34">
        <f t="shared" si="3"/>
        <v>2.0349181575210928E-2</v>
      </c>
      <c r="K69" s="34">
        <f t="shared" si="3"/>
        <v>9.1117132408319312E-3</v>
      </c>
      <c r="L69" s="34">
        <f t="shared" si="3"/>
        <v>4.032543990470927E-3</v>
      </c>
      <c r="M69" s="34">
        <f t="shared" si="3"/>
        <v>1.7754741845287247E-3</v>
      </c>
      <c r="N69" s="34">
        <f t="shared" si="3"/>
        <v>1.3890450374562935E-3</v>
      </c>
      <c r="O69" s="33"/>
    </row>
    <row r="70" spans="1:15" x14ac:dyDescent="0.2">
      <c r="C70" s="32" t="s">
        <v>41</v>
      </c>
      <c r="D70" s="32"/>
      <c r="E70" s="32"/>
      <c r="F70" s="32"/>
      <c r="G70" s="32"/>
    </row>
    <row r="71" spans="1:15" x14ac:dyDescent="0.2">
      <c r="C71" s="32" t="s">
        <v>40</v>
      </c>
      <c r="D71" s="32"/>
      <c r="E71" s="32"/>
      <c r="F71" s="32"/>
      <c r="G71" s="32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A8834-A46F-4705-B471-2F5AF62DBC47}">
  <dimension ref="A1:U60"/>
  <sheetViews>
    <sheetView workbookViewId="0">
      <selection activeCell="S6" sqref="S6"/>
    </sheetView>
  </sheetViews>
  <sheetFormatPr defaultColWidth="11.42578125" defaultRowHeight="15" x14ac:dyDescent="0.25"/>
  <cols>
    <col min="3" max="14" width="6.42578125" customWidth="1"/>
    <col min="15" max="15" width="12.140625" bestFit="1" customWidth="1"/>
  </cols>
  <sheetData>
    <row r="1" spans="1:20" ht="15.75" x14ac:dyDescent="0.25">
      <c r="A1" s="17" t="s">
        <v>34</v>
      </c>
      <c r="B1" s="17"/>
      <c r="C1" s="3" t="s">
        <v>33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29"/>
      <c r="Q1" s="3"/>
      <c r="R1" s="3" t="s">
        <v>32</v>
      </c>
      <c r="S1" s="3"/>
    </row>
    <row r="2" spans="1:20" ht="15.75" x14ac:dyDescent="0.25">
      <c r="A2" s="17" t="s">
        <v>31</v>
      </c>
      <c r="B2" s="17"/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 t="s">
        <v>44</v>
      </c>
      <c r="O2" s="3"/>
      <c r="P2" s="29" t="s">
        <v>29</v>
      </c>
      <c r="Q2" s="3" t="s">
        <v>28</v>
      </c>
      <c r="R2" s="3" t="s">
        <v>27</v>
      </c>
      <c r="S2" s="3" t="s">
        <v>26</v>
      </c>
      <c r="T2" s="3" t="s">
        <v>25</v>
      </c>
    </row>
    <row r="3" spans="1:20" ht="15.75" x14ac:dyDescent="0.25">
      <c r="A3" s="15"/>
      <c r="B3" s="15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28"/>
      <c r="Q3" s="1"/>
      <c r="R3" s="1"/>
      <c r="S3" s="1"/>
    </row>
    <row r="4" spans="1:20" ht="15.75" x14ac:dyDescent="0.25">
      <c r="A4" s="13">
        <v>0</v>
      </c>
      <c r="B4" s="27"/>
      <c r="C4" s="22">
        <f>Data!B1</f>
        <v>4</v>
      </c>
      <c r="D4" s="22">
        <f>Data!C1</f>
        <v>46</v>
      </c>
      <c r="E4" s="22">
        <f>Data!D1</f>
        <v>44</v>
      </c>
      <c r="F4" s="22">
        <f>Data!E1</f>
        <v>40</v>
      </c>
      <c r="G4" s="22">
        <f>Data!F1</f>
        <v>35</v>
      </c>
      <c r="H4" s="22">
        <f>Data!G1</f>
        <v>17</v>
      </c>
      <c r="I4" s="22">
        <f>Data!H1</f>
        <v>7</v>
      </c>
      <c r="J4" s="22">
        <f>Data!I1</f>
        <v>3</v>
      </c>
      <c r="K4" s="22">
        <f>Data!J1</f>
        <v>3</v>
      </c>
      <c r="L4" s="22">
        <f>Data!K1</f>
        <v>0</v>
      </c>
      <c r="M4" s="22">
        <f>Data!L1</f>
        <v>0</v>
      </c>
      <c r="N4" s="26">
        <f>SUM($C4:M4)*(CL!M$47-1)</f>
        <v>0.27680445631019146</v>
      </c>
      <c r="O4" s="26"/>
      <c r="P4" s="25">
        <f>SUM(C4:N4)</f>
        <v>199.2768044563102</v>
      </c>
      <c r="Q4" s="24">
        <f>P4/Data!A1</f>
        <v>9.2773186432174207E-2</v>
      </c>
      <c r="R4" s="20">
        <f t="shared" ref="R4:R19" si="0">S4-P4</f>
        <v>0</v>
      </c>
      <c r="S4" s="20">
        <f t="shared" ref="S4:S19" si="1">SUM(C4:O4)</f>
        <v>199.2768044563102</v>
      </c>
      <c r="T4" s="24">
        <f>S4/Data!A1</f>
        <v>9.2773186432174207E-2</v>
      </c>
    </row>
    <row r="5" spans="1:20" ht="15.75" x14ac:dyDescent="0.25">
      <c r="A5" s="13">
        <v>1</v>
      </c>
      <c r="B5" s="27"/>
      <c r="C5" s="22">
        <f>Data!B2</f>
        <v>3</v>
      </c>
      <c r="D5" s="22">
        <f>Data!C2</f>
        <v>46</v>
      </c>
      <c r="E5" s="22">
        <f>Data!D2</f>
        <v>61</v>
      </c>
      <c r="F5" s="22">
        <f>Data!E2</f>
        <v>43</v>
      </c>
      <c r="G5" s="22">
        <f>Data!F2</f>
        <v>28</v>
      </c>
      <c r="H5" s="22">
        <f>Data!G2</f>
        <v>17</v>
      </c>
      <c r="I5" s="22">
        <f>Data!H2</f>
        <v>5</v>
      </c>
      <c r="J5" s="22">
        <f>Data!I2</f>
        <v>3</v>
      </c>
      <c r="K5" s="22">
        <f>Data!J2</f>
        <v>1</v>
      </c>
      <c r="L5" s="22">
        <f>Data!K2</f>
        <v>2</v>
      </c>
      <c r="M5" s="22">
        <f>Data!L2</f>
        <v>1</v>
      </c>
      <c r="N5" s="26">
        <f>SUM($C5:M5)*(CL!M$47-1)</f>
        <v>0.29210520515145832</v>
      </c>
      <c r="O5" s="26"/>
      <c r="P5" s="25">
        <f>SUM(C5:N5)</f>
        <v>210.29210520515147</v>
      </c>
      <c r="Q5" s="24">
        <f>P5/Data!A2</f>
        <v>0.1018857098862168</v>
      </c>
      <c r="R5" s="20">
        <f t="shared" si="0"/>
        <v>0</v>
      </c>
      <c r="S5" s="20">
        <f t="shared" si="1"/>
        <v>210.29210520515147</v>
      </c>
      <c r="T5" s="24">
        <f>S5/Data!A2</f>
        <v>0.1018857098862168</v>
      </c>
    </row>
    <row r="6" spans="1:20" ht="15.75" x14ac:dyDescent="0.25">
      <c r="A6" s="13">
        <v>2</v>
      </c>
      <c r="B6" s="27"/>
      <c r="C6" s="22">
        <f>Data!B3</f>
        <v>4</v>
      </c>
      <c r="D6" s="22">
        <f>Data!C3</f>
        <v>33</v>
      </c>
      <c r="E6" s="22">
        <f>Data!D3</f>
        <v>49</v>
      </c>
      <c r="F6" s="22">
        <f>Data!E3</f>
        <v>46</v>
      </c>
      <c r="G6" s="22">
        <f>Data!F3</f>
        <v>27</v>
      </c>
      <c r="H6" s="22">
        <f>Data!G3</f>
        <v>11</v>
      </c>
      <c r="I6" s="22">
        <f>Data!H3</f>
        <v>7</v>
      </c>
      <c r="J6" s="22">
        <f>Data!I3</f>
        <v>3</v>
      </c>
      <c r="K6" s="22">
        <f>Data!J3</f>
        <v>2</v>
      </c>
      <c r="L6" s="22">
        <f>Data!K3</f>
        <v>0</v>
      </c>
      <c r="M6" s="22">
        <f>Data!L3</f>
        <v>0</v>
      </c>
      <c r="N6" s="26">
        <f>SUM($C6:M6)*(CL!M$47-1)</f>
        <v>0.25315784446459721</v>
      </c>
      <c r="O6" s="26"/>
      <c r="P6" s="25">
        <f>SUM(C6:N6)</f>
        <v>182.2531578444646</v>
      </c>
      <c r="Q6" s="24">
        <f>P6/Data!A3</f>
        <v>9.1309197316866028E-2</v>
      </c>
      <c r="R6" s="20">
        <f t="shared" si="0"/>
        <v>0</v>
      </c>
      <c r="S6" s="20">
        <f t="shared" si="1"/>
        <v>182.2531578444646</v>
      </c>
      <c r="T6" s="24">
        <f>S6/Data!A3</f>
        <v>9.1309197316866028E-2</v>
      </c>
    </row>
    <row r="7" spans="1:20" ht="15.75" x14ac:dyDescent="0.25">
      <c r="A7" s="13">
        <v>3</v>
      </c>
      <c r="B7" s="27"/>
      <c r="C7" s="22">
        <f>Data!B4</f>
        <v>4</v>
      </c>
      <c r="D7" s="22">
        <f>Data!C4</f>
        <v>36</v>
      </c>
      <c r="E7" s="22">
        <f>Data!D4</f>
        <v>73</v>
      </c>
      <c r="F7" s="22">
        <f>Data!E4</f>
        <v>47</v>
      </c>
      <c r="G7" s="22">
        <f>Data!F4</f>
        <v>31</v>
      </c>
      <c r="H7" s="22">
        <f>Data!G4</f>
        <v>18</v>
      </c>
      <c r="I7" s="22">
        <f>Data!H4</f>
        <v>14</v>
      </c>
      <c r="J7" s="22">
        <f>Data!I4</f>
        <v>8</v>
      </c>
      <c r="K7" s="22">
        <f>Data!J4</f>
        <v>3</v>
      </c>
      <c r="L7" s="22">
        <f>Data!K4</f>
        <v>0</v>
      </c>
      <c r="M7" s="22">
        <f>Data!L4</f>
        <v>1</v>
      </c>
      <c r="N7" s="26">
        <f>SUM($C7:M7)*(CL!M$47-1)</f>
        <v>0.32687963433615574</v>
      </c>
      <c r="O7" s="26"/>
      <c r="P7" s="25">
        <f>SUM(C7:N7)</f>
        <v>235.32687963433617</v>
      </c>
      <c r="Q7" s="24">
        <f>P7/Data!A4</f>
        <v>0.11043025792319858</v>
      </c>
      <c r="R7" s="20">
        <f t="shared" si="0"/>
        <v>0</v>
      </c>
      <c r="S7" s="20">
        <f t="shared" si="1"/>
        <v>235.32687963433617</v>
      </c>
      <c r="T7" s="24">
        <f>S7/Data!A4</f>
        <v>0.11043025792319858</v>
      </c>
    </row>
    <row r="8" spans="1:20" ht="15.75" x14ac:dyDescent="0.25">
      <c r="A8" s="13">
        <v>4</v>
      </c>
      <c r="B8" s="27"/>
      <c r="C8" s="22">
        <f>Data!B5</f>
        <v>4</v>
      </c>
      <c r="D8" s="22">
        <f>Data!C5</f>
        <v>40</v>
      </c>
      <c r="E8" s="22">
        <f>Data!D5</f>
        <v>49</v>
      </c>
      <c r="F8" s="22">
        <f>Data!E5</f>
        <v>52</v>
      </c>
      <c r="G8" s="22">
        <f>Data!F5</f>
        <v>33</v>
      </c>
      <c r="H8" s="22">
        <f>Data!G5</f>
        <v>19</v>
      </c>
      <c r="I8" s="22">
        <f>Data!H5</f>
        <v>7</v>
      </c>
      <c r="J8" s="22">
        <f>Data!I5</f>
        <v>1</v>
      </c>
      <c r="K8" s="22">
        <f>Data!J5</f>
        <v>1</v>
      </c>
      <c r="L8" s="22">
        <f>Data!K5</f>
        <v>0</v>
      </c>
      <c r="M8" s="22">
        <f>Data!L5</f>
        <v>0</v>
      </c>
      <c r="N8" s="26">
        <f>SUM($C8:M8)*(CL!M$47-1)</f>
        <v>0.28654129648190674</v>
      </c>
      <c r="O8" s="26"/>
      <c r="P8" s="25">
        <f>SUM(C8:N8)</f>
        <v>206.28654129648191</v>
      </c>
      <c r="Q8" s="24">
        <f>P8/Data!A5</f>
        <v>0.10146903162640528</v>
      </c>
      <c r="R8" s="20">
        <f t="shared" si="0"/>
        <v>0</v>
      </c>
      <c r="S8" s="20">
        <f t="shared" si="1"/>
        <v>206.28654129648191</v>
      </c>
      <c r="T8" s="24">
        <f>S8/Data!A5</f>
        <v>0.10146903162640528</v>
      </c>
    </row>
    <row r="9" spans="1:20" ht="15.75" x14ac:dyDescent="0.25">
      <c r="A9" s="13">
        <v>5</v>
      </c>
      <c r="B9" s="27"/>
      <c r="C9" s="22">
        <f>Data!B6</f>
        <v>2</v>
      </c>
      <c r="D9" s="22">
        <f>Data!C6</f>
        <v>30</v>
      </c>
      <c r="E9" s="22">
        <f>Data!D6</f>
        <v>58</v>
      </c>
      <c r="F9" s="22">
        <f>Data!E6</f>
        <v>39</v>
      </c>
      <c r="G9" s="22">
        <f>Data!F6</f>
        <v>35</v>
      </c>
      <c r="H9" s="22">
        <f>Data!G6</f>
        <v>9</v>
      </c>
      <c r="I9" s="22">
        <f>Data!H6</f>
        <v>12</v>
      </c>
      <c r="J9" s="22">
        <f>Data!I6</f>
        <v>5</v>
      </c>
      <c r="K9" s="22">
        <f>Data!J6</f>
        <v>5</v>
      </c>
      <c r="L9" s="22">
        <f>Data!K6</f>
        <v>1</v>
      </c>
      <c r="M9" s="22">
        <f>Data!L6</f>
        <v>0</v>
      </c>
      <c r="N9" s="26">
        <f>SUM($C9:M9)*(CL!M$47-1)</f>
        <v>0.27263152480802777</v>
      </c>
      <c r="O9" s="26"/>
      <c r="P9" s="25">
        <f>SUM(C9:M9)</f>
        <v>196</v>
      </c>
      <c r="Q9" s="24">
        <f>P9/Data!A6</f>
        <v>9.1417910447761194E-2</v>
      </c>
      <c r="R9" s="20">
        <f t="shared" si="0"/>
        <v>0.27263152480801978</v>
      </c>
      <c r="S9" s="20">
        <f t="shared" si="1"/>
        <v>196.27263152480802</v>
      </c>
      <c r="T9" s="24">
        <f>S9/Data!A6</f>
        <v>9.1545070673884343E-2</v>
      </c>
    </row>
    <row r="10" spans="1:20" ht="15.75" x14ac:dyDescent="0.25">
      <c r="A10" s="13">
        <v>6</v>
      </c>
      <c r="B10" s="27"/>
      <c r="C10" s="22">
        <f>Data!B7</f>
        <v>1</v>
      </c>
      <c r="D10" s="22">
        <f>Data!C7</f>
        <v>26</v>
      </c>
      <c r="E10" s="22">
        <f>Data!D7</f>
        <v>63</v>
      </c>
      <c r="F10" s="22">
        <f>Data!E7</f>
        <v>43</v>
      </c>
      <c r="G10" s="22">
        <f>Data!F7</f>
        <v>30</v>
      </c>
      <c r="H10" s="22">
        <f>Data!G7</f>
        <v>14</v>
      </c>
      <c r="I10" s="22">
        <f>Data!H7</f>
        <v>7</v>
      </c>
      <c r="J10" s="22">
        <f>Data!I7</f>
        <v>8</v>
      </c>
      <c r="K10" s="22">
        <f>Data!J7</f>
        <v>3</v>
      </c>
      <c r="L10" s="22">
        <f>Data!K7</f>
        <v>2</v>
      </c>
      <c r="M10" s="26">
        <f>SUM($C10:L10)*(CL!L$47-1)</f>
        <v>0.35087877698650849</v>
      </c>
      <c r="N10" s="26">
        <f>SUM($C10:M10)*(CL!M$47-1)</f>
        <v>0.27451056634272492</v>
      </c>
      <c r="O10" s="26"/>
      <c r="P10" s="25">
        <f>SUM(C10:L10)</f>
        <v>197</v>
      </c>
      <c r="Q10" s="24">
        <f>P10/Data!A7</f>
        <v>9.5031355523396047E-2</v>
      </c>
      <c r="R10" s="20">
        <f t="shared" si="0"/>
        <v>0.62538934332923191</v>
      </c>
      <c r="S10" s="20">
        <f t="shared" si="1"/>
        <v>197.62538934332923</v>
      </c>
      <c r="T10" s="24">
        <f>S10/Data!A7</f>
        <v>9.5333038757032917E-2</v>
      </c>
    </row>
    <row r="11" spans="1:20" ht="15.75" x14ac:dyDescent="0.25">
      <c r="A11" s="13">
        <v>7</v>
      </c>
      <c r="B11" s="27"/>
      <c r="C11" s="22">
        <f>Data!B8</f>
        <v>3</v>
      </c>
      <c r="D11" s="22">
        <f>Data!C8</f>
        <v>34</v>
      </c>
      <c r="E11" s="22">
        <f>Data!D8</f>
        <v>43</v>
      </c>
      <c r="F11" s="22">
        <f>Data!E8</f>
        <v>44</v>
      </c>
      <c r="G11" s="22">
        <f>Data!F8</f>
        <v>26</v>
      </c>
      <c r="H11" s="22">
        <f>Data!G8</f>
        <v>27</v>
      </c>
      <c r="I11" s="22">
        <f>Data!H8</f>
        <v>6</v>
      </c>
      <c r="J11" s="22">
        <f>Data!I8</f>
        <v>5</v>
      </c>
      <c r="K11" s="22">
        <f>Data!J8</f>
        <v>1</v>
      </c>
      <c r="L11" s="26">
        <f>SUM($C11:K11)*(CL!K$47-1)</f>
        <v>0.76767582564287928</v>
      </c>
      <c r="M11" s="26">
        <f>SUM($C11:L11)*(CL!L$47-1)</f>
        <v>0.33799720814859791</v>
      </c>
      <c r="N11" s="26">
        <f>SUM($C11:M11)*(CL!M$47-1)</f>
        <v>0.26443265058091292</v>
      </c>
      <c r="O11" s="26"/>
      <c r="P11" s="25">
        <f>SUM(C11:K11)</f>
        <v>189</v>
      </c>
      <c r="Q11" s="24">
        <f>P11/Data!A8</f>
        <v>9.6527068437180799E-2</v>
      </c>
      <c r="R11" s="20">
        <f t="shared" si="0"/>
        <v>1.3701056843723904</v>
      </c>
      <c r="S11" s="20">
        <f t="shared" si="1"/>
        <v>190.37010568437239</v>
      </c>
      <c r="T11" s="24">
        <f>S11/Data!A8</f>
        <v>9.7226815977718276E-2</v>
      </c>
    </row>
    <row r="12" spans="1:20" ht="15.75" x14ac:dyDescent="0.25">
      <c r="A12" s="13">
        <v>8</v>
      </c>
      <c r="B12" s="27"/>
      <c r="C12" s="22">
        <f>Data!B9</f>
        <v>1</v>
      </c>
      <c r="D12" s="22">
        <f>Data!C9</f>
        <v>39</v>
      </c>
      <c r="E12" s="22">
        <f>Data!D9</f>
        <v>49</v>
      </c>
      <c r="F12" s="22">
        <f>Data!E9</f>
        <v>44</v>
      </c>
      <c r="G12" s="22">
        <f>Data!F9</f>
        <v>21</v>
      </c>
      <c r="H12" s="22">
        <f>Data!G9</f>
        <v>16</v>
      </c>
      <c r="I12" s="22">
        <f>Data!H9</f>
        <v>2</v>
      </c>
      <c r="J12" s="22">
        <f>Data!I9</f>
        <v>5</v>
      </c>
      <c r="K12" s="26">
        <f>SUM($C12:J12)*(CL!J$47-1)</f>
        <v>1.6395116729945975</v>
      </c>
      <c r="L12" s="26">
        <f>SUM($C12:K12)*(CL!K$47-1)</f>
        <v>0.7255938339471264</v>
      </c>
      <c r="M12" s="26">
        <f>SUM($C12:L12)*(CL!L$47-1)</f>
        <v>0.31946908047884148</v>
      </c>
      <c r="N12" s="26">
        <f>SUM($C12:M12)*(CL!M$47-1)</f>
        <v>0.24993714058290953</v>
      </c>
      <c r="O12" s="26"/>
      <c r="P12" s="25">
        <f>SUM(C12:J12)</f>
        <v>177</v>
      </c>
      <c r="Q12" s="24">
        <f>P12/Data!A9</f>
        <v>8.2826392138511937E-2</v>
      </c>
      <c r="R12" s="20">
        <f t="shared" si="0"/>
        <v>2.9345117280034856</v>
      </c>
      <c r="S12" s="20">
        <f t="shared" si="1"/>
        <v>179.93451172800349</v>
      </c>
      <c r="T12" s="24">
        <f>S12/Data!A9</f>
        <v>8.4199584336922553E-2</v>
      </c>
    </row>
    <row r="13" spans="1:20" ht="15.75" x14ac:dyDescent="0.25">
      <c r="A13" s="13">
        <v>9</v>
      </c>
      <c r="B13" s="27"/>
      <c r="C13" s="22">
        <f>Data!B10</f>
        <v>2</v>
      </c>
      <c r="D13" s="22">
        <f>Data!C10</f>
        <v>44</v>
      </c>
      <c r="E13" s="22">
        <f>Data!D10</f>
        <v>51</v>
      </c>
      <c r="F13" s="22">
        <f>Data!E10</f>
        <v>46</v>
      </c>
      <c r="G13" s="22">
        <f>Data!F10</f>
        <v>23</v>
      </c>
      <c r="H13" s="22">
        <f>Data!G10</f>
        <v>12</v>
      </c>
      <c r="I13" s="22">
        <f>Data!H10</f>
        <v>10</v>
      </c>
      <c r="J13" s="26">
        <f>SUM($C13:I13)*(CL!I$47-1)</f>
        <v>3.9712230645622633</v>
      </c>
      <c r="K13" s="26">
        <f>SUM($C13:J13)*(CL!J$47-1)</f>
        <v>1.7781867858384155</v>
      </c>
      <c r="L13" s="26">
        <f>SUM($C13:K13)*(CL!K$47-1)</f>
        <v>0.78696686864934884</v>
      </c>
      <c r="M13" s="26">
        <f>SUM($C13:L13)*(CL!L$47-1)</f>
        <v>0.34649079158663432</v>
      </c>
      <c r="N13" s="26">
        <f>SUM($C13:M13)*(CL!M$47-1)</f>
        <v>0.27107761902237615</v>
      </c>
      <c r="O13" s="26"/>
      <c r="P13" s="25">
        <f>SUM(C13:I13)</f>
        <v>188</v>
      </c>
      <c r="Q13" s="24">
        <f>P13/Data!A10</f>
        <v>0.10118406889128095</v>
      </c>
      <c r="R13" s="20">
        <f t="shared" si="0"/>
        <v>7.1539451296590357</v>
      </c>
      <c r="S13" s="20">
        <f t="shared" si="1"/>
        <v>195.15394512965904</v>
      </c>
      <c r="T13" s="24">
        <f>S13/Data!A10</f>
        <v>0.10503441610853555</v>
      </c>
    </row>
    <row r="14" spans="1:20" ht="15.75" x14ac:dyDescent="0.25">
      <c r="A14" s="13">
        <v>10</v>
      </c>
      <c r="B14" s="27"/>
      <c r="C14" s="22">
        <f>Data!B11</f>
        <v>3</v>
      </c>
      <c r="D14" s="22">
        <f>Data!C11</f>
        <v>42</v>
      </c>
      <c r="E14" s="22">
        <f>Data!D11</f>
        <v>58</v>
      </c>
      <c r="F14" s="22">
        <f>Data!E11</f>
        <v>38</v>
      </c>
      <c r="G14" s="22">
        <f>Data!F11</f>
        <v>26</v>
      </c>
      <c r="H14" s="22">
        <f>Data!G11</f>
        <v>15</v>
      </c>
      <c r="I14" s="26">
        <f>SUM($C14:H14)*(CL!H$47-1)</f>
        <v>8.7672422548008342</v>
      </c>
      <c r="J14" s="26">
        <f>SUM($C14:I14)*(CL!I$47-1)</f>
        <v>4.0296769808787332</v>
      </c>
      <c r="K14" s="26">
        <f>SUM($C14:J14)*(CL!J$47-1)</f>
        <v>1.8043605816400143</v>
      </c>
      <c r="L14" s="26">
        <f>SUM($C14:K14)*(CL!K$47-1)</f>
        <v>0.79855052807517235</v>
      </c>
      <c r="M14" s="26">
        <f>SUM($C14:L14)*(CL!L$47-1)</f>
        <v>0.35159091903013395</v>
      </c>
      <c r="N14" s="26">
        <f>SUM($C14:M14)*(CL!M$47-1)</f>
        <v>0.27506771179732048</v>
      </c>
      <c r="O14" s="26"/>
      <c r="P14" s="25">
        <f>SUM(C14:H14)</f>
        <v>182</v>
      </c>
      <c r="Q14" s="24">
        <f>P14/Data!A11</f>
        <v>8.7668593448940263E-2</v>
      </c>
      <c r="R14" s="20">
        <f t="shared" si="0"/>
        <v>16.026488976222254</v>
      </c>
      <c r="S14" s="20">
        <f t="shared" si="1"/>
        <v>198.02648897622225</v>
      </c>
      <c r="T14" s="24">
        <f>S14/Data!A11</f>
        <v>9.5388482165810334E-2</v>
      </c>
    </row>
    <row r="15" spans="1:20" ht="15.75" x14ac:dyDescent="0.25">
      <c r="A15" s="13">
        <v>11</v>
      </c>
      <c r="B15" s="27"/>
      <c r="C15" s="22">
        <f>Data!B12</f>
        <v>6</v>
      </c>
      <c r="D15" s="22">
        <f>Data!C12</f>
        <v>22</v>
      </c>
      <c r="E15" s="22">
        <f>Data!D12</f>
        <v>61</v>
      </c>
      <c r="F15" s="22">
        <f>Data!E12</f>
        <v>38</v>
      </c>
      <c r="G15" s="22">
        <f>Data!F12</f>
        <v>34</v>
      </c>
      <c r="H15" s="26">
        <f>SUM($C15:G15)*(CL!G$47-1)</f>
        <v>15.295874049945718</v>
      </c>
      <c r="I15" s="26">
        <f>SUM($C15:H15)*(CL!H$47-1)</f>
        <v>8.4924650347128026</v>
      </c>
      <c r="J15" s="26">
        <f>SUM($C15:I15)*(CL!I$47-1)</f>
        <v>3.9033814586975972</v>
      </c>
      <c r="K15" s="26">
        <f>SUM($C15:J15)*(CL!J$47-1)</f>
        <v>1.7478094826455755</v>
      </c>
      <c r="L15" s="26">
        <f>SUM($C15:K15)*(CL!K$47-1)</f>
        <v>0.77352287538493525</v>
      </c>
      <c r="M15" s="26">
        <f>SUM($C15:L15)*(CL!L$47-1)</f>
        <v>0.34057158449692942</v>
      </c>
      <c r="N15" s="26">
        <f>SUM($C15:M15)*(CL!M$47-1)</f>
        <v>0.26644671799025921</v>
      </c>
      <c r="O15" s="26"/>
      <c r="P15" s="25">
        <f>SUM(C15:G15)</f>
        <v>161</v>
      </c>
      <c r="Q15" s="24">
        <f>P15/Data!A12</f>
        <v>7.9427725703009378E-2</v>
      </c>
      <c r="R15" s="20">
        <f t="shared" si="0"/>
        <v>30.820071203873823</v>
      </c>
      <c r="S15" s="20">
        <f t="shared" si="1"/>
        <v>191.82007120387382</v>
      </c>
      <c r="T15" s="24">
        <f>S15/Data!A12</f>
        <v>9.4632496893869669E-2</v>
      </c>
    </row>
    <row r="16" spans="1:20" ht="15.75" x14ac:dyDescent="0.25">
      <c r="A16" s="13">
        <v>12</v>
      </c>
      <c r="B16" s="27"/>
      <c r="C16" s="22">
        <f>Data!B13</f>
        <v>4</v>
      </c>
      <c r="D16" s="22">
        <f>Data!C13</f>
        <v>33</v>
      </c>
      <c r="E16" s="22">
        <f>Data!D13</f>
        <v>57</v>
      </c>
      <c r="F16" s="22">
        <f>Data!E13</f>
        <v>45</v>
      </c>
      <c r="G16" s="26">
        <f>SUM($C16:F16)*(CL!F$47-1)</f>
        <v>29.329504232164446</v>
      </c>
      <c r="H16" s="26">
        <f>SUM($C16:G16)*(CL!G$47-1)</f>
        <v>15.992216743012374</v>
      </c>
      <c r="I16" s="26">
        <f>SUM($C16:H16)*(CL!H$47-1)</f>
        <v>8.8790834099515354</v>
      </c>
      <c r="J16" s="26">
        <f>SUM($C16:I16)*(CL!I$47-1)</f>
        <v>4.0810823960968285</v>
      </c>
      <c r="K16" s="26">
        <f>SUM($C16:J16)*(CL!J$47-1)</f>
        <v>1.8273782838882333</v>
      </c>
      <c r="L16" s="26">
        <f>SUM($C16:K16)*(CL!K$47-1)</f>
        <v>0.80873740450797804</v>
      </c>
      <c r="M16" s="26">
        <f>SUM($C16:L16)*(CL!L$47-1)</f>
        <v>0.3560760619498809</v>
      </c>
      <c r="N16" s="26">
        <f>SUM($C16:M16)*(CL!M$47-1)</f>
        <v>0.27857667045706624</v>
      </c>
      <c r="O16" s="26"/>
      <c r="P16" s="25">
        <f>SUM(C16:F16)</f>
        <v>139</v>
      </c>
      <c r="Q16" s="24">
        <f>P16/Data!A13</f>
        <v>6.8948412698412703E-2</v>
      </c>
      <c r="R16" s="20">
        <f t="shared" si="0"/>
        <v>61.552655202028348</v>
      </c>
      <c r="S16" s="20">
        <f t="shared" si="1"/>
        <v>200.55265520202835</v>
      </c>
      <c r="T16" s="24">
        <f>S16/Data!A13</f>
        <v>9.9480483731164859E-2</v>
      </c>
    </row>
    <row r="17" spans="1:20" ht="15.75" x14ac:dyDescent="0.25">
      <c r="A17" s="13">
        <v>13</v>
      </c>
      <c r="B17" s="27"/>
      <c r="C17" s="22">
        <f>Data!B14</f>
        <v>0</v>
      </c>
      <c r="D17" s="22">
        <f>Data!C14</f>
        <v>35</v>
      </c>
      <c r="E17" s="22">
        <f>Data!D14</f>
        <v>47</v>
      </c>
      <c r="F17" s="26">
        <f>SUM($C17:E17)*(CL!E$47-1)</f>
        <v>37.728013029315967</v>
      </c>
      <c r="G17" s="26">
        <f>SUM($C17:F17)*(CL!F$47-1)</f>
        <v>25.263045070877432</v>
      </c>
      <c r="H17" s="26">
        <f>SUM($C17:G17)*(CL!G$47-1)</f>
        <v>13.774937658813169</v>
      </c>
      <c r="I17" s="26">
        <f>SUM($C17:H17)*(CL!H$47-1)</f>
        <v>7.6480216848565528</v>
      </c>
      <c r="J17" s="26">
        <f>SUM($C17:I17)*(CL!I$47-1)</f>
        <v>3.5152509805294474</v>
      </c>
      <c r="K17" s="26">
        <f>SUM($C17:J17)*(CL!J$47-1)</f>
        <v>1.5740170574306438</v>
      </c>
      <c r="L17" s="26">
        <f>SUM($C17:K17)*(CL!K$47-1)</f>
        <v>0.69660807556997406</v>
      </c>
      <c r="M17" s="26">
        <f>SUM($C17:L17)*(CL!L$47-1)</f>
        <v>0.30670704593210696</v>
      </c>
      <c r="N17" s="26">
        <f>SUM($C17:M17)*(CL!M$47-1)</f>
        <v>0.23995274266292871</v>
      </c>
      <c r="O17" s="26"/>
      <c r="P17" s="25">
        <f>SUM(C17:E17)</f>
        <v>82</v>
      </c>
      <c r="Q17" s="24">
        <f>P17/Data!A14</f>
        <v>4.0714995034756701E-2</v>
      </c>
      <c r="R17" s="20">
        <f t="shared" si="0"/>
        <v>90.746553345988247</v>
      </c>
      <c r="S17" s="20">
        <f t="shared" si="1"/>
        <v>172.74655334598825</v>
      </c>
      <c r="T17" s="24">
        <f>S17/Data!A14</f>
        <v>8.5772866606746892E-2</v>
      </c>
    </row>
    <row r="18" spans="1:20" ht="15.75" x14ac:dyDescent="0.25">
      <c r="A18" s="13">
        <v>14</v>
      </c>
      <c r="B18" s="27"/>
      <c r="C18" s="22">
        <f>Data!B15</f>
        <v>1</v>
      </c>
      <c r="D18" s="22">
        <f>Data!C15</f>
        <v>32</v>
      </c>
      <c r="E18" s="26">
        <f>SUM($C18:D18)*(CL!D$47-1)</f>
        <v>46.031078610603288</v>
      </c>
      <c r="F18" s="26">
        <f>SUM($C18:E18)*(CL!E$47-1)</f>
        <v>36.362019067582139</v>
      </c>
      <c r="G18" s="26">
        <f>SUM($C18:F18)*(CL!F$47-1)</f>
        <v>24.348362206582049</v>
      </c>
      <c r="H18" s="26">
        <f>SUM($C18:G18)*(CL!G$47-1)</f>
        <v>13.276197328900281</v>
      </c>
      <c r="I18" s="26">
        <f>SUM($C18:H18)*(CL!H$47-1)</f>
        <v>7.3711146706280086</v>
      </c>
      <c r="J18" s="26">
        <f>SUM($C18:I18)*(CL!I$47-1)</f>
        <v>3.3879765436368654</v>
      </c>
      <c r="K18" s="26">
        <f>SUM($C18:J18)*(CL!J$47-1)</f>
        <v>1.5170276317101419</v>
      </c>
      <c r="L18" s="26">
        <f>SUM($C18:K18)*(CL!K$47-1)</f>
        <v>0.67138643391648378</v>
      </c>
      <c r="M18" s="26">
        <f>SUM($C18:L18)*(CL!L$47-1)</f>
        <v>0.29560230070105187</v>
      </c>
      <c r="N18" s="26">
        <f>SUM($C18:M18)*(CL!M$47-1)</f>
        <v>0.23126492766126555</v>
      </c>
      <c r="O18" s="26"/>
      <c r="P18" s="25">
        <f>SUM(C18:D18)</f>
        <v>33</v>
      </c>
      <c r="Q18" s="24">
        <f>P18/Data!A15</f>
        <v>1.824212271973466E-2</v>
      </c>
      <c r="R18" s="20">
        <f t="shared" si="0"/>
        <v>133.49202972192157</v>
      </c>
      <c r="S18" s="20">
        <f t="shared" si="1"/>
        <v>166.49202972192157</v>
      </c>
      <c r="T18" s="24">
        <f>S18/Data!A15</f>
        <v>9.2035395092272834E-2</v>
      </c>
    </row>
    <row r="19" spans="1:20" ht="15.75" x14ac:dyDescent="0.25">
      <c r="A19" s="13">
        <v>15</v>
      </c>
      <c r="B19" s="27"/>
      <c r="C19" s="22">
        <f>Data!B16</f>
        <v>5</v>
      </c>
      <c r="D19" s="26">
        <f>C19*(CL!C47-1)</f>
        <v>59.88095238095238</v>
      </c>
      <c r="E19" s="26">
        <f>SUM($C19:D19)*(CL!D$47-1)</f>
        <v>90.501218769043263</v>
      </c>
      <c r="F19" s="26">
        <f>SUM($C19:E19)*(CL!E$47-1)</f>
        <v>71.490982654517566</v>
      </c>
      <c r="G19" s="26">
        <f>SUM($C19:F19)*(CL!F$47-1)</f>
        <v>47.871058450891837</v>
      </c>
      <c r="H19" s="26">
        <f>SUM($C19:G19)*(CL!G$47-1)</f>
        <v>26.102191718075954</v>
      </c>
      <c r="I19" s="26">
        <f>SUM($C19:H19)*(CL!H$47-1)</f>
        <v>14.492270907259254</v>
      </c>
      <c r="J19" s="26">
        <f>SUM($C19:I19)*(CL!I$47-1)</f>
        <v>6.6610649938026407</v>
      </c>
      <c r="K19" s="26">
        <f>SUM($C19:J19)*(CL!J$47-1)</f>
        <v>2.982612046471961</v>
      </c>
      <c r="L19" s="26">
        <f>SUM($C19:K19)*(CL!K$47-1)</f>
        <v>1.3200057953985707</v>
      </c>
      <c r="M19" s="26">
        <f>SUM($C19:L19)*(CL!L$47-1)</f>
        <v>0.58118056956014896</v>
      </c>
      <c r="N19" s="26">
        <f>SUM($C19:M19)*(CL!M$47-1)</f>
        <v>0.45468753815075669</v>
      </c>
      <c r="O19" s="26"/>
      <c r="P19" s="25">
        <f>SUM(C19)</f>
        <v>5</v>
      </c>
      <c r="Q19" s="24">
        <f>P19/Data!A16</f>
        <v>2.6609898882384245E-3</v>
      </c>
      <c r="R19" s="20">
        <f t="shared" si="0"/>
        <v>322.33822582412438</v>
      </c>
      <c r="S19" s="20">
        <f t="shared" si="1"/>
        <v>327.33822582412438</v>
      </c>
      <c r="T19" s="59">
        <f>S19/Data!A16</f>
        <v>0.17420874179038018</v>
      </c>
    </row>
    <row r="20" spans="1:20" ht="15.7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3"/>
      <c r="S20" s="3"/>
    </row>
    <row r="21" spans="1:20" ht="16.5" thickBo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23">
        <f>SUM(R4:R19)</f>
        <v>667.33260768433081</v>
      </c>
      <c r="S21" s="3"/>
    </row>
    <row r="22" spans="1:20" ht="15.75" thickTop="1" x14ac:dyDescent="0.25"/>
    <row r="24" spans="1:20" ht="15.75" x14ac:dyDescent="0.25">
      <c r="A24" s="21"/>
      <c r="Q24" s="3"/>
      <c r="R24" s="3"/>
      <c r="S24" s="3"/>
      <c r="T24" s="3"/>
    </row>
    <row r="25" spans="1:20" ht="15.75" x14ac:dyDescent="0.25"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6"/>
      <c r="Q25" s="20"/>
      <c r="R25" s="58"/>
      <c r="S25" s="20"/>
      <c r="T25" s="58"/>
    </row>
    <row r="26" spans="1:20" ht="15.75" x14ac:dyDescent="0.25"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6"/>
      <c r="Q26" s="20"/>
      <c r="R26" s="58"/>
      <c r="S26" s="20"/>
      <c r="T26" s="58"/>
    </row>
    <row r="27" spans="1:20" ht="15.75" x14ac:dyDescent="0.25"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6"/>
      <c r="Q27" s="20"/>
      <c r="R27" s="58"/>
      <c r="S27" s="20"/>
      <c r="T27" s="58"/>
    </row>
    <row r="28" spans="1:20" ht="15.75" x14ac:dyDescent="0.2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6"/>
      <c r="Q28" s="20"/>
      <c r="R28" s="58"/>
      <c r="S28" s="20"/>
      <c r="T28" s="58"/>
    </row>
    <row r="29" spans="1:20" ht="15.75" x14ac:dyDescent="0.25"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6"/>
      <c r="Q29" s="20"/>
      <c r="R29" s="58"/>
      <c r="S29" s="20"/>
      <c r="T29" s="58"/>
    </row>
    <row r="30" spans="1:20" ht="15.75" x14ac:dyDescent="0.25"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6"/>
      <c r="Q30" s="20"/>
      <c r="R30" s="58"/>
      <c r="S30" s="20"/>
      <c r="T30" s="58"/>
    </row>
    <row r="31" spans="1:20" ht="15.75" x14ac:dyDescent="0.25"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6"/>
      <c r="Q31" s="20"/>
      <c r="R31" s="58"/>
      <c r="S31" s="20"/>
      <c r="T31" s="58"/>
    </row>
    <row r="32" spans="1:20" ht="15.75" x14ac:dyDescent="0.25"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6"/>
      <c r="Q32" s="20"/>
      <c r="R32" s="58"/>
      <c r="S32" s="20"/>
      <c r="T32" s="58"/>
    </row>
    <row r="33" spans="1:21" ht="15.75" x14ac:dyDescent="0.25"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6"/>
      <c r="Q33" s="20"/>
      <c r="R33" s="58"/>
      <c r="S33" s="20"/>
      <c r="T33" s="58"/>
    </row>
    <row r="34" spans="1:21" ht="15.75" x14ac:dyDescent="0.25"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6"/>
      <c r="Q34" s="20"/>
      <c r="R34" s="58"/>
      <c r="S34" s="20"/>
      <c r="T34" s="58"/>
    </row>
    <row r="35" spans="1:21" ht="15.75" x14ac:dyDescent="0.25"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6"/>
      <c r="Q35" s="20"/>
      <c r="R35" s="58"/>
      <c r="S35" s="20"/>
      <c r="T35" s="58"/>
    </row>
    <row r="36" spans="1:21" ht="15.75" x14ac:dyDescent="0.25"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6"/>
      <c r="Q36" s="20"/>
      <c r="R36" s="58"/>
      <c r="S36" s="20"/>
      <c r="T36" s="58"/>
    </row>
    <row r="37" spans="1:21" ht="15.75" x14ac:dyDescent="0.25"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6"/>
      <c r="Q37" s="20"/>
      <c r="R37" s="58"/>
      <c r="S37" s="20"/>
      <c r="T37" s="58"/>
    </row>
    <row r="38" spans="1:21" ht="15.75" x14ac:dyDescent="0.25"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6"/>
      <c r="Q38" s="20"/>
      <c r="R38" s="58"/>
      <c r="S38" s="20"/>
      <c r="T38" s="58"/>
    </row>
    <row r="39" spans="1:21" ht="15.75" x14ac:dyDescent="0.25"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6"/>
      <c r="Q39" s="20"/>
      <c r="R39" s="58"/>
      <c r="S39" s="20"/>
      <c r="T39" s="58"/>
    </row>
    <row r="40" spans="1:21" ht="15.75" x14ac:dyDescent="0.25"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6"/>
      <c r="Q40" s="20"/>
      <c r="R40" s="58"/>
      <c r="S40" s="20"/>
      <c r="T40" s="58"/>
    </row>
    <row r="41" spans="1:21" ht="15.75" x14ac:dyDescent="0.25">
      <c r="P41" s="1"/>
      <c r="Q41" s="3"/>
      <c r="R41" s="58"/>
      <c r="S41" s="3"/>
    </row>
    <row r="42" spans="1:21" ht="15.75" x14ac:dyDescent="0.25">
      <c r="A42" s="21"/>
      <c r="P42" s="1"/>
      <c r="Q42" s="20"/>
      <c r="R42" s="58"/>
      <c r="S42" s="3"/>
      <c r="T42" s="57"/>
      <c r="U42" s="57"/>
    </row>
    <row r="60" spans="3:15" x14ac:dyDescent="0.25">
      <c r="C60" t="str">
        <f t="shared" ref="C60:O60" si="2">IF(C42&gt;0,C21/C42,"")</f>
        <v/>
      </c>
      <c r="D60" t="str">
        <f t="shared" si="2"/>
        <v/>
      </c>
      <c r="E60" t="str">
        <f t="shared" si="2"/>
        <v/>
      </c>
      <c r="F60" t="str">
        <f t="shared" si="2"/>
        <v/>
      </c>
      <c r="G60" t="str">
        <f t="shared" si="2"/>
        <v/>
      </c>
      <c r="H60" t="str">
        <f t="shared" si="2"/>
        <v/>
      </c>
      <c r="I60" t="str">
        <f t="shared" si="2"/>
        <v/>
      </c>
      <c r="J60" t="str">
        <f t="shared" si="2"/>
        <v/>
      </c>
      <c r="K60" t="str">
        <f t="shared" si="2"/>
        <v/>
      </c>
      <c r="L60" t="str">
        <f t="shared" si="2"/>
        <v/>
      </c>
      <c r="M60" t="str">
        <f t="shared" si="2"/>
        <v/>
      </c>
      <c r="N60" t="str">
        <f t="shared" si="2"/>
        <v/>
      </c>
      <c r="O60" t="str">
        <f t="shared" si="2"/>
        <v/>
      </c>
    </row>
  </sheetData>
  <conditionalFormatting sqref="C43:O5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B5B38-5DB5-4B2A-A183-716AD456D35F}">
  <dimension ref="A1:AA35"/>
  <sheetViews>
    <sheetView tabSelected="1" workbookViewId="0">
      <selection activeCell="R2" sqref="R2"/>
    </sheetView>
  </sheetViews>
  <sheetFormatPr defaultRowHeight="15" x14ac:dyDescent="0.25"/>
  <sheetData>
    <row r="1" spans="1:20" ht="15.75" x14ac:dyDescent="0.25">
      <c r="A1" s="21" t="s">
        <v>35</v>
      </c>
      <c r="Q1" s="3" t="s">
        <v>27</v>
      </c>
      <c r="R1" s="3" t="s">
        <v>36</v>
      </c>
      <c r="S1" s="29" t="s">
        <v>37</v>
      </c>
      <c r="T1" s="3" t="s">
        <v>36</v>
      </c>
    </row>
    <row r="2" spans="1:20" ht="15.75" x14ac:dyDescent="0.25">
      <c r="C2" s="22">
        <v>4</v>
      </c>
      <c r="D2" s="22">
        <v>46</v>
      </c>
      <c r="E2" s="22">
        <v>44</v>
      </c>
      <c r="F2" s="22">
        <v>40</v>
      </c>
      <c r="G2" s="22">
        <v>35</v>
      </c>
      <c r="H2" s="22">
        <v>17</v>
      </c>
      <c r="I2" s="22">
        <v>7</v>
      </c>
      <c r="J2" s="22">
        <v>3</v>
      </c>
      <c r="K2" s="22">
        <v>3</v>
      </c>
      <c r="L2" s="22">
        <v>0</v>
      </c>
      <c r="M2" s="22">
        <v>0</v>
      </c>
      <c r="N2" s="22">
        <v>0</v>
      </c>
      <c r="O2" s="22">
        <v>0</v>
      </c>
      <c r="P2" s="25">
        <f>SUM(C2:N2)</f>
        <v>199</v>
      </c>
      <c r="Q2" s="20">
        <f t="shared" ref="Q2:Q17" si="0">S2-P2</f>
        <v>0</v>
      </c>
      <c r="R2" s="19" t="e">
        <f>Q2/'CL IBNR'!R4</f>
        <v>#DIV/0!</v>
      </c>
      <c r="S2" s="30">
        <f t="shared" ref="S2:S17" si="1">SUM(C2:O2)</f>
        <v>199</v>
      </c>
      <c r="T2" s="19">
        <f>S2/'CL IBNR'!S4</f>
        <v>0.9986109549625436</v>
      </c>
    </row>
    <row r="3" spans="1:20" ht="15.75" x14ac:dyDescent="0.25">
      <c r="C3" s="22">
        <v>3</v>
      </c>
      <c r="D3" s="22">
        <v>46</v>
      </c>
      <c r="E3" s="22">
        <v>61</v>
      </c>
      <c r="F3" s="22">
        <v>43</v>
      </c>
      <c r="G3" s="22">
        <v>28</v>
      </c>
      <c r="H3" s="22">
        <v>17</v>
      </c>
      <c r="I3" s="22">
        <v>5</v>
      </c>
      <c r="J3" s="22">
        <v>3</v>
      </c>
      <c r="K3" s="22">
        <v>1</v>
      </c>
      <c r="L3" s="22">
        <v>2</v>
      </c>
      <c r="M3" s="22">
        <v>1</v>
      </c>
      <c r="N3" s="22">
        <v>0</v>
      </c>
      <c r="O3" s="22">
        <v>0</v>
      </c>
      <c r="P3" s="25">
        <f>SUM(C3:N3)</f>
        <v>210</v>
      </c>
      <c r="Q3" s="20">
        <f t="shared" si="0"/>
        <v>0</v>
      </c>
      <c r="R3" s="19" t="e">
        <f>Q3/'CL IBNR'!R5</f>
        <v>#DIV/0!</v>
      </c>
      <c r="S3" s="30">
        <f t="shared" si="1"/>
        <v>210</v>
      </c>
      <c r="T3" s="19">
        <f>S3/'CL IBNR'!S5</f>
        <v>0.9986109549625436</v>
      </c>
    </row>
    <row r="4" spans="1:20" ht="15.75" x14ac:dyDescent="0.25">
      <c r="C4" s="22">
        <v>4</v>
      </c>
      <c r="D4" s="22">
        <v>33</v>
      </c>
      <c r="E4" s="22">
        <v>49</v>
      </c>
      <c r="F4" s="22">
        <v>46</v>
      </c>
      <c r="G4" s="22">
        <v>27</v>
      </c>
      <c r="H4" s="22">
        <v>11</v>
      </c>
      <c r="I4" s="22">
        <v>7</v>
      </c>
      <c r="J4" s="22">
        <v>3</v>
      </c>
      <c r="K4" s="22">
        <v>2</v>
      </c>
      <c r="L4" s="22">
        <v>0</v>
      </c>
      <c r="M4" s="22">
        <v>0</v>
      </c>
      <c r="N4" s="22">
        <v>0</v>
      </c>
      <c r="O4" s="22">
        <v>0</v>
      </c>
      <c r="P4" s="25">
        <f>SUM(C4:N4)</f>
        <v>182</v>
      </c>
      <c r="Q4" s="20">
        <f t="shared" si="0"/>
        <v>0</v>
      </c>
      <c r="R4" s="19" t="e">
        <f>Q4/'CL IBNR'!R6</f>
        <v>#DIV/0!</v>
      </c>
      <c r="S4" s="30">
        <f t="shared" si="1"/>
        <v>182</v>
      </c>
      <c r="T4" s="19">
        <f>S4/'CL IBNR'!S6</f>
        <v>0.99861095496254371</v>
      </c>
    </row>
    <row r="5" spans="1:20" ht="15.75" x14ac:dyDescent="0.25">
      <c r="C5" s="22">
        <v>4</v>
      </c>
      <c r="D5" s="22">
        <v>36</v>
      </c>
      <c r="E5" s="22">
        <v>73</v>
      </c>
      <c r="F5" s="22">
        <v>47</v>
      </c>
      <c r="G5" s="22">
        <v>31</v>
      </c>
      <c r="H5" s="22">
        <v>18</v>
      </c>
      <c r="I5" s="22">
        <v>14</v>
      </c>
      <c r="J5" s="22">
        <v>8</v>
      </c>
      <c r="K5" s="22">
        <v>3</v>
      </c>
      <c r="L5" s="22">
        <v>0</v>
      </c>
      <c r="M5" s="22">
        <v>1</v>
      </c>
      <c r="N5" s="22">
        <v>0</v>
      </c>
      <c r="O5" s="22">
        <v>0</v>
      </c>
      <c r="P5" s="25">
        <f>SUM(C5:N5)</f>
        <v>235</v>
      </c>
      <c r="Q5" s="20">
        <f t="shared" si="0"/>
        <v>0</v>
      </c>
      <c r="R5" s="19" t="e">
        <f>Q5/'CL IBNR'!R7</f>
        <v>#DIV/0!</v>
      </c>
      <c r="S5" s="30">
        <f t="shared" si="1"/>
        <v>235</v>
      </c>
      <c r="T5" s="19">
        <f>S5/'CL IBNR'!S7</f>
        <v>0.9986109549625436</v>
      </c>
    </row>
    <row r="6" spans="1:20" ht="15.75" x14ac:dyDescent="0.25">
      <c r="C6" s="22">
        <v>4</v>
      </c>
      <c r="D6" s="22">
        <v>40</v>
      </c>
      <c r="E6" s="22">
        <v>49</v>
      </c>
      <c r="F6" s="22">
        <v>52</v>
      </c>
      <c r="G6" s="22">
        <v>33</v>
      </c>
      <c r="H6" s="22">
        <v>19</v>
      </c>
      <c r="I6" s="22">
        <v>7</v>
      </c>
      <c r="J6" s="22">
        <v>1</v>
      </c>
      <c r="K6" s="22">
        <v>1</v>
      </c>
      <c r="L6" s="22">
        <v>0</v>
      </c>
      <c r="M6" s="22">
        <v>0</v>
      </c>
      <c r="N6" s="22">
        <v>0</v>
      </c>
      <c r="O6" s="22">
        <v>0</v>
      </c>
      <c r="P6" s="25">
        <f>SUM(C6:N6)</f>
        <v>206</v>
      </c>
      <c r="Q6" s="20">
        <f t="shared" si="0"/>
        <v>0</v>
      </c>
      <c r="R6" s="19" t="e">
        <f>Q6/'CL IBNR'!R8</f>
        <v>#DIV/0!</v>
      </c>
      <c r="S6" s="30">
        <f t="shared" si="1"/>
        <v>206</v>
      </c>
      <c r="T6" s="19">
        <f>S6/'CL IBNR'!S8</f>
        <v>0.9986109549625436</v>
      </c>
    </row>
    <row r="7" spans="1:20" ht="15.75" x14ac:dyDescent="0.25">
      <c r="C7" s="22">
        <v>2</v>
      </c>
      <c r="D7" s="22">
        <v>30</v>
      </c>
      <c r="E7" s="22">
        <v>58</v>
      </c>
      <c r="F7" s="22">
        <v>39</v>
      </c>
      <c r="G7" s="22">
        <v>35</v>
      </c>
      <c r="H7" s="22">
        <v>9</v>
      </c>
      <c r="I7" s="22">
        <v>12</v>
      </c>
      <c r="J7" s="22">
        <v>5</v>
      </c>
      <c r="K7" s="22">
        <v>5</v>
      </c>
      <c r="L7" s="22">
        <v>1</v>
      </c>
      <c r="M7" s="22">
        <v>0</v>
      </c>
      <c r="N7" s="22">
        <v>0</v>
      </c>
      <c r="O7" s="22">
        <v>0</v>
      </c>
      <c r="P7" s="25">
        <f>SUM(C7:M7)</f>
        <v>196</v>
      </c>
      <c r="Q7" s="20">
        <f t="shared" si="0"/>
        <v>0</v>
      </c>
      <c r="R7" s="19">
        <f>Q7/'CL IBNR'!R9</f>
        <v>0</v>
      </c>
      <c r="S7" s="30">
        <f t="shared" si="1"/>
        <v>196</v>
      </c>
      <c r="T7" s="19">
        <f>S7/'CL IBNR'!S9</f>
        <v>0.99861095496254371</v>
      </c>
    </row>
    <row r="8" spans="1:20" ht="15.75" x14ac:dyDescent="0.25">
      <c r="C8" s="22">
        <v>1</v>
      </c>
      <c r="D8" s="22">
        <v>26</v>
      </c>
      <c r="E8" s="22">
        <v>63</v>
      </c>
      <c r="F8" s="22">
        <v>43</v>
      </c>
      <c r="G8" s="22">
        <v>30</v>
      </c>
      <c r="H8" s="22">
        <v>14</v>
      </c>
      <c r="I8" s="22">
        <v>7</v>
      </c>
      <c r="J8" s="22">
        <v>8</v>
      </c>
      <c r="K8" s="22">
        <v>3</v>
      </c>
      <c r="L8" s="22">
        <v>2</v>
      </c>
      <c r="M8" s="22">
        <v>0</v>
      </c>
      <c r="N8" s="22">
        <v>0</v>
      </c>
      <c r="O8" s="22">
        <v>0</v>
      </c>
      <c r="P8" s="25">
        <f>SUM(C8:L8)</f>
        <v>197</v>
      </c>
      <c r="Q8" s="20">
        <f t="shared" si="0"/>
        <v>0</v>
      </c>
      <c r="R8" s="19">
        <f>Q8/'CL IBNR'!R10</f>
        <v>0</v>
      </c>
      <c r="S8" s="30">
        <f t="shared" si="1"/>
        <v>197</v>
      </c>
      <c r="T8" s="19">
        <f>S8/'CL IBNR'!S10</f>
        <v>0.99683548077801498</v>
      </c>
    </row>
    <row r="9" spans="1:20" ht="15.75" x14ac:dyDescent="0.25">
      <c r="C9" s="22">
        <v>3</v>
      </c>
      <c r="D9" s="22">
        <v>34</v>
      </c>
      <c r="E9" s="22">
        <v>43</v>
      </c>
      <c r="F9" s="22">
        <v>44</v>
      </c>
      <c r="G9" s="22">
        <v>26</v>
      </c>
      <c r="H9" s="22">
        <v>27</v>
      </c>
      <c r="I9" s="22">
        <v>6</v>
      </c>
      <c r="J9" s="22">
        <v>5</v>
      </c>
      <c r="K9" s="22">
        <v>1</v>
      </c>
      <c r="L9" s="22">
        <v>2</v>
      </c>
      <c r="M9" s="22">
        <v>2</v>
      </c>
      <c r="N9" s="22">
        <v>0</v>
      </c>
      <c r="O9" s="22">
        <v>1</v>
      </c>
      <c r="P9" s="25">
        <f>SUM(C9:K9)</f>
        <v>189</v>
      </c>
      <c r="Q9" s="20">
        <f t="shared" si="0"/>
        <v>5</v>
      </c>
      <c r="R9" s="19">
        <f>Q9/'CL IBNR'!R11</f>
        <v>3.6493535185136969</v>
      </c>
      <c r="S9" s="30">
        <f t="shared" si="1"/>
        <v>194</v>
      </c>
      <c r="T9" s="19">
        <f>S9/'CL IBNR'!S11</f>
        <v>1.0190675647448864</v>
      </c>
    </row>
    <row r="10" spans="1:20" ht="15.75" x14ac:dyDescent="0.25">
      <c r="C10" s="22">
        <v>1</v>
      </c>
      <c r="D10" s="22">
        <v>39</v>
      </c>
      <c r="E10" s="22">
        <v>49</v>
      </c>
      <c r="F10" s="22">
        <v>44</v>
      </c>
      <c r="G10" s="22">
        <v>21</v>
      </c>
      <c r="H10" s="22">
        <v>16</v>
      </c>
      <c r="I10" s="22">
        <v>2</v>
      </c>
      <c r="J10" s="22">
        <v>5</v>
      </c>
      <c r="K10" s="22">
        <v>2</v>
      </c>
      <c r="L10" s="22">
        <v>0</v>
      </c>
      <c r="M10" s="22">
        <v>0</v>
      </c>
      <c r="N10" s="22">
        <v>0</v>
      </c>
      <c r="O10" s="22">
        <v>0</v>
      </c>
      <c r="P10" s="25">
        <f>SUM(C10:J10)</f>
        <v>177</v>
      </c>
      <c r="Q10" s="20">
        <f t="shared" si="0"/>
        <v>2</v>
      </c>
      <c r="R10" s="19">
        <f>Q10/'CL IBNR'!R12</f>
        <v>0.68154438808827433</v>
      </c>
      <c r="S10" s="30">
        <f t="shared" si="1"/>
        <v>179</v>
      </c>
      <c r="T10" s="19">
        <f>S10/'CL IBNR'!S12</f>
        <v>0.99480637861503673</v>
      </c>
    </row>
    <row r="11" spans="1:20" ht="15.75" x14ac:dyDescent="0.25">
      <c r="C11" s="22">
        <v>2</v>
      </c>
      <c r="D11" s="22">
        <v>44</v>
      </c>
      <c r="E11" s="22">
        <v>51</v>
      </c>
      <c r="F11" s="22">
        <v>46</v>
      </c>
      <c r="G11" s="22">
        <v>23</v>
      </c>
      <c r="H11" s="22">
        <v>12</v>
      </c>
      <c r="I11" s="22">
        <v>10</v>
      </c>
      <c r="J11" s="22">
        <v>5</v>
      </c>
      <c r="K11" s="22">
        <v>1</v>
      </c>
      <c r="L11" s="22">
        <v>1</v>
      </c>
      <c r="M11" s="22">
        <v>1</v>
      </c>
      <c r="N11" s="22">
        <v>0</v>
      </c>
      <c r="O11" s="22">
        <v>0</v>
      </c>
      <c r="P11" s="25">
        <f>SUM(C11:I11)</f>
        <v>188</v>
      </c>
      <c r="Q11" s="20">
        <f t="shared" si="0"/>
        <v>8</v>
      </c>
      <c r="R11" s="19">
        <f>Q11/'CL IBNR'!R13</f>
        <v>1.1182640983411187</v>
      </c>
      <c r="S11" s="30">
        <f t="shared" si="1"/>
        <v>196</v>
      </c>
      <c r="T11" s="19">
        <f>S11/'CL IBNR'!S13</f>
        <v>1.004335320353267</v>
      </c>
    </row>
    <row r="12" spans="1:20" ht="15.75" x14ac:dyDescent="0.25">
      <c r="C12" s="22">
        <v>3</v>
      </c>
      <c r="D12" s="22">
        <v>42</v>
      </c>
      <c r="E12" s="22">
        <v>58</v>
      </c>
      <c r="F12" s="22">
        <v>38</v>
      </c>
      <c r="G12" s="22">
        <v>26</v>
      </c>
      <c r="H12" s="22">
        <v>15</v>
      </c>
      <c r="I12" s="22">
        <v>10</v>
      </c>
      <c r="J12" s="22">
        <v>6</v>
      </c>
      <c r="K12" s="22">
        <v>1</v>
      </c>
      <c r="L12" s="22">
        <v>2</v>
      </c>
      <c r="M12" s="22">
        <v>1</v>
      </c>
      <c r="N12" s="22">
        <v>0</v>
      </c>
      <c r="O12" s="22">
        <v>0</v>
      </c>
      <c r="P12" s="25">
        <f>SUM(C12:H12)</f>
        <v>182</v>
      </c>
      <c r="Q12" s="20">
        <f t="shared" si="0"/>
        <v>20</v>
      </c>
      <c r="R12" s="19">
        <f>Q12/'CL IBNR'!R14</f>
        <v>1.2479339691727276</v>
      </c>
      <c r="S12" s="30">
        <f t="shared" si="1"/>
        <v>202</v>
      </c>
      <c r="T12" s="19">
        <f>S12/'CL IBNR'!S14</f>
        <v>1.020065553069796</v>
      </c>
    </row>
    <row r="13" spans="1:20" ht="15.75" x14ac:dyDescent="0.25">
      <c r="C13" s="22">
        <v>6</v>
      </c>
      <c r="D13" s="22">
        <v>22</v>
      </c>
      <c r="E13" s="22">
        <v>61</v>
      </c>
      <c r="F13" s="22">
        <v>38</v>
      </c>
      <c r="G13" s="22">
        <v>34</v>
      </c>
      <c r="H13" s="22">
        <v>15</v>
      </c>
      <c r="I13" s="22">
        <v>8</v>
      </c>
      <c r="J13" s="22">
        <v>4</v>
      </c>
      <c r="K13" s="22">
        <v>2</v>
      </c>
      <c r="L13" s="22">
        <v>2</v>
      </c>
      <c r="M13" s="22">
        <v>1</v>
      </c>
      <c r="N13" s="22">
        <v>0</v>
      </c>
      <c r="O13" s="22">
        <v>0</v>
      </c>
      <c r="P13" s="25">
        <f>SUM(C13:G13)</f>
        <v>161</v>
      </c>
      <c r="Q13" s="20">
        <f t="shared" si="0"/>
        <v>32</v>
      </c>
      <c r="R13" s="19">
        <f>Q13/'CL IBNR'!R15</f>
        <v>1.0382844279729591</v>
      </c>
      <c r="S13" s="30">
        <f t="shared" si="1"/>
        <v>193</v>
      </c>
      <c r="T13" s="19">
        <f>S13/'CL IBNR'!S15</f>
        <v>1.0061512269739077</v>
      </c>
    </row>
    <row r="14" spans="1:20" ht="15.75" x14ac:dyDescent="0.25">
      <c r="C14" s="22">
        <v>4</v>
      </c>
      <c r="D14" s="22">
        <v>33</v>
      </c>
      <c r="E14" s="22">
        <v>57</v>
      </c>
      <c r="F14" s="22">
        <v>45</v>
      </c>
      <c r="G14" s="22">
        <v>26</v>
      </c>
      <c r="H14" s="22">
        <v>21</v>
      </c>
      <c r="I14" s="22">
        <v>16</v>
      </c>
      <c r="J14" s="22">
        <v>3</v>
      </c>
      <c r="K14" s="22">
        <v>1</v>
      </c>
      <c r="L14" s="22">
        <v>2</v>
      </c>
      <c r="M14" s="22">
        <v>1</v>
      </c>
      <c r="N14" s="22">
        <v>1</v>
      </c>
      <c r="O14" s="22">
        <v>0</v>
      </c>
      <c r="P14" s="25">
        <f>SUM(C14:F14)</f>
        <v>139</v>
      </c>
      <c r="Q14" s="20">
        <f t="shared" si="0"/>
        <v>71</v>
      </c>
      <c r="R14" s="19">
        <f>Q14/'CL IBNR'!R16</f>
        <v>1.1534839523488229</v>
      </c>
      <c r="S14" s="30">
        <f t="shared" si="1"/>
        <v>210</v>
      </c>
      <c r="T14" s="19">
        <f>S14/'CL IBNR'!S16</f>
        <v>1.0471065555749177</v>
      </c>
    </row>
    <row r="15" spans="1:20" ht="15.75" x14ac:dyDescent="0.25">
      <c r="C15" s="22">
        <v>0</v>
      </c>
      <c r="D15" s="22">
        <v>35</v>
      </c>
      <c r="E15" s="22">
        <v>47</v>
      </c>
      <c r="F15" s="22">
        <v>50</v>
      </c>
      <c r="G15" s="22">
        <v>34</v>
      </c>
      <c r="H15" s="22">
        <v>20</v>
      </c>
      <c r="I15" s="22">
        <v>4</v>
      </c>
      <c r="J15" s="22">
        <v>1</v>
      </c>
      <c r="K15" s="22">
        <v>0</v>
      </c>
      <c r="L15" s="22">
        <v>0</v>
      </c>
      <c r="M15" s="22">
        <v>0</v>
      </c>
      <c r="N15" s="22">
        <v>0</v>
      </c>
      <c r="O15" s="22">
        <v>0</v>
      </c>
      <c r="P15" s="25">
        <f>SUM(C15:E15)</f>
        <v>82</v>
      </c>
      <c r="Q15" s="20">
        <f t="shared" si="0"/>
        <v>109</v>
      </c>
      <c r="R15" s="19">
        <f>Q15/'CL IBNR'!R17</f>
        <v>1.2011475475483577</v>
      </c>
      <c r="S15" s="30">
        <f t="shared" si="1"/>
        <v>191</v>
      </c>
      <c r="T15" s="19">
        <f>S15/'CL IBNR'!S17</f>
        <v>1.1056660541148542</v>
      </c>
    </row>
    <row r="16" spans="1:20" ht="15.75" x14ac:dyDescent="0.25">
      <c r="C16" s="22">
        <v>1</v>
      </c>
      <c r="D16" s="22">
        <v>32</v>
      </c>
      <c r="E16" s="22">
        <v>41</v>
      </c>
      <c r="F16" s="22">
        <v>33</v>
      </c>
      <c r="G16" s="22">
        <v>16</v>
      </c>
      <c r="H16" s="22">
        <v>15</v>
      </c>
      <c r="I16" s="22">
        <v>13</v>
      </c>
      <c r="J16" s="22">
        <v>1</v>
      </c>
      <c r="K16" s="22">
        <v>5</v>
      </c>
      <c r="L16" s="22">
        <v>1</v>
      </c>
      <c r="M16" s="22">
        <v>1</v>
      </c>
      <c r="N16" s="22">
        <v>0</v>
      </c>
      <c r="O16" s="22">
        <v>0</v>
      </c>
      <c r="P16" s="25">
        <f>SUM(C16:D16)</f>
        <v>33</v>
      </c>
      <c r="Q16" s="20">
        <f t="shared" si="0"/>
        <v>126</v>
      </c>
      <c r="R16" s="19">
        <f>Q16/'CL IBNR'!R18</f>
        <v>0.94387657647030854</v>
      </c>
      <c r="S16" s="30">
        <f t="shared" si="1"/>
        <v>159</v>
      </c>
      <c r="T16" s="19">
        <f>S16/'CL IBNR'!S18</f>
        <v>0.95500067039584469</v>
      </c>
    </row>
    <row r="17" spans="1:27" ht="15.75" x14ac:dyDescent="0.25">
      <c r="C17" s="22">
        <v>5</v>
      </c>
      <c r="D17" s="22">
        <v>31</v>
      </c>
      <c r="E17" s="22">
        <v>49</v>
      </c>
      <c r="F17" s="22">
        <v>37</v>
      </c>
      <c r="G17" s="22">
        <v>24</v>
      </c>
      <c r="H17" s="22">
        <v>19</v>
      </c>
      <c r="I17" s="22">
        <v>9</v>
      </c>
      <c r="J17" s="22">
        <v>3</v>
      </c>
      <c r="K17" s="22">
        <v>5</v>
      </c>
      <c r="L17" s="22">
        <v>2</v>
      </c>
      <c r="M17" s="22">
        <v>2</v>
      </c>
      <c r="N17" s="22">
        <v>0</v>
      </c>
      <c r="O17" s="22">
        <v>0</v>
      </c>
      <c r="P17" s="25">
        <f>SUM(C17)</f>
        <v>5</v>
      </c>
      <c r="Q17" s="20">
        <f t="shared" si="0"/>
        <v>181</v>
      </c>
      <c r="R17" s="19">
        <f>Q17/'CL IBNR'!R19</f>
        <v>0.56152198374001727</v>
      </c>
      <c r="S17" s="30">
        <f t="shared" si="1"/>
        <v>186</v>
      </c>
      <c r="T17" s="61">
        <f>S17/'CL IBNR'!S19</f>
        <v>0.56821961300644419</v>
      </c>
      <c r="U17" s="60" t="s">
        <v>55</v>
      </c>
      <c r="V17" s="60"/>
      <c r="W17" s="60"/>
      <c r="X17" s="60"/>
      <c r="Y17" s="60"/>
      <c r="Z17" s="60"/>
      <c r="AA17" s="60"/>
    </row>
    <row r="18" spans="1:27" ht="15.75" x14ac:dyDescent="0.25">
      <c r="P18" s="1"/>
      <c r="Q18" s="3"/>
      <c r="R18" s="19"/>
      <c r="S18" s="3"/>
    </row>
    <row r="19" spans="1:27" ht="15.75" x14ac:dyDescent="0.25">
      <c r="A19" s="21" t="s">
        <v>38</v>
      </c>
      <c r="P19" s="1"/>
      <c r="Q19" s="20">
        <f>SUM(Q2:Q17)</f>
        <v>554</v>
      </c>
      <c r="R19" s="19">
        <f>Q19/'CL IBNR'!R21</f>
        <v>0.83017073288596044</v>
      </c>
      <c r="S19" s="3"/>
      <c r="T19" s="18">
        <f>AVERAGE(T2:T17)</f>
        <v>0.98180750921263926</v>
      </c>
      <c r="U19" s="18" t="s">
        <v>39</v>
      </c>
    </row>
    <row r="20" spans="1:27" x14ac:dyDescent="0.25">
      <c r="O20" t="str">
        <f>IF('CL IBNR'!O4&gt;0,'CL-comparison'!O2/'CL IBNR'!O4,"")</f>
        <v/>
      </c>
    </row>
    <row r="21" spans="1:27" x14ac:dyDescent="0.25">
      <c r="O21" t="str">
        <f>IF('CL IBNR'!O5&gt;0,'CL-comparison'!O3/'CL IBNR'!O5,"")</f>
        <v/>
      </c>
    </row>
    <row r="22" spans="1:27" x14ac:dyDescent="0.25">
      <c r="O22" t="str">
        <f>IF('CL IBNR'!O6&gt;0,'CL-comparison'!O4/'CL IBNR'!O6,"")</f>
        <v/>
      </c>
    </row>
    <row r="23" spans="1:27" x14ac:dyDescent="0.25">
      <c r="O23" t="str">
        <f>IF('CL IBNR'!O7&gt;0,'CL-comparison'!O5/'CL IBNR'!O7,"")</f>
        <v/>
      </c>
    </row>
    <row r="24" spans="1:27" x14ac:dyDescent="0.25">
      <c r="O24" t="str">
        <f>IF('CL IBNR'!O8&gt;0,'CL-comparison'!O6/'CL IBNR'!O8,"")</f>
        <v/>
      </c>
    </row>
    <row r="25" spans="1:27" x14ac:dyDescent="0.25">
      <c r="M25" t="str">
        <f>IF('CL IBNR'!M9&gt;0,'CL-comparison'!M7/'CL IBNR'!M9,"")</f>
        <v/>
      </c>
      <c r="N25">
        <f>IF('CL IBNR'!N9&gt;0,'CL-comparison'!N7/'CL IBNR'!N9,"")</f>
        <v>0</v>
      </c>
      <c r="O25" t="str">
        <f>IF('CL IBNR'!O9&gt;0,'CL-comparison'!O7/'CL IBNR'!O9,"")</f>
        <v/>
      </c>
    </row>
    <row r="26" spans="1:27" x14ac:dyDescent="0.25">
      <c r="L26">
        <f>IF('CL IBNR'!L10&gt;0,'CL-comparison'!L8/'CL IBNR'!L10,"")</f>
        <v>1</v>
      </c>
      <c r="M26">
        <f>IF('CL IBNR'!M10&gt;0,'CL-comparison'!M8/'CL IBNR'!M10,"")</f>
        <v>0</v>
      </c>
      <c r="N26">
        <f>IF('CL IBNR'!N10&gt;0,'CL-comparison'!N8/'CL IBNR'!N10,"")</f>
        <v>0</v>
      </c>
      <c r="O26" t="str">
        <f>IF('CL IBNR'!O10&gt;0,'CL-comparison'!O8/'CL IBNR'!O10,"")</f>
        <v/>
      </c>
    </row>
    <row r="27" spans="1:27" x14ac:dyDescent="0.25">
      <c r="K27">
        <f>IF('CL IBNR'!K11&gt;0,'CL-comparison'!K9/'CL IBNR'!K11,"")</f>
        <v>1</v>
      </c>
      <c r="L27">
        <f>IF('CL IBNR'!L11&gt;0,'CL-comparison'!L9/'CL IBNR'!L11,"")</f>
        <v>2.6052663548772403</v>
      </c>
      <c r="M27">
        <f>IF('CL IBNR'!M11&gt;0,'CL-comparison'!M9/'CL IBNR'!M11,"")</f>
        <v>5.9172086389563168</v>
      </c>
      <c r="N27">
        <f>IF('CL IBNR'!N11&gt;0,'CL-comparison'!N9/'CL IBNR'!N11,"")</f>
        <v>0</v>
      </c>
      <c r="O27" t="str">
        <f>IF('CL IBNR'!O11&gt;0,'CL-comparison'!O9/'CL IBNR'!O11,"")</f>
        <v/>
      </c>
    </row>
    <row r="28" spans="1:27" x14ac:dyDescent="0.25">
      <c r="J28">
        <f>IF('CL IBNR'!J12&gt;0,'CL-comparison'!J10/'CL IBNR'!J12,"")</f>
        <v>1</v>
      </c>
      <c r="K28">
        <f>IF('CL IBNR'!K12&gt;0,'CL-comparison'!K10/'CL IBNR'!K12,"")</f>
        <v>1.2198754256790159</v>
      </c>
      <c r="L28">
        <f>IF('CL IBNR'!L12&gt;0,'CL-comparison'!L10/'CL IBNR'!L12,"")</f>
        <v>0</v>
      </c>
      <c r="M28">
        <f>IF('CL IBNR'!M12&gt;0,'CL-comparison'!M10/'CL IBNR'!M12,"")</f>
        <v>0</v>
      </c>
      <c r="N28">
        <f>IF('CL IBNR'!N12&gt;0,'CL-comparison'!N10/'CL IBNR'!N12,"")</f>
        <v>0</v>
      </c>
      <c r="O28" t="str">
        <f>IF('CL IBNR'!O12&gt;0,'CL-comparison'!O10/'CL IBNR'!O12,"")</f>
        <v/>
      </c>
    </row>
    <row r="29" spans="1:27" x14ac:dyDescent="0.25">
      <c r="I29">
        <f>IF('CL IBNR'!I13&gt;0,'CL-comparison'!I11/'CL IBNR'!I13,"")</f>
        <v>1</v>
      </c>
      <c r="J29">
        <f>IF('CL IBNR'!J13&gt;0,'CL-comparison'!J11/'CL IBNR'!J13,"")</f>
        <v>1.2590579573880309</v>
      </c>
      <c r="K29">
        <f>IF('CL IBNR'!K13&gt;0,'CL-comparison'!K11/'CL IBNR'!K13,"")</f>
        <v>0.56237061706006308</v>
      </c>
      <c r="L29">
        <f>IF('CL IBNR'!L13&gt;0,'CL-comparison'!L11/'CL IBNR'!L13,"")</f>
        <v>1.2707015248510709</v>
      </c>
      <c r="M29">
        <f>IF('CL IBNR'!M13&gt;0,'CL-comparison'!M11/'CL IBNR'!M13,"")</f>
        <v>2.8860795850326846</v>
      </c>
      <c r="N29">
        <f>IF('CL IBNR'!N13&gt;0,'CL-comparison'!N11/'CL IBNR'!N13,"")</f>
        <v>0</v>
      </c>
      <c r="O29" t="str">
        <f>IF('CL IBNR'!O13&gt;0,'CL-comparison'!O11/'CL IBNR'!O13,"")</f>
        <v/>
      </c>
    </row>
    <row r="30" spans="1:27" x14ac:dyDescent="0.25">
      <c r="H30">
        <f>IF('CL IBNR'!H14&gt;0,'CL-comparison'!H12/'CL IBNR'!H14,"")</f>
        <v>1</v>
      </c>
      <c r="I30">
        <f>IF('CL IBNR'!I14&gt;0,'CL-comparison'!I12/'CL IBNR'!I14,"")</f>
        <v>1.1406095222844017</v>
      </c>
      <c r="J30">
        <f>IF('CL IBNR'!J14&gt;0,'CL-comparison'!J12/'CL IBNR'!J14,"")</f>
        <v>1.4889530918906575</v>
      </c>
      <c r="K30">
        <f>IF('CL IBNR'!K14&gt;0,'CL-comparison'!K12/'CL IBNR'!K14,"")</f>
        <v>0.55421294954863332</v>
      </c>
      <c r="L30">
        <f>IF('CL IBNR'!L14&gt;0,'CL-comparison'!L12/'CL IBNR'!L14,"")</f>
        <v>2.5045378215712959</v>
      </c>
      <c r="M30">
        <f>IF('CL IBNR'!M14&gt;0,'CL-comparison'!M12/'CL IBNR'!M14,"")</f>
        <v>2.8442145285165701</v>
      </c>
      <c r="N30">
        <f>IF('CL IBNR'!N14&gt;0,'CL-comparison'!N12/'CL IBNR'!N14,"")</f>
        <v>0</v>
      </c>
      <c r="O30" t="str">
        <f>IF('CL IBNR'!O14&gt;0,'CL-comparison'!O12/'CL IBNR'!O14,"")</f>
        <v/>
      </c>
    </row>
    <row r="31" spans="1:27" x14ac:dyDescent="0.25">
      <c r="G31">
        <f>IF('CL IBNR'!G15&gt;0,'CL-comparison'!G13/'CL IBNR'!G15,"")</f>
        <v>1</v>
      </c>
      <c r="H31">
        <f>IF('CL IBNR'!H15&gt;0,'CL-comparison'!H13/'CL IBNR'!H15,"")</f>
        <v>0.98065661047027464</v>
      </c>
      <c r="I31">
        <f>IF('CL IBNR'!I15&gt;0,'CL-comparison'!I13/'CL IBNR'!I15,"")</f>
        <v>0.94201153225831835</v>
      </c>
      <c r="J31">
        <f>IF('CL IBNR'!J15&gt;0,'CL-comparison'!J13/'CL IBNR'!J15,"")</f>
        <v>1.0247525235042338</v>
      </c>
      <c r="K31">
        <f>IF('CL IBNR'!K15&gt;0,'CL-comparison'!K13/'CL IBNR'!K15,"")</f>
        <v>1.1442894776910673</v>
      </c>
      <c r="L31">
        <f>IF('CL IBNR'!L15&gt;0,'CL-comparison'!L13/'CL IBNR'!L15,"")</f>
        <v>2.5855731790798324</v>
      </c>
      <c r="M31">
        <f>IF('CL IBNR'!M15&gt;0,'CL-comparison'!M13/'CL IBNR'!M15,"")</f>
        <v>2.9362402664248579</v>
      </c>
      <c r="N31">
        <f>IF('CL IBNR'!N15&gt;0,'CL-comparison'!N13/'CL IBNR'!N15,"")</f>
        <v>0</v>
      </c>
      <c r="O31" t="str">
        <f>IF('CL IBNR'!O15&gt;0,'CL-comparison'!O13/'CL IBNR'!O15,"")</f>
        <v/>
      </c>
    </row>
    <row r="32" spans="1:27" x14ac:dyDescent="0.25">
      <c r="F32">
        <f>IF('CL IBNR'!F16&gt;0,'CL-comparison'!F14/'CL IBNR'!F16,"")</f>
        <v>1</v>
      </c>
      <c r="G32">
        <f>IF('CL IBNR'!G16&gt;0,'CL-comparison'!G14/'CL IBNR'!G16,"")</f>
        <v>0.88647935519779031</v>
      </c>
      <c r="H32">
        <f>IF('CL IBNR'!H16&gt;0,'CL-comparison'!H14/'CL IBNR'!H16,"")</f>
        <v>1.3131387810370769</v>
      </c>
      <c r="I32">
        <f>IF('CL IBNR'!I16&gt;0,'CL-comparison'!I14/'CL IBNR'!I16,"")</f>
        <v>1.8019878022620504</v>
      </c>
      <c r="J32">
        <f>IF('CL IBNR'!J16&gt;0,'CL-comparison'!J14/'CL IBNR'!J16,"")</f>
        <v>0.73509910088294661</v>
      </c>
      <c r="K32">
        <f>IF('CL IBNR'!K16&gt;0,'CL-comparison'!K14/'CL IBNR'!K16,"")</f>
        <v>0.54723206947180858</v>
      </c>
      <c r="L32">
        <f>IF('CL IBNR'!L16&gt;0,'CL-comparison'!L14/'CL IBNR'!L16,"")</f>
        <v>2.4729906009686364</v>
      </c>
      <c r="M32">
        <f>IF('CL IBNR'!M16&gt;0,'CL-comparison'!M14/'CL IBNR'!M16,"")</f>
        <v>2.808388731677093</v>
      </c>
      <c r="N32">
        <f>IF('CL IBNR'!N16&gt;0,'CL-comparison'!N14/'CL IBNR'!N16,"")</f>
        <v>3.589676042718438</v>
      </c>
      <c r="O32" t="str">
        <f>IF('CL IBNR'!O16&gt;0,'CL-comparison'!O14/'CL IBNR'!O16,"")</f>
        <v/>
      </c>
    </row>
    <row r="33" spans="3:15" x14ac:dyDescent="0.25">
      <c r="E33">
        <f>IF('CL IBNR'!E17&gt;0,'CL-comparison'!E15/'CL IBNR'!E17,"")</f>
        <v>1</v>
      </c>
      <c r="F33">
        <f>IF('CL IBNR'!F17&gt;0,'CL-comparison'!F15/'CL IBNR'!F17,"")</f>
        <v>1.3252751996546512</v>
      </c>
      <c r="G33">
        <f>IF('CL IBNR'!G17&gt;0,'CL-comparison'!G15/'CL IBNR'!G17,"")</f>
        <v>1.345839343777061</v>
      </c>
      <c r="H33">
        <f>IF('CL IBNR'!H17&gt;0,'CL-comparison'!H15/'CL IBNR'!H17,"")</f>
        <v>1.4519121970184781</v>
      </c>
      <c r="I33">
        <f>IF('CL IBNR'!I17&gt;0,'CL-comparison'!I15/'CL IBNR'!I17,"")</f>
        <v>0.52301106937499808</v>
      </c>
      <c r="J33">
        <f>IF('CL IBNR'!J17&gt;0,'CL-comparison'!J15/'CL IBNR'!J17,"")</f>
        <v>0.28447470907166511</v>
      </c>
      <c r="K33">
        <f>IF('CL IBNR'!K17&gt;0,'CL-comparison'!K15/'CL IBNR'!K17,"")</f>
        <v>0</v>
      </c>
      <c r="L33">
        <f>IF('CL IBNR'!L17&gt;0,'CL-comparison'!L15/'CL IBNR'!L17,"")</f>
        <v>0</v>
      </c>
      <c r="M33">
        <f>IF('CL IBNR'!M17&gt;0,'CL-comparison'!M15/'CL IBNR'!M17,"")</f>
        <v>0</v>
      </c>
      <c r="N33">
        <f>IF('CL IBNR'!N17&gt;0,'CL-comparison'!N15/'CL IBNR'!N17,"")</f>
        <v>0</v>
      </c>
      <c r="O33" t="str">
        <f>IF('CL IBNR'!O17&gt;0,'CL-comparison'!O15/'CL IBNR'!O17,"")</f>
        <v/>
      </c>
    </row>
    <row r="34" spans="3:15" x14ac:dyDescent="0.25">
      <c r="D34">
        <f>IF('CL IBNR'!D18&gt;0,'CL-comparison'!D16/'CL IBNR'!D18,"")</f>
        <v>1</v>
      </c>
      <c r="E34">
        <f>IF('CL IBNR'!E18&gt;0,'CL-comparison'!E16/'CL IBNR'!E18,"")</f>
        <v>0.89070256960165217</v>
      </c>
      <c r="F34">
        <f>IF('CL IBNR'!F18&gt;0,'CL-comparison'!F16/'CL IBNR'!F18,"")</f>
        <v>0.90754036343984312</v>
      </c>
      <c r="G34">
        <f>IF('CL IBNR'!G18&gt;0,'CL-comparison'!G16/'CL IBNR'!G18,"")</f>
        <v>0.65712838770218185</v>
      </c>
      <c r="H34">
        <f>IF('CL IBNR'!H18&gt;0,'CL-comparison'!H16/'CL IBNR'!H18,"")</f>
        <v>1.1298415975896396</v>
      </c>
      <c r="I34">
        <f>IF('CL IBNR'!I18&gt;0,'CL-comparison'!I16/'CL IBNR'!I18,"")</f>
        <v>1.763640993376707</v>
      </c>
      <c r="J34">
        <f>IF('CL IBNR'!J18&gt;0,'CL-comparison'!J16/'CL IBNR'!J18,"")</f>
        <v>0.29516142957900693</v>
      </c>
      <c r="K34">
        <f>IF('CL IBNR'!K18&gt;0,'CL-comparison'!K16/'CL IBNR'!K18,"")</f>
        <v>3.295918871539282</v>
      </c>
      <c r="L34">
        <f>IF('CL IBNR'!L18&gt;0,'CL-comparison'!L16/'CL IBNR'!L18,"")</f>
        <v>1.4894551773508038</v>
      </c>
      <c r="M34">
        <f>IF('CL IBNR'!M18&gt;0,'CL-comparison'!M16/'CL IBNR'!M18,"")</f>
        <v>3.3829236025172844</v>
      </c>
      <c r="N34">
        <f>IF('CL IBNR'!N18&gt;0,'CL-comparison'!N16/'CL IBNR'!N18,"")</f>
        <v>0</v>
      </c>
      <c r="O34" t="str">
        <f>IF('CL IBNR'!O18&gt;0,'CL-comparison'!O16/'CL IBNR'!O18,"")</f>
        <v/>
      </c>
    </row>
    <row r="35" spans="3:15" x14ac:dyDescent="0.25">
      <c r="C35">
        <f>IF('CL IBNR'!C19&gt;0,'CL-comparison'!C17/'CL IBNR'!C19,"")</f>
        <v>1</v>
      </c>
      <c r="D35">
        <f>IF('CL IBNR'!D19&gt;0,'CL-comparison'!D17/'CL IBNR'!D19,"")</f>
        <v>0.51769383697813121</v>
      </c>
      <c r="E35">
        <f>IF('CL IBNR'!E19&gt;0,'CL-comparison'!E17/'CL IBNR'!E19,"")</f>
        <v>0.5414291726285666</v>
      </c>
      <c r="F35">
        <f>IF('CL IBNR'!F19&gt;0,'CL-comparison'!F17/'CL IBNR'!F19,"")</f>
        <v>0.51754778891211595</v>
      </c>
      <c r="G35">
        <f>IF('CL IBNR'!G19&gt;0,'CL-comparison'!G17/'CL IBNR'!G19,"")</f>
        <v>0.50134675891113245</v>
      </c>
      <c r="H35">
        <f>IF('CL IBNR'!H19&gt;0,'CL-comparison'!H17/'CL IBNR'!H19,"")</f>
        <v>0.72790822338655814</v>
      </c>
      <c r="I35">
        <f>IF('CL IBNR'!I19&gt;0,'CL-comparison'!I17/'CL IBNR'!I19,"")</f>
        <v>0.62102068458379789</v>
      </c>
      <c r="J35">
        <f>IF('CL IBNR'!J19&gt;0,'CL-comparison'!J17/'CL IBNR'!J19,"")</f>
        <v>0.45037843089523327</v>
      </c>
      <c r="K35">
        <f>IF('CL IBNR'!K19&gt;0,'CL-comparison'!K17/'CL IBNR'!K19,"")</f>
        <v>1.6763829563131902</v>
      </c>
      <c r="L35">
        <f>IF('CL IBNR'!L19&gt;0,'CL-comparison'!L17/'CL IBNR'!L19,"")</f>
        <v>1.5151448629785051</v>
      </c>
      <c r="M35">
        <f>IF('CL IBNR'!M19&gt;0,'CL-comparison'!M17/'CL IBNR'!M19,"")</f>
        <v>3.4412712756616188</v>
      </c>
      <c r="N35">
        <f>IF('CL IBNR'!N19&gt;0,'CL-comparison'!N17/'CL IBNR'!N19,"")</f>
        <v>0</v>
      </c>
      <c r="O35" t="str">
        <f>IF('CL IBNR'!O19&gt;0,'CL-comparison'!O17/'CL IBNR'!O19,"")</f>
        <v/>
      </c>
    </row>
  </sheetData>
  <conditionalFormatting sqref="C20:O3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</vt:lpstr>
      <vt:lpstr>Exposure</vt:lpstr>
      <vt:lpstr>IBNR</vt:lpstr>
      <vt:lpstr>exposure-comparison</vt:lpstr>
      <vt:lpstr>CL</vt:lpstr>
      <vt:lpstr>CL IBNR</vt:lpstr>
      <vt:lpstr>CL-comparison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Adolphus</dc:creator>
  <cp:lastModifiedBy>Ho Ming Lee</cp:lastModifiedBy>
  <dcterms:created xsi:type="dcterms:W3CDTF">2015-06-05T18:17:20Z</dcterms:created>
  <dcterms:modified xsi:type="dcterms:W3CDTF">2024-08-06T10:33:46Z</dcterms:modified>
</cp:coreProperties>
</file>