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8D0644B1-10A9-4B5A-B054-517675EEB9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Exposure" sheetId="3" r:id="rId2"/>
    <sheet name="IBNR" sheetId="4" r:id="rId3"/>
    <sheet name="comparison" sheetId="7" r:id="rId4"/>
    <sheet name="Exposure_quarter" sheetId="5" r:id="rId5"/>
    <sheet name="IBNR_quarter" sheetId="6" r:id="rId6"/>
    <sheet name="comparison quarter" sheetId="8" r:id="rId7"/>
    <sheet name="CL" sheetId="9" r:id="rId8"/>
    <sheet name="CL IBNR" sheetId="10" r:id="rId9"/>
    <sheet name="CL-comparison" sheetId="11" r:id="rId10"/>
    <sheet name="CL quarter" sheetId="12" r:id="rId11"/>
    <sheet name="CL quarter IBNR" sheetId="13" r:id="rId12"/>
    <sheet name="CL-comparison quarter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3" l="1"/>
  <c r="B19" i="13"/>
  <c r="D18" i="13"/>
  <c r="C18" i="13"/>
  <c r="B18" i="13"/>
  <c r="E17" i="13"/>
  <c r="D17" i="13"/>
  <c r="C17" i="13"/>
  <c r="B17" i="13"/>
  <c r="F16" i="13"/>
  <c r="E16" i="13"/>
  <c r="D16" i="13"/>
  <c r="C16" i="13"/>
  <c r="B16" i="13"/>
  <c r="G15" i="13"/>
  <c r="G31" i="14" s="1"/>
  <c r="F15" i="13"/>
  <c r="E15" i="13"/>
  <c r="D15" i="13"/>
  <c r="C15" i="13"/>
  <c r="B15" i="13"/>
  <c r="H14" i="13"/>
  <c r="G14" i="13"/>
  <c r="F14" i="13"/>
  <c r="E14" i="13"/>
  <c r="I14" i="13" s="1"/>
  <c r="I30" i="14" s="1"/>
  <c r="D14" i="13"/>
  <c r="C14" i="13"/>
  <c r="B14" i="13"/>
  <c r="I13" i="13"/>
  <c r="H13" i="13"/>
  <c r="G13" i="13"/>
  <c r="F13" i="13"/>
  <c r="E13" i="13"/>
  <c r="D13" i="13"/>
  <c r="C13" i="13"/>
  <c r="B13" i="13"/>
  <c r="J12" i="13"/>
  <c r="I12" i="13"/>
  <c r="H12" i="13"/>
  <c r="G12" i="13"/>
  <c r="F12" i="13"/>
  <c r="E12" i="13"/>
  <c r="D12" i="13"/>
  <c r="C12" i="13"/>
  <c r="B12" i="13"/>
  <c r="K11" i="13"/>
  <c r="J11" i="13"/>
  <c r="I11" i="13"/>
  <c r="H11" i="13"/>
  <c r="G11" i="13"/>
  <c r="F11" i="13"/>
  <c r="E11" i="13"/>
  <c r="D11" i="13"/>
  <c r="C11" i="13"/>
  <c r="B11" i="13"/>
  <c r="L10" i="13"/>
  <c r="K10" i="13"/>
  <c r="J10" i="13"/>
  <c r="I10" i="13"/>
  <c r="H10" i="13"/>
  <c r="G10" i="13"/>
  <c r="F10" i="13"/>
  <c r="E10" i="13"/>
  <c r="D10" i="13"/>
  <c r="C10" i="13"/>
  <c r="B10" i="13"/>
  <c r="M9" i="13"/>
  <c r="L9" i="13"/>
  <c r="K9" i="13"/>
  <c r="J9" i="13"/>
  <c r="I9" i="13"/>
  <c r="H9" i="13"/>
  <c r="G9" i="13"/>
  <c r="F9" i="13"/>
  <c r="E9" i="13"/>
  <c r="D9" i="13"/>
  <c r="C9" i="13"/>
  <c r="B9" i="13"/>
  <c r="N8" i="13"/>
  <c r="M8" i="13"/>
  <c r="L8" i="13"/>
  <c r="K8" i="13"/>
  <c r="J8" i="13"/>
  <c r="I8" i="13"/>
  <c r="H8" i="13"/>
  <c r="G8" i="13"/>
  <c r="F8" i="13"/>
  <c r="E8" i="13"/>
  <c r="D8" i="13"/>
  <c r="P8" i="13" s="1"/>
  <c r="Q8" i="13" s="1"/>
  <c r="C8" i="13"/>
  <c r="B8" i="13"/>
  <c r="N7" i="13"/>
  <c r="M7" i="13"/>
  <c r="L7" i="13"/>
  <c r="K7" i="13"/>
  <c r="J7" i="13"/>
  <c r="I7" i="13"/>
  <c r="O7" i="13" s="1"/>
  <c r="O23" i="14" s="1"/>
  <c r="H7" i="13"/>
  <c r="G7" i="13"/>
  <c r="F7" i="13"/>
  <c r="E7" i="13"/>
  <c r="D7" i="13"/>
  <c r="C7" i="13"/>
  <c r="B7" i="13"/>
  <c r="N6" i="13"/>
  <c r="M6" i="13"/>
  <c r="L6" i="13"/>
  <c r="K6" i="13"/>
  <c r="J6" i="13"/>
  <c r="I6" i="13"/>
  <c r="H6" i="13"/>
  <c r="G6" i="13"/>
  <c r="F6" i="13"/>
  <c r="P6" i="13" s="1"/>
  <c r="Q6" i="13" s="1"/>
  <c r="E6" i="13"/>
  <c r="D6" i="13"/>
  <c r="C6" i="13"/>
  <c r="B6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N4" i="13"/>
  <c r="M4" i="13"/>
  <c r="L4" i="13"/>
  <c r="K4" i="13"/>
  <c r="J4" i="13"/>
  <c r="I4" i="13"/>
  <c r="H4" i="13"/>
  <c r="P4" i="13" s="1"/>
  <c r="Q4" i="13" s="1"/>
  <c r="G4" i="13"/>
  <c r="F4" i="13"/>
  <c r="E4" i="13"/>
  <c r="D4" i="13"/>
  <c r="C4" i="13"/>
  <c r="B4" i="13"/>
  <c r="N27" i="12"/>
  <c r="M27" i="12"/>
  <c r="L27" i="12"/>
  <c r="K27" i="12"/>
  <c r="J27" i="12"/>
  <c r="I27" i="12"/>
  <c r="H27" i="12"/>
  <c r="G27" i="12"/>
  <c r="F27" i="12"/>
  <c r="F35" i="12" s="1"/>
  <c r="E27" i="12"/>
  <c r="D27" i="12"/>
  <c r="C27" i="12"/>
  <c r="O26" i="12"/>
  <c r="N26" i="12"/>
  <c r="M26" i="12"/>
  <c r="L26" i="12"/>
  <c r="K26" i="12"/>
  <c r="J26" i="12"/>
  <c r="K34" i="12" s="1" a="1"/>
  <c r="K34" i="12" s="1"/>
  <c r="I26" i="12"/>
  <c r="H26" i="12"/>
  <c r="G26" i="12"/>
  <c r="F26" i="12"/>
  <c r="E26" i="12"/>
  <c r="D26" i="12"/>
  <c r="C26" i="12"/>
  <c r="C34" i="12" s="1"/>
  <c r="P25" i="12"/>
  <c r="O25" i="12"/>
  <c r="N25" i="12"/>
  <c r="M25" i="12"/>
  <c r="L25" i="12"/>
  <c r="K25" i="12"/>
  <c r="J25" i="12"/>
  <c r="I25" i="12"/>
  <c r="H25" i="12"/>
  <c r="H33" i="12" s="1"/>
  <c r="G25" i="12"/>
  <c r="F25" i="12"/>
  <c r="E25" i="12"/>
  <c r="D25" i="12"/>
  <c r="C25" i="12"/>
  <c r="Q24" i="12"/>
  <c r="P24" i="12"/>
  <c r="O24" i="12"/>
  <c r="N24" i="12"/>
  <c r="M24" i="12"/>
  <c r="L24" i="12"/>
  <c r="K24" i="12"/>
  <c r="J24" i="12"/>
  <c r="I24" i="12"/>
  <c r="H24" i="12"/>
  <c r="K32" i="12" s="1" a="1"/>
  <c r="K32" i="12" s="1"/>
  <c r="G24" i="12"/>
  <c r="G32" i="12" s="1"/>
  <c r="F24" i="12"/>
  <c r="E24" i="12"/>
  <c r="D24" i="12"/>
  <c r="C24" i="12"/>
  <c r="C18" i="12"/>
  <c r="D17" i="12"/>
  <c r="C17" i="12"/>
  <c r="E16" i="12"/>
  <c r="D16" i="12"/>
  <c r="C16" i="12"/>
  <c r="F15" i="12"/>
  <c r="E15" i="12"/>
  <c r="D15" i="12"/>
  <c r="C15" i="12"/>
  <c r="G14" i="12"/>
  <c r="F14" i="12"/>
  <c r="E14" i="12"/>
  <c r="D14" i="12"/>
  <c r="C14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J11" i="12"/>
  <c r="I11" i="12"/>
  <c r="H11" i="12"/>
  <c r="G11" i="12"/>
  <c r="F11" i="12"/>
  <c r="E11" i="12"/>
  <c r="D11" i="12"/>
  <c r="C11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M8" i="12"/>
  <c r="L8" i="12"/>
  <c r="K8" i="12"/>
  <c r="J8" i="12"/>
  <c r="I8" i="12"/>
  <c r="H8" i="12"/>
  <c r="G8" i="12"/>
  <c r="F8" i="12"/>
  <c r="E8" i="12"/>
  <c r="D8" i="12"/>
  <c r="C8" i="12"/>
  <c r="N7" i="12"/>
  <c r="M7" i="12"/>
  <c r="L7" i="12"/>
  <c r="K7" i="12"/>
  <c r="J7" i="12"/>
  <c r="I7" i="12"/>
  <c r="H7" i="12"/>
  <c r="G7" i="12"/>
  <c r="F7" i="12"/>
  <c r="E7" i="12"/>
  <c r="D7" i="12"/>
  <c r="C7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C19" i="10"/>
  <c r="C35" i="11" s="1"/>
  <c r="D18" i="10"/>
  <c r="C18" i="10"/>
  <c r="E17" i="10"/>
  <c r="D17" i="10"/>
  <c r="C17" i="10"/>
  <c r="F16" i="10"/>
  <c r="E16" i="10"/>
  <c r="D16" i="10"/>
  <c r="C16" i="10"/>
  <c r="Q15" i="10"/>
  <c r="G15" i="10"/>
  <c r="F15" i="10"/>
  <c r="E15" i="10"/>
  <c r="D15" i="10"/>
  <c r="C15" i="10"/>
  <c r="H14" i="10"/>
  <c r="P14" i="10" s="1"/>
  <c r="Q14" i="10" s="1"/>
  <c r="G14" i="10"/>
  <c r="F14" i="10"/>
  <c r="E14" i="10"/>
  <c r="D14" i="10"/>
  <c r="C14" i="10"/>
  <c r="I13" i="10"/>
  <c r="H13" i="10"/>
  <c r="G13" i="10"/>
  <c r="F13" i="10"/>
  <c r="E13" i="10"/>
  <c r="D13" i="10"/>
  <c r="C13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L10" i="10"/>
  <c r="K10" i="10"/>
  <c r="J10" i="10"/>
  <c r="I10" i="10"/>
  <c r="H10" i="10"/>
  <c r="G10" i="10"/>
  <c r="F10" i="10"/>
  <c r="E10" i="10"/>
  <c r="D10" i="10"/>
  <c r="C10" i="10"/>
  <c r="M9" i="10"/>
  <c r="L9" i="10"/>
  <c r="K9" i="10"/>
  <c r="J9" i="10"/>
  <c r="I9" i="10"/>
  <c r="H9" i="10"/>
  <c r="G9" i="10"/>
  <c r="F9" i="10"/>
  <c r="E9" i="10"/>
  <c r="D9" i="10"/>
  <c r="C9" i="10"/>
  <c r="M8" i="10"/>
  <c r="L8" i="10"/>
  <c r="K8" i="10"/>
  <c r="J8" i="10"/>
  <c r="I8" i="10"/>
  <c r="H8" i="10"/>
  <c r="G8" i="10"/>
  <c r="F8" i="10"/>
  <c r="E8" i="10"/>
  <c r="D8" i="10"/>
  <c r="C8" i="10"/>
  <c r="M7" i="10"/>
  <c r="L7" i="10"/>
  <c r="K7" i="10"/>
  <c r="J7" i="10"/>
  <c r="I7" i="10"/>
  <c r="H7" i="10"/>
  <c r="G7" i="10"/>
  <c r="F7" i="10"/>
  <c r="E7" i="10"/>
  <c r="D7" i="10"/>
  <c r="C7" i="10"/>
  <c r="M6" i="10"/>
  <c r="L6" i="10"/>
  <c r="K6" i="10"/>
  <c r="J6" i="10"/>
  <c r="I6" i="10"/>
  <c r="H6" i="10"/>
  <c r="G6" i="10"/>
  <c r="F6" i="10"/>
  <c r="E6" i="10"/>
  <c r="D6" i="10"/>
  <c r="C6" i="10"/>
  <c r="M5" i="10"/>
  <c r="L5" i="10"/>
  <c r="K5" i="10"/>
  <c r="J5" i="10"/>
  <c r="I5" i="10"/>
  <c r="H5" i="10"/>
  <c r="G5" i="10"/>
  <c r="F5" i="10"/>
  <c r="E5" i="10"/>
  <c r="D5" i="10"/>
  <c r="C5" i="10"/>
  <c r="M4" i="10"/>
  <c r="L4" i="10"/>
  <c r="K4" i="10"/>
  <c r="J4" i="10"/>
  <c r="I4" i="10"/>
  <c r="H4" i="10"/>
  <c r="P4" i="10" s="1"/>
  <c r="Q4" i="10" s="1"/>
  <c r="G4" i="10"/>
  <c r="F4" i="10"/>
  <c r="E4" i="10"/>
  <c r="D4" i="10"/>
  <c r="C4" i="10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L34" i="9"/>
  <c r="K34" i="9"/>
  <c r="J34" i="9"/>
  <c r="I34" i="9"/>
  <c r="H34" i="9"/>
  <c r="G34" i="9"/>
  <c r="F34" i="9"/>
  <c r="E34" i="9"/>
  <c r="D34" i="9"/>
  <c r="C34" i="9"/>
  <c r="L30" i="9"/>
  <c r="K30" i="9"/>
  <c r="J30" i="9"/>
  <c r="I30" i="9"/>
  <c r="H30" i="9"/>
  <c r="G30" i="9"/>
  <c r="F30" i="9"/>
  <c r="E30" i="9"/>
  <c r="D30" i="9"/>
  <c r="C30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C18" i="9"/>
  <c r="D17" i="9"/>
  <c r="C17" i="9"/>
  <c r="E16" i="9"/>
  <c r="D16" i="9"/>
  <c r="C16" i="9"/>
  <c r="F15" i="9"/>
  <c r="E15" i="9"/>
  <c r="D15" i="9"/>
  <c r="C15" i="9"/>
  <c r="G14" i="9"/>
  <c r="F14" i="9"/>
  <c r="E14" i="9"/>
  <c r="D14" i="9"/>
  <c r="C14" i="9"/>
  <c r="H13" i="9"/>
  <c r="G13" i="9"/>
  <c r="F13" i="9"/>
  <c r="E13" i="9"/>
  <c r="D13" i="9"/>
  <c r="C13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M8" i="9"/>
  <c r="L8" i="9"/>
  <c r="K8" i="9"/>
  <c r="J8" i="9"/>
  <c r="I8" i="9"/>
  <c r="H8" i="9"/>
  <c r="G8" i="9"/>
  <c r="F8" i="9"/>
  <c r="E8" i="9"/>
  <c r="D8" i="9"/>
  <c r="C8" i="9"/>
  <c r="N7" i="9"/>
  <c r="M7" i="9"/>
  <c r="L7" i="9"/>
  <c r="K7" i="9"/>
  <c r="J7" i="9"/>
  <c r="I7" i="9"/>
  <c r="H7" i="9"/>
  <c r="G7" i="9"/>
  <c r="F7" i="9"/>
  <c r="E7" i="9"/>
  <c r="D7" i="9"/>
  <c r="C7" i="9"/>
  <c r="O6" i="9"/>
  <c r="N6" i="9"/>
  <c r="M6" i="9"/>
  <c r="L6" i="9"/>
  <c r="K6" i="9"/>
  <c r="J6" i="9"/>
  <c r="I6" i="9"/>
  <c r="H6" i="9"/>
  <c r="G6" i="9"/>
  <c r="F6" i="9"/>
  <c r="E6" i="9"/>
  <c r="D6" i="9"/>
  <c r="C6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P2" i="14"/>
  <c r="S2" i="14"/>
  <c r="Q2" i="14" s="1"/>
  <c r="P3" i="14"/>
  <c r="Q3" i="14"/>
  <c r="S3" i="14"/>
  <c r="P4" i="14"/>
  <c r="S4" i="14"/>
  <c r="Q4" i="14" s="1"/>
  <c r="P5" i="14"/>
  <c r="S5" i="14"/>
  <c r="Q5" i="14" s="1"/>
  <c r="P6" i="14"/>
  <c r="Q6" i="14"/>
  <c r="S6" i="14"/>
  <c r="P7" i="14"/>
  <c r="S7" i="14"/>
  <c r="Q7" i="14" s="1"/>
  <c r="P8" i="14"/>
  <c r="Q8" i="14" s="1"/>
  <c r="S8" i="14"/>
  <c r="P9" i="14"/>
  <c r="S9" i="14"/>
  <c r="Q9" i="14" s="1"/>
  <c r="P10" i="14"/>
  <c r="S10" i="14"/>
  <c r="Q10" i="14" s="1"/>
  <c r="P11" i="14"/>
  <c r="Q11" i="14"/>
  <c r="S11" i="14"/>
  <c r="P12" i="14"/>
  <c r="S12" i="14"/>
  <c r="Q12" i="14" s="1"/>
  <c r="P13" i="14"/>
  <c r="S13" i="14"/>
  <c r="Q13" i="14" s="1"/>
  <c r="P14" i="14"/>
  <c r="Q14" i="14"/>
  <c r="S14" i="14"/>
  <c r="P15" i="14"/>
  <c r="Q15" i="14"/>
  <c r="S15" i="14"/>
  <c r="P16" i="14"/>
  <c r="Q16" i="14" s="1"/>
  <c r="S16" i="14"/>
  <c r="P17" i="14"/>
  <c r="S17" i="14"/>
  <c r="Q17" i="14" s="1"/>
  <c r="M25" i="14"/>
  <c r="L26" i="14"/>
  <c r="K27" i="14"/>
  <c r="J28" i="14"/>
  <c r="I29" i="14"/>
  <c r="H30" i="14"/>
  <c r="F32" i="14"/>
  <c r="E33" i="14"/>
  <c r="D34" i="14"/>
  <c r="C35" i="14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P16" i="13"/>
  <c r="Q16" i="13" s="1"/>
  <c r="A17" i="13"/>
  <c r="A18" i="13"/>
  <c r="P18" i="13"/>
  <c r="Q18" i="13" s="1"/>
  <c r="A19" i="13"/>
  <c r="C33" i="12"/>
  <c r="C32" i="12"/>
  <c r="D32" i="12"/>
  <c r="E32" i="12"/>
  <c r="F32" i="12"/>
  <c r="G16" i="13" s="1"/>
  <c r="D33" i="12"/>
  <c r="E33" i="12"/>
  <c r="F33" i="12"/>
  <c r="G33" i="12"/>
  <c r="O33" i="12" a="1"/>
  <c r="O33" i="12" s="1"/>
  <c r="O41" i="12" s="1"/>
  <c r="D34" i="12"/>
  <c r="E34" i="12"/>
  <c r="F34" i="12"/>
  <c r="G34" i="12"/>
  <c r="H34" i="12"/>
  <c r="J34" i="12" a="1"/>
  <c r="J34" i="12" s="1"/>
  <c r="C35" i="12"/>
  <c r="D19" i="13" s="1"/>
  <c r="D35" i="12"/>
  <c r="E35" i="12"/>
  <c r="G35" i="12"/>
  <c r="H35" i="12"/>
  <c r="I35" i="12" a="1"/>
  <c r="I35" i="12" s="1"/>
  <c r="J35" i="12" a="1"/>
  <c r="J35" i="12" s="1"/>
  <c r="K35" i="12" a="1"/>
  <c r="K35" i="12" s="1"/>
  <c r="L35" i="12" a="1"/>
  <c r="L35" i="12" s="1"/>
  <c r="M35" i="12" a="1"/>
  <c r="M35" i="12" s="1"/>
  <c r="M45" i="12" s="1"/>
  <c r="N35" i="12" a="1"/>
  <c r="N35" i="12" s="1"/>
  <c r="O35" i="12" a="1"/>
  <c r="O35" i="12" s="1"/>
  <c r="O45" i="12" s="1"/>
  <c r="P2" i="11"/>
  <c r="S2" i="11"/>
  <c r="Q2" i="11" s="1"/>
  <c r="P3" i="11"/>
  <c r="S3" i="11"/>
  <c r="P4" i="11"/>
  <c r="S4" i="11"/>
  <c r="Q4" i="11" s="1"/>
  <c r="P5" i="11"/>
  <c r="S5" i="11"/>
  <c r="Q5" i="11" s="1"/>
  <c r="P6" i="11"/>
  <c r="S6" i="11"/>
  <c r="P7" i="11"/>
  <c r="Q7" i="11"/>
  <c r="S7" i="11"/>
  <c r="P8" i="11"/>
  <c r="Q8" i="11"/>
  <c r="S8" i="11"/>
  <c r="P9" i="11"/>
  <c r="S9" i="11"/>
  <c r="Q9" i="11" s="1"/>
  <c r="P10" i="11"/>
  <c r="S10" i="11"/>
  <c r="Q10" i="11" s="1"/>
  <c r="P11" i="11"/>
  <c r="S11" i="11"/>
  <c r="P12" i="11"/>
  <c r="S12" i="11"/>
  <c r="Q12" i="11" s="1"/>
  <c r="P13" i="11"/>
  <c r="S13" i="11"/>
  <c r="Q13" i="11" s="1"/>
  <c r="P14" i="11"/>
  <c r="S14" i="11"/>
  <c r="P15" i="11"/>
  <c r="Q15" i="11"/>
  <c r="S15" i="11"/>
  <c r="P16" i="11"/>
  <c r="Q16" i="11"/>
  <c r="S16" i="11"/>
  <c r="P17" i="11"/>
  <c r="S17" i="11"/>
  <c r="Q17" i="11" s="1"/>
  <c r="N20" i="11"/>
  <c r="M25" i="11"/>
  <c r="L26" i="11"/>
  <c r="K27" i="11"/>
  <c r="J28" i="11"/>
  <c r="I29" i="11"/>
  <c r="G31" i="11"/>
  <c r="F32" i="11"/>
  <c r="E33" i="11"/>
  <c r="D34" i="11"/>
  <c r="S4" i="10"/>
  <c r="T4" i="10" s="1"/>
  <c r="P15" i="10"/>
  <c r="P16" i="10"/>
  <c r="Q16" i="10" s="1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J26" i="9"/>
  <c r="E26" i="9"/>
  <c r="Q26" i="9"/>
  <c r="N26" i="9"/>
  <c r="I26" i="9"/>
  <c r="F26" i="9"/>
  <c r="D26" i="9"/>
  <c r="M26" i="9"/>
  <c r="P26" i="9"/>
  <c r="O26" i="9"/>
  <c r="K26" i="9"/>
  <c r="H26" i="9"/>
  <c r="L26" i="9"/>
  <c r="G26" i="9"/>
  <c r="C26" i="9"/>
  <c r="E19" i="13" l="1"/>
  <c r="E35" i="14" s="1"/>
  <c r="D35" i="14"/>
  <c r="H16" i="13"/>
  <c r="H32" i="14" s="1"/>
  <c r="G32" i="14"/>
  <c r="P9" i="10"/>
  <c r="Q9" i="10" s="1"/>
  <c r="H30" i="11"/>
  <c r="M33" i="12" a="1"/>
  <c r="M33" i="12" s="1"/>
  <c r="N9" i="13" s="1"/>
  <c r="J33" i="12" a="1"/>
  <c r="J33" i="12" s="1"/>
  <c r="P14" i="13"/>
  <c r="Q14" i="13" s="1"/>
  <c r="L11" i="13"/>
  <c r="L27" i="14" s="1"/>
  <c r="N33" i="12" a="1"/>
  <c r="N33" i="12" s="1"/>
  <c r="O5" i="13" s="1"/>
  <c r="O34" i="12" a="1"/>
  <c r="O34" i="12" s="1"/>
  <c r="O43" i="12" s="1"/>
  <c r="L33" i="12" a="1"/>
  <c r="L33" i="12" s="1"/>
  <c r="O32" i="12" a="1"/>
  <c r="O32" i="12" s="1"/>
  <c r="O39" i="12" s="1"/>
  <c r="I34" i="12" a="1"/>
  <c r="I34" i="12" s="1"/>
  <c r="N34" i="12" a="1"/>
  <c r="N34" i="12" s="1"/>
  <c r="G43" i="12" s="1"/>
  <c r="K33" i="12" a="1"/>
  <c r="K33" i="12" s="1"/>
  <c r="H32" i="12"/>
  <c r="N32" i="12" a="1"/>
  <c r="N32" i="12" s="1"/>
  <c r="N39" i="12" s="1"/>
  <c r="S7" i="13"/>
  <c r="M34" i="12" a="1"/>
  <c r="M34" i="12" s="1"/>
  <c r="I33" i="12" a="1"/>
  <c r="I33" i="12" s="1"/>
  <c r="L34" i="12" a="1"/>
  <c r="L34" i="12" s="1"/>
  <c r="J43" i="12" s="1"/>
  <c r="P12" i="13"/>
  <c r="Q12" i="13" s="1"/>
  <c r="Q19" i="14"/>
  <c r="T5" i="14"/>
  <c r="T7" i="13"/>
  <c r="J13" i="13"/>
  <c r="J29" i="14" s="1"/>
  <c r="P10" i="13"/>
  <c r="Q10" i="13" s="1"/>
  <c r="O4" i="13"/>
  <c r="E18" i="13"/>
  <c r="E34" i="14" s="1"/>
  <c r="K13" i="13"/>
  <c r="K29" i="14" s="1"/>
  <c r="P19" i="13"/>
  <c r="Q19" i="13" s="1"/>
  <c r="P17" i="13"/>
  <c r="Q17" i="13" s="1"/>
  <c r="P15" i="13"/>
  <c r="Q15" i="13" s="1"/>
  <c r="H15" i="13"/>
  <c r="H31" i="14" s="1"/>
  <c r="P13" i="13"/>
  <c r="Q13" i="13" s="1"/>
  <c r="P11" i="13"/>
  <c r="Q11" i="13" s="1"/>
  <c r="P9" i="13"/>
  <c r="Q9" i="13" s="1"/>
  <c r="P7" i="13"/>
  <c r="Q7" i="13" s="1"/>
  <c r="P5" i="13"/>
  <c r="Q5" i="13" s="1"/>
  <c r="F19" i="13"/>
  <c r="F35" i="14" s="1"/>
  <c r="F17" i="13"/>
  <c r="F33" i="14" s="1"/>
  <c r="J14" i="13"/>
  <c r="J30" i="14" s="1"/>
  <c r="K45" i="12"/>
  <c r="M41" i="12"/>
  <c r="L41" i="12"/>
  <c r="D45" i="12"/>
  <c r="C41" i="12"/>
  <c r="C42" i="12" s="1"/>
  <c r="D41" i="12"/>
  <c r="D42" i="12" s="1"/>
  <c r="F43" i="12"/>
  <c r="O40" i="12"/>
  <c r="G45" i="12"/>
  <c r="I45" i="12"/>
  <c r="C45" i="12"/>
  <c r="C46" i="12" s="1"/>
  <c r="K41" i="12"/>
  <c r="L45" i="12"/>
  <c r="L46" i="12" s="1"/>
  <c r="H45" i="12"/>
  <c r="H46" i="12" s="1"/>
  <c r="E41" i="12"/>
  <c r="G41" i="12"/>
  <c r="G42" i="12" s="1"/>
  <c r="I41" i="12"/>
  <c r="J45" i="12"/>
  <c r="F45" i="12"/>
  <c r="H41" i="12"/>
  <c r="N41" i="12"/>
  <c r="N45" i="12"/>
  <c r="N46" i="12" s="1"/>
  <c r="F41" i="12"/>
  <c r="E45" i="12"/>
  <c r="J32" i="12" a="1"/>
  <c r="J32" i="12" s="1"/>
  <c r="K12" i="13" s="1"/>
  <c r="I32" i="12" a="1"/>
  <c r="I32" i="12" s="1"/>
  <c r="M32" i="12" a="1"/>
  <c r="M32" i="12" s="1"/>
  <c r="M39" i="12" s="1"/>
  <c r="L32" i="12" a="1"/>
  <c r="L32" i="12" s="1"/>
  <c r="L39" i="12" s="1"/>
  <c r="R2" i="11"/>
  <c r="Q11" i="11"/>
  <c r="Q3" i="11"/>
  <c r="Q14" i="11"/>
  <c r="Q6" i="11"/>
  <c r="T2" i="11"/>
  <c r="R4" i="10"/>
  <c r="P13" i="10"/>
  <c r="Q13" i="10" s="1"/>
  <c r="P12" i="10"/>
  <c r="Q12" i="10" s="1"/>
  <c r="P19" i="10"/>
  <c r="Q19" i="10" s="1"/>
  <c r="P11" i="10"/>
  <c r="Q11" i="10" s="1"/>
  <c r="P18" i="10"/>
  <c r="Q18" i="10" s="1"/>
  <c r="P10" i="10"/>
  <c r="Q10" i="10" s="1"/>
  <c r="P17" i="10"/>
  <c r="Q17" i="10" s="1"/>
  <c r="E32" i="9"/>
  <c r="G32" i="9"/>
  <c r="L32" i="9"/>
  <c r="F32" i="9"/>
  <c r="K32" i="9"/>
  <c r="H32" i="9"/>
  <c r="J32" i="9"/>
  <c r="D32" i="9"/>
  <c r="I32" i="9"/>
  <c r="C32" i="9"/>
  <c r="O21" i="14" l="1"/>
  <c r="S5" i="13"/>
  <c r="T3" i="14" s="1"/>
  <c r="N25" i="14"/>
  <c r="O9" i="13"/>
  <c r="K28" i="14"/>
  <c r="L12" i="13"/>
  <c r="L28" i="14" s="1"/>
  <c r="M12" i="13"/>
  <c r="D43" i="12"/>
  <c r="D44" i="12" s="1"/>
  <c r="C43" i="12"/>
  <c r="C44" i="12" s="1"/>
  <c r="I16" i="13"/>
  <c r="I32" i="14" s="1"/>
  <c r="M10" i="13"/>
  <c r="S4" i="13"/>
  <c r="T2" i="14" s="1"/>
  <c r="O20" i="14"/>
  <c r="F46" i="12"/>
  <c r="O8" i="13"/>
  <c r="K43" i="12"/>
  <c r="K44" i="12" s="1"/>
  <c r="J46" i="12"/>
  <c r="N43" i="12"/>
  <c r="D46" i="12"/>
  <c r="G19" i="13"/>
  <c r="G35" i="14" s="1"/>
  <c r="O6" i="13"/>
  <c r="I42" i="12"/>
  <c r="E43" i="12"/>
  <c r="F44" i="12" s="1"/>
  <c r="L43" i="12"/>
  <c r="H43" i="12"/>
  <c r="J41" i="12"/>
  <c r="K42" i="12" s="1"/>
  <c r="J16" i="13"/>
  <c r="M11" i="13"/>
  <c r="I43" i="12"/>
  <c r="N42" i="12"/>
  <c r="M43" i="12"/>
  <c r="R4" i="13"/>
  <c r="R2" i="14" s="1"/>
  <c r="T4" i="13"/>
  <c r="R5" i="13"/>
  <c r="R3" i="14" s="1"/>
  <c r="T5" i="13"/>
  <c r="R7" i="13"/>
  <c r="R5" i="14" s="1"/>
  <c r="K14" i="13"/>
  <c r="K30" i="14" s="1"/>
  <c r="I15" i="13"/>
  <c r="F18" i="13"/>
  <c r="F34" i="14" s="1"/>
  <c r="G17" i="13"/>
  <c r="G33" i="14" s="1"/>
  <c r="L13" i="13"/>
  <c r="L29" i="14" s="1"/>
  <c r="L14" i="13"/>
  <c r="L30" i="14" s="1"/>
  <c r="G44" i="12"/>
  <c r="L44" i="12"/>
  <c r="J44" i="12"/>
  <c r="E44" i="12"/>
  <c r="M40" i="12"/>
  <c r="O46" i="12"/>
  <c r="K39" i="12"/>
  <c r="O42" i="12"/>
  <c r="J39" i="12"/>
  <c r="M46" i="12"/>
  <c r="M42" i="12"/>
  <c r="E39" i="12"/>
  <c r="F39" i="12"/>
  <c r="G39" i="12"/>
  <c r="I39" i="12"/>
  <c r="H39" i="12"/>
  <c r="C39" i="12"/>
  <c r="C40" i="12" s="1"/>
  <c r="D39" i="12"/>
  <c r="D40" i="12" s="1"/>
  <c r="E46" i="12"/>
  <c r="N40" i="12"/>
  <c r="E42" i="12"/>
  <c r="I46" i="12"/>
  <c r="L42" i="12"/>
  <c r="K46" i="12"/>
  <c r="F42" i="12"/>
  <c r="H42" i="12"/>
  <c r="M44" i="12"/>
  <c r="G46" i="12"/>
  <c r="H44" i="12"/>
  <c r="J42" i="12"/>
  <c r="Q19" i="11"/>
  <c r="J38" i="9"/>
  <c r="K38" i="9"/>
  <c r="M38" i="9"/>
  <c r="G38" i="9"/>
  <c r="I38" i="9"/>
  <c r="C38" i="9"/>
  <c r="L38" i="9"/>
  <c r="N38" i="9"/>
  <c r="H38" i="9"/>
  <c r="D38" i="9"/>
  <c r="E38" i="9"/>
  <c r="F38" i="9"/>
  <c r="O38" i="9"/>
  <c r="F40" i="12" l="1"/>
  <c r="I31" i="14"/>
  <c r="L16" i="13"/>
  <c r="M27" i="14"/>
  <c r="N11" i="13"/>
  <c r="N27" i="14" s="1"/>
  <c r="O22" i="14"/>
  <c r="S6" i="13"/>
  <c r="H19" i="13"/>
  <c r="N12" i="13"/>
  <c r="N28" i="14" s="1"/>
  <c r="M28" i="14"/>
  <c r="N44" i="12"/>
  <c r="O44" i="12"/>
  <c r="G18" i="13"/>
  <c r="G34" i="14" s="1"/>
  <c r="S9" i="13"/>
  <c r="O25" i="14"/>
  <c r="K16" i="13"/>
  <c r="K32" i="14" s="1"/>
  <c r="J32" i="14"/>
  <c r="M26" i="14"/>
  <c r="N10" i="13"/>
  <c r="I40" i="12"/>
  <c r="K40" i="12"/>
  <c r="H18" i="13"/>
  <c r="H34" i="14" s="1"/>
  <c r="I44" i="12"/>
  <c r="G40" i="12"/>
  <c r="J15" i="13"/>
  <c r="J31" i="14" s="1"/>
  <c r="O24" i="14"/>
  <c r="S8" i="13"/>
  <c r="H17" i="13"/>
  <c r="H33" i="14" s="1"/>
  <c r="M13" i="13"/>
  <c r="N13" i="13" s="1"/>
  <c r="M14" i="13"/>
  <c r="M30" i="14" s="1"/>
  <c r="E40" i="12"/>
  <c r="J40" i="12"/>
  <c r="L40" i="12"/>
  <c r="H40" i="12"/>
  <c r="C44" i="9"/>
  <c r="C47" i="9" s="1"/>
  <c r="D19" i="10" s="1"/>
  <c r="D44" i="9"/>
  <c r="D47" i="9" s="1"/>
  <c r="E18" i="10" s="1"/>
  <c r="E44" i="9"/>
  <c r="F44" i="9"/>
  <c r="F47" i="9" s="1"/>
  <c r="G16" i="10" s="1"/>
  <c r="G44" i="9"/>
  <c r="G53" i="9" s="1"/>
  <c r="H44" i="9"/>
  <c r="I44" i="9"/>
  <c r="J44" i="9"/>
  <c r="J53" i="9" s="1"/>
  <c r="K44" i="9"/>
  <c r="K53" i="9" s="1"/>
  <c r="L44" i="9"/>
  <c r="L53" i="9" s="1"/>
  <c r="M44" i="9"/>
  <c r="N44" i="9"/>
  <c r="O44" i="9"/>
  <c r="P44" i="9"/>
  <c r="Q44" i="9"/>
  <c r="R44" i="9"/>
  <c r="E47" i="9"/>
  <c r="F17" i="10" s="1"/>
  <c r="I53" i="9"/>
  <c r="G47" i="9" l="1"/>
  <c r="H15" i="10" s="1"/>
  <c r="N29" i="14"/>
  <c r="D35" i="11"/>
  <c r="E19" i="10"/>
  <c r="E35" i="11" s="1"/>
  <c r="O10" i="13"/>
  <c r="O26" i="14" s="1"/>
  <c r="N26" i="14"/>
  <c r="S10" i="13"/>
  <c r="K15" i="13"/>
  <c r="L32" i="14"/>
  <c r="I17" i="13"/>
  <c r="I33" i="14" s="1"/>
  <c r="I18" i="13"/>
  <c r="I34" i="14" s="1"/>
  <c r="E34" i="11"/>
  <c r="F18" i="10"/>
  <c r="F34" i="11" s="1"/>
  <c r="G18" i="10"/>
  <c r="G34" i="11" s="1"/>
  <c r="H18" i="10"/>
  <c r="H34" i="11" s="1"/>
  <c r="I19" i="13"/>
  <c r="H35" i="14"/>
  <c r="L15" i="13"/>
  <c r="L31" i="14" s="1"/>
  <c r="H31" i="11"/>
  <c r="T4" i="14"/>
  <c r="R6" i="13"/>
  <c r="R4" i="14" s="1"/>
  <c r="T6" i="13"/>
  <c r="T7" i="14"/>
  <c r="T9" i="13"/>
  <c r="R9" i="13"/>
  <c r="R7" i="14" s="1"/>
  <c r="M16" i="13"/>
  <c r="G32" i="11"/>
  <c r="H16" i="10"/>
  <c r="H32" i="11" s="1"/>
  <c r="O13" i="13"/>
  <c r="O29" i="14" s="1"/>
  <c r="M29" i="14"/>
  <c r="F33" i="11"/>
  <c r="G17" i="10"/>
  <c r="G33" i="11" s="1"/>
  <c r="N14" i="13"/>
  <c r="T6" i="14"/>
  <c r="R8" i="13"/>
  <c r="R6" i="14" s="1"/>
  <c r="T8" i="13"/>
  <c r="O11" i="13"/>
  <c r="O12" i="13"/>
  <c r="J17" i="13"/>
  <c r="J33" i="14" s="1"/>
  <c r="J18" i="13"/>
  <c r="J34" i="14" s="1"/>
  <c r="I55" i="9"/>
  <c r="I56" i="9" s="1"/>
  <c r="I47" i="9" s="1"/>
  <c r="J13" i="10" s="1"/>
  <c r="G55" i="9"/>
  <c r="G56" i="9" s="1"/>
  <c r="J55" i="9"/>
  <c r="J56" i="9" s="1"/>
  <c r="J47" i="9" s="1"/>
  <c r="K12" i="10" s="1"/>
  <c r="K55" i="9"/>
  <c r="K56" i="9" s="1"/>
  <c r="K47" i="9" s="1"/>
  <c r="L11" i="10" s="1"/>
  <c r="L55" i="9"/>
  <c r="L56" i="9" s="1"/>
  <c r="L47" i="9" s="1"/>
  <c r="M10" i="10" s="1"/>
  <c r="B56" i="9"/>
  <c r="B60" i="9" s="1"/>
  <c r="B55" i="9"/>
  <c r="B61" i="9" s="1"/>
  <c r="H55" i="9"/>
  <c r="H56" i="9" s="1"/>
  <c r="H47" i="9" s="1"/>
  <c r="I14" i="10" s="1"/>
  <c r="I16" i="10" l="1"/>
  <c r="I32" i="11" s="1"/>
  <c r="I18" i="10"/>
  <c r="I34" i="11" s="1"/>
  <c r="H17" i="10"/>
  <c r="H33" i="11" s="1"/>
  <c r="M32" i="14"/>
  <c r="N16" i="13"/>
  <c r="N32" i="14" s="1"/>
  <c r="F19" i="10"/>
  <c r="O14" i="13"/>
  <c r="O30" i="14" s="1"/>
  <c r="N30" i="14"/>
  <c r="J29" i="11"/>
  <c r="K13" i="10"/>
  <c r="K29" i="11" s="1"/>
  <c r="S14" i="13"/>
  <c r="T12" i="14" s="1"/>
  <c r="K31" i="14"/>
  <c r="M15" i="13"/>
  <c r="M31" i="14" s="1"/>
  <c r="K28" i="11"/>
  <c r="L12" i="10"/>
  <c r="L28" i="11" s="1"/>
  <c r="K18" i="13"/>
  <c r="S12" i="13"/>
  <c r="O28" i="14"/>
  <c r="T8" i="14"/>
  <c r="R10" i="13"/>
  <c r="R8" i="14" s="1"/>
  <c r="T10" i="13"/>
  <c r="J18" i="10"/>
  <c r="J34" i="11" s="1"/>
  <c r="I30" i="11"/>
  <c r="J14" i="10"/>
  <c r="J30" i="11" s="1"/>
  <c r="S11" i="13"/>
  <c r="O27" i="14"/>
  <c r="I15" i="10"/>
  <c r="J16" i="10"/>
  <c r="J32" i="11" s="1"/>
  <c r="S13" i="13"/>
  <c r="I35" i="14"/>
  <c r="J19" i="13"/>
  <c r="M26" i="11"/>
  <c r="L27" i="11"/>
  <c r="M11" i="10"/>
  <c r="I17" i="10"/>
  <c r="I33" i="11" s="1"/>
  <c r="K17" i="13"/>
  <c r="R14" i="13"/>
  <c r="R12" i="14" s="1"/>
  <c r="T14" i="13"/>
  <c r="B62" i="9"/>
  <c r="B63" i="9"/>
  <c r="M47" i="9" s="1"/>
  <c r="N10" i="10" s="1"/>
  <c r="D68" i="9"/>
  <c r="M12" i="10" l="1"/>
  <c r="K16" i="10"/>
  <c r="K32" i="11" s="1"/>
  <c r="C68" i="9"/>
  <c r="C69" i="9" s="1"/>
  <c r="F68" i="9"/>
  <c r="K14" i="10"/>
  <c r="K30" i="11" s="1"/>
  <c r="N26" i="11"/>
  <c r="S10" i="10"/>
  <c r="L18" i="13"/>
  <c r="L34" i="14" s="1"/>
  <c r="K34" i="14"/>
  <c r="J68" i="9"/>
  <c r="M18" i="13"/>
  <c r="M34" i="14" s="1"/>
  <c r="T11" i="14"/>
  <c r="T13" i="13"/>
  <c r="R13" i="13"/>
  <c r="R11" i="14" s="1"/>
  <c r="T9" i="14"/>
  <c r="T11" i="13"/>
  <c r="R11" i="13"/>
  <c r="R9" i="14" s="1"/>
  <c r="K18" i="10"/>
  <c r="M13" i="10"/>
  <c r="M29" i="11" s="1"/>
  <c r="G19" i="10"/>
  <c r="F35" i="11"/>
  <c r="J17" i="10"/>
  <c r="K17" i="10" s="1"/>
  <c r="K33" i="11" s="1"/>
  <c r="L16" i="10"/>
  <c r="L32" i="11" s="1"/>
  <c r="M68" i="9"/>
  <c r="N69" i="9" s="1"/>
  <c r="N8" i="10"/>
  <c r="N7" i="10"/>
  <c r="N9" i="10"/>
  <c r="N6" i="10"/>
  <c r="N5" i="10"/>
  <c r="N12" i="10"/>
  <c r="N28" i="11" s="1"/>
  <c r="M28" i="11"/>
  <c r="H68" i="9"/>
  <c r="O16" i="13"/>
  <c r="K68" i="9"/>
  <c r="K69" i="9" s="1"/>
  <c r="G68" i="9"/>
  <c r="G69" i="9" s="1"/>
  <c r="L17" i="13"/>
  <c r="K33" i="14"/>
  <c r="N11" i="10"/>
  <c r="M27" i="11"/>
  <c r="I31" i="11"/>
  <c r="J15" i="10"/>
  <c r="J31" i="11" s="1"/>
  <c r="K15" i="10"/>
  <c r="K31" i="11" s="1"/>
  <c r="L14" i="10"/>
  <c r="L30" i="11" s="1"/>
  <c r="N15" i="13"/>
  <c r="L13" i="10"/>
  <c r="K19" i="13"/>
  <c r="K35" i="14" s="1"/>
  <c r="J35" i="14"/>
  <c r="T10" i="14"/>
  <c r="R12" i="13"/>
  <c r="R10" i="14" s="1"/>
  <c r="T12" i="13"/>
  <c r="N18" i="13"/>
  <c r="N34" i="14" s="1"/>
  <c r="F69" i="9"/>
  <c r="L68" i="9"/>
  <c r="I68" i="9"/>
  <c r="I69" i="9" s="1"/>
  <c r="E68" i="9"/>
  <c r="E69" i="9" s="1"/>
  <c r="M16" i="10" l="1"/>
  <c r="M32" i="11" s="1"/>
  <c r="H69" i="9"/>
  <c r="D69" i="9"/>
  <c r="L69" i="9"/>
  <c r="L29" i="11"/>
  <c r="N13" i="10"/>
  <c r="N29" i="11" s="1"/>
  <c r="S5" i="10"/>
  <c r="N21" i="11"/>
  <c r="P5" i="10"/>
  <c r="Q5" i="10" s="1"/>
  <c r="M14" i="10"/>
  <c r="K34" i="11"/>
  <c r="L18" i="10"/>
  <c r="M69" i="9"/>
  <c r="O15" i="13"/>
  <c r="O31" i="14" s="1"/>
  <c r="N31" i="14"/>
  <c r="S6" i="10"/>
  <c r="N22" i="11"/>
  <c r="P6" i="10"/>
  <c r="Q6" i="10" s="1"/>
  <c r="L17" i="10"/>
  <c r="J33" i="11"/>
  <c r="L19" i="13"/>
  <c r="L35" i="14" s="1"/>
  <c r="S11" i="10"/>
  <c r="N27" i="11"/>
  <c r="N25" i="11"/>
  <c r="S9" i="10"/>
  <c r="O32" i="14"/>
  <c r="S16" i="13"/>
  <c r="J69" i="9"/>
  <c r="L15" i="10"/>
  <c r="S15" i="13"/>
  <c r="N23" i="11"/>
  <c r="S7" i="10"/>
  <c r="P7" i="10"/>
  <c r="Q7" i="10" s="1"/>
  <c r="G35" i="11"/>
  <c r="H19" i="10"/>
  <c r="H35" i="11" s="1"/>
  <c r="T10" i="10"/>
  <c r="T8" i="11"/>
  <c r="R10" i="10"/>
  <c r="R8" i="11" s="1"/>
  <c r="M17" i="13"/>
  <c r="L33" i="14"/>
  <c r="P8" i="10"/>
  <c r="Q8" i="10" s="1"/>
  <c r="N24" i="11"/>
  <c r="S8" i="10"/>
  <c r="S12" i="10"/>
  <c r="N16" i="10"/>
  <c r="M19" i="13"/>
  <c r="O18" i="13"/>
  <c r="N17" i="13" l="1"/>
  <c r="M33" i="14"/>
  <c r="T8" i="10"/>
  <c r="T6" i="11"/>
  <c r="R8" i="10"/>
  <c r="R6" i="11" s="1"/>
  <c r="T7" i="10"/>
  <c r="T5" i="11"/>
  <c r="R7" i="10"/>
  <c r="R5" i="11" s="1"/>
  <c r="N14" i="10"/>
  <c r="M30" i="11"/>
  <c r="T13" i="14"/>
  <c r="T15" i="13"/>
  <c r="R15" i="13"/>
  <c r="R13" i="14" s="1"/>
  <c r="T11" i="10"/>
  <c r="T9" i="11"/>
  <c r="R11" i="10"/>
  <c r="R9" i="11" s="1"/>
  <c r="I19" i="10"/>
  <c r="I35" i="11" s="1"/>
  <c r="M15" i="10"/>
  <c r="L31" i="11"/>
  <c r="T5" i="10"/>
  <c r="T3" i="11"/>
  <c r="R5" i="10"/>
  <c r="T6" i="10"/>
  <c r="T4" i="11"/>
  <c r="R6" i="10"/>
  <c r="R4" i="11" s="1"/>
  <c r="S13" i="10"/>
  <c r="S16" i="10"/>
  <c r="N32" i="11"/>
  <c r="T14" i="14"/>
  <c r="T16" i="13"/>
  <c r="R16" i="13"/>
  <c r="R14" i="14" s="1"/>
  <c r="N19" i="13"/>
  <c r="M35" i="14"/>
  <c r="T12" i="10"/>
  <c r="T10" i="11"/>
  <c r="R12" i="10"/>
  <c r="R10" i="11" s="1"/>
  <c r="L33" i="11"/>
  <c r="M17" i="10"/>
  <c r="M18" i="10"/>
  <c r="L34" i="11"/>
  <c r="S18" i="13"/>
  <c r="T16" i="14" s="1"/>
  <c r="O34" i="14"/>
  <c r="T9" i="10"/>
  <c r="T7" i="11"/>
  <c r="R9" i="10"/>
  <c r="R7" i="11" s="1"/>
  <c r="R18" i="13"/>
  <c r="T16" i="10" l="1"/>
  <c r="T14" i="11"/>
  <c r="R16" i="10"/>
  <c r="R14" i="11" s="1"/>
  <c r="T18" i="13"/>
  <c r="J19" i="10"/>
  <c r="J35" i="11" s="1"/>
  <c r="T13" i="10"/>
  <c r="T11" i="11"/>
  <c r="R13" i="10"/>
  <c r="R11" i="11" s="1"/>
  <c r="M31" i="11"/>
  <c r="N15" i="10"/>
  <c r="R16" i="14"/>
  <c r="K19" i="10"/>
  <c r="N18" i="10"/>
  <c r="N34" i="11" s="1"/>
  <c r="M34" i="11"/>
  <c r="O19" i="13"/>
  <c r="N35" i="14"/>
  <c r="N30" i="11"/>
  <c r="S14" i="10"/>
  <c r="M33" i="11"/>
  <c r="N17" i="10"/>
  <c r="N33" i="11" s="1"/>
  <c r="R3" i="11"/>
  <c r="O17" i="13"/>
  <c r="O33" i="14" s="1"/>
  <c r="N33" i="14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S17" i="8"/>
  <c r="Q17" i="8" s="1"/>
  <c r="P17" i="8"/>
  <c r="S16" i="8"/>
  <c r="Q16" i="8" s="1"/>
  <c r="P16" i="8"/>
  <c r="S15" i="8"/>
  <c r="Q15" i="8" s="1"/>
  <c r="P15" i="8"/>
  <c r="S14" i="8"/>
  <c r="Q14" i="8" s="1"/>
  <c r="P14" i="8"/>
  <c r="S13" i="8"/>
  <c r="Q13" i="8" s="1"/>
  <c r="P13" i="8"/>
  <c r="S12" i="8"/>
  <c r="P12" i="8"/>
  <c r="S11" i="8"/>
  <c r="P11" i="8"/>
  <c r="S10" i="8"/>
  <c r="P10" i="8"/>
  <c r="Q10" i="8" s="1"/>
  <c r="S9" i="8"/>
  <c r="P9" i="8"/>
  <c r="S8" i="8"/>
  <c r="P8" i="8"/>
  <c r="S7" i="8"/>
  <c r="Q7" i="8" s="1"/>
  <c r="P7" i="8"/>
  <c r="S6" i="8"/>
  <c r="Q6" i="8" s="1"/>
  <c r="P6" i="8"/>
  <c r="S5" i="8"/>
  <c r="Q5" i="8"/>
  <c r="P5" i="8"/>
  <c r="S4" i="8"/>
  <c r="Q4" i="8" s="1"/>
  <c r="P4" i="8"/>
  <c r="S3" i="8"/>
  <c r="P3" i="8"/>
  <c r="S2" i="8"/>
  <c r="P2" i="8"/>
  <c r="I29" i="7"/>
  <c r="H30" i="7"/>
  <c r="I30" i="7"/>
  <c r="K27" i="7"/>
  <c r="M25" i="7"/>
  <c r="N25" i="7"/>
  <c r="L26" i="7"/>
  <c r="M26" i="7"/>
  <c r="N26" i="7"/>
  <c r="L27" i="7"/>
  <c r="M27" i="7"/>
  <c r="N27" i="7"/>
  <c r="J28" i="7"/>
  <c r="K28" i="7"/>
  <c r="L28" i="7"/>
  <c r="M28" i="7"/>
  <c r="N28" i="7"/>
  <c r="J29" i="7"/>
  <c r="K29" i="7"/>
  <c r="L29" i="7"/>
  <c r="M29" i="7"/>
  <c r="N29" i="7"/>
  <c r="J30" i="7"/>
  <c r="K30" i="7"/>
  <c r="L30" i="7"/>
  <c r="M30" i="7"/>
  <c r="N30" i="7"/>
  <c r="F32" i="7"/>
  <c r="F33" i="7"/>
  <c r="E33" i="7"/>
  <c r="C35" i="7"/>
  <c r="D34" i="7"/>
  <c r="E34" i="7"/>
  <c r="F34" i="7"/>
  <c r="D35" i="7"/>
  <c r="E35" i="7"/>
  <c r="F35" i="7"/>
  <c r="G31" i="7"/>
  <c r="H31" i="7"/>
  <c r="I31" i="7"/>
  <c r="J31" i="7"/>
  <c r="K31" i="7"/>
  <c r="L31" i="7"/>
  <c r="M31" i="7"/>
  <c r="N31" i="7"/>
  <c r="G32" i="7"/>
  <c r="H32" i="7"/>
  <c r="I32" i="7"/>
  <c r="J32" i="7"/>
  <c r="K32" i="7"/>
  <c r="L32" i="7"/>
  <c r="M32" i="7"/>
  <c r="N32" i="7"/>
  <c r="G33" i="7"/>
  <c r="H33" i="7"/>
  <c r="I33" i="7"/>
  <c r="J33" i="7"/>
  <c r="K33" i="7"/>
  <c r="L33" i="7"/>
  <c r="M33" i="7"/>
  <c r="N33" i="7"/>
  <c r="G34" i="7"/>
  <c r="H34" i="7"/>
  <c r="I34" i="7"/>
  <c r="J34" i="7"/>
  <c r="K34" i="7"/>
  <c r="L34" i="7"/>
  <c r="M34" i="7"/>
  <c r="N34" i="7"/>
  <c r="G35" i="7"/>
  <c r="H35" i="7"/>
  <c r="I35" i="7"/>
  <c r="J35" i="7"/>
  <c r="K35" i="7"/>
  <c r="L35" i="7"/>
  <c r="M35" i="7"/>
  <c r="N35" i="7"/>
  <c r="O35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20" i="7"/>
  <c r="T3" i="7"/>
  <c r="T4" i="7"/>
  <c r="T19" i="7" s="1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2" i="7"/>
  <c r="R19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2" i="7"/>
  <c r="S17" i="7"/>
  <c r="P17" i="7"/>
  <c r="S16" i="7"/>
  <c r="Q16" i="7" s="1"/>
  <c r="P16" i="7"/>
  <c r="S15" i="7"/>
  <c r="P15" i="7"/>
  <c r="S14" i="7"/>
  <c r="Q14" i="7" s="1"/>
  <c r="P14" i="7"/>
  <c r="S13" i="7"/>
  <c r="Q13" i="7"/>
  <c r="P13" i="7"/>
  <c r="S12" i="7"/>
  <c r="Q12" i="7"/>
  <c r="P12" i="7"/>
  <c r="S11" i="7"/>
  <c r="Q11" i="7"/>
  <c r="P11" i="7"/>
  <c r="S10" i="7"/>
  <c r="Q10" i="7"/>
  <c r="P10" i="7"/>
  <c r="S9" i="7"/>
  <c r="P9" i="7"/>
  <c r="S8" i="7"/>
  <c r="Q8" i="7" s="1"/>
  <c r="P8" i="7"/>
  <c r="S7" i="7"/>
  <c r="P7" i="7"/>
  <c r="S6" i="7"/>
  <c r="Q6" i="7" s="1"/>
  <c r="P6" i="7"/>
  <c r="S5" i="7"/>
  <c r="Q5" i="7"/>
  <c r="P5" i="7"/>
  <c r="S4" i="7"/>
  <c r="Q4" i="7"/>
  <c r="P4" i="7"/>
  <c r="S3" i="7"/>
  <c r="Q3" i="7"/>
  <c r="P3" i="7"/>
  <c r="S2" i="7"/>
  <c r="Q2" i="7"/>
  <c r="P2" i="7"/>
  <c r="T14" i="10" l="1"/>
  <c r="T12" i="11"/>
  <c r="R14" i="10"/>
  <c r="N31" i="11"/>
  <c r="S15" i="10"/>
  <c r="S19" i="13"/>
  <c r="O35" i="14"/>
  <c r="S17" i="13"/>
  <c r="L19" i="10"/>
  <c r="K35" i="11"/>
  <c r="S17" i="10"/>
  <c r="S18" i="10"/>
  <c r="Q2" i="8"/>
  <c r="Q8" i="8"/>
  <c r="Q12" i="8"/>
  <c r="Q9" i="8"/>
  <c r="Q3" i="8"/>
  <c r="Q11" i="8"/>
  <c r="Q7" i="7"/>
  <c r="Q15" i="7"/>
  <c r="Q9" i="7"/>
  <c r="Q17" i="7"/>
  <c r="T17" i="14" l="1"/>
  <c r="T19" i="13"/>
  <c r="R19" i="13"/>
  <c r="R17" i="14" s="1"/>
  <c r="R12" i="11"/>
  <c r="T15" i="10"/>
  <c r="T13" i="11"/>
  <c r="R15" i="10"/>
  <c r="R13" i="11" s="1"/>
  <c r="T16" i="11"/>
  <c r="T18" i="10"/>
  <c r="R18" i="10"/>
  <c r="R16" i="11" s="1"/>
  <c r="T17" i="10"/>
  <c r="T15" i="11"/>
  <c r="R17" i="10"/>
  <c r="R15" i="11" s="1"/>
  <c r="L35" i="11"/>
  <c r="M19" i="10"/>
  <c r="T15" i="14"/>
  <c r="T17" i="13"/>
  <c r="R17" i="13"/>
  <c r="Q19" i="8"/>
  <c r="Q19" i="7"/>
  <c r="N19" i="10" l="1"/>
  <c r="M35" i="11"/>
  <c r="R15" i="14"/>
  <c r="R21" i="13"/>
  <c r="R19" i="14" s="1"/>
  <c r="T19" i="14"/>
  <c r="A4" i="6"/>
  <c r="C4" i="6"/>
  <c r="P4" i="6" s="1"/>
  <c r="D4" i="6"/>
  <c r="E4" i="6"/>
  <c r="F4" i="6"/>
  <c r="G4" i="6"/>
  <c r="H4" i="6"/>
  <c r="I4" i="6"/>
  <c r="J4" i="6"/>
  <c r="K4" i="6"/>
  <c r="L4" i="6"/>
  <c r="M4" i="6"/>
  <c r="N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A6" i="6"/>
  <c r="C6" i="6"/>
  <c r="D6" i="6"/>
  <c r="E6" i="6"/>
  <c r="F6" i="6"/>
  <c r="G6" i="6"/>
  <c r="H6" i="6"/>
  <c r="I6" i="6"/>
  <c r="J6" i="6"/>
  <c r="K6" i="6"/>
  <c r="L6" i="6"/>
  <c r="M6" i="6"/>
  <c r="N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A8" i="6"/>
  <c r="C8" i="6"/>
  <c r="D8" i="6"/>
  <c r="E8" i="6"/>
  <c r="F8" i="6"/>
  <c r="G8" i="6"/>
  <c r="H8" i="6"/>
  <c r="I8" i="6"/>
  <c r="J8" i="6"/>
  <c r="K8" i="6"/>
  <c r="L8" i="6"/>
  <c r="M8" i="6"/>
  <c r="N8" i="6"/>
  <c r="A9" i="6"/>
  <c r="C9" i="6"/>
  <c r="D9" i="6"/>
  <c r="E9" i="6"/>
  <c r="F9" i="6"/>
  <c r="G9" i="6"/>
  <c r="H9" i="6"/>
  <c r="I9" i="6"/>
  <c r="J9" i="6"/>
  <c r="K9" i="6"/>
  <c r="L9" i="6"/>
  <c r="M9" i="6"/>
  <c r="M25" i="8" s="1"/>
  <c r="A10" i="6"/>
  <c r="C10" i="6"/>
  <c r="D10" i="6"/>
  <c r="E10" i="6"/>
  <c r="F10" i="6"/>
  <c r="P10" i="6" s="1"/>
  <c r="G10" i="6"/>
  <c r="H10" i="6"/>
  <c r="I10" i="6"/>
  <c r="J10" i="6"/>
  <c r="K10" i="6"/>
  <c r="L10" i="6"/>
  <c r="L26" i="8" s="1"/>
  <c r="A11" i="6"/>
  <c r="B11" i="6"/>
  <c r="C11" i="6"/>
  <c r="D11" i="6"/>
  <c r="E11" i="6"/>
  <c r="F11" i="6"/>
  <c r="G11" i="6"/>
  <c r="H11" i="6"/>
  <c r="I11" i="6"/>
  <c r="J11" i="6"/>
  <c r="K11" i="6"/>
  <c r="K27" i="8" s="1"/>
  <c r="A12" i="6"/>
  <c r="C12" i="6"/>
  <c r="D12" i="6"/>
  <c r="E12" i="6"/>
  <c r="F12" i="6"/>
  <c r="G12" i="6"/>
  <c r="H12" i="6"/>
  <c r="P12" i="6" s="1"/>
  <c r="I12" i="6"/>
  <c r="J12" i="6"/>
  <c r="J28" i="8" s="1"/>
  <c r="A13" i="6"/>
  <c r="C13" i="6"/>
  <c r="D13" i="6"/>
  <c r="E13" i="6"/>
  <c r="F13" i="6"/>
  <c r="G13" i="6"/>
  <c r="H13" i="6"/>
  <c r="I13" i="6"/>
  <c r="I29" i="8" s="1"/>
  <c r="A14" i="6"/>
  <c r="C14" i="6"/>
  <c r="D14" i="6"/>
  <c r="E14" i="6"/>
  <c r="F14" i="6"/>
  <c r="G14" i="6"/>
  <c r="H14" i="6"/>
  <c r="H30" i="8" s="1"/>
  <c r="A15" i="6"/>
  <c r="C15" i="6"/>
  <c r="D15" i="6"/>
  <c r="E15" i="6"/>
  <c r="F15" i="6"/>
  <c r="G15" i="6"/>
  <c r="G31" i="8" s="1"/>
  <c r="A16" i="6"/>
  <c r="C16" i="6"/>
  <c r="P16" i="6" s="1"/>
  <c r="D16" i="6"/>
  <c r="E16" i="6"/>
  <c r="F16" i="6"/>
  <c r="F32" i="8" s="1"/>
  <c r="A17" i="6"/>
  <c r="C17" i="6"/>
  <c r="D17" i="6"/>
  <c r="E17" i="6"/>
  <c r="E33" i="8" s="1"/>
  <c r="A18" i="6"/>
  <c r="C18" i="6"/>
  <c r="D18" i="6"/>
  <c r="D34" i="8" s="1"/>
  <c r="P18" i="6"/>
  <c r="A19" i="6"/>
  <c r="C19" i="6"/>
  <c r="C35" i="8" s="1"/>
  <c r="P19" i="6"/>
  <c r="B4" i="5"/>
  <c r="C4" i="5"/>
  <c r="C24" i="5" s="1"/>
  <c r="C32" i="5" s="1"/>
  <c r="D4" i="5"/>
  <c r="E4" i="5"/>
  <c r="F4" i="5"/>
  <c r="G4" i="5"/>
  <c r="H4" i="5"/>
  <c r="I4" i="5"/>
  <c r="J4" i="5"/>
  <c r="K4" i="5"/>
  <c r="K24" i="5" s="1"/>
  <c r="L4" i="5"/>
  <c r="M4" i="5"/>
  <c r="N4" i="5"/>
  <c r="O4" i="5"/>
  <c r="P4" i="5"/>
  <c r="Q4" i="5"/>
  <c r="Q24" i="5" s="1"/>
  <c r="R4" i="5"/>
  <c r="B5" i="5"/>
  <c r="B6" i="5"/>
  <c r="H6" i="5" s="1"/>
  <c r="J6" i="5"/>
  <c r="P6" i="5"/>
  <c r="B7" i="5"/>
  <c r="C7" i="5"/>
  <c r="D7" i="5"/>
  <c r="E7" i="5"/>
  <c r="F7" i="5"/>
  <c r="G7" i="5"/>
  <c r="H7" i="5"/>
  <c r="I7" i="5"/>
  <c r="I27" i="5" s="1"/>
  <c r="I35" i="5" s="1"/>
  <c r="J7" i="5"/>
  <c r="K7" i="5"/>
  <c r="K27" i="5" s="1"/>
  <c r="L7" i="5"/>
  <c r="M7" i="5"/>
  <c r="N7" i="5"/>
  <c r="O7" i="5"/>
  <c r="B8" i="5"/>
  <c r="C8" i="5"/>
  <c r="D8" i="5"/>
  <c r="E8" i="5"/>
  <c r="E24" i="5" s="1"/>
  <c r="E32" i="5" s="1"/>
  <c r="F8" i="5"/>
  <c r="G8" i="5"/>
  <c r="H8" i="5"/>
  <c r="I8" i="5"/>
  <c r="J8" i="5"/>
  <c r="K8" i="5"/>
  <c r="L8" i="5"/>
  <c r="M8" i="5"/>
  <c r="M24" i="5" s="1"/>
  <c r="N8" i="5"/>
  <c r="B9" i="5"/>
  <c r="E9" i="5" s="1"/>
  <c r="C9" i="5"/>
  <c r="D9" i="5"/>
  <c r="F9" i="5"/>
  <c r="H9" i="5"/>
  <c r="I9" i="5"/>
  <c r="J9" i="5"/>
  <c r="K9" i="5"/>
  <c r="L9" i="5"/>
  <c r="M9" i="5"/>
  <c r="B10" i="5"/>
  <c r="D10" i="5"/>
  <c r="J10" i="5"/>
  <c r="L10" i="5"/>
  <c r="B11" i="5"/>
  <c r="C11" i="5" s="1"/>
  <c r="D11" i="5"/>
  <c r="E11" i="5"/>
  <c r="G11" i="5"/>
  <c r="I11" i="5"/>
  <c r="J11" i="5"/>
  <c r="K11" i="5"/>
  <c r="B12" i="5"/>
  <c r="H12" i="5" s="1"/>
  <c r="H24" i="5" s="1"/>
  <c r="H32" i="5" s="1"/>
  <c r="C12" i="5"/>
  <c r="E12" i="5"/>
  <c r="G12" i="5"/>
  <c r="G24" i="5" s="1"/>
  <c r="G32" i="5" s="1"/>
  <c r="J12" i="5"/>
  <c r="B13" i="5"/>
  <c r="G13" i="5" s="1"/>
  <c r="D13" i="5"/>
  <c r="F13" i="5"/>
  <c r="B14" i="5"/>
  <c r="G14" i="5" s="1"/>
  <c r="D14" i="5"/>
  <c r="F14" i="5"/>
  <c r="B15" i="5"/>
  <c r="D15" i="5" s="1"/>
  <c r="D27" i="5" s="1"/>
  <c r="C15" i="5"/>
  <c r="E15" i="5"/>
  <c r="G15" i="5"/>
  <c r="B16" i="5"/>
  <c r="C16" i="5" s="1"/>
  <c r="D16" i="5"/>
  <c r="E16" i="5"/>
  <c r="B17" i="5"/>
  <c r="D17" i="5"/>
  <c r="B18" i="5"/>
  <c r="C18" i="5"/>
  <c r="D18" i="5"/>
  <c r="B19" i="5"/>
  <c r="C19" i="5"/>
  <c r="J24" i="5"/>
  <c r="L24" i="5"/>
  <c r="N24" i="5"/>
  <c r="O24" i="5"/>
  <c r="P24" i="5"/>
  <c r="R24" i="5"/>
  <c r="E27" i="5"/>
  <c r="E35" i="5" s="1"/>
  <c r="G27" i="5"/>
  <c r="G35" i="5" s="1"/>
  <c r="J27" i="5"/>
  <c r="L27" i="5"/>
  <c r="M27" i="5"/>
  <c r="N27" i="5"/>
  <c r="O27" i="5"/>
  <c r="J32" i="5"/>
  <c r="D35" i="5"/>
  <c r="J35" i="5"/>
  <c r="A4" i="4"/>
  <c r="C4" i="4"/>
  <c r="D4" i="4"/>
  <c r="E4" i="4"/>
  <c r="F4" i="4"/>
  <c r="G4" i="4"/>
  <c r="H4" i="4"/>
  <c r="P4" i="4" s="1"/>
  <c r="I4" i="4"/>
  <c r="J4" i="4"/>
  <c r="K4" i="4"/>
  <c r="L4" i="4"/>
  <c r="M4" i="4"/>
  <c r="N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P6" i="4"/>
  <c r="A7" i="4"/>
  <c r="B7" i="4"/>
  <c r="C7" i="4"/>
  <c r="P7" i="4" s="1"/>
  <c r="Q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C9" i="4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D11" i="4"/>
  <c r="E11" i="4"/>
  <c r="F11" i="4"/>
  <c r="G11" i="4"/>
  <c r="H11" i="4"/>
  <c r="I11" i="4"/>
  <c r="J11" i="4"/>
  <c r="K11" i="4"/>
  <c r="A12" i="4"/>
  <c r="C12" i="4"/>
  <c r="P12" i="4" s="1"/>
  <c r="D12" i="4"/>
  <c r="E12" i="4"/>
  <c r="F12" i="4"/>
  <c r="G12" i="4"/>
  <c r="H12" i="4"/>
  <c r="I12" i="4"/>
  <c r="J12" i="4"/>
  <c r="A13" i="4"/>
  <c r="C13" i="4"/>
  <c r="D13" i="4"/>
  <c r="E13" i="4"/>
  <c r="F13" i="4"/>
  <c r="G13" i="4"/>
  <c r="H13" i="4"/>
  <c r="I13" i="4"/>
  <c r="A14" i="4"/>
  <c r="C14" i="4"/>
  <c r="P14" i="4" s="1"/>
  <c r="D14" i="4"/>
  <c r="E14" i="4"/>
  <c r="F14" i="4"/>
  <c r="G14" i="4"/>
  <c r="H14" i="4"/>
  <c r="A15" i="4"/>
  <c r="C15" i="4"/>
  <c r="D15" i="4"/>
  <c r="E15" i="4"/>
  <c r="F15" i="4"/>
  <c r="G15" i="4"/>
  <c r="A16" i="4"/>
  <c r="C16" i="4"/>
  <c r="P16" i="4" s="1"/>
  <c r="D16" i="4"/>
  <c r="E16" i="4"/>
  <c r="F16" i="4"/>
  <c r="A17" i="4"/>
  <c r="C17" i="4"/>
  <c r="D17" i="4"/>
  <c r="E17" i="4"/>
  <c r="A18" i="4"/>
  <c r="C18" i="4"/>
  <c r="P18" i="4" s="1"/>
  <c r="D18" i="4"/>
  <c r="A19" i="4"/>
  <c r="C19" i="4"/>
  <c r="P19" i="4" s="1"/>
  <c r="B4" i="3"/>
  <c r="B4" i="6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D5" i="3" s="1"/>
  <c r="H5" i="3"/>
  <c r="L5" i="3"/>
  <c r="M5" i="3"/>
  <c r="B6" i="3"/>
  <c r="D6" i="3"/>
  <c r="E6" i="3"/>
  <c r="F6" i="3"/>
  <c r="G6" i="3"/>
  <c r="H6" i="3"/>
  <c r="J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B8" i="3"/>
  <c r="C8" i="3"/>
  <c r="E8" i="3"/>
  <c r="K8" i="3"/>
  <c r="M8" i="3"/>
  <c r="B9" i="3"/>
  <c r="H9" i="3" s="1"/>
  <c r="B10" i="3"/>
  <c r="C10" i="3" s="1"/>
  <c r="G10" i="3"/>
  <c r="H10" i="3"/>
  <c r="I10" i="3"/>
  <c r="J10" i="3"/>
  <c r="K10" i="3"/>
  <c r="L10" i="3"/>
  <c r="B11" i="3"/>
  <c r="B11" i="4" s="1"/>
  <c r="C11" i="3"/>
  <c r="D11" i="3"/>
  <c r="E11" i="3"/>
  <c r="F11" i="3"/>
  <c r="G11" i="3"/>
  <c r="H11" i="3"/>
  <c r="I11" i="3"/>
  <c r="J11" i="3"/>
  <c r="K11" i="3"/>
  <c r="B12" i="3"/>
  <c r="I12" i="3" s="1"/>
  <c r="I28" i="3" s="1"/>
  <c r="D12" i="3"/>
  <c r="B13" i="3"/>
  <c r="B13" i="6" s="1"/>
  <c r="C13" i="3"/>
  <c r="D13" i="3"/>
  <c r="I13" i="3"/>
  <c r="B14" i="3"/>
  <c r="C14" i="3"/>
  <c r="D14" i="3"/>
  <c r="B15" i="3"/>
  <c r="B15" i="4" s="1"/>
  <c r="D15" i="3"/>
  <c r="B16" i="3"/>
  <c r="C16" i="3"/>
  <c r="D16" i="3"/>
  <c r="E16" i="3"/>
  <c r="F16" i="3"/>
  <c r="B17" i="3"/>
  <c r="B17" i="4" s="1"/>
  <c r="B18" i="3"/>
  <c r="C18" i="3"/>
  <c r="D18" i="3"/>
  <c r="B19" i="3"/>
  <c r="C19" i="3" s="1"/>
  <c r="R24" i="3" a="1"/>
  <c r="R24" i="3" s="1"/>
  <c r="R31" i="3" s="1"/>
  <c r="S19" i="10" l="1"/>
  <c r="N35" i="11"/>
  <c r="P14" i="6"/>
  <c r="P6" i="6"/>
  <c r="P8" i="6"/>
  <c r="Q4" i="4"/>
  <c r="N28" i="3"/>
  <c r="H15" i="4"/>
  <c r="Q19" i="4"/>
  <c r="L9" i="3"/>
  <c r="L26" i="3" s="1" a="1"/>
  <c r="L26" i="3" s="1"/>
  <c r="B19" i="4"/>
  <c r="C5" i="5"/>
  <c r="C25" i="5" s="1"/>
  <c r="C33" i="5" s="1"/>
  <c r="K5" i="5"/>
  <c r="K25" i="5" s="1"/>
  <c r="E25" i="5"/>
  <c r="E33" i="5" s="1"/>
  <c r="M25" i="5"/>
  <c r="D5" i="5"/>
  <c r="D25" i="5" s="1"/>
  <c r="D33" i="5" s="1"/>
  <c r="L5" i="5"/>
  <c r="N25" i="5"/>
  <c r="E5" i="5"/>
  <c r="M5" i="5"/>
  <c r="O25" i="5"/>
  <c r="F5" i="5"/>
  <c r="F25" i="5" s="1"/>
  <c r="F33" i="5" s="1"/>
  <c r="N5" i="5"/>
  <c r="G5" i="5"/>
  <c r="O5" i="5"/>
  <c r="Q25" i="5"/>
  <c r="I5" i="5"/>
  <c r="I25" i="5" s="1"/>
  <c r="I33" i="5" s="1"/>
  <c r="Q5" i="5"/>
  <c r="O11" i="6"/>
  <c r="O27" i="8" s="1"/>
  <c r="P7" i="6"/>
  <c r="Q7" i="6" s="1"/>
  <c r="C15" i="3"/>
  <c r="B14" i="6"/>
  <c r="B14" i="4"/>
  <c r="C12" i="3"/>
  <c r="K9" i="3"/>
  <c r="K28" i="3" s="1"/>
  <c r="B8" i="6"/>
  <c r="Q8" i="6" s="1"/>
  <c r="B8" i="4"/>
  <c r="D8" i="3"/>
  <c r="L8" i="3"/>
  <c r="F8" i="3"/>
  <c r="N8" i="3"/>
  <c r="J5" i="3"/>
  <c r="B5" i="4"/>
  <c r="Q5" i="4" s="1"/>
  <c r="B15" i="6"/>
  <c r="P9" i="6"/>
  <c r="B18" i="6"/>
  <c r="Q18" i="6" s="1"/>
  <c r="B18" i="4"/>
  <c r="H14" i="3"/>
  <c r="H13" i="3"/>
  <c r="F10" i="3"/>
  <c r="J8" i="3"/>
  <c r="B6" i="6"/>
  <c r="Q6" i="6" s="1"/>
  <c r="B6" i="4"/>
  <c r="I6" i="3"/>
  <c r="C6" i="3"/>
  <c r="K6" i="3"/>
  <c r="G5" i="3"/>
  <c r="P9" i="4"/>
  <c r="Q9" i="4" s="1"/>
  <c r="E10" i="5"/>
  <c r="F10" i="5"/>
  <c r="G10" i="5"/>
  <c r="H10" i="5"/>
  <c r="I10" i="5"/>
  <c r="C10" i="5"/>
  <c r="K10" i="5"/>
  <c r="G9" i="3"/>
  <c r="I9" i="3"/>
  <c r="M24" i="3" a="1"/>
  <c r="M24" i="3" s="1"/>
  <c r="M31" i="3" s="1"/>
  <c r="M40" i="3" s="1"/>
  <c r="B12" i="6"/>
  <c r="Q12" i="6" s="1"/>
  <c r="B12" i="4"/>
  <c r="Q12" i="4" s="1"/>
  <c r="H24" i="3" a="1"/>
  <c r="H24" i="3" s="1"/>
  <c r="H31" i="3" s="1"/>
  <c r="H34" i="3" s="1"/>
  <c r="H17" i="4" s="1"/>
  <c r="E17" i="3"/>
  <c r="B16" i="6"/>
  <c r="Q16" i="6" s="1"/>
  <c r="B16" i="4"/>
  <c r="G14" i="3"/>
  <c r="G13" i="3"/>
  <c r="H12" i="3"/>
  <c r="H28" i="3" s="1"/>
  <c r="D10" i="3"/>
  <c r="F9" i="3"/>
  <c r="I8" i="3"/>
  <c r="I26" i="3" s="1" a="1"/>
  <c r="I26" i="3" s="1"/>
  <c r="P5" i="3"/>
  <c r="P28" i="3" s="1"/>
  <c r="F5" i="3"/>
  <c r="P11" i="4"/>
  <c r="Q11" i="4" s="1"/>
  <c r="B9" i="4"/>
  <c r="C6" i="5"/>
  <c r="K6" i="5"/>
  <c r="F26" i="5"/>
  <c r="F34" i="5" s="1"/>
  <c r="D6" i="5"/>
  <c r="D26" i="5" s="1"/>
  <c r="D34" i="5" s="1"/>
  <c r="L6" i="5"/>
  <c r="E6" i="5"/>
  <c r="M6" i="5"/>
  <c r="M26" i="5" s="1"/>
  <c r="H26" i="5"/>
  <c r="H34" i="5" s="1"/>
  <c r="P26" i="5"/>
  <c r="F6" i="5"/>
  <c r="N6" i="5"/>
  <c r="N26" i="5" s="1"/>
  <c r="G6" i="5"/>
  <c r="G26" i="5" s="1"/>
  <c r="G34" i="5" s="1"/>
  <c r="O6" i="5"/>
  <c r="O26" i="5" s="1"/>
  <c r="J26" i="5"/>
  <c r="I6" i="5"/>
  <c r="I26" i="5" s="1"/>
  <c r="I34" i="5" s="1"/>
  <c r="L26" i="5"/>
  <c r="P17" i="6"/>
  <c r="B9" i="6"/>
  <c r="Q4" i="6"/>
  <c r="D17" i="3"/>
  <c r="D26" i="3" s="1" a="1"/>
  <c r="D26" i="3" s="1"/>
  <c r="G15" i="3"/>
  <c r="F14" i="3"/>
  <c r="F13" i="3"/>
  <c r="G12" i="3"/>
  <c r="G26" i="3" s="1" a="1"/>
  <c r="G26" i="3" s="1"/>
  <c r="E9" i="3"/>
  <c r="H8" i="3"/>
  <c r="O5" i="3"/>
  <c r="E5" i="3"/>
  <c r="Q6" i="4"/>
  <c r="P5" i="5"/>
  <c r="P25" i="5" s="1"/>
  <c r="P13" i="6"/>
  <c r="Q13" i="6" s="1"/>
  <c r="J12" i="3"/>
  <c r="J28" i="3" s="1"/>
  <c r="J9" i="3"/>
  <c r="C17" i="3"/>
  <c r="C28" i="3" s="1"/>
  <c r="F15" i="3"/>
  <c r="E14" i="3"/>
  <c r="E24" i="3" s="1" a="1"/>
  <c r="E24" i="3" s="1"/>
  <c r="E31" i="3" s="1"/>
  <c r="E34" i="3" s="1"/>
  <c r="E13" i="3"/>
  <c r="F12" i="3"/>
  <c r="B10" i="6"/>
  <c r="Q10" i="6" s="1"/>
  <c r="B10" i="4"/>
  <c r="E10" i="3"/>
  <c r="D9" i="3"/>
  <c r="D24" i="3" s="1" a="1"/>
  <c r="D24" i="3" s="1"/>
  <c r="D31" i="3" s="1"/>
  <c r="D34" i="3" s="1"/>
  <c r="G8" i="3"/>
  <c r="G24" i="3" s="1" a="1"/>
  <c r="G24" i="3" s="1"/>
  <c r="G31" i="3" s="1"/>
  <c r="G34" i="3" s="1"/>
  <c r="G17" i="4" s="1"/>
  <c r="N5" i="3"/>
  <c r="N24" i="3" s="1" a="1"/>
  <c r="N24" i="3" s="1"/>
  <c r="N31" i="3" s="1"/>
  <c r="P17" i="4"/>
  <c r="Q17" i="4" s="1"/>
  <c r="P15" i="4"/>
  <c r="Q15" i="4" s="1"/>
  <c r="P13" i="4"/>
  <c r="L25" i="5"/>
  <c r="K32" i="5" a="1"/>
  <c r="K32" i="5" s="1"/>
  <c r="O32" i="5" a="1"/>
  <c r="O32" i="5" s="1"/>
  <c r="O4" i="6" s="1"/>
  <c r="L32" i="5" a="1"/>
  <c r="L32" i="5" s="1"/>
  <c r="M32" i="5" a="1"/>
  <c r="M32" i="5" s="1"/>
  <c r="N32" i="5" a="1"/>
  <c r="N32" i="5" s="1"/>
  <c r="E17" i="5"/>
  <c r="C17" i="5"/>
  <c r="J5" i="5"/>
  <c r="B19" i="6"/>
  <c r="B17" i="6"/>
  <c r="L11" i="6"/>
  <c r="L27" i="8" s="1"/>
  <c r="P11" i="6"/>
  <c r="Q11" i="6" s="1"/>
  <c r="P5" i="6"/>
  <c r="Q5" i="6" s="1"/>
  <c r="M26" i="3" a="1"/>
  <c r="M26" i="3" s="1"/>
  <c r="K26" i="3" a="1"/>
  <c r="K26" i="3" s="1"/>
  <c r="E15" i="3"/>
  <c r="E12" i="3"/>
  <c r="M9" i="3"/>
  <c r="M28" i="3" s="1"/>
  <c r="C9" i="3"/>
  <c r="I5" i="3"/>
  <c r="I24" i="3" s="1" a="1"/>
  <c r="I24" i="3" s="1"/>
  <c r="I31" i="3" s="1"/>
  <c r="I34" i="3" s="1"/>
  <c r="Q5" i="3"/>
  <c r="Q24" i="3" s="1" a="1"/>
  <c r="Q24" i="3" s="1"/>
  <c r="Q31" i="3" s="1"/>
  <c r="C5" i="3"/>
  <c r="C24" i="3" s="1" a="1"/>
  <c r="C24" i="3" s="1"/>
  <c r="C31" i="3" s="1"/>
  <c r="C34" i="3" s="1"/>
  <c r="K5" i="3"/>
  <c r="K24" i="3" s="1" a="1"/>
  <c r="K24" i="3" s="1"/>
  <c r="K31" i="3" s="1"/>
  <c r="K40" i="3" s="1"/>
  <c r="B13" i="4"/>
  <c r="P8" i="4"/>
  <c r="Q8" i="4" s="1"/>
  <c r="J25" i="5"/>
  <c r="L35" i="5" a="1"/>
  <c r="L35" i="5" s="1"/>
  <c r="M35" i="5" a="1"/>
  <c r="M35" i="5" s="1"/>
  <c r="M11" i="6" s="1"/>
  <c r="M27" i="8" s="1"/>
  <c r="N35" i="5" a="1"/>
  <c r="N35" i="5" s="1"/>
  <c r="N11" i="6" s="1"/>
  <c r="N27" i="8" s="1"/>
  <c r="K35" i="5" a="1"/>
  <c r="K35" i="5" s="1"/>
  <c r="O35" i="5" a="1"/>
  <c r="O35" i="5" s="1"/>
  <c r="O7" i="6" s="1"/>
  <c r="C27" i="5"/>
  <c r="C35" i="5" s="1"/>
  <c r="H5" i="5"/>
  <c r="H25" i="5" s="1"/>
  <c r="H33" i="5" s="1"/>
  <c r="P15" i="6"/>
  <c r="Q15" i="6" s="1"/>
  <c r="F15" i="5"/>
  <c r="E14" i="5"/>
  <c r="E13" i="5"/>
  <c r="F12" i="5"/>
  <c r="H11" i="5"/>
  <c r="H27" i="5" s="1"/>
  <c r="H35" i="5" s="1"/>
  <c r="G9" i="5"/>
  <c r="G25" i="5" s="1"/>
  <c r="G33" i="5" s="1"/>
  <c r="F16" i="5"/>
  <c r="C14" i="5"/>
  <c r="C13" i="5"/>
  <c r="D12" i="5"/>
  <c r="D24" i="5" s="1"/>
  <c r="D32" i="5" s="1"/>
  <c r="F11" i="5"/>
  <c r="I13" i="5"/>
  <c r="B4" i="4"/>
  <c r="H14" i="5"/>
  <c r="H13" i="5"/>
  <c r="I12" i="5"/>
  <c r="I24" i="5" s="1"/>
  <c r="I32" i="5" s="1"/>
  <c r="T17" i="11" l="1"/>
  <c r="T19" i="11" s="1"/>
  <c r="T19" i="10"/>
  <c r="R19" i="10"/>
  <c r="S4" i="6"/>
  <c r="T2" i="8" s="1"/>
  <c r="O20" i="8"/>
  <c r="S7" i="6"/>
  <c r="T5" i="8" s="1"/>
  <c r="O23" i="8"/>
  <c r="I17" i="4"/>
  <c r="I15" i="4"/>
  <c r="S11" i="6"/>
  <c r="T9" i="8" s="1"/>
  <c r="T4" i="6"/>
  <c r="T7" i="6"/>
  <c r="F17" i="6"/>
  <c r="F33" i="8" s="1"/>
  <c r="G17" i="6"/>
  <c r="G33" i="8" s="1"/>
  <c r="H17" i="6"/>
  <c r="H33" i="8" s="1"/>
  <c r="I17" i="6"/>
  <c r="I33" i="8" s="1"/>
  <c r="K17" i="6"/>
  <c r="K33" i="8" s="1"/>
  <c r="M34" i="5" a="1"/>
  <c r="M34" i="5" s="1"/>
  <c r="N34" i="5" a="1"/>
  <c r="N34" i="5" s="1"/>
  <c r="J34" i="5"/>
  <c r="K34" i="5" a="1"/>
  <c r="K34" i="5" s="1"/>
  <c r="K14" i="6" s="1"/>
  <c r="K30" i="8" s="1"/>
  <c r="O34" i="5" a="1"/>
  <c r="O34" i="5" s="1"/>
  <c r="O14" i="6" s="1"/>
  <c r="O30" i="8" s="1"/>
  <c r="L34" i="5" a="1"/>
  <c r="L34" i="5" s="1"/>
  <c r="L14" i="6" s="1"/>
  <c r="L30" i="8" s="1"/>
  <c r="K26" i="5"/>
  <c r="K12" i="6"/>
  <c r="K28" i="8" s="1"/>
  <c r="L12" i="6"/>
  <c r="L28" i="8" s="1"/>
  <c r="M12" i="6"/>
  <c r="M28" i="8" s="1"/>
  <c r="O12" i="6"/>
  <c r="O28" i="8" s="1"/>
  <c r="N12" i="6"/>
  <c r="N28" i="8" s="1"/>
  <c r="J26" i="3" a="1"/>
  <c r="J26" i="3" s="1"/>
  <c r="Q9" i="6"/>
  <c r="J24" i="3" a="1"/>
  <c r="J24" i="3" s="1"/>
  <c r="J31" i="3" s="1"/>
  <c r="O24" i="3" a="1"/>
  <c r="O24" i="3" s="1"/>
  <c r="O31" i="3" s="1"/>
  <c r="O28" i="3"/>
  <c r="E19" i="6"/>
  <c r="E35" i="8" s="1"/>
  <c r="M19" i="6"/>
  <c r="M35" i="8" s="1"/>
  <c r="F19" i="6"/>
  <c r="F35" i="8" s="1"/>
  <c r="N19" i="6"/>
  <c r="N35" i="8" s="1"/>
  <c r="G19" i="6"/>
  <c r="G35" i="8" s="1"/>
  <c r="O19" i="6"/>
  <c r="O35" i="8" s="1"/>
  <c r="H19" i="6"/>
  <c r="H35" i="8" s="1"/>
  <c r="I19" i="6"/>
  <c r="I35" i="8" s="1"/>
  <c r="K19" i="6"/>
  <c r="K35" i="8" s="1"/>
  <c r="L19" i="6"/>
  <c r="L35" i="8" s="1"/>
  <c r="D19" i="6"/>
  <c r="D35" i="8" s="1"/>
  <c r="J19" i="6"/>
  <c r="J35" i="8" s="1"/>
  <c r="I14" i="4"/>
  <c r="L24" i="3" a="1"/>
  <c r="L24" i="3" s="1"/>
  <c r="L31" i="3" s="1"/>
  <c r="L40" i="3" s="1"/>
  <c r="I14" i="6"/>
  <c r="I30" i="8" s="1"/>
  <c r="J14" i="6"/>
  <c r="J30" i="8" s="1"/>
  <c r="M14" i="6"/>
  <c r="M30" i="8" s="1"/>
  <c r="N14" i="6"/>
  <c r="N30" i="8" s="1"/>
  <c r="Q14" i="6"/>
  <c r="D28" i="3"/>
  <c r="E26" i="5"/>
  <c r="E34" i="5" s="1"/>
  <c r="C26" i="5"/>
  <c r="C34" i="5" s="1"/>
  <c r="N33" i="5" a="1"/>
  <c r="N33" i="5" s="1"/>
  <c r="N13" i="6" s="1"/>
  <c r="N29" i="8" s="1"/>
  <c r="J33" i="5"/>
  <c r="J13" i="6" s="1"/>
  <c r="J29" i="8" s="1"/>
  <c r="K33" i="5" a="1"/>
  <c r="K33" i="5" s="1"/>
  <c r="K13" i="6" s="1"/>
  <c r="K29" i="8" s="1"/>
  <c r="O33" i="5" a="1"/>
  <c r="O33" i="5" s="1"/>
  <c r="L33" i="5" a="1"/>
  <c r="L33" i="5" s="1"/>
  <c r="L13" i="6" s="1"/>
  <c r="L29" i="8" s="1"/>
  <c r="M33" i="5" a="1"/>
  <c r="M33" i="5" s="1"/>
  <c r="M13" i="6" s="1"/>
  <c r="M29" i="8" s="1"/>
  <c r="Q10" i="4"/>
  <c r="Q17" i="6"/>
  <c r="G28" i="3"/>
  <c r="L28" i="3"/>
  <c r="Q14" i="4"/>
  <c r="F24" i="5"/>
  <c r="F32" i="5" s="1"/>
  <c r="F27" i="5"/>
  <c r="F35" i="5" s="1"/>
  <c r="Q13" i="4"/>
  <c r="M10" i="6"/>
  <c r="M26" i="8" s="1"/>
  <c r="O10" i="6"/>
  <c r="O26" i="8" s="1"/>
  <c r="N10" i="6"/>
  <c r="N26" i="8" s="1"/>
  <c r="F28" i="3"/>
  <c r="H26" i="3" a="1"/>
  <c r="H26" i="3" s="1"/>
  <c r="H18" i="4"/>
  <c r="E18" i="4"/>
  <c r="G18" i="4"/>
  <c r="I18" i="4"/>
  <c r="M15" i="6"/>
  <c r="M31" i="8" s="1"/>
  <c r="N15" i="6"/>
  <c r="N31" i="8" s="1"/>
  <c r="O15" i="6"/>
  <c r="O31" i="8" s="1"/>
  <c r="H15" i="6"/>
  <c r="H31" i="8" s="1"/>
  <c r="I15" i="6"/>
  <c r="I31" i="8" s="1"/>
  <c r="K15" i="6"/>
  <c r="K31" i="8" s="1"/>
  <c r="J15" i="6"/>
  <c r="J31" i="8" s="1"/>
  <c r="L15" i="6"/>
  <c r="L31" i="8" s="1"/>
  <c r="Q18" i="4"/>
  <c r="P24" i="3" a="1"/>
  <c r="P24" i="3" s="1"/>
  <c r="P31" i="3" s="1"/>
  <c r="E26" i="3" a="1"/>
  <c r="E26" i="3" s="1"/>
  <c r="F26" i="3" a="1"/>
  <c r="F26" i="3" s="1"/>
  <c r="C26" i="3" a="1"/>
  <c r="C26" i="3" s="1"/>
  <c r="F24" i="3" a="1"/>
  <c r="F24" i="3" s="1"/>
  <c r="F31" i="3" s="1"/>
  <c r="F34" i="3" s="1"/>
  <c r="F17" i="4" s="1"/>
  <c r="G16" i="4"/>
  <c r="H16" i="4"/>
  <c r="I16" i="4"/>
  <c r="I18" i="6"/>
  <c r="I34" i="8" s="1"/>
  <c r="J18" i="6"/>
  <c r="J34" i="8" s="1"/>
  <c r="K18" i="6"/>
  <c r="K34" i="8" s="1"/>
  <c r="L18" i="6"/>
  <c r="L34" i="8" s="1"/>
  <c r="E18" i="6"/>
  <c r="E34" i="8" s="1"/>
  <c r="M18" i="6"/>
  <c r="M34" i="8" s="1"/>
  <c r="G18" i="6"/>
  <c r="G34" i="8" s="1"/>
  <c r="O18" i="6"/>
  <c r="O34" i="8" s="1"/>
  <c r="F18" i="6"/>
  <c r="F34" i="8" s="1"/>
  <c r="H18" i="6"/>
  <c r="H34" i="8" s="1"/>
  <c r="N18" i="6"/>
  <c r="N34" i="8" s="1"/>
  <c r="Q19" i="6"/>
  <c r="O6" i="6"/>
  <c r="E28" i="3"/>
  <c r="I16" i="6"/>
  <c r="I32" i="8" s="1"/>
  <c r="J16" i="6"/>
  <c r="J32" i="8" s="1"/>
  <c r="K16" i="6"/>
  <c r="K32" i="8" s="1"/>
  <c r="L16" i="6"/>
  <c r="L32" i="8" s="1"/>
  <c r="M16" i="6"/>
  <c r="M32" i="8" s="1"/>
  <c r="G16" i="6"/>
  <c r="G32" i="8" s="1"/>
  <c r="O16" i="6"/>
  <c r="O32" i="8" s="1"/>
  <c r="H16" i="6"/>
  <c r="H32" i="8" s="1"/>
  <c r="N16" i="6"/>
  <c r="N32" i="8" s="1"/>
  <c r="O8" i="6"/>
  <c r="F19" i="4"/>
  <c r="H19" i="4"/>
  <c r="D19" i="4"/>
  <c r="E19" i="4"/>
  <c r="G19" i="4"/>
  <c r="I19" i="4"/>
  <c r="Q16" i="4"/>
  <c r="R17" i="11" l="1"/>
  <c r="R21" i="10"/>
  <c r="R19" i="11" s="1"/>
  <c r="R4" i="6"/>
  <c r="R2" i="8" s="1"/>
  <c r="S8" i="6"/>
  <c r="T6" i="8" s="1"/>
  <c r="O24" i="8"/>
  <c r="S6" i="6"/>
  <c r="T4" i="8" s="1"/>
  <c r="O22" i="8"/>
  <c r="R7" i="6"/>
  <c r="R5" i="8" s="1"/>
  <c r="O13" i="6"/>
  <c r="O29" i="8" s="1"/>
  <c r="O5" i="6"/>
  <c r="S14" i="6"/>
  <c r="T12" i="8" s="1"/>
  <c r="R8" i="6"/>
  <c r="R6" i="8" s="1"/>
  <c r="T8" i="6"/>
  <c r="F18" i="4"/>
  <c r="O17" i="6"/>
  <c r="O33" i="8" s="1"/>
  <c r="S19" i="6"/>
  <c r="T17" i="8" s="1"/>
  <c r="S15" i="6"/>
  <c r="T13" i="8" s="1"/>
  <c r="R11" i="6"/>
  <c r="R9" i="8" s="1"/>
  <c r="T11" i="6"/>
  <c r="N17" i="6"/>
  <c r="N33" i="8" s="1"/>
  <c r="R6" i="6"/>
  <c r="R4" i="8" s="1"/>
  <c r="O9" i="6"/>
  <c r="O25" i="8" s="1"/>
  <c r="S12" i="6"/>
  <c r="T10" i="8" s="1"/>
  <c r="L17" i="6"/>
  <c r="L33" i="8" s="1"/>
  <c r="S16" i="6"/>
  <c r="T14" i="8" s="1"/>
  <c r="S18" i="6"/>
  <c r="T16" i="8" s="1"/>
  <c r="S10" i="6"/>
  <c r="T8" i="8" s="1"/>
  <c r="N9" i="6"/>
  <c r="N25" i="8" s="1"/>
  <c r="J40" i="3"/>
  <c r="J34" i="3"/>
  <c r="J17" i="6"/>
  <c r="M17" i="6"/>
  <c r="M33" i="8" s="1"/>
  <c r="S17" i="6" l="1"/>
  <c r="T15" i="8" s="1"/>
  <c r="J33" i="8"/>
  <c r="T6" i="6"/>
  <c r="S13" i="6"/>
  <c r="T11" i="8" s="1"/>
  <c r="S5" i="6"/>
  <c r="T3" i="8" s="1"/>
  <c r="O21" i="8"/>
  <c r="T17" i="6"/>
  <c r="R17" i="6"/>
  <c r="R15" i="8" s="1"/>
  <c r="J17" i="4"/>
  <c r="J15" i="4"/>
  <c r="J19" i="4"/>
  <c r="J18" i="4"/>
  <c r="J14" i="4"/>
  <c r="J16" i="4"/>
  <c r="J13" i="4"/>
  <c r="R12" i="6"/>
  <c r="R10" i="8" s="1"/>
  <c r="T12" i="6"/>
  <c r="T19" i="6"/>
  <c r="R19" i="6"/>
  <c r="R17" i="8" s="1"/>
  <c r="R13" i="6"/>
  <c r="R11" i="8" s="1"/>
  <c r="J42" i="3" a="1"/>
  <c r="J42" i="3" s="1"/>
  <c r="J43" i="3" s="1"/>
  <c r="N42" i="3" a="1"/>
  <c r="N42" i="3" s="1"/>
  <c r="N43" i="3" s="1"/>
  <c r="N34" i="3" s="1"/>
  <c r="K42" i="3" a="1"/>
  <c r="K42" i="3" s="1"/>
  <c r="K43" i="3" s="1"/>
  <c r="K34" i="3" s="1"/>
  <c r="C43" i="3" a="1"/>
  <c r="C43" i="3" s="1"/>
  <c r="C46" i="3" s="1"/>
  <c r="L42" i="3" a="1"/>
  <c r="L42" i="3" s="1"/>
  <c r="L43" i="3" s="1"/>
  <c r="L34" i="3" s="1"/>
  <c r="C42" i="3" a="1"/>
  <c r="C42" i="3" s="1"/>
  <c r="C47" i="3" s="1"/>
  <c r="M42" i="3" a="1"/>
  <c r="M42" i="3" s="1"/>
  <c r="M43" i="3" s="1"/>
  <c r="M34" i="3" s="1"/>
  <c r="R15" i="6"/>
  <c r="R13" i="8" s="1"/>
  <c r="T15" i="6"/>
  <c r="R14" i="6"/>
  <c r="R12" i="8" s="1"/>
  <c r="T14" i="6"/>
  <c r="R10" i="6"/>
  <c r="R8" i="8" s="1"/>
  <c r="T10" i="6"/>
  <c r="R18" i="6"/>
  <c r="R16" i="8" s="1"/>
  <c r="T18" i="6"/>
  <c r="R16" i="6"/>
  <c r="R14" i="8" s="1"/>
  <c r="T16" i="6"/>
  <c r="R5" i="6"/>
  <c r="R3" i="8" s="1"/>
  <c r="T5" i="6"/>
  <c r="S9" i="6"/>
  <c r="T7" i="8" s="1"/>
  <c r="T13" i="6" l="1"/>
  <c r="T19" i="8"/>
  <c r="L11" i="4"/>
  <c r="L15" i="4"/>
  <c r="L17" i="4"/>
  <c r="L14" i="4"/>
  <c r="L19" i="4"/>
  <c r="L13" i="4"/>
  <c r="L12" i="4"/>
  <c r="L16" i="4"/>
  <c r="L18" i="4"/>
  <c r="C48" i="3"/>
  <c r="O34" i="3" s="1"/>
  <c r="T9" i="6"/>
  <c r="R9" i="6"/>
  <c r="K15" i="4"/>
  <c r="K17" i="4"/>
  <c r="K19" i="4"/>
  <c r="K14" i="4"/>
  <c r="K12" i="4"/>
  <c r="K16" i="4"/>
  <c r="K18" i="4"/>
  <c r="K13" i="4"/>
  <c r="M15" i="4"/>
  <c r="M17" i="4"/>
  <c r="M11" i="4"/>
  <c r="M19" i="4"/>
  <c r="M16" i="4"/>
  <c r="M14" i="4"/>
  <c r="M10" i="4"/>
  <c r="M18" i="4"/>
  <c r="M12" i="4"/>
  <c r="M13" i="4"/>
  <c r="N17" i="4"/>
  <c r="N11" i="4"/>
  <c r="N15" i="4"/>
  <c r="N18" i="4"/>
  <c r="N16" i="4"/>
  <c r="N13" i="4"/>
  <c r="N12" i="4"/>
  <c r="N14" i="4"/>
  <c r="N10" i="4"/>
  <c r="N19" i="4"/>
  <c r="N9" i="4"/>
  <c r="R21" i="6" l="1"/>
  <c r="R19" i="8" s="1"/>
  <c r="R7" i="8"/>
  <c r="S12" i="4"/>
  <c r="O7" i="4"/>
  <c r="S7" i="4" s="1"/>
  <c r="O11" i="4"/>
  <c r="O15" i="4"/>
  <c r="S15" i="4" s="1"/>
  <c r="O17" i="4"/>
  <c r="S17" i="4" s="1"/>
  <c r="O9" i="4"/>
  <c r="O8" i="4"/>
  <c r="S8" i="4" s="1"/>
  <c r="O16" i="4"/>
  <c r="S16" i="4" s="1"/>
  <c r="O6" i="4"/>
  <c r="S6" i="4" s="1"/>
  <c r="O10" i="4"/>
  <c r="S10" i="4" s="1"/>
  <c r="O18" i="4"/>
  <c r="S18" i="4" s="1"/>
  <c r="O5" i="4"/>
  <c r="S5" i="4" s="1"/>
  <c r="O19" i="4"/>
  <c r="S19" i="4" s="1"/>
  <c r="O13" i="4"/>
  <c r="S13" i="4" s="1"/>
  <c r="O14" i="4"/>
  <c r="S14" i="4" s="1"/>
  <c r="O4" i="4"/>
  <c r="S4" i="4" s="1"/>
  <c r="O12" i="4"/>
  <c r="S9" i="4"/>
  <c r="S11" i="4"/>
  <c r="R16" i="4" l="1"/>
  <c r="T16" i="4"/>
  <c r="R13" i="4"/>
  <c r="T13" i="4"/>
  <c r="R10" i="4"/>
  <c r="T10" i="4"/>
  <c r="R17" i="4"/>
  <c r="T17" i="4"/>
  <c r="R7" i="4"/>
  <c r="T7" i="4"/>
  <c r="R12" i="4"/>
  <c r="T12" i="4"/>
  <c r="R19" i="4"/>
  <c r="T19" i="4"/>
  <c r="R5" i="4"/>
  <c r="T5" i="4"/>
  <c r="T11" i="4"/>
  <c r="R11" i="4"/>
  <c r="R6" i="4"/>
  <c r="T6" i="4"/>
  <c r="R14" i="4"/>
  <c r="T14" i="4"/>
  <c r="R8" i="4"/>
  <c r="T8" i="4"/>
  <c r="R15" i="4"/>
  <c r="T15" i="4"/>
  <c r="R18" i="4"/>
  <c r="T18" i="4"/>
  <c r="R9" i="4"/>
  <c r="T9" i="4"/>
  <c r="R4" i="4"/>
  <c r="T4" i="4"/>
  <c r="R2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tc={2A29BD34-3948-46CE-B809-C64F8F1DBC24}</author>
  </authors>
  <commentList>
    <comment ref="N4" authorId="0" shapeId="0" xr:uid="{2A29BD34-3948-46CE-B809-C64F8F1DBC24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<sst xmlns="http://schemas.openxmlformats.org/spreadsheetml/2006/main" count="187" uniqueCount="71">
  <si>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</si>
  <si>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</si>
  <si>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</si>
  <si>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</si>
  <si>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</si>
  <si>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</si>
  <si>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</si>
  <si>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</si>
  <si>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</si>
  <si>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</si>
  <si>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</si>
  <si>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</si>
  <si>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</si>
  <si>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</si>
  <si>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</si>
  <si>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</si>
  <si>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</si>
  <si>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</si>
  <si>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</si>
  <si>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</si>
  <si>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</si>
  <si>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</si>
  <si>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</si>
  <si>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</si>
  <si>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</si>
  <si>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for the frequency estimation</t>
  </si>
  <si>
    <t xml:space="preserve">Accident year 13 (and to some extent 15) is where things went wrong 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</si>
  <si>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</si>
  <si>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</si>
  <si>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</si>
  <si>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</si>
  <si>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</si>
  <si>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</si>
  <si>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</si>
  <si>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</si>
  <si>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</si>
  <si>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</si>
  <si>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Q4</t>
  </si>
  <si>
    <t>Q3</t>
  </si>
  <si>
    <t>Q2</t>
  </si>
  <si>
    <t>Q1</t>
  </si>
  <si>
    <t>Quarter 4 - all</t>
  </si>
  <si>
    <t>Quarter 3 - all</t>
  </si>
  <si>
    <t>Quarter 2 - all</t>
  </si>
  <si>
    <t>Quarter 1 - all</t>
  </si>
  <si>
    <t>True rectangle:</t>
  </si>
  <si>
    <t>A/E</t>
  </si>
  <si>
    <t>Ultimate</t>
  </si>
  <si>
    <t xml:space="preserve"> &lt;- most of where the gap comes from: frequency was estimated higher (20.44) </t>
  </si>
  <si>
    <t>than true (20) and even actual (18.8) - it was a good year!</t>
  </si>
  <si>
    <t>The fact that 323 was lower than expected is not recognised by the model here.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</si>
  <si>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</si>
  <si>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</si>
  <si>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</si>
  <si>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</si>
  <si>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</si>
  <si>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</si>
  <si>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</si>
  <si>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</si>
  <si>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</si>
  <si>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</si>
  <si>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</si>
  <si>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log (y-1!):</t>
  </si>
  <si>
    <t>Offset</t>
  </si>
  <si>
    <t>Indirect address</t>
  </si>
  <si>
    <t>Manual</t>
  </si>
  <si>
    <t>the quarter based pattern is obvious here!</t>
  </si>
  <si>
    <t>Stability of those last few years is the focus of many variations of the methods</t>
  </si>
  <si>
    <t>Frequency for 14 was estimated too high (11.85) as compared to true (10)</t>
  </si>
  <si>
    <t>12 &amp; Later</t>
  </si>
  <si>
    <t>12 &amp;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</si>
</sst>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0" fontId="0" fillId="7" borderId="0" xfId="0" applyFill="1"/>
    <xf numFmtId="164" fontId="3" fillId="0" borderId="2" xfId="0" applyNumberFormat="1" applyFont="1" applyBorder="1"/>
    <xf numFmtId="10" fontId="2" fillId="7" borderId="0" xfId="1" applyNumberFormat="1" applyFont="1" applyFill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2" fontId="2" fillId="0" borderId="0" xfId="0" applyNumberFormat="1" applyFont="1"/>
    <xf numFmtId="164" fontId="3" fillId="0" borderId="1" xfId="0" applyNumberFormat="1" applyFont="1" applyBorder="1"/>
    <xf numFmtId="165" fontId="2" fillId="0" borderId="0" xfId="1" applyNumberFormat="1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165" fontId="2" fillId="8" borderId="0" xfId="1" applyNumberFormat="1" applyFont="1" applyFill="1" applyBorder="1"/>
    <xf numFmtId="0" fontId="11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0" fontId="2" fillId="7" borderId="0" xfId="0" applyFont="1" applyFill="1"/>
    <xf numFmtId="0" fontId="2" fillId="9" borderId="0" xfId="0" applyFont="1" applyFill="1"/>
    <xf numFmtId="166" fontId="2" fillId="0" borderId="0" xfId="0" applyNumberFormat="1" applyFont="1"/>
    <xf numFmtId="166" fontId="2" fillId="2" borderId="0" xfId="0" applyNumberFormat="1" applyFont="1" applyFill="1"/>
    <xf numFmtId="166" fontId="2" fillId="3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1" xfId="0" applyNumberFormat="1" applyFont="1" applyBorder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0" fontId="2" fillId="10" borderId="0" xfId="1" applyNumberFormat="1" applyFont="1" applyFill="1" applyBorder="1"/>
    <xf numFmtId="164" fontId="5" fillId="0" borderId="0" xfId="0" applyNumberFormat="1" applyFont="1"/>
    <xf numFmtId="0" fontId="0" fillId="11" borderId="0" xfId="0" applyFill="1"/>
    <xf numFmtId="165" fontId="2" fillId="11" borderId="0" xfId="1" applyNumberFormat="1" applyFont="1" applyFill="1" applyBorder="1"/>
    <xf numFmtId="10" fontId="11" fillId="0" borderId="0" xfId="0" applyNumberFormat="1" applyFont="1"/>
    <xf numFmtId="0" fontId="11" fillId="0" borderId="4" xfId="0" applyFont="1" applyBorder="1"/>
    <xf numFmtId="0" fontId="1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13.551124081279724</c:v>
                </c:pt>
                <c:pt idx="1">
                  <c:v>45.27502513284503</c:v>
                </c:pt>
                <c:pt idx="2">
                  <c:v>39.513188934162564</c:v>
                </c:pt>
                <c:pt idx="3">
                  <c:v>23.666554709963876</c:v>
                </c:pt>
                <c:pt idx="4">
                  <c:v>13.80142737195634</c:v>
                </c:pt>
                <c:pt idx="5">
                  <c:v>7.2128547421687665</c:v>
                </c:pt>
                <c:pt idx="6">
                  <c:v>3.3843574378240753</c:v>
                </c:pt>
                <c:pt idx="7">
                  <c:v>1.2995526318815915</c:v>
                </c:pt>
                <c:pt idx="8">
                  <c:v>0.5975842339478703</c:v>
                </c:pt>
                <c:pt idx="9">
                  <c:v>0.28566531451751132</c:v>
                </c:pt>
                <c:pt idx="10">
                  <c:v>0.11360685536224358</c:v>
                </c:pt>
                <c:pt idx="11">
                  <c:v>3.9029721132642504E-2</c:v>
                </c:pt>
                <c:pt idx="12">
                  <c:v>2.4132438824267577E-2</c:v>
                </c:pt>
                <c:pt idx="13">
                  <c:v>3.2168821977739175E-2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E-4CFD-AD56-EC8273F7833D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15.755383089222152</c:v>
                </c:pt>
                <c:pt idx="1">
                  <c:v>43.015275202171793</c:v>
                </c:pt>
                <c:pt idx="2">
                  <c:v>39.546172516084297</c:v>
                </c:pt>
                <c:pt idx="3">
                  <c:v>21.648514185827615</c:v>
                </c:pt>
                <c:pt idx="4">
                  <c:v>13.657056145675265</c:v>
                </c:pt>
                <c:pt idx="5">
                  <c:v>8.6687759468900296</c:v>
                </c:pt>
                <c:pt idx="6">
                  <c:v>3.5699400177590928</c:v>
                </c:pt>
                <c:pt idx="7">
                  <c:v>1.1097785812733814</c:v>
                </c:pt>
                <c:pt idx="8">
                  <c:v>0.53791428075655034</c:v>
                </c:pt>
                <c:pt idx="9">
                  <c:v>0.32117380574055915</c:v>
                </c:pt>
                <c:pt idx="10">
                  <c:v>0.11360685536224358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3E-4CFD-AD56-EC8273F7833D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15.176611070451834</c:v>
                </c:pt>
                <c:pt idx="1">
                  <c:v>34.504894880436524</c:v>
                </c:pt>
                <c:pt idx="2">
                  <c:v>40.459378297216134</c:v>
                </c:pt>
                <c:pt idx="3">
                  <c:v>19.764243614931239</c:v>
                </c:pt>
                <c:pt idx="4">
                  <c:v>16.323996640251252</c:v>
                </c:pt>
                <c:pt idx="5">
                  <c:v>8.3968905837489007</c:v>
                </c:pt>
                <c:pt idx="6">
                  <c:v>3.3447329850802361</c:v>
                </c:pt>
                <c:pt idx="7">
                  <c:v>1.2629750957098316</c:v>
                </c:pt>
                <c:pt idx="8">
                  <c:v>0.54730543291859746</c:v>
                </c:pt>
                <c:pt idx="9">
                  <c:v>0.20998110170084691</c:v>
                </c:pt>
                <c:pt idx="10">
                  <c:v>6.5509335080248934E-2</c:v>
                </c:pt>
                <c:pt idx="11">
                  <c:v>0</c:v>
                </c:pt>
                <c:pt idx="12">
                  <c:v>0</c:v>
                </c:pt>
                <c:pt idx="13">
                  <c:v>3.2168821977739175E-2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3E-4CFD-AD56-EC8273F7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F2A-B545-77B2284A4B19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9.9361300008119088E-2</c:v>
                </c:pt>
                <c:pt idx="2">
                  <c:v>0.19805606076978319</c:v>
                </c:pt>
                <c:pt idx="3">
                  <c:v>9.9884125387883688E-2</c:v>
                </c:pt>
                <c:pt idx="4">
                  <c:v>0.20406162345243509</c:v>
                </c:pt>
                <c:pt idx="5">
                  <c:v>0.10223583510831831</c:v>
                </c:pt>
                <c:pt idx="6">
                  <c:v>0.19936366926989341</c:v>
                </c:pt>
                <c:pt idx="7">
                  <c:v>9.9548482558705645E-2</c:v>
                </c:pt>
                <c:pt idx="8">
                  <c:v>0.20492736735553099</c:v>
                </c:pt>
                <c:pt idx="9">
                  <c:v>9.9716806871415486E-2</c:v>
                </c:pt>
                <c:pt idx="10">
                  <c:v>0.19817789260584248</c:v>
                </c:pt>
                <c:pt idx="11">
                  <c:v>0.1003751532344606</c:v>
                </c:pt>
                <c:pt idx="12">
                  <c:v>0.2129982954626817</c:v>
                </c:pt>
                <c:pt idx="13">
                  <c:v>0.11029243644382421</c:v>
                </c:pt>
                <c:pt idx="14">
                  <c:v>0.15829603407083809</c:v>
                </c:pt>
                <c:pt idx="15">
                  <c:v>0.1106548686045858</c:v>
                </c:pt>
                <c:pt idx="16">
                  <c:v>0.17205242713066876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CD-4F2A-B545-77B2284A4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Exposure_quarter!$A$24</c:f>
              <c:strCache>
                <c:ptCount val="1"/>
                <c:pt idx="0">
                  <c:v>Quarter 1 -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Exposure_quarter!$C$24:$R$24</c:f>
              <c:numCache>
                <c:formatCode>0.0</c:formatCode>
                <c:ptCount val="16"/>
                <c:pt idx="0">
                  <c:v>8.9380603319072396</c:v>
                </c:pt>
                <c:pt idx="1">
                  <c:v>35.370738752486581</c:v>
                </c:pt>
                <c:pt idx="2">
                  <c:v>26.895931547537945</c:v>
                </c:pt>
                <c:pt idx="3">
                  <c:v>15.042101534185356</c:v>
                </c:pt>
                <c:pt idx="4">
                  <c:v>7.1472964574269735</c:v>
                </c:pt>
                <c:pt idx="5">
                  <c:v>3.6254402320281747</c:v>
                </c:pt>
                <c:pt idx="6">
                  <c:v>1.3465920861818934</c:v>
                </c:pt>
                <c:pt idx="7">
                  <c:v>0.72508804640563496</c:v>
                </c:pt>
                <c:pt idx="8">
                  <c:v>0.24202526743792052</c:v>
                </c:pt>
                <c:pt idx="9">
                  <c:v>4.8405053487584102E-2</c:v>
                </c:pt>
                <c:pt idx="10">
                  <c:v>4.8405053487584102E-2</c:v>
                </c:pt>
                <c:pt idx="11">
                  <c:v>4.8405053487584102E-2</c:v>
                </c:pt>
                <c:pt idx="12">
                  <c:v>9.2131932927952825E-2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B-4BC6-8483-2D7DE7B73FB1}"/>
            </c:ext>
          </c:extLst>
        </c:ser>
        <c:ser>
          <c:idx val="1"/>
          <c:order val="1"/>
          <c:tx>
            <c:strRef>
              <c:f>Exposure_quarter!$A$25</c:f>
              <c:strCache>
                <c:ptCount val="1"/>
                <c:pt idx="0">
                  <c:v>Quarter 2 - 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Exposure_quarter!$C$25:$R$25</c:f>
              <c:numCache>
                <c:formatCode>0.0</c:formatCode>
                <c:ptCount val="16"/>
                <c:pt idx="0">
                  <c:v>7.1576227390180875</c:v>
                </c:pt>
                <c:pt idx="1">
                  <c:v>52.144702842377264</c:v>
                </c:pt>
                <c:pt idx="2">
                  <c:v>56.434108527131784</c:v>
                </c:pt>
                <c:pt idx="3">
                  <c:v>37.20991823087364</c:v>
                </c:pt>
                <c:pt idx="4">
                  <c:v>23.074121892276626</c:v>
                </c:pt>
                <c:pt idx="5">
                  <c:v>11.222564306286623</c:v>
                </c:pt>
                <c:pt idx="6">
                  <c:v>5.7602542457046377</c:v>
                </c:pt>
                <c:pt idx="7">
                  <c:v>2.190953795218852</c:v>
                </c:pt>
                <c:pt idx="8">
                  <c:v>0.97375724231948979</c:v>
                </c:pt>
                <c:pt idx="9">
                  <c:v>0.43819075904377036</c:v>
                </c:pt>
                <c:pt idx="10">
                  <c:v>4.8687862115974485E-2</c:v>
                </c:pt>
                <c:pt idx="11">
                  <c:v>9.8367106039740304E-2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FB-4BC6-8483-2D7DE7B73FB1}"/>
            </c:ext>
          </c:extLst>
        </c:ser>
        <c:ser>
          <c:idx val="2"/>
          <c:order val="2"/>
          <c:tx>
            <c:strRef>
              <c:f>Exposure_quarter!$A$26</c:f>
              <c:strCache>
                <c:ptCount val="1"/>
                <c:pt idx="0">
                  <c:v>Quarter 3 - 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Exposure_quarter!$C$26:$R$26</c:f>
              <c:numCache>
                <c:formatCode>0.0</c:formatCode>
                <c:ptCount val="16"/>
                <c:pt idx="0">
                  <c:v>1.2891192846759374</c:v>
                </c:pt>
                <c:pt idx="1">
                  <c:v>17.142543679201296</c:v>
                </c:pt>
                <c:pt idx="2">
                  <c:v>26.942333321326945</c:v>
                </c:pt>
                <c:pt idx="3">
                  <c:v>23.304397939703922</c:v>
                </c:pt>
                <c:pt idx="4">
                  <c:v>15.70435471670929</c:v>
                </c:pt>
                <c:pt idx="5">
                  <c:v>8.6806180888232536</c:v>
                </c:pt>
                <c:pt idx="6">
                  <c:v>4.6040515653775325</c:v>
                </c:pt>
                <c:pt idx="7">
                  <c:v>2.2207778138879863</c:v>
                </c:pt>
                <c:pt idx="8">
                  <c:v>0.92081031307550643</c:v>
                </c:pt>
                <c:pt idx="9">
                  <c:v>0.43332250027082658</c:v>
                </c:pt>
                <c:pt idx="10">
                  <c:v>0.39737730975561297</c:v>
                </c:pt>
                <c:pt idx="11">
                  <c:v>0</c:v>
                </c:pt>
                <c:pt idx="12">
                  <c:v>0</c:v>
                </c:pt>
                <c:pt idx="13">
                  <c:v>9.9344327438903243E-2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FB-4BC6-8483-2D7DE7B73FB1}"/>
            </c:ext>
          </c:extLst>
        </c:ser>
        <c:ser>
          <c:idx val="4"/>
          <c:order val="3"/>
          <c:tx>
            <c:strRef>
              <c:f>Exposure_quarter!$A$27</c:f>
              <c:strCache>
                <c:ptCount val="1"/>
                <c:pt idx="0">
                  <c:v>Quarter 4 - all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Exposure_quarter!$C$27:$R$27</c:f>
              <c:numCache>
                <c:formatCode>0.0</c:formatCode>
                <c:ptCount val="16"/>
                <c:pt idx="0">
                  <c:v>37.428129146395399</c:v>
                </c:pt>
                <c:pt idx="1">
                  <c:v>86.264778864399361</c:v>
                </c:pt>
                <c:pt idx="2">
                  <c:v>45.248868778280546</c:v>
                </c:pt>
                <c:pt idx="3">
                  <c:v>20.653919135892572</c:v>
                </c:pt>
                <c:pt idx="4">
                  <c:v>8.6848635235732008</c:v>
                </c:pt>
                <c:pt idx="5">
                  <c:v>4.1600842548709851</c:v>
                </c:pt>
                <c:pt idx="6">
                  <c:v>1.5271195365982095</c:v>
                </c:pt>
                <c:pt idx="7">
                  <c:v>0.31595576619273302</c:v>
                </c:pt>
                <c:pt idx="8">
                  <c:v>0.2632964718272775</c:v>
                </c:pt>
                <c:pt idx="9">
                  <c:v>0.19319938176197834</c:v>
                </c:pt>
                <c:pt idx="10">
                  <c:v>9.6599690880989172E-2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B-4BC6-8483-2D7DE7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IBNR_quarter!$Q$2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5-4B3C-ACA8-2A53754867A1}"/>
            </c:ext>
          </c:extLst>
        </c:ser>
        <c:ser>
          <c:idx val="1"/>
          <c:order val="1"/>
          <c:tx>
            <c:strRef>
              <c:f>IBNR_quarter!$T$2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IBNR_quarter!$T$3:$T$19</c:f>
              <c:numCache>
                <c:formatCode>0.00%</c:formatCode>
                <c:ptCount val="17"/>
                <c:pt idx="1">
                  <c:v>9.9345886269687558E-2</c:v>
                </c:pt>
                <c:pt idx="2">
                  <c:v>0.19804862387878727</c:v>
                </c:pt>
                <c:pt idx="3">
                  <c:v>0.10005859625634553</c:v>
                </c:pt>
                <c:pt idx="4">
                  <c:v>0.20417866426939604</c:v>
                </c:pt>
                <c:pt idx="5">
                  <c:v>0.10222042136988678</c:v>
                </c:pt>
                <c:pt idx="6">
                  <c:v>0.1993567806924543</c:v>
                </c:pt>
                <c:pt idx="7">
                  <c:v>0.10004325792074702</c:v>
                </c:pt>
                <c:pt idx="8">
                  <c:v>0.20495592568920346</c:v>
                </c:pt>
                <c:pt idx="9">
                  <c:v>9.9098117925412565E-2</c:v>
                </c:pt>
                <c:pt idx="10">
                  <c:v>0.19940592340934266</c:v>
                </c:pt>
                <c:pt idx="11">
                  <c:v>0.10375709148145131</c:v>
                </c:pt>
                <c:pt idx="12">
                  <c:v>0.20677819622759927</c:v>
                </c:pt>
                <c:pt idx="13">
                  <c:v>9.6819972136033161E-2</c:v>
                </c:pt>
                <c:pt idx="14">
                  <c:v>0.18872572928756673</c:v>
                </c:pt>
                <c:pt idx="15">
                  <c:v>0.1044744851598884</c:v>
                </c:pt>
                <c:pt idx="16">
                  <c:v>0.20442856204880419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5-4B3C-ACA8-2A537548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D2-4F73-9D2C-A7A5956DED79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D2-4F73-9D2C-A7A5956DED79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D2-4F73-9D2C-A7A5956D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30B-46D6-BB59-0C867D707467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30B-46D6-BB59-0C867D70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B1-4247-978A-5C29C0E54C7A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0.19938454845974149</c:v>
                </c:pt>
                <c:pt idx="7">
                  <c:v>9.9468496096252787E-2</c:v>
                </c:pt>
                <c:pt idx="8">
                  <c:v>0.20509214971465525</c:v>
                </c:pt>
                <c:pt idx="9">
                  <c:v>9.9363121731048984E-2</c:v>
                </c:pt>
                <c:pt idx="10">
                  <c:v>0.19914166407258768</c:v>
                </c:pt>
                <c:pt idx="11">
                  <c:v>9.8380721970887541E-2</c:v>
                </c:pt>
                <c:pt idx="12">
                  <c:v>0.21918717054413117</c:v>
                </c:pt>
                <c:pt idx="13">
                  <c:v>0.10162103156364463</c:v>
                </c:pt>
                <c:pt idx="14">
                  <c:v>0.16269464544472143</c:v>
                </c:pt>
                <c:pt idx="15">
                  <c:v>5.1855113650141081E-2</c:v>
                </c:pt>
                <c:pt idx="16">
                  <c:v>0.43782086630014561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B1-4247-978A-5C29C0E54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AE-4DF3-BFF6-8D5A218980B3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9.9349277561634794E-2</c:v>
                </c:pt>
                <c:pt idx="2">
                  <c:v>0.19804406704747146</c:v>
                </c:pt>
                <c:pt idx="3">
                  <c:v>9.9917863481779473E-2</c:v>
                </c:pt>
                <c:pt idx="4">
                  <c:v>0.20404535134191928</c:v>
                </c:pt>
                <c:pt idx="5">
                  <c:v>0.10222471144377437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0.20477554339577092</c:v>
                </c:pt>
                <c:pt idx="9">
                  <c:v>9.9240122854015511E-2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0.20696395562157352</c:v>
                </c:pt>
                <c:pt idx="13">
                  <c:v>9.6181432576190065E-2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0.20099136555970062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AE-4DF3-BFF6-8D5A21898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4778C-567E-4373-B43C-9EC179F9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AC430-3B07-4449-8052-E784B6629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368300</xdr:colOff>
      <xdr:row>12</xdr:row>
      <xdr:rowOff>171450</xdr:rowOff>
    </xdr:from>
    <xdr:to>
      <xdr:col>29</xdr:col>
      <xdr:colOff>482600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D6E47-1555-4662-9C41-6DB424659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</xdr:row>
      <xdr:rowOff>79375</xdr:rowOff>
    </xdr:from>
    <xdr:to>
      <xdr:col>27</xdr:col>
      <xdr:colOff>123825</xdr:colOff>
      <xdr:row>21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BDF6C-56A6-4EED-BF1F-95EBB80AA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019BB-DA6E-4128-A9F7-DE93D9CE0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5C585-C5A1-47C1-B2C2-D818CC761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06BD0-93D6-4245-A685-7CA1061B0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D1B97-0E9D-4FA2-B9F5-99D6D741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 Ming Lee" id="{6C9A89E2-C556-4F13-A1C5-5599788AEDCE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4-07-07T17:45:43.52" personId="{6C9A89E2-C556-4F13-A1C5-5599788AEDCE}" id="{2A29BD34-3948-46CE-B809-C64F8F1DBC24}">
    <text>Here, the projection is less than the actual claims we had. To be conservative, we choose the larger one.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9392-F963-4C4E-8A46-1032C7F36206}">
  <dimension ref="A1:Q16"/>
  <sheetViews>
    <sheetView workbookViewId="0">
      <selection activeCell="P35" sqref="P35"/>
    </sheetView>
  </sheetViews>
  <sheetFormatPr defaultRowHeight="15" x14ac:dyDescent="0.25"/>
  <sheetData>
    <row r="1" spans="1:17" x14ac:dyDescent="0.25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5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E46-9BB1-4BDD-B67D-75731F9570E6}">
  <dimension ref="A1:S49"/>
  <sheetViews>
    <sheetView tabSelected="1" topLeftCell="A6" workbookViewId="0">
      <selection activeCell="F28" sqref="F28"/>
    </sheetView>
  </sheetViews>
  <sheetFormatPr defaultColWidth="11.42578125" defaultRowHeight="15" x14ac:dyDescent="0.25"/>
  <cols>
    <col min="3" max="18" width="6.7109375" customWidth="1"/>
  </cols>
  <sheetData>
    <row r="1" spans="1:19" ht="15.75" x14ac:dyDescent="0.25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5.75" x14ac:dyDescent="0.25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5.75" x14ac:dyDescent="0.25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5.75" x14ac:dyDescent="0.25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5.75" x14ac:dyDescent="0.25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5.75" x14ac:dyDescent="0.25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5.75" x14ac:dyDescent="0.25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5.75" x14ac:dyDescent="0.25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5.75" x14ac:dyDescent="0.25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5.75" x14ac:dyDescent="0.25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5.75" x14ac:dyDescent="0.25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5.75" x14ac:dyDescent="0.25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5.75" x14ac:dyDescent="0.25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5.75" x14ac:dyDescent="0.25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.75" x14ac:dyDescent="0.25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.75" x14ac:dyDescent="0.25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.75" x14ac:dyDescent="0.25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17</v>
      </c>
      <c r="B24" s="1"/>
      <c r="C24" s="9" cm="1">
        <f t="array" ref="C24">SUMPRODUCT(C4:C19,$B4:$B19/SUM($B4:$B19))</f>
        <v>13.551124081279724</v>
      </c>
      <c r="D24" s="9" cm="1">
        <f t="array" ref="D24">SUMPRODUCT(D4:D18,$B4:$B18/SUM($B4:$B18))</f>
        <v>45.27502513284503</v>
      </c>
      <c r="E24" s="9" cm="1">
        <f t="array" ref="E24">SUMPRODUCT(E4:E17,$B4:$B17/SUM($B4:$B17))</f>
        <v>39.513188934162564</v>
      </c>
      <c r="F24" s="9" cm="1">
        <f t="array" ref="F24">SUMPRODUCT(F4:F16,$B4:$B16/SUM($B4:$B16))</f>
        <v>23.666554709963876</v>
      </c>
      <c r="G24" s="9" cm="1">
        <f t="array" ref="G24">SUMPRODUCT(G4:G15,$B4:$B15/SUM($B4:$B15))</f>
        <v>13.80142737195634</v>
      </c>
      <c r="H24" s="9" cm="1">
        <f t="array" ref="H24">SUMPRODUCT(H4:H14,$B4:$B14/SUM($B4:$B14))</f>
        <v>7.2128547421687665</v>
      </c>
      <c r="I24" s="9" cm="1">
        <f t="array" ref="I24">SUMPRODUCT(I4:I13,$B4:$B13/SUM($B4:$B13))</f>
        <v>3.3843574378240753</v>
      </c>
      <c r="J24" s="9" cm="1">
        <f t="array" ref="J24">SUMPRODUCT(J4:J12,$B4:$B12/SUM($B4:$B12))</f>
        <v>1.2995526318815915</v>
      </c>
      <c r="K24" s="9" cm="1">
        <f t="array" ref="K24">SUMPRODUCT(K4:K11,$B4:$B11/SUM($B4:$B11))</f>
        <v>0.5975842339478703</v>
      </c>
      <c r="L24" s="9" cm="1">
        <f t="array" ref="L24">SUMPRODUCT(L4:L10,$B4:$B10/SUM($B4:$B10))</f>
        <v>0.28566531451751132</v>
      </c>
      <c r="M24" s="9" cm="1">
        <f t="array" ref="M24">SUMPRODUCT(M4:M9,$B4:$B9/SUM($B4:$B9))</f>
        <v>0.11360685536224358</v>
      </c>
      <c r="N24" s="9" cm="1">
        <f t="array" ref="N24">SUMPRODUCT(N4:N8,$B4:$B8/SUM($B4:$B8))</f>
        <v>3.9029721132642504E-2</v>
      </c>
      <c r="O24" s="9" cm="1">
        <f t="array" ref="O24">SUMPRODUCT(O4:O7,$B4:$B7/SUM($B4:$B7))</f>
        <v>2.4132438824267577E-2</v>
      </c>
      <c r="P24" s="9" cm="1">
        <f t="array" ref="P24">SUMPRODUCT(P4:P6,$B4:$B6/SUM($B4:$B6))</f>
        <v>3.2168821977739175E-2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5.75" x14ac:dyDescent="0.25">
      <c r="A26" s="1" t="s">
        <v>16</v>
      </c>
      <c r="B26" s="1"/>
      <c r="C26" s="11" cm="1">
        <f t="array" ref="C26">SUMPRODUCT(C14:C19,$B14:$B19/SUM($B14:$B19))</f>
        <v>15.755383089222152</v>
      </c>
      <c r="D26" s="11" cm="1">
        <f t="array" ref="D26">SUMPRODUCT(D13:D18,$B13:$B18/SUM($B13:$B18))</f>
        <v>43.015275202171793</v>
      </c>
      <c r="E26" s="11" cm="1">
        <f t="array" ref="E26">SUMPRODUCT(E12:E17,$B12:$B17/SUM($B12:$B17))</f>
        <v>39.546172516084297</v>
      </c>
      <c r="F26" s="11" cm="1">
        <f t="array" ref="F26">SUMPRODUCT(F11:F16,$B11:$B16/SUM($B11:$B16))</f>
        <v>21.648514185827615</v>
      </c>
      <c r="G26" s="11" cm="1">
        <f t="array" ref="G26">SUMPRODUCT(G10:G15,$B10:$B15/SUM($B10:$B15))</f>
        <v>13.657056145675265</v>
      </c>
      <c r="H26" s="11" cm="1">
        <f t="array" ref="H26">SUMPRODUCT(H9:H14,$B9:$B14/SUM($B9:$B14))</f>
        <v>8.6687759468900296</v>
      </c>
      <c r="I26" s="11" cm="1">
        <f t="array" ref="I26">SUMPRODUCT(I8:I13,$B8:$B13/SUM($B8:$B13))</f>
        <v>3.5699400177590928</v>
      </c>
      <c r="J26" s="11" cm="1">
        <f t="array" ref="J26">SUMPRODUCT(J7:J12,$B7:$B12/SUM($B7:$B12))</f>
        <v>1.1097785812733814</v>
      </c>
      <c r="K26" s="11" cm="1">
        <f t="array" ref="K26">SUMPRODUCT(K6:K11,$B6:$B11/SUM($B6:$B11))</f>
        <v>0.53791428075655034</v>
      </c>
      <c r="L26" s="11" cm="1">
        <f t="array" ref="L26">SUMPRODUCT(L5:L10,$B5:$B10/SUM($B5:$B10))</f>
        <v>0.32117380574055915</v>
      </c>
      <c r="M26" s="11" cm="1">
        <f t="array" ref="M26">SUMPRODUCT(M4:M9,$B4:$B9/SUM($B4:$B9))</f>
        <v>0.11360685536224358</v>
      </c>
      <c r="N26" s="6"/>
      <c r="O26" s="6"/>
      <c r="P26" s="6"/>
      <c r="Q26" s="6"/>
      <c r="R26" s="6"/>
    </row>
    <row r="27" spans="1:1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5.75" x14ac:dyDescent="0.25">
      <c r="A28" s="1" t="s">
        <v>15</v>
      </c>
      <c r="B28" s="1"/>
      <c r="C28" s="10">
        <f>SUMPRODUCT(C17:C19,$B17:$B19)/SUM($B17:$B19)</f>
        <v>15.176611070451834</v>
      </c>
      <c r="D28" s="10">
        <f>SUMPRODUCT(D16:D18,$B16:$B18)/SUM($B16:$B18)</f>
        <v>34.504894880436524</v>
      </c>
      <c r="E28" s="10">
        <f>SUMPRODUCT(E15:E17,$B15:$B17)/SUM($B15:$B17)</f>
        <v>40.459378297216134</v>
      </c>
      <c r="F28" s="10">
        <f>SUMPRODUCT(F14:F16,$B14:$B16)/SUM($B14:$B16)</f>
        <v>19.764243614931239</v>
      </c>
      <c r="G28" s="10">
        <f>SUMPRODUCT(G13:G15,$B13:$B15)/SUM($B13:$B15)</f>
        <v>16.323996640251252</v>
      </c>
      <c r="H28" s="10">
        <f>SUMPRODUCT(H12:H14,$B12:$B14)/SUM($B12:$B14)</f>
        <v>8.3968905837489007</v>
      </c>
      <c r="I28" s="10">
        <f>SUMPRODUCT(I11:I13,$B11:$B13)/SUM($B11:$B13)</f>
        <v>3.3447329850802361</v>
      </c>
      <c r="J28" s="10">
        <f>SUMPRODUCT(J10:J12,$B10:$B12)/SUM($B10:$B12)</f>
        <v>1.2629750957098316</v>
      </c>
      <c r="K28" s="10">
        <f>SUMPRODUCT(K9:K11,$B9:$B11)/SUM($B9:$B11)</f>
        <v>0.54730543291859746</v>
      </c>
      <c r="L28" s="10">
        <f>SUMPRODUCT(L8:L10,$B8:$B10)/SUM($B8:$B10)</f>
        <v>0.20998110170084691</v>
      </c>
      <c r="M28" s="10">
        <f>SUMPRODUCT(M7:M9,$B7:$B9)/SUM($B7:$B9)</f>
        <v>6.5509335080248934E-2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3.2168821977739175E-2</v>
      </c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5.75" x14ac:dyDescent="0.25">
      <c r="A31" s="1" t="s">
        <v>13</v>
      </c>
      <c r="B31" s="1"/>
      <c r="C31" s="9">
        <f t="shared" ref="C31:R31" si="0">C24</f>
        <v>13.551124081279724</v>
      </c>
      <c r="D31" s="9">
        <f t="shared" si="0"/>
        <v>45.27502513284503</v>
      </c>
      <c r="E31" s="9">
        <f t="shared" si="0"/>
        <v>39.513188934162564</v>
      </c>
      <c r="F31" s="9">
        <f t="shared" si="0"/>
        <v>23.666554709963876</v>
      </c>
      <c r="G31" s="9">
        <f t="shared" si="0"/>
        <v>13.80142737195634</v>
      </c>
      <c r="H31" s="9">
        <f t="shared" si="0"/>
        <v>7.2128547421687665</v>
      </c>
      <c r="I31" s="9">
        <f t="shared" si="0"/>
        <v>3.3843574378240753</v>
      </c>
      <c r="J31" s="9">
        <f t="shared" si="0"/>
        <v>1.2995526318815915</v>
      </c>
      <c r="K31" s="9">
        <f t="shared" si="0"/>
        <v>0.5975842339478703</v>
      </c>
      <c r="L31" s="9">
        <f t="shared" si="0"/>
        <v>0.28566531451751132</v>
      </c>
      <c r="M31" s="9">
        <f t="shared" si="0"/>
        <v>0.11360685536224358</v>
      </c>
      <c r="N31" s="9">
        <f t="shared" si="0"/>
        <v>3.9029721132642504E-2</v>
      </c>
      <c r="O31" s="9">
        <f t="shared" si="0"/>
        <v>2.4132438824267577E-2</v>
      </c>
      <c r="P31" s="9">
        <f t="shared" si="0"/>
        <v>3.2168821977739175E-2</v>
      </c>
      <c r="Q31" s="9">
        <f t="shared" si="0"/>
        <v>0</v>
      </c>
      <c r="R31" s="9">
        <f t="shared" si="0"/>
        <v>0</v>
      </c>
    </row>
    <row r="32" spans="1:18" ht="15.75" x14ac:dyDescent="0.25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5.75" x14ac:dyDescent="0.25">
      <c r="A34" s="3" t="s">
        <v>13</v>
      </c>
      <c r="B34" s="3"/>
      <c r="C34" s="9">
        <f t="shared" ref="C34:J34" si="1">C31</f>
        <v>13.551124081279724</v>
      </c>
      <c r="D34" s="9">
        <f t="shared" si="1"/>
        <v>45.27502513284503</v>
      </c>
      <c r="E34" s="9">
        <f t="shared" si="1"/>
        <v>39.513188934162564</v>
      </c>
      <c r="F34" s="9">
        <f t="shared" si="1"/>
        <v>23.666554709963876</v>
      </c>
      <c r="G34" s="9">
        <f t="shared" si="1"/>
        <v>13.80142737195634</v>
      </c>
      <c r="H34" s="9">
        <f t="shared" si="1"/>
        <v>7.2128547421687665</v>
      </c>
      <c r="I34" s="9">
        <f t="shared" si="1"/>
        <v>3.3843574378240753</v>
      </c>
      <c r="J34" s="9">
        <f t="shared" si="1"/>
        <v>1.2995526318815915</v>
      </c>
      <c r="K34" s="8">
        <f>K43</f>
        <v>0.59586687721253218</v>
      </c>
      <c r="L34" s="8">
        <f>L43</f>
        <v>0.2664270293640103</v>
      </c>
      <c r="M34" s="8">
        <f>M43</f>
        <v>0.11912620870586346</v>
      </c>
      <c r="N34" s="8">
        <f>N43</f>
        <v>5.3264316441573117E-2</v>
      </c>
      <c r="O34" s="7">
        <f>C48</f>
        <v>4.3076311785932013E-2</v>
      </c>
      <c r="P34" s="6"/>
      <c r="Q34" s="6"/>
      <c r="R34" s="6"/>
    </row>
    <row r="35" spans="1:18" ht="15.75" x14ac:dyDescent="0.25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5.75" x14ac:dyDescent="0.25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5.75" x14ac:dyDescent="0.25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5.75" x14ac:dyDescent="0.25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0.26202007591955528</v>
      </c>
      <c r="K40" s="1">
        <f>LN(K31)</f>
        <v>-0.51486002779422824</v>
      </c>
      <c r="L40" s="1">
        <f>LN(L31)</f>
        <v>-1.252934382374598</v>
      </c>
      <c r="M40" s="1">
        <f>LN(M31)</f>
        <v>-2.1750114280172399</v>
      </c>
      <c r="N40" s="1"/>
    </row>
    <row r="41" spans="1:18" ht="15.75" x14ac:dyDescent="0.25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5.75" x14ac:dyDescent="0.25">
      <c r="A42" s="1" t="s">
        <v>7</v>
      </c>
      <c r="B42" s="1"/>
      <c r="C42" s="1" cm="1">
        <f t="array" ref="C42">SLOPE(J40:M40,J2:M2-8)</f>
        <v>-0.80491688663907546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0.28717888939198555</v>
      </c>
      <c r="K42" s="1" cm="1">
        <f t="array" ref="K42">_xlfn.FORECAST.LINEAR(K2-8,$J40:$M40,$J2:$M2-8)</f>
        <v>-0.51773799724708991</v>
      </c>
      <c r="L42" s="1" cm="1">
        <f t="array" ref="L42">_xlfn.FORECAST.LINEAR(L2-8,$J40:$M40,$J2:$M2-8)</f>
        <v>-1.3226548838861654</v>
      </c>
      <c r="M42" s="1" cm="1">
        <f t="array" ref="M42">_xlfn.FORECAST.LINEAR(M2-8,$J40:$M40,$J2:$M2-8)</f>
        <v>-2.1275717705252406</v>
      </c>
      <c r="N42" s="1" cm="1">
        <f t="array" ref="N42">_xlfn.FORECAST.LINEAR(N2-8,$J40:$M40,$J2:$M2-8)</f>
        <v>-2.9324886571643161</v>
      </c>
    </row>
    <row r="43" spans="1:18" ht="15.75" x14ac:dyDescent="0.25">
      <c r="A43" s="1" t="s">
        <v>5</v>
      </c>
      <c r="B43" s="1"/>
      <c r="C43" s="1" cm="1">
        <f t="array" ref="C43">INTERCEPT(J40:M40,J2:M2-8)</f>
        <v>-0.51773799724708991</v>
      </c>
      <c r="D43" s="1"/>
      <c r="E43" s="1"/>
      <c r="F43" s="1" t="s">
        <v>4</v>
      </c>
      <c r="G43" s="1"/>
      <c r="H43" s="1"/>
      <c r="I43" s="1"/>
      <c r="J43" s="4">
        <f>EXP(J42)</f>
        <v>1.3326625913540926</v>
      </c>
      <c r="K43" s="4">
        <f>EXP(K42)</f>
        <v>0.59586687721253218</v>
      </c>
      <c r="L43" s="4">
        <f>EXP(L42)</f>
        <v>0.2664270293640103</v>
      </c>
      <c r="M43" s="4">
        <f>EXP(M42)</f>
        <v>0.11912620870586346</v>
      </c>
      <c r="N43" s="4">
        <f>EXP(N42)</f>
        <v>5.3264316441573117E-2</v>
      </c>
    </row>
    <row r="44" spans="1:1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5.75" x14ac:dyDescent="0.25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5.75" x14ac:dyDescent="0.25">
      <c r="A46" s="1" t="s">
        <v>2</v>
      </c>
      <c r="B46" s="1"/>
      <c r="C46" s="1">
        <f>EXP(C43)</f>
        <v>0.59586687721253218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5.75" x14ac:dyDescent="0.25">
      <c r="A47" s="1" t="s">
        <v>1</v>
      </c>
      <c r="B47" s="1"/>
      <c r="C47" s="1">
        <f>EXP(C42)</f>
        <v>0.44712508708380821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5.75" x14ac:dyDescent="0.25">
      <c r="A48" s="1" t="s">
        <v>0</v>
      </c>
      <c r="B48" s="1"/>
      <c r="C48" s="2">
        <f>C46*C47^(12-8)/(1-C47)</f>
        <v>4.3076311785932013E-2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511-CD89-4704-8C13-D496E0EDB738}">
  <dimension ref="A1:AA42"/>
  <sheetViews>
    <sheetView topLeftCell="H1" workbookViewId="0">
      <selection activeCell="B26" sqref="B26"/>
    </sheetView>
  </sheetViews>
  <sheetFormatPr defaultColWidth="11.42578125" defaultRowHeight="15" x14ac:dyDescent="0.25"/>
  <cols>
    <col min="3" max="3" width="6.5703125" customWidth="1"/>
    <col min="4" max="4" width="12.140625" bestFit="1" customWidth="1"/>
    <col min="5" max="5" width="7.42578125" customWidth="1"/>
    <col min="6" max="6" width="8.140625" customWidth="1"/>
    <col min="7" max="7" width="9" customWidth="1"/>
    <col min="8" max="14" width="6.42578125" customWidth="1"/>
    <col min="15" max="15" width="12.140625" bestFit="1" customWidth="1"/>
  </cols>
  <sheetData>
    <row r="1" spans="1:20" ht="15.75" x14ac:dyDescent="0.25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5.75" x14ac:dyDescent="0.25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5.75" x14ac:dyDescent="0.25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28">
        <f>$B4*Exposure!O$34/1000</f>
        <v>0.46755028812450611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0.46755028812458477</v>
      </c>
      <c r="S4" s="20">
        <f t="shared" ref="S4:S19" si="2">SUM(C4:O4)</f>
        <v>1078.4675502881246</v>
      </c>
      <c r="T4" s="26">
        <f t="shared" ref="T4:T19" si="3">S4/B4</f>
        <v>9.9361300008119088E-2</v>
      </c>
    </row>
    <row r="5" spans="1:20" ht="15.75" x14ac:dyDescent="0.25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$B5*Exposure!O$34/1000</f>
        <v>0.43791378561578481</v>
      </c>
      <c r="P5" s="27">
        <f>SUM(C5:N5)</f>
        <v>2013</v>
      </c>
      <c r="Q5" s="26">
        <f t="shared" si="0"/>
        <v>0.19801298445799725</v>
      </c>
      <c r="R5" s="20">
        <f t="shared" si="1"/>
        <v>0.43791378561581951</v>
      </c>
      <c r="S5" s="20">
        <f t="shared" si="2"/>
        <v>2013.4379137856158</v>
      </c>
      <c r="T5" s="26">
        <f t="shared" si="3"/>
        <v>0.19805606076978319</v>
      </c>
    </row>
    <row r="6" spans="1:20" ht="15.75" x14ac:dyDescent="0.25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28">
        <f>$B6*Exposure!O$34/1000</f>
        <v>0.43360615443719164</v>
      </c>
      <c r="P6" s="27">
        <f>SUM(C6:N6)</f>
        <v>1005</v>
      </c>
      <c r="Q6" s="26">
        <f t="shared" si="0"/>
        <v>9.9841049076097754E-2</v>
      </c>
      <c r="R6" s="20">
        <f t="shared" si="1"/>
        <v>0.43360615443714323</v>
      </c>
      <c r="S6" s="20">
        <f t="shared" si="2"/>
        <v>1005.4336061544371</v>
      </c>
      <c r="T6" s="26">
        <f t="shared" si="3"/>
        <v>9.9884125387883688E-2</v>
      </c>
    </row>
    <row r="7" spans="1:20" ht="15.75" x14ac:dyDescent="0.25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$B7*Exposure!O$34/1000</f>
        <v>0.4459259796079682</v>
      </c>
      <c r="P7" s="27">
        <f>SUM(C7:N7)</f>
        <v>2112</v>
      </c>
      <c r="Q7" s="26">
        <f t="shared" si="0"/>
        <v>0.20401854714064915</v>
      </c>
      <c r="R7" s="20">
        <f t="shared" si="1"/>
        <v>0.44592597960809144</v>
      </c>
      <c r="S7" s="20">
        <f t="shared" si="2"/>
        <v>2112.4459259796081</v>
      </c>
      <c r="T7" s="26">
        <f t="shared" si="3"/>
        <v>0.20406162345243509</v>
      </c>
    </row>
    <row r="8" spans="1:20" ht="15.75" x14ac:dyDescent="0.25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$B8*Exposure!O$34/1000</f>
        <v>0.42236323706106338</v>
      </c>
      <c r="P8" s="27">
        <f>SUM(C8:N8)</f>
        <v>1002</v>
      </c>
      <c r="Q8" s="26">
        <f t="shared" si="0"/>
        <v>0.10219275879653238</v>
      </c>
      <c r="R8" s="20">
        <f t="shared" si="1"/>
        <v>0.42236323706106305</v>
      </c>
      <c r="S8" s="20">
        <f t="shared" si="2"/>
        <v>1002.4223632370611</v>
      </c>
      <c r="T8" s="26">
        <f t="shared" si="3"/>
        <v>0.10223583510831831</v>
      </c>
    </row>
    <row r="9" spans="1:20" ht="15.75" x14ac:dyDescent="0.25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$B9*Exposure!N$34/1000</f>
        <v>0.552510754448438</v>
      </c>
      <c r="O9" s="28">
        <f>$B9*Exposure!O$34/1000</f>
        <v>0.44683058215547278</v>
      </c>
      <c r="P9" s="27">
        <f>SUM(C9:M9)</f>
        <v>2067</v>
      </c>
      <c r="Q9" s="26">
        <f t="shared" si="0"/>
        <v>0.19926732864166585</v>
      </c>
      <c r="R9" s="20">
        <f t="shared" si="1"/>
        <v>0.99934133660417501</v>
      </c>
      <c r="S9" s="20">
        <f t="shared" si="2"/>
        <v>2067.9993413366042</v>
      </c>
      <c r="T9" s="26">
        <f t="shared" si="3"/>
        <v>0.19936366926989341</v>
      </c>
    </row>
    <row r="10" spans="1:20" ht="15.75" x14ac:dyDescent="0.25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$B10*Exposure!M$34/1000</f>
        <v>1.0001836482944297</v>
      </c>
      <c r="N10" s="28">
        <f>$B10*Exposure!N$34/1000</f>
        <v>0.44720720084344789</v>
      </c>
      <c r="O10" s="28">
        <f>$B10*Exposure!O$34/1000</f>
        <v>0.36166871375468518</v>
      </c>
      <c r="P10" s="27">
        <f>SUM(C10:L10)</f>
        <v>834</v>
      </c>
      <c r="Q10" s="26">
        <f t="shared" si="0"/>
        <v>9.9333015721772278E-2</v>
      </c>
      <c r="R10" s="20">
        <f t="shared" si="1"/>
        <v>1.8090595628925712</v>
      </c>
      <c r="S10" s="20">
        <f t="shared" si="2"/>
        <v>835.80905956289257</v>
      </c>
      <c r="T10" s="26">
        <f t="shared" si="3"/>
        <v>9.9548482558705645E-2</v>
      </c>
    </row>
    <row r="11" spans="1:20" ht="15.75" x14ac:dyDescent="0.25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$B11*Exposure!L$34/1000</f>
        <v>2.301396679646321</v>
      </c>
      <c r="M11" s="28">
        <f>$B11*Exposure!M$34/1000</f>
        <v>1.0290121908012486</v>
      </c>
      <c r="N11" s="28">
        <f>$B11*Exposure!N$34/1000</f>
        <v>0.46009716542230861</v>
      </c>
      <c r="O11" s="28">
        <f>$B11*Exposure!O$34/1000</f>
        <v>0.37209318120688073</v>
      </c>
      <c r="P11" s="27">
        <f>SUM(C11:K11)</f>
        <v>1766</v>
      </c>
      <c r="Q11" s="26">
        <f t="shared" si="0"/>
        <v>0.20444547348923361</v>
      </c>
      <c r="R11" s="20">
        <f t="shared" si="1"/>
        <v>4.1625992170768313</v>
      </c>
      <c r="S11" s="20">
        <f t="shared" si="2"/>
        <v>1770.1625992170768</v>
      </c>
      <c r="T11" s="26">
        <f t="shared" si="3"/>
        <v>0.20492736735553099</v>
      </c>
    </row>
    <row r="12" spans="1:20" ht="15.75" x14ac:dyDescent="0.25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$B12*Exposure!K$34/1000</f>
        <v>4.9474826814956554</v>
      </c>
      <c r="L12" s="28">
        <f>$B12*Exposure!L$34/1000</f>
        <v>2.2121436248093773</v>
      </c>
      <c r="M12" s="28">
        <f>$B12*Exposure!M$34/1000</f>
        <v>0.98910491088478436</v>
      </c>
      <c r="N12" s="28">
        <f>$B12*Exposure!N$34/1000</f>
        <v>0.44225361941438163</v>
      </c>
      <c r="O12" s="28">
        <f>$B12*Exposure!O$34/1000</f>
        <v>0.35766261675859351</v>
      </c>
      <c r="P12" s="27">
        <f>SUM(C12:J12)</f>
        <v>819</v>
      </c>
      <c r="Q12" s="26">
        <f t="shared" si="0"/>
        <v>9.8639046127905583E-2</v>
      </c>
      <c r="R12" s="20">
        <f t="shared" si="1"/>
        <v>8.9486474533628098</v>
      </c>
      <c r="S12" s="20">
        <f t="shared" si="2"/>
        <v>827.94864745336281</v>
      </c>
      <c r="T12" s="26">
        <f t="shared" si="3"/>
        <v>9.9716806871415486E-2</v>
      </c>
    </row>
    <row r="13" spans="1:20" ht="15.75" x14ac:dyDescent="0.25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$B13*Exposure!J$34/1000</f>
        <v>12.564074845031227</v>
      </c>
      <c r="K13" s="28">
        <f>$B13*Exposure!K$34/1000</f>
        <v>5.7608409688907614</v>
      </c>
      <c r="L13" s="28">
        <f>$B13*Exposure!L$34/1000</f>
        <v>2.5758165198912515</v>
      </c>
      <c r="M13" s="28">
        <f>$B13*Exposure!M$34/1000</f>
        <v>1.1517121857682879</v>
      </c>
      <c r="N13" s="28">
        <f>$B13*Exposure!N$34/1000</f>
        <v>0.51495941135712897</v>
      </c>
      <c r="O13" s="28">
        <f>$B13*Exposure!O$34/1000</f>
        <v>0.4164617823463907</v>
      </c>
      <c r="P13" s="27">
        <f>SUM(C13:I13)</f>
        <v>1893</v>
      </c>
      <c r="Q13" s="26">
        <f t="shared" si="0"/>
        <v>0.19580057923045097</v>
      </c>
      <c r="R13" s="20">
        <f t="shared" si="1"/>
        <v>22.983865713285013</v>
      </c>
      <c r="S13" s="20">
        <f t="shared" si="2"/>
        <v>1915.983865713285</v>
      </c>
      <c r="T13" s="26">
        <f t="shared" si="3"/>
        <v>0.19817789260584248</v>
      </c>
    </row>
    <row r="14" spans="1:20" ht="15.75" x14ac:dyDescent="0.25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$B14*Exposure!I$34/1000</f>
        <v>31.477908529201724</v>
      </c>
      <c r="J14" s="28">
        <f>$B14*Exposure!J$34/1000</f>
        <v>12.087139029130684</v>
      </c>
      <c r="K14" s="28">
        <f>$B14*Exposure!K$34/1000</f>
        <v>5.5421578249537617</v>
      </c>
      <c r="L14" s="28">
        <f>$B14*Exposure!L$34/1000</f>
        <v>2.4780378001146599</v>
      </c>
      <c r="M14" s="28">
        <f>$B14*Exposure!M$34/1000</f>
        <v>1.1079928671732362</v>
      </c>
      <c r="N14" s="28">
        <f>$B14*Exposure!N$34/1000</f>
        <v>0.49541140722307159</v>
      </c>
      <c r="O14" s="28">
        <f>$B14*Exposure!O$34/1000</f>
        <v>0.40065277592095366</v>
      </c>
      <c r="P14" s="27">
        <f>SUM(C14:H14)</f>
        <v>880</v>
      </c>
      <c r="Q14" s="26">
        <f t="shared" si="0"/>
        <v>9.4613482421245024E-2</v>
      </c>
      <c r="R14" s="20">
        <f t="shared" si="1"/>
        <v>53.589300233718063</v>
      </c>
      <c r="S14" s="20">
        <f t="shared" si="2"/>
        <v>933.58930023371806</v>
      </c>
      <c r="T14" s="26">
        <f t="shared" si="3"/>
        <v>0.1003751532344606</v>
      </c>
    </row>
    <row r="15" spans="1:20" ht="15.75" x14ac:dyDescent="0.25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$B15*Exposure!H$34/1000</f>
        <v>60.688959800608004</v>
      </c>
      <c r="I15" s="28">
        <f>$B15*Exposure!I$34/1000</f>
        <v>28.47598348185177</v>
      </c>
      <c r="J15" s="28">
        <f>$B15*Exposure!J$34/1000</f>
        <v>10.934435844651711</v>
      </c>
      <c r="K15" s="28">
        <f>$B15*Exposure!K$34/1000</f>
        <v>5.0136239048662459</v>
      </c>
      <c r="L15" s="28">
        <f>$B15*Exposure!L$34/1000</f>
        <v>2.2417170250687826</v>
      </c>
      <c r="M15" s="28">
        <f>$B15*Exposure!M$34/1000</f>
        <v>1.0023279200511352</v>
      </c>
      <c r="N15" s="28">
        <f>$B15*Exposure!N$34/1000</f>
        <v>0.44816595853939623</v>
      </c>
      <c r="O15" s="28">
        <f>$B15*Exposure!O$34/1000</f>
        <v>0.36244408736683198</v>
      </c>
      <c r="P15" s="27">
        <f>SUM(C15:G15)</f>
        <v>1683</v>
      </c>
      <c r="Q15" s="26">
        <f t="shared" si="0"/>
        <v>0.20002376990729737</v>
      </c>
      <c r="R15" s="20">
        <f t="shared" si="1"/>
        <v>109.16765802300392</v>
      </c>
      <c r="S15" s="20">
        <f t="shared" si="2"/>
        <v>1792.1676580230039</v>
      </c>
      <c r="T15" s="26">
        <f t="shared" si="3"/>
        <v>0.2129982954626817</v>
      </c>
    </row>
    <row r="16" spans="1:20" ht="15.75" x14ac:dyDescent="0.25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$B16*Exposure!G$34/1000</f>
        <v>106.75404072208228</v>
      </c>
      <c r="H16" s="28">
        <f>$B16*Exposure!H$34/1000</f>
        <v>55.791431430675409</v>
      </c>
      <c r="I16" s="28">
        <f>$B16*Exposure!I$34/1000</f>
        <v>26.178004781569225</v>
      </c>
      <c r="J16" s="28">
        <f>$B16*Exposure!J$34/1000</f>
        <v>10.05203960760411</v>
      </c>
      <c r="K16" s="28">
        <f>$B16*Exposure!K$34/1000</f>
        <v>4.6090302952389361</v>
      </c>
      <c r="L16" s="28">
        <f>$B16*Exposure!L$34/1000</f>
        <v>2.0608130721306197</v>
      </c>
      <c r="M16" s="28">
        <f>$B16*Exposure!M$34/1000</f>
        <v>0.92144122433985387</v>
      </c>
      <c r="N16" s="28">
        <f>$B16*Exposure!N$34/1000</f>
        <v>0.41199948767556804</v>
      </c>
      <c r="O16" s="28">
        <f>$B16*Exposure!O$34/1000</f>
        <v>0.33319527166418411</v>
      </c>
      <c r="P16" s="27">
        <f>SUM(C16:F16)</f>
        <v>646</v>
      </c>
      <c r="Q16" s="26">
        <f t="shared" si="0"/>
        <v>8.3516483516483511E-2</v>
      </c>
      <c r="R16" s="20">
        <f t="shared" si="1"/>
        <v>207.11199589298019</v>
      </c>
      <c r="S16" s="20">
        <f t="shared" si="2"/>
        <v>853.11199589298019</v>
      </c>
      <c r="T16" s="26">
        <f t="shared" si="3"/>
        <v>0.11029243644382421</v>
      </c>
    </row>
    <row r="17" spans="1:27" ht="15.75" x14ac:dyDescent="0.25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$B17*Exposure!F$34/1000</f>
        <v>201.00004915172318</v>
      </c>
      <c r="G17" s="28">
        <f>$B17*Exposure!G$34/1000</f>
        <v>117.21552267002519</v>
      </c>
      <c r="H17" s="28">
        <f>$B17*Exposure!H$34/1000</f>
        <v>61.258775325239341</v>
      </c>
      <c r="I17" s="28">
        <f>$B17*Exposure!I$34/1000</f>
        <v>28.743347719439871</v>
      </c>
      <c r="J17" s="28">
        <f>$B17*Exposure!J$34/1000</f>
        <v>11.037100502570356</v>
      </c>
      <c r="K17" s="28">
        <f>$B17*Exposure!K$34/1000</f>
        <v>5.0606973881660364</v>
      </c>
      <c r="L17" s="28">
        <f>$B17*Exposure!L$34/1000</f>
        <v>2.2627647603885395</v>
      </c>
      <c r="M17" s="28">
        <f>$B17*Exposure!M$34/1000</f>
        <v>1.0117388905388984</v>
      </c>
      <c r="N17" s="28">
        <f>$B17*Exposure!N$34/1000</f>
        <v>0.45237383953828048</v>
      </c>
      <c r="O17" s="28">
        <f>$B17*Exposure!O$34/1000</f>
        <v>0.36584711599792058</v>
      </c>
      <c r="P17" s="27">
        <f>SUM(C17:E17)</f>
        <v>916</v>
      </c>
      <c r="Q17" s="26">
        <f t="shared" si="0"/>
        <v>0.10785352643353349</v>
      </c>
      <c r="R17" s="20">
        <f t="shared" si="1"/>
        <v>428.40821736362795</v>
      </c>
      <c r="S17" s="20">
        <f t="shared" si="2"/>
        <v>1344.408217363628</v>
      </c>
      <c r="T17" s="25">
        <f t="shared" si="3"/>
        <v>0.15829603407083809</v>
      </c>
    </row>
    <row r="18" spans="1:27" ht="15.75" x14ac:dyDescent="0.25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$B18*Exposure!E$34/1000</f>
        <v>343.60669097147763</v>
      </c>
      <c r="F18" s="28">
        <f>$B18*Exposure!F$34/1000</f>
        <v>205.80435975784587</v>
      </c>
      <c r="G18" s="28">
        <f>$B18*Exposure!G$34/1000</f>
        <v>120.01721242653234</v>
      </c>
      <c r="H18" s="28">
        <f>$B18*Exposure!H$34/1000</f>
        <v>62.722984837899595</v>
      </c>
      <c r="I18" s="28">
        <f>$B18*Exposure!I$34/1000</f>
        <v>29.43037227931816</v>
      </c>
      <c r="J18" s="28">
        <f>$B18*Exposure!J$34/1000</f>
        <v>11.300909686842321</v>
      </c>
      <c r="K18" s="28">
        <f>$B18*Exposure!K$34/1000</f>
        <v>5.1816583642401799</v>
      </c>
      <c r="L18" s="28">
        <f>$B18*Exposure!L$34/1000</f>
        <v>2.3168494473494334</v>
      </c>
      <c r="M18" s="28">
        <f>$B18*Exposure!M$34/1000</f>
        <v>1.0359215109061886</v>
      </c>
      <c r="N18" s="28">
        <f>$B18*Exposure!N$34/1000</f>
        <v>0.4631864957759198</v>
      </c>
      <c r="O18" s="28">
        <f>$B18*Exposure!O$34/1000</f>
        <v>0.37459160729046476</v>
      </c>
      <c r="P18" s="27">
        <f>SUM(C18:D18)</f>
        <v>180</v>
      </c>
      <c r="Q18" s="26">
        <f t="shared" si="0"/>
        <v>2.0699172033118676E-2</v>
      </c>
      <c r="R18" s="20">
        <f t="shared" si="1"/>
        <v>782.25473738547817</v>
      </c>
      <c r="S18" s="20">
        <f t="shared" si="2"/>
        <v>962.25473738547817</v>
      </c>
      <c r="T18" s="26">
        <f t="shared" si="3"/>
        <v>0.1106548686045858</v>
      </c>
    </row>
    <row r="19" spans="1:27" ht="15.75" x14ac:dyDescent="0.25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$B19*Exposure!D$34/1000</f>
        <v>397.15252046531663</v>
      </c>
      <c r="E19" s="28">
        <f>$B19*Exposure!E$34/1000</f>
        <v>346.60969333047404</v>
      </c>
      <c r="F19" s="28">
        <f>$B19*Exposure!F$34/1000</f>
        <v>207.60301791580312</v>
      </c>
      <c r="G19" s="28">
        <f>$B19*Exposure!G$34/1000</f>
        <v>121.066120906801</v>
      </c>
      <c r="H19" s="28">
        <f>$B19*Exposure!H$34/1000</f>
        <v>63.271161798304419</v>
      </c>
      <c r="I19" s="28">
        <f>$B19*Exposure!I$34/1000</f>
        <v>29.687583444592786</v>
      </c>
      <c r="J19" s="28">
        <f>$B19*Exposure!J$34/1000</f>
        <v>11.39967568686532</v>
      </c>
      <c r="K19" s="28">
        <f>$B19*Exposure!K$34/1000</f>
        <v>5.2269442469083325</v>
      </c>
      <c r="L19" s="28">
        <f>$B19*Exposure!L$34/1000</f>
        <v>2.3370979015810986</v>
      </c>
      <c r="M19" s="28">
        <f>$B19*Exposure!M$34/1000</f>
        <v>1.0449751027678342</v>
      </c>
      <c r="N19" s="28">
        <f>$B19*Exposure!N$34/1000</f>
        <v>0.46723458382547939</v>
      </c>
      <c r="O19" s="28">
        <f>$B19*Exposure!O$34/1000</f>
        <v>0.37786540698619564</v>
      </c>
      <c r="P19" s="27">
        <f>SUM(C19)</f>
        <v>323</v>
      </c>
      <c r="Q19" s="26">
        <f t="shared" si="0"/>
        <v>3.6821705426356592E-2</v>
      </c>
      <c r="R19" s="20">
        <f t="shared" si="1"/>
        <v>1186.2438907902263</v>
      </c>
      <c r="S19" s="20">
        <f t="shared" si="2"/>
        <v>1509.2438907902263</v>
      </c>
      <c r="T19" s="25">
        <f t="shared" si="3"/>
        <v>0.17205242713066876</v>
      </c>
    </row>
    <row r="20" spans="1:2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7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2807.886672417103</v>
      </c>
      <c r="S21" s="3"/>
    </row>
    <row r="22" spans="1:27" ht="15.75" thickTop="1" x14ac:dyDescent="0.25"/>
    <row r="24" spans="1:27" ht="15.75" x14ac:dyDescent="0.25">
      <c r="A24" s="21"/>
      <c r="Q24" s="3"/>
      <c r="R24" s="3"/>
      <c r="S24" s="3"/>
      <c r="T24" s="3"/>
    </row>
    <row r="25" spans="1:27" ht="15.75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7" ht="15.75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  <c r="V26" s="23" t="s">
        <v>26</v>
      </c>
      <c r="W26" s="23"/>
      <c r="X26" s="23"/>
      <c r="Y26" s="23"/>
      <c r="Z26" s="23"/>
      <c r="AA26" s="23"/>
    </row>
    <row r="27" spans="1:27" ht="15.75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  <c r="V27" s="23" t="s">
        <v>25</v>
      </c>
      <c r="W27" s="23"/>
      <c r="X27" s="23"/>
      <c r="Y27" s="23"/>
      <c r="Z27" s="23"/>
      <c r="AA27" s="23"/>
    </row>
    <row r="28" spans="1:27" ht="15.75" x14ac:dyDescent="0.2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7" ht="15.75" x14ac:dyDescent="0.25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7" ht="15.75" x14ac:dyDescent="0.2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7" ht="15.75" x14ac:dyDescent="0.25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7" ht="15.75" x14ac:dyDescent="0.25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5.75" x14ac:dyDescent="0.25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5.75" x14ac:dyDescent="0.25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5.75" x14ac:dyDescent="0.25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5.75" x14ac:dyDescent="0.25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5.75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5.75" x14ac:dyDescent="0.25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5.75" x14ac:dyDescent="0.2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5.75" x14ac:dyDescent="0.25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5.75" x14ac:dyDescent="0.25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P41" s="1"/>
      <c r="Q41" s="3"/>
      <c r="R41" s="19"/>
      <c r="S41" s="3"/>
    </row>
    <row r="42" spans="1:21" ht="15.75" x14ac:dyDescent="0.25">
      <c r="A42" s="21"/>
      <c r="P42" s="1"/>
      <c r="Q42" s="20"/>
      <c r="R42" s="19"/>
      <c r="S42" s="3"/>
      <c r="T42" s="18"/>
      <c r="U42" s="18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E8BE-5204-4CE9-B4B0-E23FF0597D4E}">
  <dimension ref="A1:AB35"/>
  <sheetViews>
    <sheetView topLeftCell="A6" workbookViewId="0">
      <selection activeCell="L31" sqref="L31"/>
    </sheetView>
  </sheetViews>
  <sheetFormatPr defaultRowHeight="15" x14ac:dyDescent="0.25"/>
  <sheetData>
    <row r="1" spans="1:28" ht="15.75" x14ac:dyDescent="0.25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5.75" x14ac:dyDescent="0.25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Q2/IBNR!R4</f>
        <v>2.1388073655374096</v>
      </c>
      <c r="S2" s="34">
        <f t="shared" ref="S2:S17" si="1">SUM(C2:O2)</f>
        <v>1079</v>
      </c>
      <c r="T2" s="33">
        <f>S2/IBNR!S4</f>
        <v>1.0004937095341748</v>
      </c>
    </row>
    <row r="3" spans="1:28" ht="15.75" x14ac:dyDescent="0.25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Q3/IBNR!R5</f>
        <v>0</v>
      </c>
      <c r="S3" s="34">
        <f t="shared" si="1"/>
        <v>2013</v>
      </c>
      <c r="T3" s="33">
        <f>S3/IBNR!S5</f>
        <v>0.99978250445041417</v>
      </c>
    </row>
    <row r="4" spans="1:28" ht="15.75" x14ac:dyDescent="0.25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Q4/IBNR!R6</f>
        <v>2.3062403283875961</v>
      </c>
      <c r="S4" s="34">
        <f t="shared" si="1"/>
        <v>1006</v>
      </c>
      <c r="T4" s="33">
        <f>S4/IBNR!S6</f>
        <v>1.0005633329163615</v>
      </c>
    </row>
    <row r="5" spans="1:28" ht="15.75" x14ac:dyDescent="0.25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Q5/IBNR!R7</f>
        <v>0</v>
      </c>
      <c r="S5" s="34">
        <f t="shared" si="1"/>
        <v>2112</v>
      </c>
      <c r="T5" s="33">
        <f>S5/IBNR!S7</f>
        <v>0.99978890537545884</v>
      </c>
    </row>
    <row r="6" spans="1:28" ht="15.75" x14ac:dyDescent="0.25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Q6/IBNR!R8</f>
        <v>0</v>
      </c>
      <c r="S6" s="34">
        <f t="shared" si="1"/>
        <v>1002</v>
      </c>
      <c r="T6" s="33">
        <f>S6/IBNR!S8</f>
        <v>0.99957865740774465</v>
      </c>
    </row>
    <row r="7" spans="1:28" ht="15.75" x14ac:dyDescent="0.25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Q7/IBNR!R9</f>
        <v>3.0019772925577057</v>
      </c>
      <c r="S7" s="34">
        <f t="shared" si="1"/>
        <v>2070</v>
      </c>
      <c r="T7" s="33">
        <f>S7/IBNR!S9</f>
        <v>1.000967436799135</v>
      </c>
    </row>
    <row r="8" spans="1:28" ht="15.75" x14ac:dyDescent="0.25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Q8/IBNR!R10</f>
        <v>2.2110935880984783</v>
      </c>
      <c r="S8" s="34">
        <f t="shared" si="1"/>
        <v>838</v>
      </c>
      <c r="T8" s="33">
        <f>S8/IBNR!S10</f>
        <v>1.0026213408577471</v>
      </c>
    </row>
    <row r="9" spans="1:28" ht="15.75" x14ac:dyDescent="0.25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Q9/IBNR!R11</f>
        <v>0.24023451402612958</v>
      </c>
      <c r="S9" s="34">
        <f t="shared" si="1"/>
        <v>1767</v>
      </c>
      <c r="T9" s="33">
        <f>S9/IBNR!S11</f>
        <v>0.99821338490685796</v>
      </c>
    </row>
    <row r="10" spans="1:28" ht="15.75" x14ac:dyDescent="0.25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Q10/IBNR!R12</f>
        <v>0.44699492530537016</v>
      </c>
      <c r="S10" s="34">
        <f t="shared" si="1"/>
        <v>823</v>
      </c>
      <c r="T10" s="33">
        <f>S10/IBNR!S12</f>
        <v>0.99402300194754345</v>
      </c>
    </row>
    <row r="11" spans="1:28" ht="15.75" x14ac:dyDescent="0.25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Q11/IBNR!R13</f>
        <v>1.95789518444625</v>
      </c>
      <c r="S11" s="34">
        <f t="shared" si="1"/>
        <v>1938</v>
      </c>
      <c r="T11" s="33">
        <f>S11/IBNR!S13</f>
        <v>1.0114907722766855</v>
      </c>
    </row>
    <row r="12" spans="1:28" ht="15.75" x14ac:dyDescent="0.25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Q12/IBNR!R14</f>
        <v>1.5301561998827165</v>
      </c>
      <c r="S12" s="34">
        <f t="shared" si="1"/>
        <v>962</v>
      </c>
      <c r="T12" s="33">
        <f>S12/IBNR!S14</f>
        <v>1.0304316895653898</v>
      </c>
    </row>
    <row r="13" spans="1:28" ht="15.75" x14ac:dyDescent="0.25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Q13/IBNR!R15</f>
        <v>0.43969066360190112</v>
      </c>
      <c r="S13" s="34">
        <f t="shared" si="1"/>
        <v>1731</v>
      </c>
      <c r="T13" s="33">
        <f>S13/IBNR!S15</f>
        <v>0.96586945548918124</v>
      </c>
    </row>
    <row r="14" spans="1:28" ht="15.75" x14ac:dyDescent="0.25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Q14/IBNR!R16</f>
        <v>0.49248716647347596</v>
      </c>
      <c r="S14" s="34">
        <f t="shared" si="1"/>
        <v>748</v>
      </c>
      <c r="T14" s="33">
        <f>S14/IBNR!S16</f>
        <v>0.87678992160583091</v>
      </c>
    </row>
    <row r="15" spans="1:28" ht="15.75" x14ac:dyDescent="0.25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Q15/IBNR!R17</f>
        <v>1.5966080300916092</v>
      </c>
      <c r="S15" s="34">
        <f t="shared" si="1"/>
        <v>1600</v>
      </c>
      <c r="T15" s="33">
        <f>S15/IBNR!S17</f>
        <v>1.1901147131766163</v>
      </c>
      <c r="V15" s="36" t="s">
        <v>26</v>
      </c>
      <c r="W15" s="36"/>
      <c r="X15" s="36"/>
      <c r="Y15" s="36"/>
      <c r="Z15" s="36"/>
      <c r="AA15" s="36"/>
      <c r="AB15" s="36"/>
    </row>
    <row r="16" spans="1:28" ht="15.75" x14ac:dyDescent="0.25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Q16/IBNR!R18</f>
        <v>0.96004532041577584</v>
      </c>
      <c r="S16" s="34">
        <f t="shared" si="1"/>
        <v>931</v>
      </c>
      <c r="T16" s="33">
        <f>S16/IBNR!S18</f>
        <v>0.96751926888881867</v>
      </c>
      <c r="V16" s="36" t="s">
        <v>25</v>
      </c>
      <c r="W16" s="36"/>
      <c r="X16" s="36"/>
      <c r="Y16" s="36"/>
      <c r="Z16" s="36"/>
      <c r="AA16" s="36"/>
      <c r="AB16" s="36"/>
    </row>
    <row r="17" spans="1:21" ht="15.75" x14ac:dyDescent="0.25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Q17/IBNR!R19</f>
        <v>1.1203429668368412</v>
      </c>
      <c r="S17" s="34">
        <f t="shared" si="1"/>
        <v>1652</v>
      </c>
      <c r="T17" s="33">
        <f>S17/IBNR!S19</f>
        <v>1.0945878330738368</v>
      </c>
    </row>
    <row r="18" spans="1:21" ht="15.75" x14ac:dyDescent="0.25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1" ht="15.75" x14ac:dyDescent="0.25">
      <c r="A19" s="21" t="s">
        <v>51</v>
      </c>
      <c r="P19" s="1"/>
      <c r="Q19" s="20">
        <f>SUM(Q2:Q17)</f>
        <v>3055</v>
      </c>
      <c r="R19" s="33">
        <f>Q19/IBNR!R21</f>
        <v>1.0880068736428652</v>
      </c>
      <c r="S19" s="3"/>
      <c r="T19" s="35">
        <f>AVERAGE(T2:T17)</f>
        <v>1.0083022455169872</v>
      </c>
      <c r="U19" s="35" t="s">
        <v>52</v>
      </c>
    </row>
    <row r="20" spans="1:21" x14ac:dyDescent="0.25">
      <c r="O20">
        <f>IF(IBNR!O4&gt;0,O2/IBNR!O4,"")</f>
        <v>2.1388073655377697</v>
      </c>
    </row>
    <row r="21" spans="1:21" x14ac:dyDescent="0.25">
      <c r="O21">
        <f>IF(IBNR!O5&gt;0,O3/IBNR!O5,"")</f>
        <v>0</v>
      </c>
    </row>
    <row r="22" spans="1:21" x14ac:dyDescent="0.25">
      <c r="O22">
        <f>IF(IBNR!O6&gt;0,O4/IBNR!O6,"")</f>
        <v>2.3062403283873389</v>
      </c>
    </row>
    <row r="23" spans="1:21" x14ac:dyDescent="0.25">
      <c r="O23">
        <f>IF(IBNR!O7&gt;0,O5/IBNR!O7,"")</f>
        <v>0</v>
      </c>
    </row>
    <row r="24" spans="1:21" x14ac:dyDescent="0.25">
      <c r="O24">
        <f>IF(IBNR!O8&gt;0,O6/IBNR!O8,"")</f>
        <v>0</v>
      </c>
    </row>
    <row r="25" spans="1:21" x14ac:dyDescent="0.25">
      <c r="M25">
        <f>IF(IBNR!M9&gt;0,M7/IBNR!M9,"")</f>
        <v>1</v>
      </c>
      <c r="N25">
        <f>IF(IBNR!N9&gt;0,N7/IBNR!N9,"")</f>
        <v>3.619839041860037</v>
      </c>
      <c r="O25">
        <f>IF(IBNR!O9&gt;0,O7/IBNR!O9,"")</f>
        <v>2.2379846857752774</v>
      </c>
    </row>
    <row r="26" spans="1:21" x14ac:dyDescent="0.25">
      <c r="L26">
        <f>IF(IBNR!L10&gt;0,L8/IBNR!L10,"")</f>
        <v>1</v>
      </c>
      <c r="M26">
        <f>IF(IBNR!M10&gt;0,M8/IBNR!M10,"")</f>
        <v>2.9994491562782208</v>
      </c>
      <c r="N26">
        <f>IF(IBNR!N10&gt;0,N8/IBNR!N10,"")</f>
        <v>2.2360999512395288</v>
      </c>
      <c r="O26">
        <f>IF(IBNR!O10&gt;0,O8/IBNR!O10,"")</f>
        <v>0</v>
      </c>
    </row>
    <row r="27" spans="1:21" x14ac:dyDescent="0.25">
      <c r="K27">
        <f>IF(IBNR!K11&gt;0,K9/IBNR!K11,"")</f>
        <v>1</v>
      </c>
      <c r="L27">
        <f>IF(IBNR!L11&gt;0,L9/IBNR!L11,"")</f>
        <v>0</v>
      </c>
      <c r="M27">
        <f>IF(IBNR!M11&gt;0,M9/IBNR!M11,"")</f>
        <v>0.97180578513976779</v>
      </c>
      <c r="N27">
        <f>IF(IBNR!N11&gt;0,N9/IBNR!N11,"")</f>
        <v>0</v>
      </c>
      <c r="O27">
        <f>IF(IBNR!O11&gt;0,O9/IBNR!O11,"")</f>
        <v>0</v>
      </c>
    </row>
    <row r="28" spans="1:21" x14ac:dyDescent="0.25">
      <c r="J28">
        <f>IF(IBNR!J12&gt;0,J10/IBNR!J12,"")</f>
        <v>1</v>
      </c>
      <c r="K28">
        <f>IF(IBNR!K12&gt;0,K10/IBNR!K12,"")</f>
        <v>0.60636897451313176</v>
      </c>
      <c r="L28">
        <f>IF(IBNR!L12&gt;0,L10/IBNR!L12,"")</f>
        <v>0</v>
      </c>
      <c r="M28">
        <f>IF(IBNR!M12&gt;0,M10/IBNR!M12,"")</f>
        <v>0</v>
      </c>
      <c r="N28">
        <f>IF(IBNR!N12&gt;0,N10/IBNR!N12,"")</f>
        <v>2.2611459942920731</v>
      </c>
      <c r="O28">
        <f>IF(IBNR!O12&gt;0,O10/IBNR!O12,"")</f>
        <v>0</v>
      </c>
    </row>
    <row r="29" spans="1:21" x14ac:dyDescent="0.25">
      <c r="I29">
        <f>IF(IBNR!I13&gt;0,I11/IBNR!I13,"")</f>
        <v>1</v>
      </c>
      <c r="J29">
        <f>IF(IBNR!J13&gt;0,J11/IBNR!J13,"")</f>
        <v>1.830616283625206</v>
      </c>
      <c r="K29">
        <f>IF(IBNR!K13&gt;0,K11/IBNR!K13,"")</f>
        <v>2.6037865098171977</v>
      </c>
      <c r="L29">
        <f>IF(IBNR!L13&gt;0,L11/IBNR!L13,"")</f>
        <v>1.5529056394781084</v>
      </c>
      <c r="M29">
        <f>IF(IBNR!M13&gt;0,M11/IBNR!M13,"")</f>
        <v>2.6048174509838584</v>
      </c>
      <c r="N29">
        <f>IF(IBNR!N13&gt;0,N11/IBNR!N13,"")</f>
        <v>0</v>
      </c>
      <c r="O29">
        <f>IF(IBNR!O13&gt;0,O11/IBNR!O13,"")</f>
        <v>0</v>
      </c>
    </row>
    <row r="30" spans="1:21" x14ac:dyDescent="0.25">
      <c r="H30">
        <f>IF(IBNR!H14&gt;0,H12/IBNR!H14,"")</f>
        <v>1</v>
      </c>
      <c r="I30">
        <f>IF(IBNR!I14&gt;0,I12/IBNR!I14,"")</f>
        <v>1.1118908985814884</v>
      </c>
      <c r="J30">
        <f>IF(IBNR!J14&gt;0,J12/IBNR!J14,"")</f>
        <v>2.5647094755250404</v>
      </c>
      <c r="K30">
        <f>IF(IBNR!K14&gt;0,K12/IBNR!K14,"")</f>
        <v>1.6239162225725838</v>
      </c>
      <c r="L30">
        <f>IF(IBNR!L14&gt;0,L12/IBNR!L14,"")</f>
        <v>0.80709019043513341</v>
      </c>
      <c r="M30">
        <f>IF(IBNR!M14&gt;0,M12/IBNR!M14,"")</f>
        <v>1.8050657718605125</v>
      </c>
      <c r="N30">
        <f>IF(IBNR!N14&gt;0,N12/IBNR!N14,"")</f>
        <v>6.0555731181401189</v>
      </c>
      <c r="O30">
        <f>IF(IBNR!O14&gt;0,O12/IBNR!O14,"")</f>
        <v>0</v>
      </c>
    </row>
    <row r="31" spans="1:21" x14ac:dyDescent="0.25">
      <c r="G31">
        <f>IF(IBNR!G15&gt;0,G13/IBNR!G15,"")</f>
        <v>1</v>
      </c>
      <c r="H31">
        <f>IF(IBNR!H15&gt;0,H13/IBNR!H15,"")</f>
        <v>0.44489146112749001</v>
      </c>
      <c r="I31">
        <f>IF(IBNR!I15&gt;0,I13/IBNR!I15,"")</f>
        <v>0.38629043337556673</v>
      </c>
      <c r="J31">
        <f>IF(IBNR!J15&gt;0,J13/IBNR!J15,"")</f>
        <v>0.54872515466216221</v>
      </c>
      <c r="K31">
        <f>IF(IBNR!K15&gt;0,K13/IBNR!K15,"")</f>
        <v>0.59836957396987567</v>
      </c>
      <c r="L31">
        <f>IF(IBNR!L15&gt;0,L13/IBNR!L15,"")</f>
        <v>0</v>
      </c>
      <c r="M31">
        <f>IF(IBNR!M15&gt;0,M13/IBNR!M15,"")</f>
        <v>0.99767748657443711</v>
      </c>
      <c r="N31">
        <f>IF(IBNR!N15&gt;0,N13/IBNR!N15,"")</f>
        <v>0</v>
      </c>
      <c r="O31">
        <f>IF(IBNR!O15&gt;0,O13/IBNR!O15,"")</f>
        <v>0</v>
      </c>
    </row>
    <row r="32" spans="1:21" x14ac:dyDescent="0.25">
      <c r="F32">
        <f>IF(IBNR!F16&gt;0,F14/IBNR!F16,"")</f>
        <v>1</v>
      </c>
      <c r="G32">
        <f>IF(IBNR!G16&gt;0,G14/IBNR!G16,"")</f>
        <v>0.53393763472045741</v>
      </c>
      <c r="H32">
        <f>IF(IBNR!H16&gt;0,H14/IBNR!H16,"")</f>
        <v>0.48394528169705253</v>
      </c>
      <c r="I32">
        <f>IF(IBNR!I16&gt;0,I14/IBNR!I16,"")</f>
        <v>0.42020009132799202</v>
      </c>
      <c r="J32">
        <f>IF(IBNR!J16&gt;0,J14/IBNR!J16,"")</f>
        <v>0.19896459604944766</v>
      </c>
      <c r="K32">
        <f>IF(IBNR!K16&gt;0,K14/IBNR!K16,"")</f>
        <v>0.43393075590454938</v>
      </c>
      <c r="L32">
        <f>IF(IBNR!L16&gt;0,L14/IBNR!L16,"")</f>
        <v>0.97049073836291877</v>
      </c>
      <c r="M32">
        <f>IF(IBNR!M16&gt;0,M14/IBNR!M16,"")</f>
        <v>1.0852564152601571</v>
      </c>
      <c r="N32">
        <f>IF(IBNR!N16&gt;0,N14/IBNR!N16,"")</f>
        <v>0</v>
      </c>
      <c r="O32">
        <f>IF(IBNR!O16&gt;0,O14/IBNR!O16,"")</f>
        <v>0</v>
      </c>
    </row>
    <row r="33" spans="3:15" x14ac:dyDescent="0.25">
      <c r="E33">
        <f>IF(IBNR!E17&gt;0,E15/IBNR!E17,"")</f>
        <v>1</v>
      </c>
      <c r="F33">
        <f>IF(IBNR!F17&gt;0,F15/IBNR!F17,"")</f>
        <v>1.5870642885226638</v>
      </c>
      <c r="G33">
        <f>IF(IBNR!G17&gt;0,G15/IBNR!G17,"")</f>
        <v>1.7062586545215719</v>
      </c>
      <c r="H33">
        <f>IF(IBNR!H17&gt;0,H15/IBNR!H17,"")</f>
        <v>1.4038804978291328</v>
      </c>
      <c r="I33">
        <f>IF(IBNR!I17&gt;0,I15/IBNR!I17,"")</f>
        <v>1.42641700612593</v>
      </c>
      <c r="J33">
        <f>IF(IBNR!J17&gt;0,J15/IBNR!J17,"")</f>
        <v>2.1744841405050903</v>
      </c>
      <c r="K33">
        <f>IF(IBNR!K17&gt;0,K15/IBNR!K17,"")</f>
        <v>1.7784110192096549</v>
      </c>
      <c r="L33">
        <f>IF(IBNR!L17&gt;0,L15/IBNR!L17,"")</f>
        <v>1.7677489370627992</v>
      </c>
      <c r="M33">
        <f>IF(IBNR!M17&gt;0,M15/IBNR!M17,"")</f>
        <v>0.98839731214380244</v>
      </c>
      <c r="N33">
        <f>IF(IBNR!N17&gt;0,N15/IBNR!N17,"")</f>
        <v>0</v>
      </c>
      <c r="O33">
        <f>IF(IBNR!O17&gt;0,O15/IBNR!O17,"")</f>
        <v>0</v>
      </c>
    </row>
    <row r="34" spans="3:15" x14ac:dyDescent="0.25">
      <c r="D34">
        <f>IF(IBNR!D18&gt;0,D16/IBNR!D18,"")</f>
        <v>1</v>
      </c>
      <c r="E34">
        <f>IF(IBNR!E18&gt;0,E16/IBNR!E18,"")</f>
        <v>0.71884514035992142</v>
      </c>
      <c r="F34">
        <f>IF(IBNR!F18&gt;0,F16/IBNR!F18,"")</f>
        <v>0.98151467849212637</v>
      </c>
      <c r="G34">
        <f>IF(IBNR!G18&gt;0,G16/IBNR!G18,"")</f>
        <v>1.1581672094332955</v>
      </c>
      <c r="H34">
        <f>IF(IBNR!H18&gt;0,H16/IBNR!H18,"")</f>
        <v>1.3073357432194856</v>
      </c>
      <c r="I34">
        <f>IF(IBNR!I18&gt;0,I16/IBNR!I18,"")</f>
        <v>1.2911831233172693</v>
      </c>
      <c r="J34">
        <f>IF(IBNR!J18&gt;0,J16/IBNR!J18,"")</f>
        <v>1.8582574838599371</v>
      </c>
      <c r="K34">
        <f>IF(IBNR!K18&gt;0,K16/IBNR!K18,"")</f>
        <v>2.3158608994399881</v>
      </c>
      <c r="L34">
        <f>IF(IBNR!L18&gt;0,L16/IBNR!L18,"")</f>
        <v>2.1581031109812492</v>
      </c>
      <c r="M34">
        <f>IF(IBNR!M18&gt;0,M16/IBNR!M18,"")</f>
        <v>3.8612963992811942</v>
      </c>
      <c r="N34">
        <f>IF(IBNR!N18&gt;0,N16/IBNR!N18,"")</f>
        <v>0</v>
      </c>
      <c r="O34">
        <f>IF(IBNR!O18&gt;0,O16/IBNR!O18,"")</f>
        <v>2.6695739587795484</v>
      </c>
    </row>
    <row r="35" spans="3:15" x14ac:dyDescent="0.25">
      <c r="C35">
        <f>IF(IBNR!C19&gt;0,C17/IBNR!C19,"")</f>
        <v>1</v>
      </c>
      <c r="D35">
        <f>IF(IBNR!D19&gt;0,D17/IBNR!D19,"")</f>
        <v>1.7952800580608839</v>
      </c>
      <c r="E35">
        <f>IF(IBNR!E19&gt;0,E17/IBNR!E19,"")</f>
        <v>0.99247080107483943</v>
      </c>
      <c r="F35">
        <f>IF(IBNR!F19&gt;0,F17/IBNR!F19,"")</f>
        <v>0.77070170562207663</v>
      </c>
      <c r="G35">
        <f>IF(IBNR!G19&gt;0,G17/IBNR!G19,"")</f>
        <v>0.54515664254914098</v>
      </c>
      <c r="H35">
        <f>IF(IBNR!H19&gt;0,H17/IBNR!H19,"")</f>
        <v>0.45834467355674763</v>
      </c>
      <c r="I35">
        <f>IF(IBNR!I19&gt;0,I17/IBNR!I19,"")</f>
        <v>0.30315704263356724</v>
      </c>
      <c r="J35">
        <f>IF(IBNR!J19&gt;0,J17/IBNR!J19,"")</f>
        <v>0.43860896900435409</v>
      </c>
      <c r="K35">
        <f>IF(IBNR!K19&gt;0,K17/IBNR!K19,"")</f>
        <v>0.19131637009357552</v>
      </c>
      <c r="L35">
        <f>IF(IBNR!L19&gt;0,L17/IBNR!L19,"")</f>
        <v>0.42788109104179067</v>
      </c>
      <c r="M35">
        <f>IF(IBNR!M19&gt;0,M17/IBNR!M19,"")</f>
        <v>0.95696059872746408</v>
      </c>
      <c r="N35">
        <f>IF(IBNR!N19&gt;0,N17/IBNR!N19,"")</f>
        <v>0</v>
      </c>
      <c r="O35">
        <f>IF(IBNR!O19&gt;0,O17/IBNR!O19,"")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6C5-F338-4C41-B70E-C8B2B16D60D4}">
  <dimension ref="A1:S38"/>
  <sheetViews>
    <sheetView topLeftCell="A9" workbookViewId="0">
      <selection activeCell="V11" sqref="V11"/>
    </sheetView>
  </sheetViews>
  <sheetFormatPr defaultColWidth="11.42578125" defaultRowHeight="15" x14ac:dyDescent="0.25"/>
  <cols>
    <col min="1" max="1" width="13.42578125" customWidth="1"/>
    <col min="3" max="10" width="6.7109375" customWidth="1"/>
    <col min="11" max="11" width="8.42578125" customWidth="1"/>
    <col min="12" max="18" width="6.7109375" customWidth="1"/>
  </cols>
  <sheetData>
    <row r="1" spans="1:19" ht="15.75" x14ac:dyDescent="0.25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5.75" x14ac:dyDescent="0.25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5.75" x14ac:dyDescent="0.25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5.75" x14ac:dyDescent="0.25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5.75" x14ac:dyDescent="0.25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5.75" x14ac:dyDescent="0.25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5.75" x14ac:dyDescent="0.25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5.75" x14ac:dyDescent="0.25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5.75" x14ac:dyDescent="0.25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5.75" x14ac:dyDescent="0.25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5.75" x14ac:dyDescent="0.25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5.75" x14ac:dyDescent="0.25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5.75" x14ac:dyDescent="0.25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5.75" x14ac:dyDescent="0.25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.75" x14ac:dyDescent="0.25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.75" x14ac:dyDescent="0.25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.75" x14ac:dyDescent="0.25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44</v>
      </c>
      <c r="B24" s="1"/>
      <c r="C24" s="6">
        <f>($B4*C4+$B8*C8+$B12*C12+$B16*C16)/($B16+$B12+$B8+$B4)</f>
        <v>8.9380603319072396</v>
      </c>
      <c r="D24" s="6">
        <f>($B4*D4+$B8*D8+$B12*D12+$B16*D16)/($B16+$B12+$B8+$B4)</f>
        <v>35.370738752486581</v>
      </c>
      <c r="E24" s="6">
        <f>($B4*E4+$B8*E8+$B12*E12+$B16*E16)/($B16+$B12+$B8+$B4)</f>
        <v>26.895931547537945</v>
      </c>
      <c r="F24" s="6">
        <f>($B4*F4+$B8*F8+$B12*F12+$B16*F16)/($B16+$B12+$B8+$B4)</f>
        <v>15.042101534185356</v>
      </c>
      <c r="G24" s="6">
        <f>($B4*G4+$B8*G8+$B12*G12)/($B12+$B8+$B4)</f>
        <v>7.1472964574269735</v>
      </c>
      <c r="H24" s="6">
        <f>($B4*H4+$B8*H8+$B12*H12)/($B12+$B8+$B4)</f>
        <v>3.6254402320281747</v>
      </c>
      <c r="I24" s="6">
        <f>($B4*I4+$B8*I8+$B12*I12)/($B12+$B8+$B4)</f>
        <v>1.3465920861818934</v>
      </c>
      <c r="J24" s="6">
        <f>($B4*J4+$B8*J8+$B12*J12)/($B12+$B8+$B4)</f>
        <v>0.72508804640563496</v>
      </c>
      <c r="K24" s="6">
        <f>($B4*K4+$B8*K8)/($B8+$B4)</f>
        <v>0.24202526743792052</v>
      </c>
      <c r="L24" s="6">
        <f>($B4*L4+$B8*L8)/($B8+$B4)</f>
        <v>4.8405053487584102E-2</v>
      </c>
      <c r="M24" s="6">
        <f>($B4*M4+$B8*M8)/($B8+$B4)</f>
        <v>4.8405053487584102E-2</v>
      </c>
      <c r="N24" s="6">
        <f>($B4*N4+$B8*N8)/($B8+$B4)</f>
        <v>4.8405053487584102E-2</v>
      </c>
      <c r="O24" s="6">
        <f>($B4*O4)/($B4)</f>
        <v>9.2131932927952825E-2</v>
      </c>
      <c r="P24" s="6">
        <f>($B4*P4)/($B4)</f>
        <v>0</v>
      </c>
      <c r="Q24" s="6">
        <f>($B4*Q4)/($B4)</f>
        <v>0</v>
      </c>
      <c r="R24" s="6">
        <f>($B4*R4)/($B4)</f>
        <v>0</v>
      </c>
    </row>
    <row r="25" spans="1:18" ht="15.75" x14ac:dyDescent="0.25">
      <c r="A25" s="1" t="s">
        <v>43</v>
      </c>
      <c r="B25" s="1"/>
      <c r="C25" s="6">
        <f>(B5*C5+B9*C9+B13*C13+B17*C17)/(B17+B13+B9+B5)</f>
        <v>7.1576227390180875</v>
      </c>
      <c r="D25" s="6">
        <f>($B5*D5+$B9*D9+$B13*D13+$B17*D17)/($B17+$B13+$B9+$B5)</f>
        <v>52.144702842377264</v>
      </c>
      <c r="E25" s="6">
        <f>($B5*E5+$B9*E9+$B13*E13+$B17*E17)/($B17+$B13+$B9+$B5)</f>
        <v>56.434108527131784</v>
      </c>
      <c r="F25" s="6">
        <f>($B5*F5+$B9*F9+$B13*F13)/($B13+$B9+$B5)</f>
        <v>37.20991823087364</v>
      </c>
      <c r="G25" s="6">
        <f>($B5*G5+$B9*G9+$B13*G13)/($B13+$B9+$B5)</f>
        <v>23.074121892276626</v>
      </c>
      <c r="H25" s="6">
        <f>($B5*H5+$B9*H9+$B13*H13)/($B13+$B9+$B5)</f>
        <v>11.222564306286623</v>
      </c>
      <c r="I25" s="6">
        <f>($B5*I5+$B9*I9+$B13*I13)/($B13+$B9+$B5)</f>
        <v>5.7602542457046377</v>
      </c>
      <c r="J25" s="6">
        <f>($B5*J5+$B9*J9)/($B9+$B5)</f>
        <v>2.190953795218852</v>
      </c>
      <c r="K25" s="6">
        <f>($B5*K5+$B9*K9)/($B9+$B5)</f>
        <v>0.97375724231948979</v>
      </c>
      <c r="L25" s="6">
        <f>($B5*L5+$B9*L9)/($B9+$B5)</f>
        <v>0.43819075904377036</v>
      </c>
      <c r="M25" s="6">
        <f>($B5*M5+$B9*M9)/($B9+$B5)</f>
        <v>4.8687862115974485E-2</v>
      </c>
      <c r="N25" s="6">
        <f>($B5*N5)/($B5)</f>
        <v>9.8367106039740304E-2</v>
      </c>
      <c r="O25" s="6">
        <f>($B5*O5)/($B5)</f>
        <v>0</v>
      </c>
      <c r="P25" s="6">
        <f>($B5*P5)/($B5)</f>
        <v>0</v>
      </c>
      <c r="Q25" s="6">
        <f>($B5*Q5)/($B5)</f>
        <v>0</v>
      </c>
    </row>
    <row r="26" spans="1:18" ht="15.75" x14ac:dyDescent="0.25">
      <c r="A26" s="1" t="s">
        <v>42</v>
      </c>
      <c r="B26" s="1"/>
      <c r="C26" s="6">
        <f>(B6*C6+B10*C10+B14*C14+B18*C18)/(B18+B14+B10+B6)</f>
        <v>1.2891192846759374</v>
      </c>
      <c r="D26" s="6">
        <f>($B6*D6+$B10*D10+$B14*D14+$B18*D18)/($B18+$B14+$B10+$B6)</f>
        <v>17.142543679201296</v>
      </c>
      <c r="E26" s="6">
        <f>($B6*E6+$B10*E10+$B14*E14)/($B14+$B10+$B6)</f>
        <v>26.942333321326945</v>
      </c>
      <c r="F26" s="6">
        <f>($B6*F6+$B10*F10+$B14*F14)/($B14+$B10+$B6)</f>
        <v>23.304397939703922</v>
      </c>
      <c r="G26" s="6">
        <f>($B6*G6+$B10*G10+$B14*G14)/($B14+$B10+$B6)</f>
        <v>15.70435471670929</v>
      </c>
      <c r="H26" s="6">
        <f>($B6*H6+$B10*H10+$B14*H14)/($B14+$B10+$B6)</f>
        <v>8.6806180888232536</v>
      </c>
      <c r="I26" s="6">
        <f>($B6*I6+$B10*I10)/($B10+$B6)</f>
        <v>4.6040515653775325</v>
      </c>
      <c r="J26" s="6">
        <f>($B6*J6+$B10*J10)/($B10+$B6)</f>
        <v>2.2207778138879863</v>
      </c>
      <c r="K26" s="6">
        <f>($B6*K6+$B10*K10)/($B10+$B6)</f>
        <v>0.92081031307550643</v>
      </c>
      <c r="L26" s="6">
        <f>($B6*L6+$B10*L10)/($B10+$B6)</f>
        <v>0.43332250027082658</v>
      </c>
      <c r="M26" s="6">
        <f>($B6*M6)/($B6)</f>
        <v>0.39737730975561297</v>
      </c>
      <c r="N26" s="6">
        <f>($B6*N6)/($B6)</f>
        <v>0</v>
      </c>
      <c r="O26" s="6">
        <f>($B6*O6)/($B6)</f>
        <v>0</v>
      </c>
      <c r="P26" s="6">
        <f>($B6*P6)/($B6)</f>
        <v>9.9344327438903243E-2</v>
      </c>
      <c r="Q26" s="6"/>
      <c r="R26" s="6"/>
    </row>
    <row r="27" spans="1:18" ht="15.75" x14ac:dyDescent="0.25">
      <c r="A27" s="1" t="s">
        <v>41</v>
      </c>
      <c r="B27" s="1"/>
      <c r="C27" s="6">
        <f>(B7*C7+B11*C11+B15*C15+B19*C19)/(B19+B15+B11+B7)</f>
        <v>37.428129146395399</v>
      </c>
      <c r="D27" s="6">
        <f>($B7*D7+$B11*D11+$B15*D15)/($B15+$B11+$B7)</f>
        <v>86.264778864399361</v>
      </c>
      <c r="E27" s="6">
        <f>($B7*E7+$B11*E11+$B15*E15)/($B15+$B11+$B7)</f>
        <v>45.248868778280546</v>
      </c>
      <c r="F27" s="6">
        <f>($B7*F7+$B11*F11+$B15*F15)/($B15+$B11+$B7)</f>
        <v>20.653919135892572</v>
      </c>
      <c r="G27" s="6">
        <f>($B7*G7+$B11*G11+$B15*G15)/($B15+$B11+$B7)</f>
        <v>8.6848635235732008</v>
      </c>
      <c r="H27" s="6">
        <f>($B7*H7+$B11*H11)/($B11+$B7)</f>
        <v>4.1600842548709851</v>
      </c>
      <c r="I27" s="6">
        <f>($B7*I7+$B11*I11)/($B11+$B7)</f>
        <v>1.5271195365982095</v>
      </c>
      <c r="J27" s="6">
        <f>($B7*J7+$B11*J11)/($B11+$B7)</f>
        <v>0.31595576619273302</v>
      </c>
      <c r="K27" s="6">
        <f>($B7*K7+$B11*K11)/($B11+$B7)</f>
        <v>0.2632964718272775</v>
      </c>
      <c r="L27" s="6">
        <f>($B7*L7)/($B7)</f>
        <v>0.19319938176197834</v>
      </c>
      <c r="M27" s="6">
        <f>($B7*M7)/($B7)</f>
        <v>9.6599690880989172E-2</v>
      </c>
      <c r="N27" s="6">
        <f>($B7*N7)/($B7)</f>
        <v>0</v>
      </c>
      <c r="O27" s="6">
        <f>($B7*O7)/($B7)</f>
        <v>0</v>
      </c>
    </row>
    <row r="28" spans="1:18" ht="15.75" x14ac:dyDescent="0.25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5.75" x14ac:dyDescent="0.25">
      <c r="A32" s="3" t="s">
        <v>13</v>
      </c>
      <c r="B32" s="3" t="s">
        <v>40</v>
      </c>
      <c r="C32" s="9">
        <f t="shared" ref="C32:J35" si="0">C24</f>
        <v>8.9380603319072396</v>
      </c>
      <c r="D32" s="9">
        <f t="shared" si="0"/>
        <v>35.370738752486581</v>
      </c>
      <c r="E32" s="9">
        <f t="shared" si="0"/>
        <v>26.895931547537945</v>
      </c>
      <c r="F32" s="9">
        <f t="shared" si="0"/>
        <v>15.042101534185356</v>
      </c>
      <c r="G32" s="9">
        <f t="shared" si="0"/>
        <v>7.1472964574269735</v>
      </c>
      <c r="H32" s="9">
        <f t="shared" si="0"/>
        <v>3.6254402320281747</v>
      </c>
      <c r="I32" s="9">
        <f t="shared" si="0"/>
        <v>1.3465920861818934</v>
      </c>
      <c r="J32" s="9">
        <f t="shared" si="0"/>
        <v>0.72508804640563496</v>
      </c>
      <c r="K32" s="8" cm="1">
        <f t="array" ref="K32">EXP(_xlfn.FORECAST.LINEAR(K$2-8,LN($J24:$N24),$J$2:$N$2-8))</f>
        <v>0.23162302122402201</v>
      </c>
      <c r="L32" s="8" cm="1">
        <f t="array" ref="L32">EXP(_xlfn.FORECAST.LINEAR(L$2-8,LN($J24:$N24),$J$2:$N$2-8))</f>
        <v>0.11475846049019141</v>
      </c>
      <c r="M32" s="8" cm="1">
        <f t="array" ref="M32">EXP(_xlfn.FORECAST.LINEAR(M$2-8,LN($J24:$N24),$J$2:$N$2-8))</f>
        <v>5.6857492767705055E-2</v>
      </c>
      <c r="N32" s="8" cm="1">
        <f t="array" ref="N32">EXP(_xlfn.FORECAST.LINEAR(N$2-8,LN($J24:$N24),$J$2:$N$2-8))</f>
        <v>2.8170249670663207E-2</v>
      </c>
      <c r="O32" s="7" cm="1">
        <f t="array" ref="O32">EXP(INTERCEPT(LN(J24:N24),J$2:N$2-8))*EXP(SLOPE(LN(J24:N24),J$2:N$2-8))^(12-8)/(1-EXP(SLOPE(LN(J24:N24),J$2:N$2-8)))</f>
        <v>2.7662573354402656E-2</v>
      </c>
      <c r="P32" s="6"/>
      <c r="Q32" s="6"/>
      <c r="R32" s="6"/>
    </row>
    <row r="33" spans="1:15" ht="15.75" x14ac:dyDescent="0.25">
      <c r="A33" s="3" t="s">
        <v>12</v>
      </c>
      <c r="B33" s="3" t="s">
        <v>39</v>
      </c>
      <c r="C33" s="9">
        <f t="shared" si="0"/>
        <v>7.1576227390180875</v>
      </c>
      <c r="D33" s="9">
        <f t="shared" si="0"/>
        <v>52.144702842377264</v>
      </c>
      <c r="E33" s="9">
        <f t="shared" si="0"/>
        <v>56.434108527131784</v>
      </c>
      <c r="F33" s="9">
        <f t="shared" si="0"/>
        <v>37.20991823087364</v>
      </c>
      <c r="G33" s="9">
        <f t="shared" si="0"/>
        <v>23.074121892276626</v>
      </c>
      <c r="H33" s="9">
        <f t="shared" si="0"/>
        <v>11.222564306286623</v>
      </c>
      <c r="I33" s="9">
        <f t="shared" si="0"/>
        <v>5.7602542457046377</v>
      </c>
      <c r="J33" s="9">
        <f t="shared" si="0"/>
        <v>2.190953795218852</v>
      </c>
      <c r="K33" s="8" cm="1">
        <f t="array" ref="K33">EXP(_xlfn.FORECAST.LINEAR(K$2-8,LN($J25:$N25),$J$2:$N$2-8))</f>
        <v>0.85086999927944018</v>
      </c>
      <c r="L33" s="8" cm="1">
        <f t="array" ref="L33">EXP(_xlfn.FORECAST.LINEAR(L$2-8,LN($J25:$N25),$J$2:$N$2-8))</f>
        <v>0.33900300411945472</v>
      </c>
      <c r="M33" s="8" cm="1">
        <f t="array" ref="M33">EXP(_xlfn.FORECAST.LINEAR(M$2-8,LN($J25:$N25),$J$2:$N$2-8))</f>
        <v>0.13506532948551214</v>
      </c>
      <c r="N33" s="8" cm="1">
        <f t="array" ref="N33">EXP(_xlfn.FORECAST.LINEAR(N$2-8,LN($J25:$N25),$J$2:$N$2-8))</f>
        <v>5.3812629998410771E-2</v>
      </c>
      <c r="O33" s="7" cm="1">
        <f t="array" ref="O33">EXP(INTERCEPT(LN(J25:N25),J$2:N$2-8))*EXP(SLOPE(LN(J25:N25),J$2:N$2-8))^(12-8)/(1-EXP(SLOPE(LN(J25:N25),J$2:N$2-8)))</f>
        <v>3.5639420790020193E-2</v>
      </c>
    </row>
    <row r="34" spans="1:15" ht="15.75" x14ac:dyDescent="0.25">
      <c r="A34" s="3"/>
      <c r="B34" s="3" t="s">
        <v>38</v>
      </c>
      <c r="C34" s="9">
        <f t="shared" si="0"/>
        <v>1.2891192846759374</v>
      </c>
      <c r="D34" s="9">
        <f t="shared" si="0"/>
        <v>17.142543679201296</v>
      </c>
      <c r="E34" s="9">
        <f t="shared" si="0"/>
        <v>26.942333321326945</v>
      </c>
      <c r="F34" s="9">
        <f t="shared" si="0"/>
        <v>23.304397939703922</v>
      </c>
      <c r="G34" s="9">
        <f t="shared" si="0"/>
        <v>15.70435471670929</v>
      </c>
      <c r="H34" s="9">
        <f t="shared" si="0"/>
        <v>8.6806180888232536</v>
      </c>
      <c r="I34" s="9">
        <f t="shared" si="0"/>
        <v>4.6040515653775325</v>
      </c>
      <c r="J34" s="9">
        <f t="shared" si="0"/>
        <v>2.2207778138879863</v>
      </c>
      <c r="K34" s="8" cm="1">
        <f t="array" ref="K34">EXP(_xlfn.FORECAST.LINEAR(K$2-8,LN($J26:$M26),$J$2:$M$2-8))</f>
        <v>1.0354655418737519</v>
      </c>
      <c r="L34" s="8" cm="1">
        <f t="array" ref="L34">EXP(_xlfn.FORECAST.LINEAR(L$2-8,LN($J26:$M26),$J$2:$M$2-8))</f>
        <v>0.57307194009227846</v>
      </c>
      <c r="M34" s="8" cm="1">
        <f t="array" ref="M34">EXP(_xlfn.FORECAST.LINEAR(M$2-8,LN($J26:$M26),$J$2:$M$2-8))</f>
        <v>0.31716308775166296</v>
      </c>
      <c r="N34" s="8" cm="1">
        <f t="array" ref="N34">EXP(_xlfn.FORECAST.LINEAR(N$2-8,LN($J26:$M26),$J$2:$M$2-8))</f>
        <v>0.17553193097531741</v>
      </c>
      <c r="O34" s="7" cm="1">
        <f t="array" ref="O34">EXP(INTERCEPT(LN(J26:M26),J$2:M$2-8))*EXP(SLOPE(LN(J26:M26),J$2:M$2-8))^(12-8)/(1-EXP(SLOPE(LN(J26:M26),J$2:M$2-8)))</f>
        <v>0.21754718024776834</v>
      </c>
    </row>
    <row r="35" spans="1:15" ht="15.75" x14ac:dyDescent="0.25">
      <c r="A35" s="3"/>
      <c r="B35" s="3" t="s">
        <v>37</v>
      </c>
      <c r="C35" s="9">
        <f t="shared" si="0"/>
        <v>37.428129146395399</v>
      </c>
      <c r="D35" s="9">
        <f t="shared" si="0"/>
        <v>86.264778864399361</v>
      </c>
      <c r="E35" s="9">
        <f t="shared" si="0"/>
        <v>45.248868778280546</v>
      </c>
      <c r="F35" s="9">
        <f t="shared" si="0"/>
        <v>20.653919135892572</v>
      </c>
      <c r="G35" s="9">
        <f t="shared" si="0"/>
        <v>8.6848635235732008</v>
      </c>
      <c r="H35" s="9">
        <f t="shared" si="0"/>
        <v>4.1600842548709851</v>
      </c>
      <c r="I35" s="9">
        <f t="shared" si="0"/>
        <v>1.5271195365982095</v>
      </c>
      <c r="J35" s="9">
        <f t="shared" si="0"/>
        <v>0.31595576619273302</v>
      </c>
      <c r="K35" s="8" cm="1">
        <f t="array" ref="K35">EXP(_xlfn.FORECAST.LINEAR(K$2-8,LN($J27:$M27),$J$2:$M$2-8))</f>
        <v>0.24081456267016993</v>
      </c>
      <c r="L35" s="8" cm="1">
        <f t="array" ref="L35">EXP(_xlfn.FORECAST.LINEAR(L$2-8,LN($J27:$M27),$J$2:$M$2-8))</f>
        <v>0.16362273617402798</v>
      </c>
      <c r="M35" s="8" cm="1">
        <f t="array" ref="M35">EXP(_xlfn.FORECAST.LINEAR(M$2-8,LN($J27:$M27),$J$2:$M$2-8))</f>
        <v>0.11117433886149236</v>
      </c>
      <c r="N35" s="8" cm="1">
        <f t="array" ref="N35">EXP(_xlfn.FORECAST.LINEAR(N$2-8,LN($J27:$M27),$J$2:$M$2-8))</f>
        <v>7.553799618742596E-2</v>
      </c>
      <c r="O35" s="7" cm="1">
        <f t="array" ref="O35">EXP(INTERCEPT(LN(J27:M27),J$2:M$2-8))*EXP(SLOPE(LN(J27:M27),J$2:M$2-8))^(12-8)/(1-EXP(SLOPE(LN(J27:M27),J$2:M$2-8)))</f>
        <v>0.16011712874688444</v>
      </c>
    </row>
    <row r="36" spans="1:15" ht="15.75" x14ac:dyDescent="0.25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1"/>
    </row>
    <row r="37" spans="1:15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B0A-6A58-4D16-B9DE-68B0D279451E}">
  <dimension ref="A1:W25"/>
  <sheetViews>
    <sheetView workbookViewId="0">
      <selection activeCell="H31" sqref="H31"/>
    </sheetView>
  </sheetViews>
  <sheetFormatPr defaultColWidth="7.140625" defaultRowHeight="15" x14ac:dyDescent="0.25"/>
  <cols>
    <col min="1" max="1" width="11.140625" bestFit="1" customWidth="1"/>
    <col min="2" max="2" width="11.85546875" bestFit="1" customWidth="1"/>
    <col min="3" max="3" width="7.28515625" customWidth="1"/>
    <col min="4" max="7" width="7" bestFit="1" customWidth="1"/>
    <col min="8" max="10" width="5.7109375" bestFit="1" customWidth="1"/>
    <col min="11" max="14" width="4.42578125" bestFit="1" customWidth="1"/>
    <col min="15" max="15" width="10.85546875" bestFit="1" customWidth="1"/>
    <col min="16" max="16" width="8.7109375" bestFit="1" customWidth="1"/>
    <col min="17" max="17" width="10.7109375" bestFit="1" customWidth="1"/>
    <col min="18" max="18" width="10" bestFit="1" customWidth="1"/>
    <col min="19" max="19" width="8.28515625" bestFit="1" customWidth="1"/>
    <col min="20" max="20" width="9.85546875" bestFit="1" customWidth="1"/>
    <col min="22" max="22" width="24.42578125" bestFit="1" customWidth="1"/>
  </cols>
  <sheetData>
    <row r="1" spans="1:20" ht="15.75" x14ac:dyDescent="0.25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5.75" x14ac:dyDescent="0.25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5.75" x14ac:dyDescent="0.25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28">
        <f>$B4*Exposure_quarter!O$32/1000</f>
        <v>0.30024957118868645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0.30024957118871498</v>
      </c>
      <c r="S4" s="20">
        <f t="shared" ref="S4:S19" si="2">SUM(C4:O4)</f>
        <v>1078.3002495711887</v>
      </c>
      <c r="T4" s="26">
        <f t="shared" ref="T4:T19" si="3">S4/B4</f>
        <v>9.9345886269687558E-2</v>
      </c>
    </row>
    <row r="5" spans="1:20" ht="15.75" x14ac:dyDescent="0.25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$B5*Exposure_quarter!O$33/1000</f>
        <v>0.36231035175134529</v>
      </c>
      <c r="P5" s="27">
        <f>SUM(C5:N5)</f>
        <v>2013</v>
      </c>
      <c r="Q5" s="26">
        <f t="shared" si="0"/>
        <v>0.19801298445799725</v>
      </c>
      <c r="R5" s="20">
        <f t="shared" si="1"/>
        <v>0.36231035175137549</v>
      </c>
      <c r="S5" s="20">
        <f t="shared" si="2"/>
        <v>2013.3623103517514</v>
      </c>
      <c r="T5" s="26">
        <f t="shared" si="3"/>
        <v>0.19804862387878727</v>
      </c>
    </row>
    <row r="6" spans="1:20" ht="15.75" x14ac:dyDescent="0.25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28">
        <f>$B6*Exposure_quarter!O$34/1000</f>
        <v>2.1898299163740362</v>
      </c>
      <c r="P6" s="27">
        <f>SUM(C6:N6)</f>
        <v>1005</v>
      </c>
      <c r="Q6" s="26">
        <f t="shared" si="0"/>
        <v>9.9841049076097754E-2</v>
      </c>
      <c r="R6" s="20">
        <f t="shared" si="1"/>
        <v>2.1898299163740376</v>
      </c>
      <c r="S6" s="20">
        <f t="shared" si="2"/>
        <v>1007.189829916374</v>
      </c>
      <c r="T6" s="26">
        <f t="shared" si="3"/>
        <v>0.10005859625634553</v>
      </c>
    </row>
    <row r="7" spans="1:20" ht="15.75" x14ac:dyDescent="0.25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$B7*Exposure_quarter!O$35/1000</f>
        <v>1.6575325167877477</v>
      </c>
      <c r="P7" s="27">
        <f>SUM(C7:N7)</f>
        <v>2112</v>
      </c>
      <c r="Q7" s="26">
        <f t="shared" si="0"/>
        <v>0.20401854714064915</v>
      </c>
      <c r="R7" s="20">
        <f t="shared" si="1"/>
        <v>1.6575325167877963</v>
      </c>
      <c r="S7" s="20">
        <f t="shared" si="2"/>
        <v>2113.6575325167878</v>
      </c>
      <c r="T7" s="26">
        <f t="shared" si="3"/>
        <v>0.20417866426939604</v>
      </c>
    </row>
    <row r="8" spans="1:20" ht="15.75" x14ac:dyDescent="0.25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$B8*Exposure_quarter!O$32/1000</f>
        <v>0.27123153173991804</v>
      </c>
      <c r="P8" s="27">
        <f>SUM(C8:N8)</f>
        <v>1002</v>
      </c>
      <c r="Q8" s="26">
        <f t="shared" si="0"/>
        <v>0.10219275879653238</v>
      </c>
      <c r="R8" s="20">
        <f t="shared" si="1"/>
        <v>0.27123153173988612</v>
      </c>
      <c r="S8" s="20">
        <f t="shared" si="2"/>
        <v>1002.2712315317399</v>
      </c>
      <c r="T8" s="26">
        <f t="shared" si="3"/>
        <v>0.10222042136988678</v>
      </c>
    </row>
    <row r="9" spans="1:20" ht="15.75" x14ac:dyDescent="0.25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$B9*Exposure_quarter!N33/1000</f>
        <v>0.55819841097351486</v>
      </c>
      <c r="O9" s="28">
        <f>$B9*Exposure_quarter!O$33/1000</f>
        <v>0.36968771185487947</v>
      </c>
      <c r="P9" s="27">
        <f>SUM(C9:M9)</f>
        <v>2067</v>
      </c>
      <c r="Q9" s="26">
        <f t="shared" si="0"/>
        <v>0.19926732864166585</v>
      </c>
      <c r="R9" s="20">
        <f t="shared" si="1"/>
        <v>0.92788612282856775</v>
      </c>
      <c r="S9" s="20">
        <f t="shared" si="2"/>
        <v>2067.9278861228286</v>
      </c>
      <c r="T9" s="26">
        <f t="shared" si="3"/>
        <v>0.1993567806924543</v>
      </c>
    </row>
    <row r="10" spans="1:20" ht="15.75" x14ac:dyDescent="0.25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$B10*Exposure_quarter!M34/1000</f>
        <v>2.6629012847629623</v>
      </c>
      <c r="N10" s="28">
        <f>$B10*Exposure_quarter!N34/1000</f>
        <v>1.473766092468765</v>
      </c>
      <c r="O10" s="28">
        <f>$B10*Exposure_quarter!O$34/1000</f>
        <v>1.8265261253602629</v>
      </c>
      <c r="P10" s="27">
        <f>SUM(C10:L10)</f>
        <v>834</v>
      </c>
      <c r="Q10" s="26">
        <f t="shared" si="0"/>
        <v>9.9333015721772278E-2</v>
      </c>
      <c r="R10" s="20">
        <f t="shared" si="1"/>
        <v>5.9631935025919347</v>
      </c>
      <c r="S10" s="20">
        <f t="shared" si="2"/>
        <v>839.96319350259193</v>
      </c>
      <c r="T10" s="26">
        <f t="shared" si="3"/>
        <v>0.10004325792074702</v>
      </c>
    </row>
    <row r="11" spans="1:20" ht="15.75" x14ac:dyDescent="0.25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$B11*Exposure_quarter!L35/1000</f>
        <v>1.4133731950712536</v>
      </c>
      <c r="M11" s="28">
        <f>$B11*Exposure_quarter!M35/1000</f>
        <v>0.96032393908557101</v>
      </c>
      <c r="N11" s="28">
        <f>$B11*Exposure_quarter!N35/1000</f>
        <v>0.65249721106698544</v>
      </c>
      <c r="O11" s="28">
        <f>$B11*Exposure_quarter!O$35/1000</f>
        <v>1.3830917581155877</v>
      </c>
      <c r="P11" s="27">
        <f>SUM(C11:K11)</f>
        <v>1766</v>
      </c>
      <c r="Q11" s="26">
        <f t="shared" si="0"/>
        <v>0.20444547348923361</v>
      </c>
      <c r="R11" s="20">
        <f t="shared" si="1"/>
        <v>4.4092861033393547</v>
      </c>
      <c r="S11" s="20">
        <f t="shared" si="2"/>
        <v>1770.4092861033394</v>
      </c>
      <c r="T11" s="26">
        <f t="shared" si="3"/>
        <v>0.20495592568920346</v>
      </c>
    </row>
    <row r="12" spans="1:20" ht="15.75" x14ac:dyDescent="0.25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$B12*Exposure_quarter!K32/1000</f>
        <v>1.9231659452230547</v>
      </c>
      <c r="L12" s="28">
        <f>$B12*Exposure_quarter!L32/1000</f>
        <v>0.95283949745005925</v>
      </c>
      <c r="M12" s="28">
        <f>$B12*Exposure_quarter!M32/1000</f>
        <v>0.47208776245025508</v>
      </c>
      <c r="N12" s="28">
        <f>$B12*Exposure_quarter!N32/1000</f>
        <v>0.23389758301551661</v>
      </c>
      <c r="O12" s="28">
        <f>$B12*Exposure_quarter!O$32/1000</f>
        <v>0.22968234656160524</v>
      </c>
      <c r="P12" s="27">
        <f>SUM(C12:J12)</f>
        <v>819</v>
      </c>
      <c r="Q12" s="26">
        <f t="shared" si="0"/>
        <v>9.8639046127905583E-2</v>
      </c>
      <c r="R12" s="20">
        <f t="shared" si="1"/>
        <v>3.811673134700527</v>
      </c>
      <c r="S12" s="20">
        <f t="shared" si="2"/>
        <v>822.81167313470053</v>
      </c>
      <c r="T12" s="26">
        <f t="shared" si="3"/>
        <v>9.9098117925412565E-2</v>
      </c>
    </row>
    <row r="13" spans="1:20" ht="15.75" x14ac:dyDescent="0.25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$B13*Exposure_quarter!J33/1000</f>
        <v>21.18214129217586</v>
      </c>
      <c r="K13" s="28">
        <f>$B13*Exposure_quarter!K33/1000</f>
        <v>8.2262111530336277</v>
      </c>
      <c r="L13" s="28">
        <f>$B13*Exposure_quarter!L33/1000</f>
        <v>3.2774810438268882</v>
      </c>
      <c r="M13" s="28">
        <f>$B13*Exposure_quarter!M33/1000</f>
        <v>1.3058116054659312</v>
      </c>
      <c r="N13" s="28">
        <f>$B13*Exposure_quarter!N33/1000</f>
        <v>0.52026050682463532</v>
      </c>
      <c r="O13" s="28">
        <f>$B13*Exposure_quarter!O$33/1000</f>
        <v>0.34456192019791526</v>
      </c>
      <c r="P13" s="27">
        <f>SUM(C13:I13)</f>
        <v>1893</v>
      </c>
      <c r="Q13" s="26">
        <f t="shared" si="0"/>
        <v>0.19580057923045097</v>
      </c>
      <c r="R13" s="20">
        <f t="shared" si="1"/>
        <v>34.856467521524792</v>
      </c>
      <c r="S13" s="20">
        <f t="shared" si="2"/>
        <v>1927.8564675215248</v>
      </c>
      <c r="T13" s="26">
        <f t="shared" si="3"/>
        <v>0.19940592340934266</v>
      </c>
    </row>
    <row r="14" spans="1:20" ht="15.75" x14ac:dyDescent="0.25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$B14*Exposure_quarter!I34/1000</f>
        <v>42.822283609576431</v>
      </c>
      <c r="J14" s="28">
        <f>$B14*Exposure_quarter!J34/1000</f>
        <v>20.655454446972161</v>
      </c>
      <c r="K14" s="28">
        <f>$B14*Exposure_quarter!K34/1000</f>
        <v>9.6308650049677667</v>
      </c>
      <c r="L14" s="28">
        <f>$B14*Exposure_quarter!L34/1000</f>
        <v>5.3301421147982815</v>
      </c>
      <c r="M14" s="28">
        <f>$B14*Exposure_quarter!M34/1000</f>
        <v>2.949933879178217</v>
      </c>
      <c r="N14" s="28">
        <f>$B14*Exposure_quarter!N34/1000</f>
        <v>1.6326224900014272</v>
      </c>
      <c r="O14" s="28">
        <f>$B14*Exposure_quarter!O$34/1000</f>
        <v>2.0234063234844935</v>
      </c>
      <c r="P14" s="27">
        <f>SUM(C14:H14)</f>
        <v>880</v>
      </c>
      <c r="Q14" s="26">
        <f t="shared" si="0"/>
        <v>9.4613482421245024E-2</v>
      </c>
      <c r="R14" s="20">
        <f t="shared" si="1"/>
        <v>85.044707868978549</v>
      </c>
      <c r="S14" s="20">
        <f t="shared" si="2"/>
        <v>965.04470786897855</v>
      </c>
      <c r="T14" s="26">
        <f t="shared" si="3"/>
        <v>0.10375709148145131</v>
      </c>
    </row>
    <row r="15" spans="1:20" ht="15.75" x14ac:dyDescent="0.25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$B15*Exposure_quarter!H35/1000</f>
        <v>35.002948920484471</v>
      </c>
      <c r="I15" s="28">
        <f>$B15*Exposure_quarter!I35/1000</f>
        <v>12.849183780937336</v>
      </c>
      <c r="J15" s="28">
        <f>$B15*Exposure_quarter!J35/1000</f>
        <v>2.6584518167456559</v>
      </c>
      <c r="K15" s="28">
        <f>$B15*Exposure_quarter!K35/1000</f>
        <v>2.02621373030681</v>
      </c>
      <c r="L15" s="28">
        <f>$B15*Exposure_quarter!L35/1000</f>
        <v>1.3767217021682714</v>
      </c>
      <c r="M15" s="28">
        <f>$B15*Exposure_quarter!M35/1000</f>
        <v>0.93542088718059679</v>
      </c>
      <c r="N15" s="28">
        <f>$B15*Exposure_quarter!N35/1000</f>
        <v>0.63557669992100208</v>
      </c>
      <c r="O15" s="28">
        <f>$B15*Exposure_quarter!O$35/1000</f>
        <v>1.3472255212762856</v>
      </c>
      <c r="P15" s="27">
        <f>SUM(C15:G15)</f>
        <v>1683</v>
      </c>
      <c r="Q15" s="26">
        <f t="shared" si="0"/>
        <v>0.20002376990729737</v>
      </c>
      <c r="R15" s="20">
        <f t="shared" si="1"/>
        <v>56.831743059020255</v>
      </c>
      <c r="S15" s="20">
        <f t="shared" si="2"/>
        <v>1739.8317430590203</v>
      </c>
      <c r="T15" s="26">
        <f t="shared" si="3"/>
        <v>0.20677819622759927</v>
      </c>
    </row>
    <row r="16" spans="1:20" ht="15.75" x14ac:dyDescent="0.25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$B16*Exposure_quarter!G32/1000</f>
        <v>55.284338098197637</v>
      </c>
      <c r="H16" s="28">
        <f>$B16*Exposure_quarter!H32/1000</f>
        <v>28.042780194737929</v>
      </c>
      <c r="I16" s="28">
        <f>$B16*Exposure_quarter!I32/1000</f>
        <v>10.415889786616946</v>
      </c>
      <c r="J16" s="28">
        <f>$B16*Exposure_quarter!J32/1000</f>
        <v>5.6085560389475866</v>
      </c>
      <c r="K16" s="28">
        <f>$B16*Exposure_quarter!K32/1000</f>
        <v>1.7916040691678101</v>
      </c>
      <c r="L16" s="28">
        <f>$B16*Exposure_quarter!L32/1000</f>
        <v>0.88765669189163054</v>
      </c>
      <c r="M16" s="28">
        <f>$B16*Exposure_quarter!M32/1000</f>
        <v>0.43979270655819858</v>
      </c>
      <c r="N16" s="28">
        <f>$B16*Exposure_quarter!N32/1000</f>
        <v>0.21789688120257991</v>
      </c>
      <c r="O16" s="28">
        <f>$B16*Exposure_quarter!O$32/1000</f>
        <v>0.21397000489630455</v>
      </c>
      <c r="P16" s="27">
        <f>SUM(C16:F16)</f>
        <v>646</v>
      </c>
      <c r="Q16" s="26">
        <f t="shared" si="0"/>
        <v>8.3516483516483511E-2</v>
      </c>
      <c r="R16" s="20">
        <f t="shared" si="1"/>
        <v>102.90248447221654</v>
      </c>
      <c r="S16" s="20">
        <f t="shared" si="2"/>
        <v>748.90248447221654</v>
      </c>
      <c r="T16" s="26">
        <f t="shared" si="3"/>
        <v>9.6819972136033161E-2</v>
      </c>
    </row>
    <row r="17" spans="1:23" ht="15.75" x14ac:dyDescent="0.25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$B17*Exposure_quarter!F33/1000</f>
        <v>316.02383553480985</v>
      </c>
      <c r="G17" s="28">
        <f>$B17*Exposure_quarter!G33/1000</f>
        <v>195.96851723110538</v>
      </c>
      <c r="H17" s="28">
        <f>$B17*Exposure_quarter!H33/1000</f>
        <v>95.313238653292288</v>
      </c>
      <c r="I17" s="28">
        <f>$B17*Exposure_quarter!I33/1000</f>
        <v>48.921839308769485</v>
      </c>
      <c r="J17" s="28">
        <f>$B17*Exposure_quarter!J33/1000</f>
        <v>18.607770582793709</v>
      </c>
      <c r="K17" s="28">
        <f>$B17*Exposure_quarter!K33/1000</f>
        <v>7.2264389038802852</v>
      </c>
      <c r="L17" s="28">
        <f>$B17*Exposure_quarter!L33/1000</f>
        <v>2.8791525139865288</v>
      </c>
      <c r="M17" s="28">
        <f>$B17*Exposure_quarter!M33/1000</f>
        <v>1.1471098433204547</v>
      </c>
      <c r="N17" s="28">
        <f>$B17*Exposure_quarter!N33/1000</f>
        <v>0.45703066657650265</v>
      </c>
      <c r="O17" s="28">
        <f>$B17*Exposure_quarter!O$33/1000</f>
        <v>0.30268560076964152</v>
      </c>
      <c r="P17" s="27">
        <f>SUM(C17:E17)</f>
        <v>916</v>
      </c>
      <c r="Q17" s="26">
        <f t="shared" si="0"/>
        <v>0.10785352643353349</v>
      </c>
      <c r="R17" s="20">
        <f t="shared" si="1"/>
        <v>686.84761883930423</v>
      </c>
      <c r="S17" s="20">
        <f t="shared" si="2"/>
        <v>1602.8476188393042</v>
      </c>
      <c r="T17" s="26">
        <f t="shared" si="3"/>
        <v>0.18872572928756673</v>
      </c>
    </row>
    <row r="18" spans="1:23" ht="15.75" x14ac:dyDescent="0.25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$B18*Exposure_quarter!E34/1000</f>
        <v>234.29053056225911</v>
      </c>
      <c r="F18" s="28">
        <f>$B18*Exposure_quarter!F34/1000</f>
        <v>202.65504448366528</v>
      </c>
      <c r="G18" s="28">
        <f>$B18*Exposure_quarter!G34/1000</f>
        <v>136.56506861650399</v>
      </c>
      <c r="H18" s="28">
        <f>$B18*Exposure_quarter!H34/1000</f>
        <v>75.486654900407018</v>
      </c>
      <c r="I18" s="28">
        <f>$B18*Exposure_quarter!I34/1000</f>
        <v>40.036832412523019</v>
      </c>
      <c r="J18" s="28">
        <f>$B18*Exposure_quarter!J34/1000</f>
        <v>19.311883869569929</v>
      </c>
      <c r="K18" s="28">
        <f>$B18*Exposure_quarter!K34/1000</f>
        <v>9.0044083521341474</v>
      </c>
      <c r="L18" s="28">
        <f>$B18*Exposure_quarter!L34/1000</f>
        <v>4.983433591042453</v>
      </c>
      <c r="M18" s="28">
        <f>$B18*Exposure_quarter!M34/1000</f>
        <v>2.7580502110884613</v>
      </c>
      <c r="N18" s="28">
        <f>$B18*Exposure_quarter!N34/1000</f>
        <v>1.5264256717613602</v>
      </c>
      <c r="O18" s="28">
        <f>$B18*Exposure_quarter!O$34/1000</f>
        <v>1.8917902794345935</v>
      </c>
      <c r="P18" s="27">
        <f>SUM(C18:D18)</f>
        <v>180</v>
      </c>
      <c r="Q18" s="26">
        <f t="shared" si="0"/>
        <v>2.0699172033118676E-2</v>
      </c>
      <c r="R18" s="20">
        <f t="shared" si="1"/>
        <v>728.51012295038959</v>
      </c>
      <c r="S18" s="20">
        <f t="shared" si="2"/>
        <v>908.51012295038959</v>
      </c>
      <c r="T18" s="26">
        <f t="shared" si="3"/>
        <v>0.1044744851598884</v>
      </c>
    </row>
    <row r="19" spans="1:23" ht="15.75" x14ac:dyDescent="0.25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$B19*Exposure_quarter!D35/1000</f>
        <v>756.71464019851123</v>
      </c>
      <c r="E19" s="28">
        <f>$B19*Exposure_quarter!E35/1000</f>
        <v>396.92307692307696</v>
      </c>
      <c r="F19" s="28">
        <f>$B19*Exposure_quarter!F35/1000</f>
        <v>181.17617866004963</v>
      </c>
      <c r="G19" s="28">
        <f>$B19*Exposure_quarter!G35/1000</f>
        <v>76.183622828784124</v>
      </c>
      <c r="H19" s="28">
        <f>$B19*Exposure_quarter!H35/1000</f>
        <v>36.492259083728285</v>
      </c>
      <c r="I19" s="28">
        <f>$B19*Exposure_quarter!I35/1000</f>
        <v>13.395892575039493</v>
      </c>
      <c r="J19" s="28">
        <f>$B19*Exposure_quarter!J35/1000</f>
        <v>2.7715639810426542</v>
      </c>
      <c r="K19" s="28">
        <f>$B19*Exposure_quarter!K35/1000</f>
        <v>2.1124253437427307</v>
      </c>
      <c r="L19" s="28">
        <f>$B19*Exposure_quarter!L35/1000</f>
        <v>1.4352986417185734</v>
      </c>
      <c r="M19" s="28">
        <f>$B19*Exposure_quarter!M35/1000</f>
        <v>0.97522130049301092</v>
      </c>
      <c r="N19" s="28">
        <f>$B19*Exposure_quarter!N35/1000</f>
        <v>0.66261930255610046</v>
      </c>
      <c r="O19" s="28">
        <f>$B19*Exposure_quarter!O$35/1000</f>
        <v>1.4045474533676705</v>
      </c>
      <c r="P19" s="27">
        <f>SUM(C19)</f>
        <v>323</v>
      </c>
      <c r="Q19" s="26">
        <f t="shared" si="0"/>
        <v>3.6821705426356592E-2</v>
      </c>
      <c r="R19" s="20">
        <f t="shared" si="1"/>
        <v>1470.2473462921103</v>
      </c>
      <c r="S19" s="20">
        <f t="shared" si="2"/>
        <v>1793.2473462921103</v>
      </c>
      <c r="T19" s="26">
        <f t="shared" si="3"/>
        <v>0.20442856204880419</v>
      </c>
    </row>
    <row r="20" spans="1:2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>
        <f>SUM(R4:R19)</f>
        <v>3185.1336837548465</v>
      </c>
      <c r="S21" s="3"/>
    </row>
    <row r="25" spans="1:23" x14ac:dyDescent="0.25">
      <c r="W25" s="2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97B-1EA2-478C-B330-97FBAC0A592F}">
  <dimension ref="A1:AB37"/>
  <sheetViews>
    <sheetView workbookViewId="0">
      <selection activeCell="X6" sqref="X6"/>
    </sheetView>
  </sheetViews>
  <sheetFormatPr defaultRowHeight="15" x14ac:dyDescent="0.25"/>
  <cols>
    <col min="19" max="19" width="10.140625" bestFit="1" customWidth="1"/>
  </cols>
  <sheetData>
    <row r="1" spans="1:28" ht="15.75" x14ac:dyDescent="0.25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5.75" x14ac:dyDescent="0.25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Q2/IBNR_quarter!R4</f>
        <v>3.3305626250885565</v>
      </c>
      <c r="S2" s="34">
        <f t="shared" ref="S2:S17" si="1">SUM(C2:O2)</f>
        <v>1079</v>
      </c>
      <c r="T2" s="33">
        <f>S2/IBNR_quarter!S4</f>
        <v>1.0006489383908512</v>
      </c>
    </row>
    <row r="3" spans="1:28" ht="15.75" x14ac:dyDescent="0.25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Q3/IBNR_quarter!R5</f>
        <v>0</v>
      </c>
      <c r="S3" s="34">
        <f t="shared" si="1"/>
        <v>2013</v>
      </c>
      <c r="T3" s="33">
        <f>S3/IBNR_quarter!S5</f>
        <v>0.99982004711725825</v>
      </c>
    </row>
    <row r="4" spans="1:28" ht="15.75" x14ac:dyDescent="0.25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Q4/IBNR_quarter!R6</f>
        <v>0.45665647022295652</v>
      </c>
      <c r="S4" s="34">
        <f t="shared" si="1"/>
        <v>1006</v>
      </c>
      <c r="T4" s="33">
        <f>S4/IBNR_quarter!S6</f>
        <v>0.99881866369076344</v>
      </c>
    </row>
    <row r="5" spans="1:28" ht="15.75" x14ac:dyDescent="0.25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Q5/IBNR_quarter!R7</f>
        <v>0</v>
      </c>
      <c r="S5" s="34">
        <f t="shared" si="1"/>
        <v>2112</v>
      </c>
      <c r="T5" s="33">
        <f>S5/IBNR_quarter!S7</f>
        <v>0.99921579892140133</v>
      </c>
    </row>
    <row r="6" spans="1:28" ht="15.75" x14ac:dyDescent="0.25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Q6/IBNR_quarter!R8</f>
        <v>0</v>
      </c>
      <c r="S6" s="34">
        <f t="shared" si="1"/>
        <v>1002</v>
      </c>
      <c r="T6" s="33">
        <f>S6/IBNR_quarter!S8</f>
        <v>0.99972938310189208</v>
      </c>
    </row>
    <row r="7" spans="1:28" ht="15.75" x14ac:dyDescent="0.25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Q7/IBNR_quarter!R9</f>
        <v>3.2331553691683639</v>
      </c>
      <c r="S7" s="34">
        <f t="shared" si="1"/>
        <v>2070</v>
      </c>
      <c r="T7" s="33">
        <f>S7/IBNR_quarter!S9</f>
        <v>1.0010020242442093</v>
      </c>
    </row>
    <row r="8" spans="1:28" ht="15.75" x14ac:dyDescent="0.25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Q8/IBNR_quarter!R10</f>
        <v>0.67078151971110411</v>
      </c>
      <c r="S8" s="34">
        <f t="shared" si="1"/>
        <v>838</v>
      </c>
      <c r="T8" s="33">
        <f>S8/IBNR_quarter!S10</f>
        <v>0.99766276246652486</v>
      </c>
    </row>
    <row r="9" spans="1:28" ht="15.75" x14ac:dyDescent="0.25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Q9/IBNR_quarter!R11</f>
        <v>0.22679408334212064</v>
      </c>
      <c r="S9" s="34">
        <f t="shared" si="1"/>
        <v>1767</v>
      </c>
      <c r="T9" s="33">
        <f>S9/IBNR_quarter!S11</f>
        <v>0.99807429494970445</v>
      </c>
    </row>
    <row r="10" spans="1:28" ht="15.75" x14ac:dyDescent="0.25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Q10/IBNR_quarter!R12</f>
        <v>1.0494079262948839</v>
      </c>
      <c r="S10" s="34">
        <f t="shared" si="1"/>
        <v>823</v>
      </c>
      <c r="T10" s="33">
        <f>S10/IBNR_quarter!S12</f>
        <v>1.0002288821020027</v>
      </c>
    </row>
    <row r="11" spans="1:28" ht="15.75" x14ac:dyDescent="0.25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Q11/IBNR_quarter!R13</f>
        <v>1.2910086190521546</v>
      </c>
      <c r="S11" s="34">
        <f t="shared" si="1"/>
        <v>1938</v>
      </c>
      <c r="T11" s="33">
        <f>S11/IBNR_quarter!S13</f>
        <v>1.0052615600016717</v>
      </c>
    </row>
    <row r="12" spans="1:28" ht="15.75" x14ac:dyDescent="0.25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Q12/IBNR_quarter!R14</f>
        <v>0.96419873799003131</v>
      </c>
      <c r="S12" s="34">
        <f t="shared" si="1"/>
        <v>962</v>
      </c>
      <c r="T12" s="33">
        <f>S12/IBNR_quarter!S14</f>
        <v>0.99684500848079682</v>
      </c>
    </row>
    <row r="13" spans="1:28" ht="15.75" x14ac:dyDescent="0.25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Q13/IBNR_quarter!R15</f>
        <v>0.8445984130761498</v>
      </c>
      <c r="S13" s="34">
        <f t="shared" si="1"/>
        <v>1731</v>
      </c>
      <c r="T13" s="33">
        <f>S13/IBNR_quarter!S15</f>
        <v>0.99492379473230441</v>
      </c>
    </row>
    <row r="14" spans="1:28" ht="15.75" x14ac:dyDescent="0.25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Q14/IBNR_quarter!R16</f>
        <v>0.9912297115385954</v>
      </c>
      <c r="S14" s="34">
        <f t="shared" si="1"/>
        <v>748</v>
      </c>
      <c r="T14" s="33">
        <f>S14/IBNR_quarter!S16</f>
        <v>0.99879492391742752</v>
      </c>
    </row>
    <row r="15" spans="1:28" ht="15.75" x14ac:dyDescent="0.25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Q15/IBNR_quarter!R17</f>
        <v>0.99585407481776467</v>
      </c>
      <c r="S15" s="34">
        <f t="shared" si="1"/>
        <v>1600</v>
      </c>
      <c r="T15" s="33">
        <f>S15/IBNR_quarter!S17</f>
        <v>0.99822340014993671</v>
      </c>
    </row>
    <row r="16" spans="1:28" ht="15.75" x14ac:dyDescent="0.25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Q16/IBNR_quarter!R18</f>
        <v>1.030871056339655</v>
      </c>
      <c r="S16" s="34">
        <f t="shared" si="1"/>
        <v>931</v>
      </c>
      <c r="T16" s="33">
        <f>S16/IBNR_quarter!S18</f>
        <v>1.0247546796469085</v>
      </c>
      <c r="U16" s="36" t="s">
        <v>48</v>
      </c>
      <c r="V16" s="36"/>
      <c r="W16" s="36"/>
      <c r="X16" s="36"/>
      <c r="Y16" s="36"/>
      <c r="Z16" s="36"/>
      <c r="AA16" s="36"/>
      <c r="AB16" s="36"/>
    </row>
    <row r="17" spans="1:28" ht="15.75" x14ac:dyDescent="0.25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Q17/IBNR_quarter!R19</f>
        <v>0.9039295349531975</v>
      </c>
      <c r="S17" s="34">
        <f t="shared" si="1"/>
        <v>1652</v>
      </c>
      <c r="T17" s="37">
        <f>S17/IBNR_quarter!S19</f>
        <v>0.92123376254582678</v>
      </c>
      <c r="U17" s="36" t="s">
        <v>49</v>
      </c>
      <c r="V17" s="36"/>
      <c r="W17" s="36"/>
      <c r="X17" s="36"/>
      <c r="Y17" s="36"/>
      <c r="Z17" s="36"/>
      <c r="AA17" s="36"/>
      <c r="AB17" s="36"/>
    </row>
    <row r="18" spans="1:28" ht="15.75" x14ac:dyDescent="0.25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  <c r="U18" s="36" t="s">
        <v>50</v>
      </c>
      <c r="V18" s="36"/>
      <c r="W18" s="36"/>
      <c r="X18" s="36"/>
      <c r="Y18" s="36"/>
      <c r="Z18" s="36"/>
      <c r="AA18" s="36"/>
      <c r="AB18" s="36"/>
    </row>
    <row r="19" spans="1:28" ht="15.75" x14ac:dyDescent="0.25">
      <c r="A19" s="21" t="s">
        <v>51</v>
      </c>
      <c r="P19" s="1"/>
      <c r="Q19" s="20">
        <f>SUM(Q2:Q17)</f>
        <v>3055</v>
      </c>
      <c r="R19" s="33">
        <f>Q19/IBNR_quarter!R21</f>
        <v>0.95914341541814463</v>
      </c>
      <c r="S19" s="3"/>
      <c r="T19" s="35">
        <f>AVERAGE(T2:T17)</f>
        <v>0.99595237027871764</v>
      </c>
      <c r="U19" s="35" t="s">
        <v>52</v>
      </c>
    </row>
    <row r="20" spans="1:28" x14ac:dyDescent="0.25">
      <c r="O20">
        <f>IF(IBNR_quarter!O4&gt;0,O2/IBNR_quarter!O4,"")</f>
        <v>3.3305626250888731</v>
      </c>
    </row>
    <row r="21" spans="1:28" x14ac:dyDescent="0.25">
      <c r="O21">
        <f>IF(IBNR_quarter!O5&gt;0,O3/IBNR_quarter!O5,"")</f>
        <v>0</v>
      </c>
    </row>
    <row r="22" spans="1:28" x14ac:dyDescent="0.25">
      <c r="O22">
        <f>IF(IBNR_quarter!O6&gt;0,O4/IBNR_quarter!O6,"")</f>
        <v>0.4566564702229568</v>
      </c>
    </row>
    <row r="23" spans="1:28" x14ac:dyDescent="0.25">
      <c r="O23">
        <f>IF(IBNR_quarter!O7&gt;0,O5/IBNR_quarter!O7,"")</f>
        <v>0</v>
      </c>
    </row>
    <row r="24" spans="1:28" x14ac:dyDescent="0.25">
      <c r="O24">
        <f>IF(IBNR_quarter!O8&gt;0,O6/IBNR_quarter!O8,"")</f>
        <v>0</v>
      </c>
    </row>
    <row r="25" spans="1:28" x14ac:dyDescent="0.25">
      <c r="M25">
        <f>IF(IBNR_quarter!M9&gt;0,M7/IBNR_quarter!M9,"")</f>
        <v>1</v>
      </c>
      <c r="N25">
        <f>IF(IBNR_quarter!N9&gt;0,N7/IBNR_quarter!N9,"")</f>
        <v>3.5829553805284751</v>
      </c>
      <c r="O25">
        <f>IF(IBNR_quarter!O9&gt;0,O7/IBNR_quarter!O9,"")</f>
        <v>2.7049857702399072</v>
      </c>
    </row>
    <row r="26" spans="1:28" x14ac:dyDescent="0.25">
      <c r="L26">
        <f>IF(IBNR_quarter!L10&gt;0,L8/IBNR_quarter!L10,"")</f>
        <v>1</v>
      </c>
      <c r="M26">
        <f>IF(IBNR_quarter!M10&gt;0,M8/IBNR_quarter!M10,"")</f>
        <v>1.1265907666821546</v>
      </c>
      <c r="N26">
        <f>IF(IBNR_quarter!N10&gt;0,N8/IBNR_quarter!N10,"")</f>
        <v>0.67853372737383288</v>
      </c>
      <c r="O26">
        <f>IF(IBNR_quarter!O10&gt;0,O8/IBNR_quarter!O10,"")</f>
        <v>0</v>
      </c>
    </row>
    <row r="27" spans="1:28" x14ac:dyDescent="0.25">
      <c r="K27">
        <f>IF(IBNR_quarter!K11&gt;0,K9/IBNR_quarter!K11,"")</f>
        <v>1</v>
      </c>
      <c r="L27">
        <f>IF(IBNR_quarter!L11&gt;0,L9/IBNR_quarter!L11,"")</f>
        <v>0</v>
      </c>
      <c r="M27">
        <f>IF(IBNR_quarter!M11&gt;0,M9/IBNR_quarter!M11,"")</f>
        <v>1.0413152888307762</v>
      </c>
      <c r="N27">
        <f>IF(IBNR_quarter!N11&gt;0,N9/IBNR_quarter!N11,"")</f>
        <v>0</v>
      </c>
      <c r="O27">
        <f>IF(IBNR_quarter!O11&gt;0,O9/IBNR_quarter!O11,"")</f>
        <v>0</v>
      </c>
    </row>
    <row r="28" spans="1:28" x14ac:dyDescent="0.25">
      <c r="J28">
        <f>IF(IBNR_quarter!J12&gt;0,J10/IBNR_quarter!J12,"")</f>
        <v>1</v>
      </c>
      <c r="K28">
        <f>IF(IBNR_quarter!K12&gt;0,K10/IBNR_quarter!K12,"")</f>
        <v>1.5599277885778342</v>
      </c>
      <c r="L28">
        <f>IF(IBNR_quarter!L12&gt;0,L10/IBNR_quarter!L12,"")</f>
        <v>0</v>
      </c>
      <c r="M28">
        <f>IF(IBNR_quarter!M12&gt;0,M10/IBNR_quarter!M12,"")</f>
        <v>0</v>
      </c>
      <c r="N28">
        <f>IF(IBNR_quarter!N12&gt;0,N10/IBNR_quarter!N12,"")</f>
        <v>4.2753755173847212</v>
      </c>
      <c r="O28">
        <f>IF(IBNR_quarter!O12&gt;0,O10/IBNR_quarter!O12,"")</f>
        <v>0</v>
      </c>
    </row>
    <row r="29" spans="1:28" x14ac:dyDescent="0.25">
      <c r="I29">
        <f>IF(IBNR_quarter!I13&gt;0,I11/IBNR_quarter!I13,"")</f>
        <v>1</v>
      </c>
      <c r="J29">
        <f>IF(IBNR_quarter!J13&gt;0,J11/IBNR_quarter!J13,"")</f>
        <v>1.0858203466188572</v>
      </c>
      <c r="K29">
        <f>IF(IBNR_quarter!K13&gt;0,K11/IBNR_quarter!K13,"")</f>
        <v>1.8234397003617349</v>
      </c>
      <c r="L29">
        <f>IF(IBNR_quarter!L13&gt;0,L11/IBNR_quarter!L13,"")</f>
        <v>1.2204494691232375</v>
      </c>
      <c r="M29">
        <f>IF(IBNR_quarter!M13&gt;0,M11/IBNR_quarter!M13,"")</f>
        <v>2.2974217624061928</v>
      </c>
      <c r="N29">
        <f>IF(IBNR_quarter!N13&gt;0,N11/IBNR_quarter!N13,"")</f>
        <v>0</v>
      </c>
      <c r="O29">
        <f>IF(IBNR_quarter!O13&gt;0,O11/IBNR_quarter!O13,"")</f>
        <v>0</v>
      </c>
    </row>
    <row r="30" spans="1:28" x14ac:dyDescent="0.25">
      <c r="H30">
        <f>IF(IBNR_quarter!H14&gt;0,H12/IBNR_quarter!H14,"")</f>
        <v>1</v>
      </c>
      <c r="I30">
        <f>IF(IBNR_quarter!I14&gt;0,I12/IBNR_quarter!I14,"")</f>
        <v>0.81733146973443704</v>
      </c>
      <c r="J30">
        <f>IF(IBNR_quarter!J14&gt;0,J12/IBNR_quarter!J14,"")</f>
        <v>1.5008142318817015</v>
      </c>
      <c r="K30">
        <f>IF(IBNR_quarter!K14&gt;0,K12/IBNR_quarter!K14,"")</f>
        <v>0.93449549914339414</v>
      </c>
      <c r="L30">
        <f>IF(IBNR_quarter!L14&gt;0,L12/IBNR_quarter!L14,"")</f>
        <v>0.37522451689370945</v>
      </c>
      <c r="M30">
        <f>IF(IBNR_quarter!M14&gt;0,M12/IBNR_quarter!M14,"")</f>
        <v>0.67798129785781958</v>
      </c>
      <c r="N30">
        <f>IF(IBNR_quarter!N14&gt;0,N12/IBNR_quarter!N14,"")</f>
        <v>1.8375344076004843</v>
      </c>
      <c r="O30">
        <f>IF(IBNR_quarter!O14&gt;0,O12/IBNR_quarter!O14,"")</f>
        <v>0</v>
      </c>
    </row>
    <row r="31" spans="1:28" x14ac:dyDescent="0.25">
      <c r="G31">
        <f>IF(IBNR_quarter!G15&gt;0,G13/IBNR_quarter!G15,"")</f>
        <v>1</v>
      </c>
      <c r="H31">
        <f>IF(IBNR_quarter!H15&gt;0,H13/IBNR_quarter!H15,"")</f>
        <v>0.7713635802896317</v>
      </c>
      <c r="I31">
        <f>IF(IBNR_quarter!I15&gt;0,I13/IBNR_quarter!I15,"")</f>
        <v>0.85608550609411238</v>
      </c>
      <c r="J31">
        <f>IF(IBNR_quarter!J15&gt;0,J13/IBNR_quarter!J15,"")</f>
        <v>2.2569526978844778</v>
      </c>
      <c r="K31">
        <f>IF(IBNR_quarter!K15&gt;0,K13/IBNR_quarter!K15,"")</f>
        <v>1.4805940533952155</v>
      </c>
      <c r="L31">
        <f>IF(IBNR_quarter!L15&gt;0,L13/IBNR_quarter!L15,"")</f>
        <v>0</v>
      </c>
      <c r="M31">
        <f>IF(IBNR_quarter!M15&gt;0,M13/IBNR_quarter!M15,"")</f>
        <v>1.0690374928595487</v>
      </c>
      <c r="N31">
        <f>IF(IBNR_quarter!N15&gt;0,N13/IBNR_quarter!N15,"")</f>
        <v>0</v>
      </c>
      <c r="O31">
        <f>IF(IBNR_quarter!O15&gt;0,O13/IBNR_quarter!O15,"")</f>
        <v>0</v>
      </c>
    </row>
    <row r="32" spans="1:28" x14ac:dyDescent="0.25">
      <c r="F32">
        <f>IF(IBNR_quarter!F16&gt;0,F14/IBNR_quarter!F16,"")</f>
        <v>1</v>
      </c>
      <c r="G32">
        <f>IF(IBNR_quarter!G16&gt;0,G14/IBNR_quarter!G16,"")</f>
        <v>1.0310334167111661</v>
      </c>
      <c r="H32">
        <f>IF(IBNR_quarter!H16&gt;0,H14/IBNR_quarter!H16,"")</f>
        <v>0.96281466432726948</v>
      </c>
      <c r="I32">
        <f>IF(IBNR_quarter!I16&gt;0,I14/IBNR_quarter!I16,"")</f>
        <v>1.0560787628660933</v>
      </c>
      <c r="J32">
        <f>IF(IBNR_quarter!J16&gt;0,J14/IBNR_quarter!J16,"")</f>
        <v>0.35659802382491457</v>
      </c>
      <c r="K32">
        <f>IF(IBNR_quarter!K16&gt;0,K14/IBNR_quarter!K16,"")</f>
        <v>1.1163180718432888</v>
      </c>
      <c r="L32">
        <f>IF(IBNR_quarter!L16&gt;0,L14/IBNR_quarter!L16,"")</f>
        <v>2.2531233282744965</v>
      </c>
      <c r="M32">
        <f>IF(IBNR_quarter!M16&gt;0,M14/IBNR_quarter!M16,"")</f>
        <v>2.2737985079970127</v>
      </c>
      <c r="N32">
        <f>IF(IBNR_quarter!N16&gt;0,N14/IBNR_quarter!N16,"")</f>
        <v>0</v>
      </c>
      <c r="O32">
        <f>IF(IBNR_quarter!O16&gt;0,O14/IBNR_quarter!O16,"")</f>
        <v>0</v>
      </c>
    </row>
    <row r="33" spans="3:15" x14ac:dyDescent="0.25">
      <c r="E33">
        <f>IF(IBNR_quarter!E17&gt;0,E15/IBNR_quarter!E17,"")</f>
        <v>1</v>
      </c>
      <c r="F33">
        <f>IF(IBNR_quarter!F17&gt;0,F15/IBNR_quarter!F17,"")</f>
        <v>1.0094175316243268</v>
      </c>
      <c r="G33">
        <f>IF(IBNR_quarter!G17&gt;0,G15/IBNR_quarter!G17,"")</f>
        <v>1.0205720940580487</v>
      </c>
      <c r="H33">
        <f>IF(IBNR_quarter!H17&gt;0,H15/IBNR_quarter!H17,"")</f>
        <v>0.90228808941043581</v>
      </c>
      <c r="I33">
        <f>IF(IBNR_quarter!I17&gt;0,I15/IBNR_quarter!I17,"")</f>
        <v>0.8380715152843925</v>
      </c>
      <c r="J33">
        <f>IF(IBNR_quarter!J17&gt;0,J15/IBNR_quarter!J17,"")</f>
        <v>1.2897837434750188</v>
      </c>
      <c r="K33">
        <f>IF(IBNR_quarter!K17&gt;0,K15/IBNR_quarter!K17,"")</f>
        <v>1.2454267059764927</v>
      </c>
      <c r="L33">
        <f>IF(IBNR_quarter!L17&gt;0,L15/IBNR_quarter!L17,"")</f>
        <v>1.3892977119372967</v>
      </c>
      <c r="M33">
        <f>IF(IBNR_quarter!M17&gt;0,M15/IBNR_quarter!M17,"")</f>
        <v>0.87175609713658575</v>
      </c>
      <c r="N33">
        <f>IF(IBNR_quarter!N17&gt;0,N15/IBNR_quarter!N17,"")</f>
        <v>0</v>
      </c>
      <c r="O33">
        <f>IF(IBNR_quarter!O17&gt;0,O15/IBNR_quarter!O17,"")</f>
        <v>0</v>
      </c>
    </row>
    <row r="34" spans="3:15" x14ac:dyDescent="0.25">
      <c r="D34">
        <f>IF(IBNR_quarter!D18&gt;0,D16/IBNR_quarter!D18,"")</f>
        <v>1</v>
      </c>
      <c r="E34">
        <f>IF(IBNR_quarter!E18&gt;0,E16/IBNR_quarter!E18,"")</f>
        <v>1.0542466202421423</v>
      </c>
      <c r="F34">
        <f>IF(IBNR_quarter!F18&gt;0,F16/IBNR_quarter!F18,"")</f>
        <v>0.99676768725232456</v>
      </c>
      <c r="G34">
        <f>IF(IBNR_quarter!G18&gt;0,G16/IBNR_quarter!G18,"")</f>
        <v>1.0178298257977936</v>
      </c>
      <c r="H34">
        <f>IF(IBNR_quarter!H18&gt;0,H16/IBNR_quarter!H18,"")</f>
        <v>1.0862847228849435</v>
      </c>
      <c r="I34">
        <f>IF(IBNR_quarter!I18&gt;0,I16/IBNR_quarter!I18,"")</f>
        <v>0.94912603495860171</v>
      </c>
      <c r="J34">
        <f>IF(IBNR_quarter!J18&gt;0,J16/IBNR_quarter!J18,"")</f>
        <v>1.0874133327349833</v>
      </c>
      <c r="K34">
        <f>IF(IBNR_quarter!K18&gt;0,K16/IBNR_quarter!K18,"")</f>
        <v>1.3326805638657939</v>
      </c>
      <c r="L34">
        <f>IF(IBNR_quarter!L18&gt;0,L16/IBNR_quarter!L18,"")</f>
        <v>1.0033242961213178</v>
      </c>
      <c r="M34">
        <f>IF(IBNR_quarter!M18&gt;0,M16/IBNR_quarter!M18,"")</f>
        <v>1.4502999198195905</v>
      </c>
      <c r="N34">
        <f>IF(IBNR_quarter!N18&gt;0,N16/IBNR_quarter!N18,"")</f>
        <v>0</v>
      </c>
      <c r="O34">
        <f>IF(IBNR_quarter!O18&gt;0,O16/IBNR_quarter!O18,"")</f>
        <v>0.52859981937261769</v>
      </c>
    </row>
    <row r="35" spans="3:15" x14ac:dyDescent="0.25">
      <c r="C35">
        <f>IF(IBNR_quarter!C19&gt;0,C17/IBNR_quarter!C19,"")</f>
        <v>1</v>
      </c>
      <c r="D35">
        <f>IF(IBNR_quarter!D19&gt;0,D17/IBNR_quarter!D19,"")</f>
        <v>0.94223101037526713</v>
      </c>
      <c r="E35">
        <f>IF(IBNR_quarter!E19&gt;0,E17/IBNR_quarter!E19,"")</f>
        <v>0.86666666666666659</v>
      </c>
      <c r="F35">
        <f>IF(IBNR_quarter!F19&gt;0,F17/IBNR_quarter!F19,"")</f>
        <v>0.88311830607828634</v>
      </c>
      <c r="G35">
        <f>IF(IBNR_quarter!G19&gt;0,G17/IBNR_quarter!G19,"")</f>
        <v>0.8663279265194449</v>
      </c>
      <c r="H35">
        <f>IF(IBNR_quarter!H19&gt;0,H17/IBNR_quarter!H19,"")</f>
        <v>0.79468908552529027</v>
      </c>
      <c r="I35">
        <f>IF(IBNR_quarter!I19&gt;0,I17/IBNR_quarter!I19,"")</f>
        <v>0.6718477286664466</v>
      </c>
      <c r="J35">
        <f>IF(IBNR_quarter!J19&gt;0,J17/IBNR_quarter!J19,"")</f>
        <v>1.8040355677154583</v>
      </c>
      <c r="K35">
        <f>IF(IBNR_quarter!K19&gt;0,K17/IBNR_quarter!K19,"")</f>
        <v>0.47338951076407298</v>
      </c>
      <c r="L35">
        <f>IF(IBNR_quarter!L19&gt;0,L17/IBNR_quarter!L19,"")</f>
        <v>0.69671911540488685</v>
      </c>
      <c r="M35">
        <f>IF(IBNR_quarter!M19&gt;0,M17/IBNR_quarter!M19,"")</f>
        <v>1.0254082837346379</v>
      </c>
      <c r="N35">
        <f>IF(IBNR_quarter!N19&gt;0,N17/IBNR_quarter!N19,"")</f>
        <v>0</v>
      </c>
      <c r="O35">
        <f>IF(IBNR_quarter!O19&gt;0,O17/IBNR_quarter!O19,"")</f>
        <v>0</v>
      </c>
    </row>
    <row r="37" spans="3:15" x14ac:dyDescent="0.25">
      <c r="C37" t="str">
        <f>IF(C19&gt;0,IBNR_quarter!C21/C19,"")</f>
        <v/>
      </c>
      <c r="D37" t="str">
        <f>IF(D19&gt;0,IBNR_quarter!D21/D19,"")</f>
        <v/>
      </c>
      <c r="E37" t="str">
        <f>IF(E19&gt;0,IBNR_quarter!E21/E19,"")</f>
        <v/>
      </c>
      <c r="F37" t="str">
        <f>IF(F19&gt;0,IBNR_quarter!F21/F19,"")</f>
        <v/>
      </c>
      <c r="G37" t="str">
        <f>IF(G19&gt;0,IBNR_quarter!G21/G19,"")</f>
        <v/>
      </c>
      <c r="H37" t="str">
        <f>IF(H19&gt;0,IBNR_quarter!H21/H19,"")</f>
        <v/>
      </c>
      <c r="I37" t="str">
        <f>IF(I19&gt;0,IBNR_quarter!I21/I19,"")</f>
        <v/>
      </c>
      <c r="J37" t="str">
        <f>IF(J19&gt;0,IBNR_quarter!J21/J19,"")</f>
        <v/>
      </c>
      <c r="K37" t="str">
        <f>IF(K19&gt;0,IBNR_quarter!K21/K19,"")</f>
        <v/>
      </c>
      <c r="L37" t="str">
        <f>IF(L19&gt;0,IBNR_quarter!L21/L19,"")</f>
        <v/>
      </c>
      <c r="M37" t="str">
        <f>IF(M19&gt;0,IBNR_quarter!M21/M19,"")</f>
        <v/>
      </c>
      <c r="N37" t="str">
        <f>IF(N19&gt;0,IBNR_quarter!N21/N19,"")</f>
        <v/>
      </c>
      <c r="O37" t="str">
        <f>IF(O19&gt;0,IBNR_quarter!O21/O19,"")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CA99-AB58-46DF-9C34-CFFE6FBE7FBF}">
  <dimension ref="A1:R77"/>
  <sheetViews>
    <sheetView topLeftCell="C1" workbookViewId="0">
      <selection activeCell="C26" sqref="C26"/>
    </sheetView>
  </sheetViews>
  <sheetFormatPr defaultColWidth="11.42578125" defaultRowHeight="14.25" x14ac:dyDescent="0.2"/>
  <cols>
    <col min="1" max="1" width="11.42578125" style="38"/>
    <col min="2" max="2" width="16.85546875" style="38" customWidth="1"/>
    <col min="3" max="18" width="9.140625" style="38" customWidth="1"/>
    <col min="19" max="16384" width="11.42578125" style="38"/>
  </cols>
  <sheetData>
    <row r="1" spans="1:18" ht="15.75" x14ac:dyDescent="0.25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5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5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5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5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5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5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5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5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5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5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5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5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5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18" ht="15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18" ht="15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18" ht="15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18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" x14ac:dyDescent="0.2">
      <c r="A24" s="1" t="s">
        <v>17</v>
      </c>
      <c r="B24" s="1" t="s">
        <v>65</v>
      </c>
      <c r="C24" s="46">
        <f>(SUM(Data!$B1:C15))/SUM(Data!$B1:B15)</f>
        <v>4.7462863933452173</v>
      </c>
      <c r="D24" s="46">
        <f>SUM(Data!$B1:D14)/SUM(Data!$B1:C14)</f>
        <v>1.6607325819672132</v>
      </c>
      <c r="E24" s="46">
        <f>SUM(Data!$B1:E13)/SUM(Data!$B1:D13)</f>
        <v>1.2397311426437641</v>
      </c>
      <c r="F24" s="46">
        <f>SUM(Data!$B1:F12)/SUM(Data!$B1:E12)</f>
        <v>1.1103959703372044</v>
      </c>
      <c r="G24" s="46">
        <f>SUM(Data!$B1:G11)/SUM(Data!$B1:F11)</f>
        <v>1.0538445274508421</v>
      </c>
      <c r="H24" s="46">
        <f>SUM(Data!$B1:H10)/SUM(Data!$B1:G10)</f>
        <v>1.0232359837987637</v>
      </c>
      <c r="I24" s="46">
        <f>SUM(Data!$B1:I9)/SUM(Data!$B1:H9)</f>
        <v>1.0090349404333574</v>
      </c>
      <c r="J24" s="46">
        <f>SUM(Data!$B1:J8)/SUM(Data!$B1:I8)</f>
        <v>1.0039827133293788</v>
      </c>
      <c r="K24" s="46">
        <f>SUM(Data!$B1:K7)/SUM(Data!$B1:J7)</f>
        <v>1.0019837333862329</v>
      </c>
      <c r="L24" s="46">
        <f>SUM(Data!$B1:L6)/SUM(Data!$B1:K6)</f>
        <v>1.0007552870090635</v>
      </c>
      <c r="M24" s="46">
        <f>SUM(Data!$B1:L5)/SUM(Data!$B1:L5)</f>
        <v>1</v>
      </c>
      <c r="N24" s="46">
        <f>SUM(Data!$B1:M4)/SUM(Data!$B1:M4)</f>
        <v>1</v>
      </c>
      <c r="O24" s="46">
        <f>SUM(Data!$B1:O3)/SUM(Data!$B1:N3)</f>
        <v>1.0002440810349036</v>
      </c>
      <c r="P24" s="46">
        <f>SUM(Data!$B1:P2)/SUM(Data!$B1:O2)</f>
        <v>1</v>
      </c>
      <c r="Q24" s="46">
        <f>SUM(Data!$B1:Q1)/SUM(Data!$B1:P1)</f>
        <v>1</v>
      </c>
      <c r="R24" s="46"/>
    </row>
    <row r="25" spans="1:18" ht="15" x14ac:dyDescent="0.2">
      <c r="A25" s="1"/>
      <c r="B25" s="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7"/>
      <c r="O25" s="47"/>
      <c r="P25" s="47"/>
      <c r="Q25" s="47"/>
      <c r="R25" s="47"/>
    </row>
    <row r="26" spans="1:18" ht="15" x14ac:dyDescent="0.2">
      <c r="B26" s="1" t="s">
        <v>64</v>
      </c>
      <c r="C26" s="46">
        <f ca="1">(SUM(Data!$B$1:INDIRECT("Data!"&amp;ADDRESS(15-C2,3+C2))))/SUM(Data!$B$1:INDIRECT("Data!"&amp;ADDRESS(15-C2,2+C2)))</f>
        <v>4.7462863933452173</v>
      </c>
      <c r="D26" s="46">
        <f ca="1">SUM(Data!$B$1:INDIRECT("Data!"&amp;ADDRESS(15-D2,3+D2)))/SUM(Data!$B$1:INDIRECT("Data!"&amp;ADDRESS(15-D2,2+D2)))</f>
        <v>1.6607325819672132</v>
      </c>
      <c r="E26" s="46">
        <f ca="1">SUM(Data!$B$1:INDIRECT("Data!"&amp;ADDRESS(15-E2,3+E2)))/SUM(Data!$B$1:INDIRECT("Data!"&amp;ADDRESS(15-E2,2+E2)))</f>
        <v>1.2397311426437641</v>
      </c>
      <c r="F26" s="46">
        <f ca="1">SUM(Data!$B$1:INDIRECT("Data!"&amp;ADDRESS(15-F2,3+F2)))/SUM(Data!$B$1:INDIRECT("Data!"&amp;ADDRESS(15-F2,2+F2)))</f>
        <v>1.1103959703372044</v>
      </c>
      <c r="G26" s="46">
        <f ca="1">SUM(Data!$B$1:INDIRECT("Data!"&amp;ADDRESS(15-G2,3+G2)))/SUM(Data!$B$1:INDIRECT("Data!"&amp;ADDRESS(15-G2,2+G2)))</f>
        <v>1.0538445274508421</v>
      </c>
      <c r="H26" s="46">
        <f ca="1">SUM(Data!$B$1:INDIRECT("Data!"&amp;ADDRESS(15-H2,3+H2)))/SUM(Data!$B$1:INDIRECT("Data!"&amp;ADDRESS(15-H2,2+H2)))</f>
        <v>1.0232359837987637</v>
      </c>
      <c r="I26" s="46">
        <f ca="1">SUM(Data!$B$1:INDIRECT("Data!"&amp;ADDRESS(15-I2,3+I2)))/SUM(Data!$B$1:INDIRECT("Data!"&amp;ADDRESS(15-I2,2+I2)))</f>
        <v>1.0090349404333574</v>
      </c>
      <c r="J26" s="46">
        <f ca="1">SUM(Data!$B$1:INDIRECT("Data!"&amp;ADDRESS(15-J2,3+J2)))/SUM(Data!$B$1:INDIRECT("Data!"&amp;ADDRESS(15-J2,2+J2)))</f>
        <v>1.0039827133293788</v>
      </c>
      <c r="K26" s="46">
        <f ca="1">SUM(Data!$B$1:INDIRECT("Data!"&amp;ADDRESS(15-K2,3+K2)))/SUM(Data!$B$1:INDIRECT("Data!"&amp;ADDRESS(15-K2,2+K2)))</f>
        <v>1.0019837333862329</v>
      </c>
      <c r="L26" s="46">
        <f ca="1">SUM(Data!$B$1:INDIRECT("Data!"&amp;ADDRESS(15-L2,3+L2)))/SUM(Data!$B$1:INDIRECT("Data!"&amp;ADDRESS(15-L2,2+L2)))</f>
        <v>1.0007552870090635</v>
      </c>
      <c r="M26" s="46">
        <f ca="1">SUM(Data!$B$1:INDIRECT("Data!"&amp;ADDRESS(15-M2,3+M2)))/SUM(Data!$B$1:INDIRECT("Data!"&amp;ADDRESS(15-M2,2+M2)))</f>
        <v>1.0002774694783574</v>
      </c>
      <c r="N26" s="46">
        <f ca="1">SUM(Data!$B$1:INDIRECT("Data!"&amp;ADDRESS(15-N2,3+N2)))/SUM(Data!$B$1:INDIRECT("Data!"&amp;ADDRESS(15-N2,2+N2)))</f>
        <v>1.0001610824742269</v>
      </c>
      <c r="O26" s="46">
        <f ca="1">SUM(Data!$B$1:INDIRECT("Data!"&amp;ADDRESS(15-O2,3+O2)))/SUM(Data!$B$1:INDIRECT("Data!"&amp;ADDRESS(15-O2,2+O2)))</f>
        <v>1.0002440810349036</v>
      </c>
      <c r="P26" s="46">
        <f ca="1">SUM(Data!$B$1:INDIRECT("Data!"&amp;ADDRESS(15-P2,3+P2)))/SUM(Data!$B$1:INDIRECT("Data!"&amp;ADDRESS(15-P2,2+P2)))</f>
        <v>1</v>
      </c>
      <c r="Q26" s="46">
        <f ca="1">SUM(Data!$B$1:INDIRECT("Data!"&amp;ADDRESS(15-Q2,3+Q2)))/SUM(Data!$B$1:INDIRECT("Data!"&amp;ADDRESS(15-Q2,2+Q2)))</f>
        <v>1</v>
      </c>
      <c r="R26" s="53"/>
    </row>
    <row r="27" spans="1:18" ht="15" x14ac:dyDescent="0.2">
      <c r="B27" s="1"/>
    </row>
    <row r="28" spans="1:18" ht="15" x14ac:dyDescent="0.2">
      <c r="B28" s="38" t="s">
        <v>63</v>
      </c>
      <c r="C28" s="46">
        <f ca="1">(SUM(OFFSET(Data!$B$1:$Q$15,0,0,15-C2,2+C2)))/SUM(OFFSET(Data!$B$1:$Q$15,0,0,15-C2,1+C2))</f>
        <v>4.7462863933452173</v>
      </c>
      <c r="D28" s="46">
        <f ca="1">(SUM(OFFSET(Data!$B$1:$Q$15,0,0,15-D2,2+D2)))/SUM(OFFSET(Data!$B$1:$Q$15,0,0,15-D2,1+D2))</f>
        <v>1.6607325819672132</v>
      </c>
      <c r="E28" s="46">
        <f ca="1">(SUM(OFFSET(Data!$B$1:$Q$15,0,0,15-E2,2+E2)))/SUM(OFFSET(Data!$B$1:$Q$15,0,0,15-E2,1+E2))</f>
        <v>1.2397311426437641</v>
      </c>
      <c r="F28" s="46">
        <f ca="1">(SUM(OFFSET(Data!$B$1:$Q$15,0,0,15-F2,2+F2)))/SUM(OFFSET(Data!$B$1:$Q$15,0,0,15-F2,1+F2))</f>
        <v>1.1103959703372044</v>
      </c>
      <c r="G28" s="46">
        <f ca="1">(SUM(OFFSET(Data!$B$1:$Q$15,0,0,15-G2,2+G2)))/SUM(OFFSET(Data!$B$1:$Q$15,0,0,15-G2,1+G2))</f>
        <v>1.0538445274508421</v>
      </c>
      <c r="H28" s="46">
        <f ca="1">(SUM(OFFSET(Data!$B$1:$Q$15,0,0,15-H2,2+H2)))/SUM(OFFSET(Data!$B$1:$Q$15,0,0,15-H2,1+H2))</f>
        <v>1.0232359837987637</v>
      </c>
      <c r="I28" s="46">
        <f ca="1">(SUM(OFFSET(Data!$B$1:$Q$15,0,0,15-I2,2+I2)))/SUM(OFFSET(Data!$B$1:$Q$15,0,0,15-I2,1+I2))</f>
        <v>1.0090349404333574</v>
      </c>
      <c r="J28" s="46">
        <f ca="1">(SUM(OFFSET(Data!$B$1:$Q$15,0,0,15-J2,2+J2)))/SUM(OFFSET(Data!$B$1:$Q$15,0,0,15-J2,1+J2))</f>
        <v>1.0039827133293788</v>
      </c>
      <c r="K28" s="46">
        <f ca="1">(SUM(OFFSET(Data!$B$1:$Q$15,0,0,15-K2,2+K2)))/SUM(OFFSET(Data!$B$1:$Q$15,0,0,15-K2,1+K2))</f>
        <v>1.0019837333862329</v>
      </c>
      <c r="L28" s="46">
        <f ca="1">(SUM(OFFSET(Data!$B$1:$Q$15,0,0,15-L2,2+L2)))/SUM(OFFSET(Data!$B$1:$Q$15,0,0,15-L2,1+L2))</f>
        <v>1.0007552870090635</v>
      </c>
      <c r="M28" s="46">
        <f ca="1">(SUM(OFFSET(Data!$B$1:$Q$15,0,0,15-M2,2+M2)))/SUM(OFFSET(Data!$B$1:$Q$15,0,0,15-M2,1+M2))</f>
        <v>1.0002774694783574</v>
      </c>
      <c r="N28" s="46">
        <f ca="1">(SUM(OFFSET(Data!$B$1:$Q$15,0,0,15-N2,2+N2)))/SUM(OFFSET(Data!$B$1:$Q$15,0,0,15-N2,1+N2))</f>
        <v>1.0001610824742269</v>
      </c>
      <c r="O28" s="46">
        <f ca="1">(SUM(OFFSET(Data!$B$1:$Q$15,0,0,15-O2,2+O2)))/SUM(OFFSET(Data!$B$1:$Q$15,0,0,15-O2,1+O2))</f>
        <v>1.0002440810349036</v>
      </c>
      <c r="P28" s="46">
        <f ca="1">(SUM(OFFSET(Data!$B$1:$Q$15,0,0,15-P2,2+P2)))/SUM(OFFSET(Data!$B$1:$Q$15,0,0,15-P2,1+P2))</f>
        <v>1</v>
      </c>
      <c r="Q28" s="46">
        <f ca="1">(SUM(OFFSET(Data!$B$1:$Q$15,0,0,15-Q2,2+Q2)))/SUM(OFFSET(Data!$B$1:$Q$15,0,0,15-Q2,1+Q2))</f>
        <v>1</v>
      </c>
      <c r="R28" s="53"/>
    </row>
    <row r="30" spans="1:18" ht="15" x14ac:dyDescent="0.2">
      <c r="A30" s="1" t="s">
        <v>16</v>
      </c>
      <c r="B30" s="1" t="s">
        <v>65</v>
      </c>
      <c r="C30" s="52">
        <f>(SUM(Data!$B10:C15))/SUM(Data!$B10:B15)</f>
        <v>4.9335664335664333</v>
      </c>
      <c r="D30" s="52">
        <f>SUM(Data!$B9:D14)/SUM(Data!$B9:C14)</f>
        <v>1.6825132978723405</v>
      </c>
      <c r="E30" s="52">
        <f>SUM(Data!$B8:E13)/SUM(Data!$B8:D13)</f>
        <v>1.2015379113018598</v>
      </c>
      <c r="F30" s="52">
        <f>SUM(Data!$B7:F12)/SUM(Data!$B7:E12)</f>
        <v>1.1085318058486584</v>
      </c>
      <c r="G30" s="52">
        <f>SUM(Data!$B6:G11)/SUM(Data!$B6:F11)</f>
        <v>1.0629314922995221</v>
      </c>
      <c r="H30" s="52">
        <f>SUM(Data!$B5:H10)/SUM(Data!$B5:G10)</f>
        <v>1.0243209876543209</v>
      </c>
      <c r="I30" s="52">
        <f>SUM(Data!$B4:I9)/SUM(Data!$B4:H9)</f>
        <v>1.0072872590503057</v>
      </c>
      <c r="J30" s="52">
        <f>SUM(Data!$B3:J8)/SUM(Data!$B3:I8)</f>
        <v>1.0035489410417859</v>
      </c>
      <c r="K30" s="52">
        <f>SUM(Data!$B2:K7)/SUM(Data!$B2:J7)</f>
        <v>1.0021094704119018</v>
      </c>
      <c r="L30" s="52">
        <f>SUM(Data!$B1:L6)/SUM(Data!$B1:K6)</f>
        <v>1.0007552870090635</v>
      </c>
      <c r="M30" s="43"/>
      <c r="N30" s="43"/>
    </row>
    <row r="31" spans="1:18" ht="15" x14ac:dyDescent="0.2">
      <c r="O31" s="43"/>
      <c r="P31" s="43"/>
      <c r="Q31" s="43"/>
      <c r="R31" s="43"/>
    </row>
    <row r="32" spans="1:18" ht="15" x14ac:dyDescent="0.2">
      <c r="A32" s="1"/>
      <c r="B32" s="1" t="s">
        <v>64</v>
      </c>
      <c r="C32" s="52">
        <f ca="1">(SUM(INDIRECT("Data!"&amp;ADDRESS(10-C2,2)):INDIRECT("Data!"&amp;ADDRESS(15-C2,3+C2))))/SUM(INDIRECT("Data!"&amp;ADDRESS(10-C2,2)):INDIRECT("Data!"&amp;ADDRESS(15-C2,2+C2)))</f>
        <v>4.9335664335664333</v>
      </c>
      <c r="D32" s="52">
        <f ca="1">(SUM(INDIRECT("Data!"&amp;ADDRESS(10-D2,2)):INDIRECT("Data!"&amp;ADDRESS(15-D2,3+D2))))/SUM(INDIRECT("Data!"&amp;ADDRESS(10-D2,2)):INDIRECT("Data!"&amp;ADDRESS(15-D2,2+D2)))</f>
        <v>1.6825132978723405</v>
      </c>
      <c r="E32" s="52">
        <f ca="1">(SUM(INDIRECT("Data!"&amp;ADDRESS(10-E2,2)):INDIRECT("Data!"&amp;ADDRESS(15-E2,3+E2))))/SUM(INDIRECT("Data!"&amp;ADDRESS(10-E2,2)):INDIRECT("Data!"&amp;ADDRESS(15-E2,2+E2)))</f>
        <v>1.2015379113018598</v>
      </c>
      <c r="F32" s="52">
        <f ca="1">(SUM(INDIRECT("Data!"&amp;ADDRESS(10-F2,2)):INDIRECT("Data!"&amp;ADDRESS(15-F2,3+F2))))/SUM(INDIRECT("Data!"&amp;ADDRESS(10-F2,2)):INDIRECT("Data!"&amp;ADDRESS(15-F2,2+F2)))</f>
        <v>1.1085318058486584</v>
      </c>
      <c r="G32" s="52">
        <f ca="1">(SUM(INDIRECT("Data!"&amp;ADDRESS(10-G2,2)):INDIRECT("Data!"&amp;ADDRESS(15-G2,3+G2))))/SUM(INDIRECT("Data!"&amp;ADDRESS(10-G2,2)):INDIRECT("Data!"&amp;ADDRESS(15-G2,2+G2)))</f>
        <v>1.0629314922995221</v>
      </c>
      <c r="H32" s="52">
        <f ca="1">(SUM(INDIRECT("Data!"&amp;ADDRESS(10-H2,2)):INDIRECT("Data!"&amp;ADDRESS(15-H2,3+H2))))/SUM(INDIRECT("Data!"&amp;ADDRESS(10-H2,2)):INDIRECT("Data!"&amp;ADDRESS(15-H2,2+H2)))</f>
        <v>1.0243209876543209</v>
      </c>
      <c r="I32" s="52">
        <f ca="1">(SUM(INDIRECT("Data!"&amp;ADDRESS(10-I2,2)):INDIRECT("Data!"&amp;ADDRESS(15-I2,3+I2))))/SUM(INDIRECT("Data!"&amp;ADDRESS(10-I2,2)):INDIRECT("Data!"&amp;ADDRESS(15-I2,2+I2)))</f>
        <v>1.0072872590503057</v>
      </c>
      <c r="J32" s="52">
        <f ca="1">(SUM(INDIRECT("Data!"&amp;ADDRESS(10-J2,2)):INDIRECT("Data!"&amp;ADDRESS(15-J2,3+J2))))/SUM(INDIRECT("Data!"&amp;ADDRESS(10-J2,2)):INDIRECT("Data!"&amp;ADDRESS(15-J2,2+J2)))</f>
        <v>1.0035489410417859</v>
      </c>
      <c r="K32" s="52">
        <f ca="1">(SUM(INDIRECT("Data!"&amp;ADDRESS(10-K2,2)):INDIRECT("Data!"&amp;ADDRESS(15-K2,3+K2))))/SUM(INDIRECT("Data!"&amp;ADDRESS(10-K2,2)):INDIRECT("Data!"&amp;ADDRESS(15-K2,2+K2)))</f>
        <v>1.0021094704119018</v>
      </c>
      <c r="L32" s="52">
        <f ca="1">(SUM(INDIRECT("Data!"&amp;ADDRESS(10-L2,2)):INDIRECT("Data!"&amp;ADDRESS(15-L2,3+L2))))/SUM(INDIRECT("Data!"&amp;ADDRESS(10-L2,2)):INDIRECT("Data!"&amp;ADDRESS(15-L2,2+L2)))</f>
        <v>1.0007552870090635</v>
      </c>
      <c r="M32" s="43"/>
      <c r="N32" s="47"/>
      <c r="O32" s="47"/>
      <c r="P32" s="47"/>
      <c r="Q32" s="47"/>
      <c r="R32" s="47"/>
    </row>
    <row r="34" spans="1:18" x14ac:dyDescent="0.2">
      <c r="B34" s="38" t="s">
        <v>63</v>
      </c>
      <c r="C34" s="51">
        <f ca="1">(SUM(OFFSET(Data!$B$10:$Q$15,-C2,0,,2+C2)))/SUM(OFFSET(Data!$B$10:$Q$15,-C2,0,,1+C2))</f>
        <v>4.9335664335664333</v>
      </c>
      <c r="D34" s="51">
        <f ca="1">(SUM(OFFSET(Data!$B$10:$Q$15,-D2,0,,2+D2)))/SUM(OFFSET(Data!$B$10:$Q$15,-D2,0,,1+D2))</f>
        <v>1.6825132978723405</v>
      </c>
      <c r="E34" s="51">
        <f ca="1">(SUM(OFFSET(Data!$B$10:$Q$15,-E2,0,,2+E2)))/SUM(OFFSET(Data!$B$10:$Q$15,-E2,0,,1+E2))</f>
        <v>1.2015379113018598</v>
      </c>
      <c r="F34" s="51">
        <f ca="1">(SUM(OFFSET(Data!$B$10:$Q$15,-F2,0,,2+F2)))/SUM(OFFSET(Data!$B$10:$Q$15,-F2,0,,1+F2))</f>
        <v>1.1085318058486584</v>
      </c>
      <c r="G34" s="51">
        <f ca="1">(SUM(OFFSET(Data!$B$10:$Q$15,-G2,0,,2+G2)))/SUM(OFFSET(Data!$B$10:$Q$15,-G2,0,,1+G2))</f>
        <v>1.0629314922995221</v>
      </c>
      <c r="H34" s="51">
        <f ca="1">(SUM(OFFSET(Data!$B$10:$Q$15,-H2,0,,2+H2)))/SUM(OFFSET(Data!$B$10:$Q$15,-H2,0,,1+H2))</f>
        <v>1.0243209876543209</v>
      </c>
      <c r="I34" s="51">
        <f ca="1">(SUM(OFFSET(Data!$B$10:$Q$15,-I2,0,,2+I2)))/SUM(OFFSET(Data!$B$10:$Q$15,-I2,0,,1+I2))</f>
        <v>1.0072872590503057</v>
      </c>
      <c r="J34" s="51">
        <f ca="1">(SUM(OFFSET(Data!$B$10:$Q$15,-J2,0,,2+J2)))/SUM(OFFSET(Data!$B$10:$Q$15,-J2,0,,1+J2))</f>
        <v>1.0035489410417859</v>
      </c>
      <c r="K34" s="51">
        <f ca="1">(SUM(OFFSET(Data!$B$10:$Q$15,-K2,0,,2+K2)))/SUM(OFFSET(Data!$B$10:$Q$15,-K2,0,,1+K2))</f>
        <v>1.0021094704119018</v>
      </c>
      <c r="L34" s="51">
        <f ca="1">(SUM(OFFSET(Data!$B$10:$Q$15,-L2,0,,2+L2)))/SUM(OFFSET(Data!$B$10:$Q$15,-L2,0,,1+L2))</f>
        <v>1.0007552870090635</v>
      </c>
    </row>
    <row r="36" spans="1:18" ht="15" x14ac:dyDescent="0.2">
      <c r="A36" s="1" t="s">
        <v>15</v>
      </c>
      <c r="B36" s="1" t="s">
        <v>65</v>
      </c>
      <c r="C36" s="50">
        <f>(SUM(Data!$B13:C15))/SUM(Data!$B13:B15)</f>
        <v>7.2318840579710146</v>
      </c>
      <c r="D36" s="50">
        <f>SUM(Data!$B12:D14)/SUM(Data!$B12:C14)</f>
        <v>1.5258438818565401</v>
      </c>
      <c r="E36" s="50">
        <f>SUM(Data!$B11:E13)/SUM(Data!$B11:D13)</f>
        <v>1.2094960433152853</v>
      </c>
      <c r="F36" s="50">
        <f>SUM(Data!$B10:F12)/SUM(Data!$B10:E12)</f>
        <v>1.1192954363490792</v>
      </c>
      <c r="G36" s="50">
        <f>SUM(Data!$B9:G11)/SUM(Data!$B9:F11)</f>
        <v>1.0697957939652545</v>
      </c>
      <c r="H36" s="50">
        <f>SUM(Data!$B8:H10)/SUM(Data!$B8:G10)</f>
        <v>1.0203335618003198</v>
      </c>
      <c r="I36" s="50">
        <f>SUM(Data!$B7:I9)/SUM(Data!$B7:H9)</f>
        <v>1.0094758661533907</v>
      </c>
      <c r="J36" s="50">
        <f>SUM(Data!$B6:J8)/SUM(Data!$B6:I8)</f>
        <v>1.0032292787944026</v>
      </c>
      <c r="K36" s="50">
        <f>SUM(Data!$B5:K7)/SUM(Data!$B5:J7)</f>
        <v>1.0015400410677617</v>
      </c>
      <c r="L36" s="50">
        <f>SUM(Data!$B4:L6)/SUM(Data!$B4:K6)</f>
        <v>1.0003861749372465</v>
      </c>
      <c r="M36" s="50">
        <f>SUM(Data!$B3:M5)/SUM(Data!$B3:L5)</f>
        <v>1</v>
      </c>
      <c r="N36" s="50">
        <f>SUM(Data!$B2:N4)/SUM(Data!$B2:M4)</f>
        <v>1</v>
      </c>
      <c r="O36" s="50">
        <f>SUM(Data!$B1:O3)/SUM(Data!$B1:N3)</f>
        <v>1.0002440810349036</v>
      </c>
    </row>
    <row r="37" spans="1:18" ht="15" x14ac:dyDescent="0.2">
      <c r="A37" s="1"/>
      <c r="B37" s="1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7"/>
    </row>
    <row r="38" spans="1:18" ht="15" x14ac:dyDescent="0.2">
      <c r="B38" s="38" t="s">
        <v>64</v>
      </c>
      <c r="C38" s="50">
        <f ca="1">(SUM(INDIRECT("Data!"&amp;ADDRESS(13-C2,2)):INDIRECT("Data!"&amp;ADDRESS(15-C2,3+C2))))/SUM(INDIRECT("Data!"&amp;ADDRESS(13-C2,2)):INDIRECT("Data!"&amp;ADDRESS(15-C2,2+C2)))</f>
        <v>7.2318840579710146</v>
      </c>
      <c r="D38" s="50">
        <f ca="1">(SUM(INDIRECT("Data!"&amp;ADDRESS(13-D2,2)):INDIRECT("Data!"&amp;ADDRESS(15-D2,3+D2))))/SUM(INDIRECT("Data!"&amp;ADDRESS(13-D2,2)):INDIRECT("Data!"&amp;ADDRESS(15-D2,2+D2)))</f>
        <v>1.5258438818565401</v>
      </c>
      <c r="E38" s="50">
        <f ca="1">(SUM(INDIRECT("Data!"&amp;ADDRESS(13-E2,2)):INDIRECT("Data!"&amp;ADDRESS(15-E2,3+E2))))/SUM(INDIRECT("Data!"&amp;ADDRESS(13-E2,2)):INDIRECT("Data!"&amp;ADDRESS(15-E2,2+E2)))</f>
        <v>1.2094960433152853</v>
      </c>
      <c r="F38" s="50">
        <f ca="1">(SUM(INDIRECT("Data!"&amp;ADDRESS(13-F2,2)):INDIRECT("Data!"&amp;ADDRESS(15-F2,3+F2))))/SUM(INDIRECT("Data!"&amp;ADDRESS(13-F2,2)):INDIRECT("Data!"&amp;ADDRESS(15-F2,2+F2)))</f>
        <v>1.1192954363490792</v>
      </c>
      <c r="G38" s="50">
        <f ca="1">(SUM(INDIRECT("Data!"&amp;ADDRESS(13-G2,2)):INDIRECT("Data!"&amp;ADDRESS(15-G2,3+G2))))/SUM(INDIRECT("Data!"&amp;ADDRESS(13-G2,2)):INDIRECT("Data!"&amp;ADDRESS(15-G2,2+G2)))</f>
        <v>1.0697957939652545</v>
      </c>
      <c r="H38" s="50">
        <f ca="1">(SUM(INDIRECT("Data!"&amp;ADDRESS(13-H2,2)):INDIRECT("Data!"&amp;ADDRESS(15-H2,3+H2))))/SUM(INDIRECT("Data!"&amp;ADDRESS(13-H2,2)):INDIRECT("Data!"&amp;ADDRESS(15-H2,2+H2)))</f>
        <v>1.0203335618003198</v>
      </c>
      <c r="I38" s="50">
        <f ca="1">(SUM(INDIRECT("Data!"&amp;ADDRESS(13-I2,2)):INDIRECT("Data!"&amp;ADDRESS(15-I2,3+I2))))/SUM(INDIRECT("Data!"&amp;ADDRESS(13-I2,2)):INDIRECT("Data!"&amp;ADDRESS(15-I2,2+I2)))</f>
        <v>1.0094758661533907</v>
      </c>
      <c r="J38" s="50">
        <f ca="1">(SUM(INDIRECT("Data!"&amp;ADDRESS(13-J2,2)):INDIRECT("Data!"&amp;ADDRESS(15-J2,3+J2))))/SUM(INDIRECT("Data!"&amp;ADDRESS(13-J2,2)):INDIRECT("Data!"&amp;ADDRESS(15-J2,2+J2)))</f>
        <v>1.0032292787944026</v>
      </c>
      <c r="K38" s="50">
        <f ca="1">(SUM(INDIRECT("Data!"&amp;ADDRESS(13-K2,2)):INDIRECT("Data!"&amp;ADDRESS(15-K2,3+K2))))/SUM(INDIRECT("Data!"&amp;ADDRESS(13-K2,2)):INDIRECT("Data!"&amp;ADDRESS(15-K2,2+K2)))</f>
        <v>1.0015400410677617</v>
      </c>
      <c r="L38" s="50">
        <f ca="1">(SUM(INDIRECT("Data!"&amp;ADDRESS(13-L2,2)):INDIRECT("Data!"&amp;ADDRESS(15-L2,3+L2))))/SUM(INDIRECT("Data!"&amp;ADDRESS(13-L2,2)):INDIRECT("Data!"&amp;ADDRESS(15-L2,2+L2)))</f>
        <v>1.0003861749372465</v>
      </c>
      <c r="M38" s="50">
        <f ca="1">(SUM(INDIRECT("Data!"&amp;ADDRESS(13-M2,2)):INDIRECT("Data!"&amp;ADDRESS(15-M2,3+M2))))/SUM(INDIRECT("Data!"&amp;ADDRESS(13-M2,2)):INDIRECT("Data!"&amp;ADDRESS(15-M2,2+M2)))</f>
        <v>1</v>
      </c>
      <c r="N38" s="50">
        <f ca="1">(SUM(INDIRECT("Data!"&amp;ADDRESS(13-N2,2)):INDIRECT("Data!"&amp;ADDRESS(15-N2,3+N2))))/SUM(INDIRECT("Data!"&amp;ADDRESS(13-N2,2)):INDIRECT("Data!"&amp;ADDRESS(15-N2,2+N2)))</f>
        <v>1</v>
      </c>
      <c r="O38" s="50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5" x14ac:dyDescent="0.2">
      <c r="P39" s="43"/>
      <c r="Q39" s="47"/>
      <c r="R39" s="47"/>
    </row>
    <row r="40" spans="1:18" x14ac:dyDescent="0.2">
      <c r="B40" s="38" t="s">
        <v>63</v>
      </c>
      <c r="C40" s="49">
        <f ca="1">(SUM(OFFSET(Data!$B$13:$Q$15,-C2,0,,2+C2)))/SUM(OFFSET(Data!$B$13:$Q$15,-C2,0,,1+C2))</f>
        <v>7.2318840579710146</v>
      </c>
      <c r="D40" s="49">
        <f ca="1">(SUM(OFFSET(Data!$B$13:$Q$15,-D2,0,,2+D2)))/SUM(OFFSET(Data!$B$13:$Q$15,-D2,0,,1+D2))</f>
        <v>1.5258438818565401</v>
      </c>
      <c r="E40" s="49">
        <f ca="1">(SUM(OFFSET(Data!$B$13:$Q$15,-E2,0,,2+E2)))/SUM(OFFSET(Data!$B$13:$Q$15,-E2,0,,1+E2))</f>
        <v>1.2094960433152853</v>
      </c>
      <c r="F40" s="49">
        <f ca="1">(SUM(OFFSET(Data!$B$13:$Q$15,-F2,0,,2+F2)))/SUM(OFFSET(Data!$B$13:$Q$15,-F2,0,,1+F2))</f>
        <v>1.1192954363490792</v>
      </c>
      <c r="G40" s="49">
        <f ca="1">(SUM(OFFSET(Data!$B$13:$Q$15,-G2,0,,2+G2)))/SUM(OFFSET(Data!$B$13:$Q$15,-G2,0,,1+G2))</f>
        <v>1.0697957939652545</v>
      </c>
      <c r="H40" s="49">
        <f ca="1">(SUM(OFFSET(Data!$B$13:$Q$15,-H2,0,,2+H2)))/SUM(OFFSET(Data!$B$13:$Q$15,-H2,0,,1+H2))</f>
        <v>1.0203335618003198</v>
      </c>
      <c r="I40" s="49">
        <f ca="1">(SUM(OFFSET(Data!$B$13:$Q$15,-I2,0,,2+I2)))/SUM(OFFSET(Data!$B$13:$Q$15,-I2,0,,1+I2))</f>
        <v>1.0094758661533907</v>
      </c>
      <c r="J40" s="49">
        <f ca="1">(SUM(OFFSET(Data!$B$13:$Q$15,-J2,0,,2+J2)))/SUM(OFFSET(Data!$B$13:$Q$15,-J2,0,,1+J2))</f>
        <v>1.0032292787944026</v>
      </c>
      <c r="K40" s="49">
        <f ca="1">(SUM(OFFSET(Data!$B$13:$Q$15,-K2,0,,2+K2)))/SUM(OFFSET(Data!$B$13:$Q$15,-K2,0,,1+K2))</f>
        <v>1.0015400410677617</v>
      </c>
      <c r="L40" s="49">
        <f ca="1">(SUM(OFFSET(Data!$B$13:$Q$15,-L2,0,,2+L2)))/SUM(OFFSET(Data!$B$13:$Q$15,-L2,0,,1+L2))</f>
        <v>1.0003861749372465</v>
      </c>
      <c r="M40" s="49">
        <f ca="1">(SUM(OFFSET(Data!$B$13:$Q$15,-M2,0,,2+M2)))/SUM(OFFSET(Data!$B$13:$Q$15,-M2,0,,1+M2))</f>
        <v>1</v>
      </c>
      <c r="N40" s="49">
        <f ca="1">(SUM(OFFSET(Data!$B$13:$Q$15,-N2,0,,2+N2)))/SUM(OFFSET(Data!$B$13:$Q$15,-N2,0,,1+N2))</f>
        <v>1</v>
      </c>
      <c r="O40" s="49">
        <f ca="1">(SUM(OFFSET(Data!$B$13:$Q$15,-O2,0,,2+O2)))/SUM(OFFSET(Data!$B$13:$Q$15,-O2,0,,1+O2))</f>
        <v>1.0002440810349036</v>
      </c>
      <c r="P40" s="47"/>
      <c r="Q40" s="47"/>
      <c r="R40" s="47"/>
    </row>
    <row r="41" spans="1:18" x14ac:dyDescent="0.2">
      <c r="R41" s="47"/>
    </row>
    <row r="42" spans="1:18" ht="15" x14ac:dyDescent="0.2">
      <c r="P42" s="47"/>
      <c r="Q42" s="47"/>
      <c r="R42" s="43"/>
    </row>
    <row r="43" spans="1:18" ht="15" x14ac:dyDescent="0.2">
      <c r="A43" s="5"/>
      <c r="B43" s="5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3"/>
      <c r="O43" s="47"/>
      <c r="P43" s="43"/>
      <c r="Q43" s="43"/>
    </row>
    <row r="44" spans="1:18" ht="15" x14ac:dyDescent="0.2">
      <c r="A44" s="1" t="s">
        <v>13</v>
      </c>
      <c r="B44" s="1"/>
      <c r="C44" s="46">
        <f t="shared" ref="C44:R44" si="0">C24</f>
        <v>4.7462863933452173</v>
      </c>
      <c r="D44" s="46">
        <f t="shared" si="0"/>
        <v>1.6607325819672132</v>
      </c>
      <c r="E44" s="46">
        <f t="shared" si="0"/>
        <v>1.2397311426437641</v>
      </c>
      <c r="F44" s="46">
        <f t="shared" si="0"/>
        <v>1.1103959703372044</v>
      </c>
      <c r="G44" s="46">
        <f t="shared" si="0"/>
        <v>1.0538445274508421</v>
      </c>
      <c r="H44" s="46">
        <f t="shared" si="0"/>
        <v>1.0232359837987637</v>
      </c>
      <c r="I44" s="46">
        <f t="shared" si="0"/>
        <v>1.0090349404333574</v>
      </c>
      <c r="J44" s="46">
        <f t="shared" si="0"/>
        <v>1.0039827133293788</v>
      </c>
      <c r="K44" s="46">
        <f t="shared" si="0"/>
        <v>1.0019837333862329</v>
      </c>
      <c r="L44" s="46">
        <f t="shared" si="0"/>
        <v>1.0007552870090635</v>
      </c>
      <c r="M44" s="46">
        <f t="shared" si="0"/>
        <v>1</v>
      </c>
      <c r="N44" s="46">
        <f t="shared" si="0"/>
        <v>1</v>
      </c>
      <c r="O44" s="46">
        <f t="shared" si="0"/>
        <v>1.0002440810349036</v>
      </c>
      <c r="P44" s="46">
        <f t="shared" si="0"/>
        <v>1</v>
      </c>
      <c r="Q44" s="46">
        <f t="shared" si="0"/>
        <v>1</v>
      </c>
      <c r="R44" s="46">
        <f t="shared" si="0"/>
        <v>0</v>
      </c>
    </row>
    <row r="45" spans="1:18" ht="15.75" x14ac:dyDescent="0.25">
      <c r="A45" s="1" t="s">
        <v>14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/>
      <c r="P45"/>
      <c r="Q45"/>
      <c r="R45"/>
    </row>
    <row r="46" spans="1:18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/>
      <c r="P46"/>
      <c r="Q46"/>
      <c r="R46"/>
    </row>
    <row r="47" spans="1:18" ht="15.75" x14ac:dyDescent="0.25">
      <c r="A47" s="3" t="s">
        <v>13</v>
      </c>
      <c r="B47" s="3"/>
      <c r="C47" s="46">
        <f>C44</f>
        <v>4.7462863933452173</v>
      </c>
      <c r="D47" s="46">
        <f>D44</f>
        <v>1.6607325819672132</v>
      </c>
      <c r="E47" s="46">
        <f>E44</f>
        <v>1.2397311426437641</v>
      </c>
      <c r="F47" s="46">
        <f>F44</f>
        <v>1.1103959703372044</v>
      </c>
      <c r="G47" s="46">
        <f>G44</f>
        <v>1.0538445274508421</v>
      </c>
      <c r="H47" s="45">
        <f>H56</f>
        <v>1.0223716965046787</v>
      </c>
      <c r="I47" s="45">
        <f>I56</f>
        <v>1.0096522002343333</v>
      </c>
      <c r="J47" s="45">
        <f>J56</f>
        <v>1.004164412356666</v>
      </c>
      <c r="K47" s="45">
        <f>K56</f>
        <v>1.0017967230118854</v>
      </c>
      <c r="L47" s="45">
        <f>L56</f>
        <v>1.0007751906643614</v>
      </c>
      <c r="M47" s="44">
        <f>B63</f>
        <v>1.0005882540749389</v>
      </c>
      <c r="N47" s="43"/>
      <c r="O47" s="43"/>
      <c r="P47" s="43"/>
      <c r="Q47" s="43"/>
      <c r="R47" s="43"/>
    </row>
    <row r="48" spans="1:18" ht="15.75" x14ac:dyDescent="0.25">
      <c r="A48" s="3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/>
      <c r="P48"/>
      <c r="Q48"/>
      <c r="R48"/>
    </row>
    <row r="49" spans="1:18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/>
      <c r="P49"/>
      <c r="Q49"/>
      <c r="R49"/>
    </row>
    <row r="50" spans="1:18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"/>
      <c r="N50" s="1"/>
      <c r="O50"/>
      <c r="P50"/>
      <c r="Q50"/>
      <c r="R50"/>
    </row>
    <row r="51" spans="1:18" ht="15.75" x14ac:dyDescent="0.25">
      <c r="A51" s="3" t="s">
        <v>11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/>
      <c r="P51"/>
      <c r="Q51"/>
      <c r="R51"/>
    </row>
    <row r="52" spans="1:18" ht="15.75" x14ac:dyDescent="0.25">
      <c r="A52" s="1"/>
      <c r="B52" s="1"/>
      <c r="C52" s="1"/>
      <c r="D52" s="1"/>
      <c r="E52" s="1"/>
      <c r="F52" s="1"/>
      <c r="G52" s="1" t="s">
        <v>62</v>
      </c>
      <c r="H52" s="1"/>
      <c r="I52" s="1"/>
      <c r="J52" s="1"/>
      <c r="K52" s="1"/>
      <c r="L52" s="1"/>
      <c r="M52" s="1"/>
      <c r="N52" s="1"/>
      <c r="O52"/>
      <c r="P52"/>
      <c r="Q52"/>
      <c r="R52"/>
    </row>
    <row r="53" spans="1:18" ht="15.75" x14ac:dyDescent="0.25">
      <c r="A53" s="1" t="s">
        <v>9</v>
      </c>
      <c r="B53" s="1"/>
      <c r="C53" s="1"/>
      <c r="D53" s="1"/>
      <c r="E53" s="1"/>
      <c r="F53" s="1"/>
      <c r="G53" s="31">
        <f>LN(G44-1)</f>
        <v>-2.9216545063407944</v>
      </c>
      <c r="H53" s="31"/>
      <c r="I53" s="31">
        <f>LN(I44-1)</f>
        <v>-4.7066559478365573</v>
      </c>
      <c r="J53" s="31">
        <f>LN(J44-1)</f>
        <v>-5.5257919509156999</v>
      </c>
      <c r="K53" s="31">
        <f>LN(K44-1)</f>
        <v>-6.222774661088569</v>
      </c>
      <c r="L53" s="31">
        <f>LN(L44-1)</f>
        <v>-7.1884127364969252</v>
      </c>
      <c r="M53" s="31"/>
      <c r="N53" s="1"/>
      <c r="O53"/>
      <c r="P53"/>
      <c r="Q53"/>
      <c r="R53"/>
    </row>
    <row r="54" spans="1:18" ht="15.75" x14ac:dyDescent="0.25">
      <c r="A54" s="1"/>
      <c r="B54" s="1"/>
      <c r="C54" s="1"/>
      <c r="D54" s="1"/>
      <c r="E54" s="1"/>
      <c r="F54" s="1"/>
      <c r="G54" s="1" t="s">
        <v>8</v>
      </c>
      <c r="H54" s="1"/>
      <c r="I54" s="1"/>
      <c r="J54" s="1"/>
      <c r="K54" s="1"/>
      <c r="L54" s="1"/>
      <c r="M54" s="1"/>
      <c r="N54" s="1"/>
      <c r="O54"/>
      <c r="P54"/>
      <c r="Q54"/>
      <c r="R54"/>
    </row>
    <row r="55" spans="1:18" ht="15.75" x14ac:dyDescent="0.25">
      <c r="A55" s="1" t="s">
        <v>7</v>
      </c>
      <c r="B55" s="1">
        <f>SLOPE(G53:L53,G2:L2)</f>
        <v>-0.84061071809183696</v>
      </c>
      <c r="C55" s="1"/>
      <c r="D55" s="1"/>
      <c r="E55" s="1"/>
      <c r="F55" s="1" t="s">
        <v>6</v>
      </c>
      <c r="G55" s="1">
        <f t="shared" ref="G55:L55" si="1">_xlfn.FORECAST.LINEAR(G2,$G$53:$L$53,$G$2:$L$2)</f>
        <v>-2.9593479498785662</v>
      </c>
      <c r="H55" s="1">
        <f t="shared" si="1"/>
        <v>-3.7999586679704027</v>
      </c>
      <c r="I55" s="1">
        <f t="shared" si="1"/>
        <v>-4.6405693860622401</v>
      </c>
      <c r="J55" s="1">
        <f t="shared" si="1"/>
        <v>-5.4811801041540775</v>
      </c>
      <c r="K55" s="1">
        <f t="shared" si="1"/>
        <v>-6.321790822245914</v>
      </c>
      <c r="L55" s="1">
        <f t="shared" si="1"/>
        <v>-7.1624015403377506</v>
      </c>
      <c r="M55" s="1"/>
      <c r="N55" s="1"/>
      <c r="O55"/>
      <c r="P55"/>
      <c r="Q55"/>
      <c r="R55"/>
    </row>
    <row r="56" spans="1:18" ht="15.75" x14ac:dyDescent="0.25">
      <c r="A56" s="1" t="s">
        <v>5</v>
      </c>
      <c r="B56" s="1">
        <f>INTERCEPT(G53:L53,G2:L2)</f>
        <v>0.40309492248878165</v>
      </c>
      <c r="C56" s="1"/>
      <c r="D56" s="1"/>
      <c r="E56" s="1"/>
      <c r="F56" s="1" t="s">
        <v>4</v>
      </c>
      <c r="G56" s="4">
        <f t="shared" ref="G56:L56" si="2">EXP(G55)+1</f>
        <v>1.0518527167222635</v>
      </c>
      <c r="H56" s="4">
        <f t="shared" si="2"/>
        <v>1.0223716965046787</v>
      </c>
      <c r="I56" s="4">
        <f t="shared" si="2"/>
        <v>1.0096522002343333</v>
      </c>
      <c r="J56" s="4">
        <f t="shared" si="2"/>
        <v>1.004164412356666</v>
      </c>
      <c r="K56" s="4">
        <f t="shared" si="2"/>
        <v>1.0017967230118854</v>
      </c>
      <c r="L56" s="4">
        <f t="shared" si="2"/>
        <v>1.0007751906643614</v>
      </c>
      <c r="M56" s="1"/>
      <c r="N56" s="1"/>
      <c r="O56"/>
      <c r="P56"/>
      <c r="Q56"/>
      <c r="R56"/>
    </row>
    <row r="57" spans="1:18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/>
      <c r="P57"/>
      <c r="Q57"/>
      <c r="R57"/>
    </row>
    <row r="58" spans="1:18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/>
      <c r="P58"/>
      <c r="Q58"/>
      <c r="R58"/>
    </row>
    <row r="59" spans="1:18" ht="15.75" x14ac:dyDescent="0.25">
      <c r="A59" s="3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/>
      <c r="P59"/>
      <c r="Q59"/>
      <c r="R59"/>
    </row>
    <row r="60" spans="1:18" ht="15.75" x14ac:dyDescent="0.25">
      <c r="A60" s="1" t="s">
        <v>2</v>
      </c>
      <c r="B60" s="1">
        <f>EXP(B56)</f>
        <v>1.4964489315790048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/>
      <c r="P60"/>
      <c r="Q60"/>
      <c r="R60"/>
    </row>
    <row r="61" spans="1:18" ht="15.75" x14ac:dyDescent="0.25">
      <c r="A61" s="1" t="s">
        <v>1</v>
      </c>
      <c r="B61" s="1">
        <f>EXP(B55)</f>
        <v>0.43144695049455717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/>
      <c r="P61"/>
      <c r="Q61"/>
      <c r="R61"/>
    </row>
    <row r="62" spans="1:18" ht="15.75" x14ac:dyDescent="0.25">
      <c r="A62" s="1" t="s">
        <v>61</v>
      </c>
      <c r="B62" s="42">
        <f>B60*B61^(10)/(1-B61)</f>
        <v>5.8825407493896798E-4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/>
      <c r="P62"/>
      <c r="Q62"/>
      <c r="R62"/>
    </row>
    <row r="63" spans="1:18" ht="15.75" x14ac:dyDescent="0.25">
      <c r="A63" s="1" t="s">
        <v>60</v>
      </c>
      <c r="B63" s="1">
        <f>1+(L47-1)*B61/(1-B61)</f>
        <v>1.0005882540749389</v>
      </c>
      <c r="C63" s="1" t="s">
        <v>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/>
      <c r="P63"/>
      <c r="Q63"/>
      <c r="R63"/>
    </row>
    <row r="64" spans="1:18" ht="15.75" x14ac:dyDescent="0.25">
      <c r="A64" s="1"/>
      <c r="B64" s="1"/>
      <c r="C64" s="1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/>
      <c r="P64"/>
      <c r="Q64"/>
      <c r="R64"/>
    </row>
    <row r="65" spans="1:18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/>
      <c r="P65"/>
      <c r="Q65"/>
      <c r="R65"/>
    </row>
    <row r="66" spans="1:18" ht="15.75" x14ac:dyDescent="0.25">
      <c r="A66" s="3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/>
      <c r="P66"/>
      <c r="Q66"/>
      <c r="R66"/>
    </row>
    <row r="67" spans="1:18" ht="15.75" x14ac:dyDescent="0.25">
      <c r="A67" s="1"/>
      <c r="B67" s="1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57</v>
      </c>
      <c r="O67"/>
      <c r="P67"/>
      <c r="Q67"/>
      <c r="R67"/>
    </row>
    <row r="68" spans="1:18" ht="15.75" x14ac:dyDescent="0.25">
      <c r="A68" s="1" t="s">
        <v>56</v>
      </c>
      <c r="B68" s="1"/>
      <c r="C68" s="41">
        <f>PRODUCT(C47:$M47)</f>
        <v>11.890293000572377</v>
      </c>
      <c r="D68" s="1">
        <f>PRODUCT(D47:$M47)</f>
        <v>2.5051781572312608</v>
      </c>
      <c r="E68" s="1">
        <f>PRODUCT(E47:$M47)</f>
        <v>1.5084777551987107</v>
      </c>
      <c r="F68" s="1">
        <f>PRODUCT(F47:$M47)</f>
        <v>1.2167781410910081</v>
      </c>
      <c r="G68" s="1">
        <f>PRODUCT(G47:$M47)</f>
        <v>1.0958056167310279</v>
      </c>
      <c r="H68" s="1">
        <f>PRODUCT(H47:$M47)</f>
        <v>1.0398171534673011</v>
      </c>
      <c r="I68" s="1">
        <f>PRODUCT(I47:$M47)</f>
        <v>1.0170637127595232</v>
      </c>
      <c r="J68" s="1">
        <f>PRODUCT(J47:$M47)</f>
        <v>1.0073406590145297</v>
      </c>
      <c r="K68" s="1">
        <f>PRODUCT(K47:$M47)</f>
        <v>1.0031630743121134</v>
      </c>
      <c r="L68" s="1">
        <f>PRODUCT(L47:$M47)</f>
        <v>1.0013639007483675</v>
      </c>
      <c r="M68" s="1">
        <f>PRODUCT(M47:$M47)</f>
        <v>1.0005882540749389</v>
      </c>
      <c r="N68" s="1">
        <v>1</v>
      </c>
      <c r="O68"/>
      <c r="P68"/>
      <c r="Q68"/>
      <c r="R68"/>
    </row>
    <row r="69" spans="1:18" ht="15.75" x14ac:dyDescent="0.25">
      <c r="A69" s="1" t="s">
        <v>55</v>
      </c>
      <c r="B69" s="1"/>
      <c r="C69" s="40">
        <f>1/C68</f>
        <v>8.4102216821054093E-2</v>
      </c>
      <c r="D69" s="39">
        <f t="shared" ref="D69:N69" si="3">1/D68-1/C68</f>
        <v>0.31507099052688414</v>
      </c>
      <c r="E69" s="39">
        <f t="shared" si="3"/>
        <v>0.26374674394313713</v>
      </c>
      <c r="F69" s="39">
        <f t="shared" si="3"/>
        <v>0.1589225574043579</v>
      </c>
      <c r="G69" s="39">
        <f t="shared" si="3"/>
        <v>9.0728101211794421E-2</v>
      </c>
      <c r="H69" s="39">
        <f t="shared" si="3"/>
        <v>4.9136933255981674E-2</v>
      </c>
      <c r="I69" s="39">
        <f t="shared" si="3"/>
        <v>2.1515029281907627E-2</v>
      </c>
      <c r="J69" s="39">
        <f t="shared" si="3"/>
        <v>9.4902611441565199E-3</v>
      </c>
      <c r="K69" s="39">
        <f t="shared" si="3"/>
        <v>4.1340655908200796E-3</v>
      </c>
      <c r="L69" s="39">
        <f t="shared" si="3"/>
        <v>1.7910577630834146E-3</v>
      </c>
      <c r="M69" s="39">
        <f t="shared" si="3"/>
        <v>7.7413482129928823E-4</v>
      </c>
      <c r="N69" s="39">
        <f t="shared" si="3"/>
        <v>5.8790823552368199E-4</v>
      </c>
      <c r="O69"/>
      <c r="P69"/>
      <c r="Q69"/>
      <c r="R69"/>
    </row>
    <row r="70" spans="1:18" ht="15.75" x14ac:dyDescent="0.25">
      <c r="A70" s="1"/>
      <c r="B70" s="1"/>
      <c r="C70" s="23" t="s">
        <v>54</v>
      </c>
      <c r="D70" s="23"/>
      <c r="E70" s="23"/>
      <c r="F70" s="23"/>
      <c r="G70" s="23"/>
      <c r="H70" s="1"/>
      <c r="I70" s="1"/>
      <c r="J70" s="1"/>
      <c r="K70" s="1"/>
      <c r="L70" s="1"/>
      <c r="M70" s="1"/>
      <c r="N70" s="1"/>
      <c r="O70"/>
      <c r="P70"/>
      <c r="Q70"/>
      <c r="R70"/>
    </row>
    <row r="71" spans="1:18" ht="15" x14ac:dyDescent="0.25">
      <c r="A71"/>
      <c r="B71"/>
      <c r="C71" s="23" t="s">
        <v>53</v>
      </c>
      <c r="D71" s="23"/>
      <c r="E71" s="23"/>
      <c r="F71" s="23"/>
      <c r="G71" s="23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B46-1BAE-42C5-876C-DF514D4A6538}">
  <dimension ref="A1:U60"/>
  <sheetViews>
    <sheetView topLeftCell="I1" workbookViewId="0">
      <selection activeCell="C26" sqref="C26"/>
    </sheetView>
  </sheetViews>
  <sheetFormatPr defaultColWidth="11.42578125" defaultRowHeight="15" x14ac:dyDescent="0.25"/>
  <cols>
    <col min="3" max="3" width="6.42578125" customWidth="1"/>
    <col min="4" max="5" width="8.28515625" bestFit="1" customWidth="1"/>
    <col min="6" max="8" width="7" bestFit="1" customWidth="1"/>
    <col min="9" max="14" width="6.42578125" customWidth="1"/>
    <col min="15" max="15" width="12.140625" bestFit="1" customWidth="1"/>
  </cols>
  <sheetData>
    <row r="1" spans="1:20" ht="15.75" x14ac:dyDescent="0.25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5.75" x14ac:dyDescent="0.25">
      <c r="A2" s="17" t="s">
        <v>33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57</v>
      </c>
      <c r="O2" s="3"/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5.75" x14ac:dyDescent="0.25">
      <c r="A4" s="13">
        <v>0</v>
      </c>
      <c r="B4" s="55"/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8">
        <v>1</v>
      </c>
      <c r="O4" s="28"/>
      <c r="P4" s="27">
        <f>SUM(C4:N4)</f>
        <v>1078</v>
      </c>
      <c r="Q4" s="26">
        <f>P4/Data!A1</f>
        <v>9.9318223696333155E-2</v>
      </c>
      <c r="R4" s="20">
        <f t="shared" ref="R4:R19" si="0">S4-P4</f>
        <v>0</v>
      </c>
      <c r="S4" s="20">
        <f t="shared" ref="S4:S19" si="1">SUM(C4:O4)</f>
        <v>1078</v>
      </c>
      <c r="T4" s="26">
        <f>S4/Data!A1</f>
        <v>9.9318223696333155E-2</v>
      </c>
    </row>
    <row r="5" spans="1:20" ht="15.75" x14ac:dyDescent="0.25">
      <c r="A5" s="13">
        <v>1</v>
      </c>
      <c r="B5" s="55"/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8">
        <f>SUM($C5:M5)*(CL!M$47-1)</f>
        <v>1.1835671987770642</v>
      </c>
      <c r="O5" s="28"/>
      <c r="P5" s="27">
        <f>SUM(C5:N5)</f>
        <v>2013.1835671987772</v>
      </c>
      <c r="Q5" s="26">
        <f>P5/Data!A2</f>
        <v>0.19803104143210479</v>
      </c>
      <c r="R5" s="20">
        <f t="shared" si="0"/>
        <v>0</v>
      </c>
      <c r="S5" s="20">
        <f t="shared" si="1"/>
        <v>2013.1835671987772</v>
      </c>
      <c r="T5" s="26">
        <f>S5/Data!A2</f>
        <v>0.19803104143210479</v>
      </c>
    </row>
    <row r="6" spans="1:20" ht="15.75" x14ac:dyDescent="0.25">
      <c r="A6" s="13">
        <v>2</v>
      </c>
      <c r="B6" s="55"/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8">
        <f>SUM($C6:M6)*(CL!M$47-1)</f>
        <v>0.59119534531359319</v>
      </c>
      <c r="O6" s="28"/>
      <c r="P6" s="27">
        <f>SUM(C6:N6)</f>
        <v>1005.5911953453136</v>
      </c>
      <c r="Q6" s="26">
        <f>P6/Data!A3</f>
        <v>9.9899780980062941E-2</v>
      </c>
      <c r="R6" s="20">
        <f t="shared" si="0"/>
        <v>0</v>
      </c>
      <c r="S6" s="20">
        <f t="shared" si="1"/>
        <v>1005.5911953453136</v>
      </c>
      <c r="T6" s="26">
        <f>S6/Data!A3</f>
        <v>9.9899780980062941E-2</v>
      </c>
    </row>
    <row r="7" spans="1:20" ht="15.75" x14ac:dyDescent="0.25">
      <c r="A7" s="13">
        <v>3</v>
      </c>
      <c r="B7" s="55"/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8">
        <f>SUM($C7:M7)*(CL!M$47-1)</f>
        <v>1.242392606270954</v>
      </c>
      <c r="O7" s="28"/>
      <c r="P7" s="27">
        <f>SUM(C7:N7)</f>
        <v>2113.2423926062711</v>
      </c>
      <c r="Q7" s="26">
        <f>P7/Data!A4</f>
        <v>0.20413856188236776</v>
      </c>
      <c r="R7" s="20">
        <f t="shared" si="0"/>
        <v>0</v>
      </c>
      <c r="S7" s="20">
        <f t="shared" si="1"/>
        <v>2113.2423926062711</v>
      </c>
      <c r="T7" s="26">
        <f>S7/Data!A4</f>
        <v>0.20413856188236776</v>
      </c>
    </row>
    <row r="8" spans="1:20" ht="15.75" x14ac:dyDescent="0.25">
      <c r="A8" s="13">
        <v>4</v>
      </c>
      <c r="B8" s="55"/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8">
        <f>SUM($C8:M8)*(CL!M$47-1)</f>
        <v>0.58943058308877649</v>
      </c>
      <c r="O8" s="28"/>
      <c r="P8" s="27">
        <f>SUM(C8:N8)</f>
        <v>1002.5894305830888</v>
      </c>
      <c r="Q8" s="26">
        <f>P8/Data!A5</f>
        <v>0.10225287410332369</v>
      </c>
      <c r="R8" s="20">
        <f t="shared" si="0"/>
        <v>0</v>
      </c>
      <c r="S8" s="20">
        <f t="shared" si="1"/>
        <v>1002.5894305830888</v>
      </c>
      <c r="T8" s="26">
        <f>S8/Data!A5</f>
        <v>0.10225287410332369</v>
      </c>
    </row>
    <row r="9" spans="1:20" ht="15.75" x14ac:dyDescent="0.25">
      <c r="A9" s="13">
        <v>5</v>
      </c>
      <c r="B9" s="55"/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SUM($C9:M9)*(CL!M$47-1)</f>
        <v>1.2159211728987036</v>
      </c>
      <c r="O9" s="28"/>
      <c r="P9" s="27">
        <f>SUM(C9:M9)</f>
        <v>2067</v>
      </c>
      <c r="Q9" s="26">
        <f>P9/Data!A6</f>
        <v>0.19926732864166585</v>
      </c>
      <c r="R9" s="20">
        <f t="shared" si="0"/>
        <v>1.2159211728985611</v>
      </c>
      <c r="S9" s="20">
        <f t="shared" si="1"/>
        <v>2068.2159211728986</v>
      </c>
      <c r="T9" s="26">
        <f>S9/Data!A6</f>
        <v>0.19938454845974149</v>
      </c>
    </row>
    <row r="10" spans="1:20" ht="15.75" x14ac:dyDescent="0.25">
      <c r="A10" s="13">
        <v>6</v>
      </c>
      <c r="B10" s="55"/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SUM($C10:L10)*(CL!L$47-1)</f>
        <v>0.64650901407739125</v>
      </c>
      <c r="N10" s="28">
        <f>SUM($C10:M10)*(CL!M$47-1)</f>
        <v>0.4909842100610573</v>
      </c>
      <c r="O10" s="28"/>
      <c r="P10" s="27">
        <f>SUM(C10:L10)</f>
        <v>834</v>
      </c>
      <c r="Q10" s="26">
        <f>P10/Data!A7</f>
        <v>9.9333015721772278E-2</v>
      </c>
      <c r="R10" s="20">
        <f t="shared" si="0"/>
        <v>1.1374932241384386</v>
      </c>
      <c r="S10" s="20">
        <f t="shared" si="1"/>
        <v>835.13749322413844</v>
      </c>
      <c r="T10" s="26">
        <f>S10/Data!A7</f>
        <v>9.9468496096252787E-2</v>
      </c>
    </row>
    <row r="11" spans="1:20" ht="15.75" x14ac:dyDescent="0.25">
      <c r="A11" s="13">
        <v>7</v>
      </c>
      <c r="B11" s="55"/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SUM($C11:K11)*(CL!K$47-1)</f>
        <v>3.173012838989584</v>
      </c>
      <c r="M11" s="28">
        <f>SUM($C11:L11)*(CL!L$47-1)</f>
        <v>1.3714464031928812</v>
      </c>
      <c r="N11" s="28">
        <f>SUM($C11:M11)*(CL!M$47-1)</f>
        <v>1.0415299930097026</v>
      </c>
      <c r="O11" s="28"/>
      <c r="P11" s="27">
        <f>SUM(C11:K11)</f>
        <v>1766</v>
      </c>
      <c r="Q11" s="26">
        <f>P11/Data!A8</f>
        <v>0.20444547348923361</v>
      </c>
      <c r="R11" s="20">
        <f t="shared" si="0"/>
        <v>5.5859892351920735</v>
      </c>
      <c r="S11" s="20">
        <f t="shared" si="1"/>
        <v>1771.5859892351921</v>
      </c>
      <c r="T11" s="26">
        <f>S11/Data!A8</f>
        <v>0.20509214971465525</v>
      </c>
    </row>
    <row r="12" spans="1:20" ht="15.75" x14ac:dyDescent="0.25">
      <c r="A12" s="13">
        <v>8</v>
      </c>
      <c r="B12" s="55"/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SUM($C12:J12)*(CL!J$47-1)</f>
        <v>3.4106537201094382</v>
      </c>
      <c r="L12" s="28">
        <f>SUM($C12:K12)*(CL!K$47-1)</f>
        <v>1.4776441467586205</v>
      </c>
      <c r="M12" s="28">
        <f>SUM($C12:L12)*(CL!L$47-1)</f>
        <v>0.63867051698298427</v>
      </c>
      <c r="N12" s="28">
        <f>SUM($C12:M12)*(CL!M$47-1)</f>
        <v>0.48503134904881684</v>
      </c>
      <c r="O12" s="28"/>
      <c r="P12" s="27">
        <f>SUM(C12:J12)</f>
        <v>819</v>
      </c>
      <c r="Q12" s="26">
        <f>P12/Data!A9</f>
        <v>9.8639046127905583E-2</v>
      </c>
      <c r="R12" s="20">
        <f t="shared" si="0"/>
        <v>6.011999732899767</v>
      </c>
      <c r="S12" s="20">
        <f t="shared" si="1"/>
        <v>825.01199973289977</v>
      </c>
      <c r="T12" s="26">
        <f>S12/Data!A9</f>
        <v>9.9363121731048984E-2</v>
      </c>
    </row>
    <row r="13" spans="1:20" ht="15.75" x14ac:dyDescent="0.25">
      <c r="A13" s="13">
        <v>9</v>
      </c>
      <c r="B13" s="55"/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SUM($C13:I13)*(CL!I$47-1)</f>
        <v>18.271615043592995</v>
      </c>
      <c r="K13" s="28">
        <f>SUM($C13:J13)*(CL!J$47-1)</f>
        <v>7.9593231306324848</v>
      </c>
      <c r="L13" s="28">
        <f>SUM($C13:K13)*(CL!K$47-1)</f>
        <v>3.4483263917400016</v>
      </c>
      <c r="M13" s="28">
        <f>SUM($C13:L13)*(CL!L$47-1)</f>
        <v>1.4904430164527411</v>
      </c>
      <c r="N13" s="28">
        <f>SUM($C13:M13)*(CL!M$47-1)</f>
        <v>1.1319006713593467</v>
      </c>
      <c r="O13" s="28"/>
      <c r="P13" s="27">
        <f>SUM(C13:I13)</f>
        <v>1893</v>
      </c>
      <c r="Q13" s="26">
        <f>P13/Data!A10</f>
        <v>0.19580057923045097</v>
      </c>
      <c r="R13" s="20">
        <f t="shared" si="0"/>
        <v>32.301608253777658</v>
      </c>
      <c r="S13" s="20">
        <f t="shared" si="1"/>
        <v>1925.3016082537777</v>
      </c>
      <c r="T13" s="26">
        <f>S13/Data!A10</f>
        <v>0.19914166407258768</v>
      </c>
    </row>
    <row r="14" spans="1:20" ht="15.75" x14ac:dyDescent="0.25">
      <c r="A14" s="13">
        <v>10</v>
      </c>
      <c r="B14" s="55"/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SUM($C14:H14)*(CL!H$47-1)</f>
        <v>19.687092924117291</v>
      </c>
      <c r="J14" s="28">
        <f>SUM($C14:I14)*(CL!I$47-1)</f>
        <v>8.6839599691488374</v>
      </c>
      <c r="K14" s="28">
        <f>SUM($C14:J14)*(CL!J$47-1)</f>
        <v>3.7828316371064048</v>
      </c>
      <c r="L14" s="28">
        <f>SUM($C14:K14)*(CL!K$47-1)</f>
        <v>1.6388878747163615</v>
      </c>
      <c r="M14" s="28">
        <f>SUM($C14:L14)*(CL!L$47-1)</f>
        <v>0.70836362632932859</v>
      </c>
      <c r="N14" s="28">
        <f>SUM($C14:M14)*(CL!M$47-1)</f>
        <v>0.53795901980673388</v>
      </c>
      <c r="O14" s="28"/>
      <c r="P14" s="27">
        <f>SUM(C14:H14)</f>
        <v>880</v>
      </c>
      <c r="Q14" s="26">
        <f>P14/Data!A11</f>
        <v>9.4613482421245024E-2</v>
      </c>
      <c r="R14" s="20">
        <f t="shared" si="0"/>
        <v>35.03909505122499</v>
      </c>
      <c r="S14" s="20">
        <f t="shared" si="1"/>
        <v>915.03909505122499</v>
      </c>
      <c r="T14" s="26">
        <f>S14/Data!A11</f>
        <v>9.8380721970887541E-2</v>
      </c>
    </row>
    <row r="15" spans="1:20" ht="15.75" x14ac:dyDescent="0.25">
      <c r="A15" s="13">
        <v>11</v>
      </c>
      <c r="B15" s="55"/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SUM($C15:G15)*(CL!G$47-1)</f>
        <v>90.620339699767285</v>
      </c>
      <c r="I15" s="28">
        <f>SUM($C15:H15)*(CL!H$47-1)</f>
        <v>39.678895954288407</v>
      </c>
      <c r="J15" s="28">
        <f>SUM($C15:I15)*(CL!I$47-1)</f>
        <v>17.502327307296525</v>
      </c>
      <c r="K15" s="28">
        <f>SUM($C15:J15)*(CL!J$47-1)</f>
        <v>7.6242126513996462</v>
      </c>
      <c r="L15" s="28">
        <f>SUM($C15:K15)*(CL!K$47-1)</f>
        <v>3.3031418966866624</v>
      </c>
      <c r="M15" s="28">
        <f>SUM($C15:L15)*(CL!L$47-1)</f>
        <v>1.4276910631377076</v>
      </c>
      <c r="N15" s="28">
        <f>SUM($C15:M15)*(CL!M$47-1)</f>
        <v>1.0842443857433786</v>
      </c>
      <c r="O15" s="28"/>
      <c r="P15" s="27">
        <f>SUM(C15:G15)</f>
        <v>1683</v>
      </c>
      <c r="Q15" s="26">
        <f>P15/Data!A12</f>
        <v>0.20002376990729737</v>
      </c>
      <c r="R15" s="20">
        <f t="shared" si="0"/>
        <v>161.24085295831969</v>
      </c>
      <c r="S15" s="20">
        <f t="shared" si="1"/>
        <v>1844.2408529583197</v>
      </c>
      <c r="T15" s="26">
        <f>S15/Data!A12</f>
        <v>0.21918717054413117</v>
      </c>
    </row>
    <row r="16" spans="1:20" ht="15.75" x14ac:dyDescent="0.25">
      <c r="A16" s="13">
        <v>12</v>
      </c>
      <c r="B16" s="55"/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SUM($C16:F16)*(CL!F$47-1)</f>
        <v>71.315796837834029</v>
      </c>
      <c r="H16" s="28">
        <f>SUM($C16:G16)*(CL!G$47-1)</f>
        <v>38.62353011375744</v>
      </c>
      <c r="I16" s="28">
        <f>SUM($C16:H16)*(CL!H$47-1)</f>
        <v>16.911645198512115</v>
      </c>
      <c r="J16" s="28">
        <f>SUM($C16:I16)*(CL!I$47-1)</f>
        <v>7.4597123344919716</v>
      </c>
      <c r="K16" s="28">
        <f>SUM($C16:J16)*(CL!J$47-1)</f>
        <v>3.249535456506139</v>
      </c>
      <c r="L16" s="28">
        <f>SUM($C16:K16)*(CL!K$47-1)</f>
        <v>1.4078406783661481</v>
      </c>
      <c r="M16" s="28">
        <f>SUM($C16:L16)*(CL!L$47-1)</f>
        <v>0.60849991241406953</v>
      </c>
      <c r="N16" s="28">
        <f>SUM($C16:M16)*(CL!M$47-1)</f>
        <v>0.46211861290936396</v>
      </c>
      <c r="O16" s="28"/>
      <c r="P16" s="27">
        <f>SUM(C16:F16)</f>
        <v>646</v>
      </c>
      <c r="Q16" s="26">
        <f>P16/Data!A13</f>
        <v>8.3516483516483511E-2</v>
      </c>
      <c r="R16" s="20">
        <f t="shared" si="0"/>
        <v>140.03867914479122</v>
      </c>
      <c r="S16" s="20">
        <f t="shared" si="1"/>
        <v>786.03867914479122</v>
      </c>
      <c r="T16" s="26">
        <f>S16/Data!A13</f>
        <v>0.10162103156364463</v>
      </c>
    </row>
    <row r="17" spans="1:20" ht="15.75" x14ac:dyDescent="0.25">
      <c r="A17" s="13">
        <v>13</v>
      </c>
      <c r="B17" s="55"/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SUM($C17:E17)*(CL!E$47-1)</f>
        <v>219.59372666168787</v>
      </c>
      <c r="G17" s="28">
        <f>SUM($C17:F17)*(CL!F$47-1)</f>
        <v>125.36497136365908</v>
      </c>
      <c r="H17" s="28">
        <f>SUM($C17:G17)*(CL!G$47-1)</f>
        <v>67.895725230203936</v>
      </c>
      <c r="I17" s="28">
        <f>SUM($C17:H17)*(CL!H$47-1)</f>
        <v>29.728727855973091</v>
      </c>
      <c r="J17" s="28">
        <f>SUM($C17:I17)*(CL!I$47-1)</f>
        <v>13.113316609519966</v>
      </c>
      <c r="K17" s="28">
        <f>SUM($C17:J17)*(CL!J$47-1)</f>
        <v>5.7123097197725938</v>
      </c>
      <c r="L17" s="28">
        <f>SUM($C17:K17)*(CL!K$47-1)</f>
        <v>2.4748220472008251</v>
      </c>
      <c r="M17" s="28">
        <f>SUM($C17:L17)*(CL!L$47-1)</f>
        <v>1.0696728842284891</v>
      </c>
      <c r="N17" s="28">
        <f>SUM($C17:M17)*(CL!M$47-1)</f>
        <v>0.81235138977318055</v>
      </c>
      <c r="O17" s="28"/>
      <c r="P17" s="27">
        <f>SUM(C17:E17)</f>
        <v>916</v>
      </c>
      <c r="Q17" s="26">
        <f>P17/Data!A14</f>
        <v>0.10785352643353349</v>
      </c>
      <c r="R17" s="20">
        <f t="shared" si="0"/>
        <v>465.765623762019</v>
      </c>
      <c r="S17" s="20">
        <f t="shared" si="1"/>
        <v>1381.765623762019</v>
      </c>
      <c r="T17" s="54">
        <f>S17/Data!A14</f>
        <v>0.16269464544472143</v>
      </c>
    </row>
    <row r="18" spans="1:20" ht="15.75" x14ac:dyDescent="0.25">
      <c r="A18" s="13">
        <v>14</v>
      </c>
      <c r="B18" s="55"/>
      <c r="C18" s="22">
        <f>Data!B15</f>
        <v>11</v>
      </c>
      <c r="D18" s="22">
        <f>Data!C15</f>
        <v>169</v>
      </c>
      <c r="E18" s="28">
        <f>SUM($C18:D18)*(CL!D$47-1)</f>
        <v>118.93186475409837</v>
      </c>
      <c r="F18" s="28">
        <f>SUM($C18:E18)*(CL!E$47-1)</f>
        <v>71.663277510131138</v>
      </c>
      <c r="G18" s="28">
        <f>SUM($C18:F18)*(CL!F$47-1)</f>
        <v>40.912210332513915</v>
      </c>
      <c r="H18" s="28">
        <f>SUM($C18:G18)*(CL!G$47-1)</f>
        <v>22.157418943118714</v>
      </c>
      <c r="I18" s="28">
        <f>SUM($C18:H18)*(CL!H$47-1)</f>
        <v>9.7018166536606376</v>
      </c>
      <c r="J18" s="28">
        <f>SUM($C18:I18)*(CL!I$47-1)</f>
        <v>4.2794630864570893</v>
      </c>
      <c r="K18" s="28">
        <f>SUM($C18:J18)*(CL!J$47-1)</f>
        <v>1.8641827473630812</v>
      </c>
      <c r="L18" s="28">
        <f>SUM($C18:K18)*(CL!K$47-1)</f>
        <v>0.80764538155491028</v>
      </c>
      <c r="M18" s="28">
        <f>SUM($C18:L18)*(CL!L$47-1)</f>
        <v>0.34908221611279144</v>
      </c>
      <c r="N18" s="28">
        <f>SUM($C18:M18)*(CL!M$47-1)</f>
        <v>0.26510667661624476</v>
      </c>
      <c r="O18" s="28"/>
      <c r="P18" s="27">
        <f>SUM(C18:D18)</f>
        <v>180</v>
      </c>
      <c r="Q18" s="26">
        <f>P18/Data!A15</f>
        <v>2.0699172033118676E-2</v>
      </c>
      <c r="R18" s="20">
        <f t="shared" si="0"/>
        <v>270.93206830162683</v>
      </c>
      <c r="S18" s="20">
        <f t="shared" si="1"/>
        <v>450.93206830162683</v>
      </c>
      <c r="T18" s="54">
        <f>S18/Data!A15</f>
        <v>5.1855113650141081E-2</v>
      </c>
    </row>
    <row r="19" spans="1:20" ht="15.75" x14ac:dyDescent="0.25">
      <c r="A19" s="13">
        <v>15</v>
      </c>
      <c r="B19" s="55"/>
      <c r="C19" s="22">
        <f>Data!B16</f>
        <v>323</v>
      </c>
      <c r="D19" s="28">
        <f>C19*(CL!C47-1)</f>
        <v>1210.0505050505051</v>
      </c>
      <c r="E19" s="28">
        <f>SUM($C19:D19)*(CL!D$47-1)</f>
        <v>1012.9364184881604</v>
      </c>
      <c r="F19" s="28">
        <f>SUM($C19:E19)*(CL!E$47-1)</f>
        <v>610.35235433600576</v>
      </c>
      <c r="G19" s="28">
        <f>SUM($C19:F19)*(CL!F$47-1)</f>
        <v>348.44713729440531</v>
      </c>
      <c r="H19" s="28">
        <f>SUM($C19:G19)*(CL!G$47-1)</f>
        <v>188.71356834090989</v>
      </c>
      <c r="I19" s="28">
        <f>SUM($C19:H19)*(CL!H$47-1)</f>
        <v>82.629860671121335</v>
      </c>
      <c r="J19" s="28">
        <f>SUM($C19:I19)*(CL!I$47-1)</f>
        <v>36.447961366877962</v>
      </c>
      <c r="K19" s="28">
        <f>SUM($C19:J19)*(CL!J$47-1)</f>
        <v>15.877146124174498</v>
      </c>
      <c r="L19" s="28">
        <f>SUM($C19:K19)*(CL!K$47-1)</f>
        <v>6.8786731116359059</v>
      </c>
      <c r="M19" s="28">
        <f>SUM($C19:L19)*(CL!L$47-1)</f>
        <v>2.9731148206436919</v>
      </c>
      <c r="N19" s="28">
        <f>SUM($C19:M19)*(CL!M$47-1)</f>
        <v>2.25789958043775</v>
      </c>
      <c r="O19" s="28"/>
      <c r="P19" s="27">
        <f>SUM(C19)</f>
        <v>323</v>
      </c>
      <c r="Q19" s="26">
        <f>P19/Data!A16</f>
        <v>3.6821705426356592E-2</v>
      </c>
      <c r="R19" s="20">
        <f t="shared" si="0"/>
        <v>3517.5646391848773</v>
      </c>
      <c r="S19" s="20">
        <f t="shared" si="1"/>
        <v>3840.5646391848773</v>
      </c>
      <c r="T19" s="54">
        <f>S19/Data!A16</f>
        <v>0.43782086630014561</v>
      </c>
    </row>
    <row r="20" spans="1:2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4636.8339700217657</v>
      </c>
      <c r="S21" s="3"/>
    </row>
    <row r="22" spans="1:20" ht="15.75" thickTop="1" x14ac:dyDescent="0.25"/>
    <row r="24" spans="1:20" ht="15.75" x14ac:dyDescent="0.25">
      <c r="A24" s="21"/>
      <c r="Q24" s="3"/>
      <c r="R24" s="3"/>
      <c r="S24" s="3"/>
      <c r="T24" s="3"/>
    </row>
    <row r="25" spans="1:20" ht="15.75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5.75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5.75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5.75" x14ac:dyDescent="0.2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5.75" x14ac:dyDescent="0.25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5.75" x14ac:dyDescent="0.2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5.75" x14ac:dyDescent="0.25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5.75" x14ac:dyDescent="0.25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5.75" x14ac:dyDescent="0.25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5.75" x14ac:dyDescent="0.25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5.75" x14ac:dyDescent="0.25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5.75" x14ac:dyDescent="0.25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5.75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5.75" x14ac:dyDescent="0.25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5.75" x14ac:dyDescent="0.2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5.75" x14ac:dyDescent="0.25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5.75" x14ac:dyDescent="0.25">
      <c r="P41" s="1"/>
      <c r="Q41" s="3"/>
      <c r="R41" s="19"/>
      <c r="S41" s="3"/>
    </row>
    <row r="42" spans="1:21" ht="15.75" x14ac:dyDescent="0.25">
      <c r="A42" s="21"/>
      <c r="P42" s="1"/>
      <c r="Q42" s="20"/>
      <c r="R42" s="19"/>
      <c r="S42" s="3"/>
      <c r="T42" s="18"/>
      <c r="U42" s="18"/>
    </row>
    <row r="60" spans="3:15" x14ac:dyDescent="0.25">
      <c r="C60" t="str">
        <f t="shared" ref="C60:O60" si="2">IF(C42&gt;0,C21/C42,"")</f>
        <v/>
      </c>
      <c r="D60" t="str">
        <f t="shared" si="2"/>
        <v/>
      </c>
      <c r="E60" t="str">
        <f t="shared" si="2"/>
        <v/>
      </c>
      <c r="F60" t="str">
        <f t="shared" si="2"/>
        <v/>
      </c>
      <c r="G60" t="str">
        <f t="shared" si="2"/>
        <v/>
      </c>
      <c r="H60" t="str">
        <f t="shared" si="2"/>
        <v/>
      </c>
      <c r="I60" t="str">
        <f t="shared" si="2"/>
        <v/>
      </c>
      <c r="J60" t="str">
        <f t="shared" si="2"/>
        <v/>
      </c>
      <c r="K60" t="str">
        <f t="shared" si="2"/>
        <v/>
      </c>
      <c r="L60" t="str">
        <f t="shared" si="2"/>
        <v/>
      </c>
      <c r="M60" t="str">
        <f t="shared" si="2"/>
        <v/>
      </c>
      <c r="N60" t="str">
        <f t="shared" si="2"/>
        <v/>
      </c>
      <c r="O60" t="str">
        <f t="shared" si="2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4CB0-2C65-42DB-974D-42599BC0209B}">
  <dimension ref="A1:AB35"/>
  <sheetViews>
    <sheetView workbookViewId="0">
      <selection activeCell="C26" sqref="C26"/>
    </sheetView>
  </sheetViews>
  <sheetFormatPr defaultRowHeight="15" x14ac:dyDescent="0.25"/>
  <sheetData>
    <row r="1" spans="1:28" ht="15.75" x14ac:dyDescent="0.25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5.75" x14ac:dyDescent="0.25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 t="e">
        <f>Q2/'CL IBNR'!R4</f>
        <v>#DIV/0!</v>
      </c>
      <c r="S2" s="34">
        <f t="shared" ref="S2:S17" si="1">SUM(C2:O2)</f>
        <v>1079</v>
      </c>
      <c r="T2" s="33">
        <f>S2/'CL IBNR'!S4</f>
        <v>1.0009276437847867</v>
      </c>
    </row>
    <row r="3" spans="1:28" ht="15.75" x14ac:dyDescent="0.25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 t="e">
        <f>Q3/'CL IBNR'!R5</f>
        <v>#DIV/0!</v>
      </c>
      <c r="S3" s="34">
        <f t="shared" si="1"/>
        <v>2013</v>
      </c>
      <c r="T3" s="33">
        <f>S3/'CL IBNR'!S5</f>
        <v>0.99990881745620819</v>
      </c>
    </row>
    <row r="4" spans="1:28" ht="15.75" x14ac:dyDescent="0.25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 t="e">
        <f>Q4/'CL IBNR'!R6</f>
        <v>#DIV/0!</v>
      </c>
      <c r="S4" s="34">
        <f t="shared" si="1"/>
        <v>1006</v>
      </c>
      <c r="T4" s="33">
        <f>S4/'CL IBNR'!S6</f>
        <v>1.0004065316567792</v>
      </c>
    </row>
    <row r="5" spans="1:28" ht="15.75" x14ac:dyDescent="0.25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 t="e">
        <f>Q5/'CL IBNR'!R7</f>
        <v>#DIV/0!</v>
      </c>
      <c r="S5" s="34">
        <f t="shared" si="1"/>
        <v>2112</v>
      </c>
      <c r="T5" s="33">
        <f>S5/'CL IBNR'!S7</f>
        <v>0.99941209176447632</v>
      </c>
    </row>
    <row r="6" spans="1:28" ht="15.75" x14ac:dyDescent="0.25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 t="e">
        <f>Q6/'CL IBNR'!R8</f>
        <v>#DIV/0!</v>
      </c>
      <c r="S6" s="34">
        <f t="shared" si="1"/>
        <v>1002</v>
      </c>
      <c r="T6" s="33">
        <f>S6/'CL IBNR'!S8</f>
        <v>0.99941209176447632</v>
      </c>
    </row>
    <row r="7" spans="1:28" ht="15.75" x14ac:dyDescent="0.25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Q7/'CL IBNR'!R9</f>
        <v>2.4672652034247262</v>
      </c>
      <c r="S7" s="34">
        <f t="shared" si="1"/>
        <v>2070</v>
      </c>
      <c r="T7" s="33">
        <f>S7/'CL IBNR'!S9</f>
        <v>1.0008626172967905</v>
      </c>
    </row>
    <row r="8" spans="1:28" ht="15.75" x14ac:dyDescent="0.25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Q8/'CL IBNR'!R10</f>
        <v>3.5165044636021325</v>
      </c>
      <c r="S8" s="34">
        <f t="shared" si="1"/>
        <v>838</v>
      </c>
      <c r="T8" s="33">
        <f>S8/'CL IBNR'!S10</f>
        <v>1.0034275874321132</v>
      </c>
    </row>
    <row r="9" spans="1:28" ht="15.75" x14ac:dyDescent="0.25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Q9/'CL IBNR'!R11</f>
        <v>0.17901932100046647</v>
      </c>
      <c r="S9" s="34">
        <f t="shared" si="1"/>
        <v>1767</v>
      </c>
      <c r="T9" s="33">
        <f>S9/'CL IBNR'!S11</f>
        <v>0.99741136514791928</v>
      </c>
    </row>
    <row r="10" spans="1:28" ht="15.75" x14ac:dyDescent="0.25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Q10/'CL IBNR'!R12</f>
        <v>0.66533602423676097</v>
      </c>
      <c r="S10" s="34">
        <f t="shared" si="1"/>
        <v>823</v>
      </c>
      <c r="T10" s="33">
        <f>S10/'CL IBNR'!S12</f>
        <v>0.99756124791693801</v>
      </c>
    </row>
    <row r="11" spans="1:28" ht="15.75" x14ac:dyDescent="0.25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Q11/'CL IBNR'!R13</f>
        <v>1.393119489483539</v>
      </c>
      <c r="S11" s="34">
        <f t="shared" si="1"/>
        <v>1938</v>
      </c>
      <c r="T11" s="33">
        <f>S11/'CL IBNR'!S13</f>
        <v>1.0065955337552226</v>
      </c>
    </row>
    <row r="12" spans="1:28" ht="15.75" x14ac:dyDescent="0.25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Q12/'CL IBNR'!R14</f>
        <v>2.3402430879028433</v>
      </c>
      <c r="S12" s="34">
        <f t="shared" si="1"/>
        <v>962</v>
      </c>
      <c r="T12" s="33">
        <f>S12/'CL IBNR'!S14</f>
        <v>1.0513212005943267</v>
      </c>
    </row>
    <row r="13" spans="1:28" ht="15.75" x14ac:dyDescent="0.25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Q13/'CL IBNR'!R15</f>
        <v>0.29769130539397398</v>
      </c>
      <c r="S13" s="34">
        <f t="shared" si="1"/>
        <v>1731</v>
      </c>
      <c r="T13" s="33">
        <f>S13/'CL IBNR'!S15</f>
        <v>0.9385975791737442</v>
      </c>
    </row>
    <row r="14" spans="1:28" ht="15.75" x14ac:dyDescent="0.25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Q14/'CL IBNR'!R16</f>
        <v>0.72837019474125708</v>
      </c>
      <c r="S14" s="34">
        <f t="shared" si="1"/>
        <v>748</v>
      </c>
      <c r="T14" s="33">
        <f>S14/'CL IBNR'!S16</f>
        <v>0.9516071153315544</v>
      </c>
    </row>
    <row r="15" spans="1:28" ht="15.75" x14ac:dyDescent="0.25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Q15/'CL IBNR'!R17</f>
        <v>1.4685497707522677</v>
      </c>
      <c r="S15" s="34">
        <f t="shared" si="1"/>
        <v>1600</v>
      </c>
      <c r="T15" s="33">
        <f>S15/'CL IBNR'!S17</f>
        <v>1.1579387795477298</v>
      </c>
    </row>
    <row r="16" spans="1:28" ht="15.75" x14ac:dyDescent="0.25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Q16/'CL IBNR'!R18</f>
        <v>2.7719125488087917</v>
      </c>
      <c r="S16" s="34">
        <f t="shared" si="1"/>
        <v>931</v>
      </c>
      <c r="T16" s="57">
        <f>S16/'CL IBNR'!S18</f>
        <v>2.0646125335607257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5.75" x14ac:dyDescent="0.25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Q17/'CL IBNR'!R19</f>
        <v>0.37781821695477591</v>
      </c>
      <c r="S17" s="34">
        <f t="shared" si="1"/>
        <v>1652</v>
      </c>
      <c r="T17" s="57">
        <f>S17/'CL IBNR'!S19</f>
        <v>0.43014508417455538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5.75" x14ac:dyDescent="0.25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5.75" x14ac:dyDescent="0.25">
      <c r="A19" s="21" t="s">
        <v>51</v>
      </c>
      <c r="P19" s="1"/>
      <c r="Q19" s="20">
        <f>SUM(Q2:Q17)</f>
        <v>3055</v>
      </c>
      <c r="R19" s="33">
        <f>Q19/'CL IBNR'!R21</f>
        <v>0.65885473142909612</v>
      </c>
      <c r="S19" s="3"/>
      <c r="T19" s="35">
        <f>AVERAGE(T2:T17)</f>
        <v>1.0375092387723965</v>
      </c>
      <c r="U19" s="35" t="s">
        <v>52</v>
      </c>
    </row>
    <row r="20" spans="1:28" x14ac:dyDescent="0.25">
      <c r="N20">
        <f>IF('CL IBNR'!N4&gt;0,N2/'CL IBNR'!N4,"")</f>
        <v>1</v>
      </c>
    </row>
    <row r="21" spans="1:28" x14ac:dyDescent="0.25">
      <c r="N21">
        <f>IF('CL IBNR'!N5&gt;0,N3/'CL IBNR'!N5,"")</f>
        <v>0.8449034419281497</v>
      </c>
    </row>
    <row r="22" spans="1:28" x14ac:dyDescent="0.25">
      <c r="N22">
        <f>IF('CL IBNR'!N6&gt;0,N4/'CL IBNR'!N6,"")</f>
        <v>0</v>
      </c>
    </row>
    <row r="23" spans="1:28" x14ac:dyDescent="0.25">
      <c r="N23">
        <f>IF('CL IBNR'!N7&gt;0,N5/'CL IBNR'!N7,"")</f>
        <v>0</v>
      </c>
    </row>
    <row r="24" spans="1:28" x14ac:dyDescent="0.25">
      <c r="N24">
        <f>IF('CL IBNR'!N8&gt;0,N6/'CL IBNR'!N8,"")</f>
        <v>0</v>
      </c>
    </row>
    <row r="25" spans="1:28" x14ac:dyDescent="0.25">
      <c r="M25">
        <f>IF('CL IBNR'!M9&gt;0,M7/'CL IBNR'!M9,"")</f>
        <v>1</v>
      </c>
      <c r="N25">
        <f>IF('CL IBNR'!N9&gt;0,N7/'CL IBNR'!N9,"")</f>
        <v>1.6448434689496247</v>
      </c>
    </row>
    <row r="26" spans="1:28" x14ac:dyDescent="0.25">
      <c r="L26">
        <f>IF('CL IBNR'!L10&gt;0,L8/'CL IBNR'!L10,"")</f>
        <v>1</v>
      </c>
      <c r="M26">
        <f>IF('CL IBNR'!M10&gt;0,M8/'CL IBNR'!M10,"")</f>
        <v>4.6403065304219888</v>
      </c>
      <c r="N26">
        <f>IF('CL IBNR'!N10&gt;0,N8/'CL IBNR'!N10,"")</f>
        <v>2.0367253763122912</v>
      </c>
    </row>
    <row r="27" spans="1:28" x14ac:dyDescent="0.25">
      <c r="K27">
        <f>IF('CL IBNR'!K11&gt;0,K9/'CL IBNR'!K11,"")</f>
        <v>1</v>
      </c>
      <c r="L27">
        <f>IF('CL IBNR'!L11&gt;0,L9/'CL IBNR'!L11,"")</f>
        <v>0</v>
      </c>
      <c r="M27">
        <f>IF('CL IBNR'!M11&gt;0,M9/'CL IBNR'!M11,"")</f>
        <v>0.72915718592566769</v>
      </c>
      <c r="N27">
        <f>IF('CL IBNR'!N11&gt;0,N9/'CL IBNR'!N11,"")</f>
        <v>0</v>
      </c>
    </row>
    <row r="28" spans="1:28" x14ac:dyDescent="0.25">
      <c r="J28">
        <f>IF('CL IBNR'!J12&gt;0,J10/'CL IBNR'!J12,"")</f>
        <v>1</v>
      </c>
      <c r="K28">
        <f>IF('CL IBNR'!K12&gt;0,K10/'CL IBNR'!K12,"")</f>
        <v>0.87959677123238955</v>
      </c>
      <c r="L28">
        <f>IF('CL IBNR'!L12&gt;0,L10/'CL IBNR'!L12,"")</f>
        <v>0</v>
      </c>
      <c r="M28">
        <f>IF('CL IBNR'!M12&gt;0,M10/'CL IBNR'!M12,"")</f>
        <v>0</v>
      </c>
      <c r="N28">
        <f>IF('CL IBNR'!N12&gt;0,N10/'CL IBNR'!N12,"")</f>
        <v>2.0617224061106065</v>
      </c>
    </row>
    <row r="29" spans="1:28" x14ac:dyDescent="0.25">
      <c r="I29">
        <f>IF('CL IBNR'!I13&gt;0,I11/'CL IBNR'!I13,"")</f>
        <v>1</v>
      </c>
      <c r="J29">
        <f>IF('CL IBNR'!J13&gt;0,J11/'CL IBNR'!J13,"")</f>
        <v>1.2587830875993105</v>
      </c>
      <c r="K29">
        <f>IF('CL IBNR'!K13&gt;0,K11/'CL IBNR'!K13,"")</f>
        <v>1.8845823638282204</v>
      </c>
      <c r="L29">
        <f>IF('CL IBNR'!L13&gt;0,L11/'CL IBNR'!L13,"")</f>
        <v>1.1599830020677444</v>
      </c>
      <c r="M29">
        <f>IF('CL IBNR'!M13&gt;0,M11/'CL IBNR'!M13,"")</f>
        <v>2.0128243528155871</v>
      </c>
      <c r="N29">
        <f>IF('CL IBNR'!N13&gt;0,N11/'CL IBNR'!N13,"")</f>
        <v>0</v>
      </c>
    </row>
    <row r="30" spans="1:28" x14ac:dyDescent="0.25">
      <c r="H30">
        <f>IF('CL IBNR'!H14&gt;0,H12/'CL IBNR'!H14,"")</f>
        <v>1</v>
      </c>
      <c r="I30">
        <f>IF('CL IBNR'!I14&gt;0,I12/'CL IBNR'!I14,"")</f>
        <v>1.7778145374182661</v>
      </c>
      <c r="J30">
        <f>IF('CL IBNR'!J14&gt;0,J12/'CL IBNR'!J14,"")</f>
        <v>3.5697999656991142</v>
      </c>
      <c r="K30">
        <f>IF('CL IBNR'!K14&gt;0,K12/'CL IBNR'!K14,"")</f>
        <v>2.3791701200015223</v>
      </c>
      <c r="L30">
        <f>IF('CL IBNR'!L14&gt;0,L12/'CL IBNR'!L14,"")</f>
        <v>1.2203397382179884</v>
      </c>
      <c r="M30">
        <f>IF('CL IBNR'!M14&gt;0,M12/'CL IBNR'!M14,"")</f>
        <v>2.8234086642249059</v>
      </c>
      <c r="N30">
        <f>IF('CL IBNR'!N14&gt;0,N12/'CL IBNR'!N14,"")</f>
        <v>5.5766329581717473</v>
      </c>
    </row>
    <row r="31" spans="1:28" x14ac:dyDescent="0.25">
      <c r="G31">
        <f>IF('CL IBNR'!G15&gt;0,G13/'CL IBNR'!G15,"")</f>
        <v>1</v>
      </c>
      <c r="H31">
        <f>IF('CL IBNR'!H15&gt;0,H13/'CL IBNR'!H15,"")</f>
        <v>0.29794635607693859</v>
      </c>
      <c r="I31">
        <f>IF('CL IBNR'!I15&gt;0,I13/'CL IBNR'!I15,"")</f>
        <v>0.27722545538243848</v>
      </c>
      <c r="J31">
        <f>IF('CL IBNR'!J15&gt;0,J13/'CL IBNR'!J15,"")</f>
        <v>0.34281155269554736</v>
      </c>
      <c r="K31">
        <f>IF('CL IBNR'!K15&gt;0,K13/'CL IBNR'!K15,"")</f>
        <v>0.393483253572323</v>
      </c>
      <c r="L31">
        <f>IF('CL IBNR'!L15&gt;0,L13/'CL IBNR'!L15,"")</f>
        <v>0</v>
      </c>
      <c r="M31">
        <f>IF('CL IBNR'!M15&gt;0,M13/'CL IBNR'!M15,"")</f>
        <v>0.70043164506630051</v>
      </c>
      <c r="N31">
        <f>IF('CL IBNR'!N15&gt;0,N13/'CL IBNR'!N15,"")</f>
        <v>0</v>
      </c>
    </row>
    <row r="32" spans="1:28" x14ac:dyDescent="0.25">
      <c r="F32">
        <f>IF('CL IBNR'!F16&gt;0,F14/'CL IBNR'!F16,"")</f>
        <v>1</v>
      </c>
      <c r="G32">
        <f>IF('CL IBNR'!G16&gt;0,G14/'CL IBNR'!G16,"")</f>
        <v>0.79926191008722913</v>
      </c>
      <c r="H32">
        <f>IF('CL IBNR'!H16&gt;0,H14/'CL IBNR'!H16,"")</f>
        <v>0.69905572899414448</v>
      </c>
      <c r="I32">
        <f>IF('CL IBNR'!I16&gt;0,I14/'CL IBNR'!I16,"")</f>
        <v>0.65043937895337223</v>
      </c>
      <c r="J32">
        <f>IF('CL IBNR'!J16&gt;0,J14/'CL IBNR'!J16,"")</f>
        <v>0.26810685322977751</v>
      </c>
      <c r="K32">
        <f>IF('CL IBNR'!K16&gt;0,K14/'CL IBNR'!K16,"")</f>
        <v>0.61547258885747802</v>
      </c>
      <c r="L32">
        <f>IF('CL IBNR'!L16&gt;0,L14/'CL IBNR'!L16,"")</f>
        <v>1.4206152945666231</v>
      </c>
      <c r="M32">
        <f>IF('CL IBNR'!M16&gt;0,M14/'CL IBNR'!M16,"")</f>
        <v>1.6433856104148854</v>
      </c>
      <c r="N32">
        <f>IF('CL IBNR'!N16&gt;0,N14/'CL IBNR'!N16,"")</f>
        <v>0</v>
      </c>
      <c r="P32" s="56" t="s">
        <v>66</v>
      </c>
      <c r="Q32" s="56"/>
      <c r="R32" s="56"/>
      <c r="S32" s="56"/>
    </row>
    <row r="33" spans="3:14" x14ac:dyDescent="0.25">
      <c r="E33">
        <f>IF('CL IBNR'!E17&gt;0,E15/'CL IBNR'!E17,"")</f>
        <v>1</v>
      </c>
      <c r="F33">
        <f>IF('CL IBNR'!F17&gt;0,F15/'CL IBNR'!F17,"")</f>
        <v>1.4526826647077227</v>
      </c>
      <c r="G33">
        <f>IF('CL IBNR'!G17&gt;0,G15/'CL IBNR'!G17,"")</f>
        <v>1.5953419669346025</v>
      </c>
      <c r="H33">
        <f>IF('CL IBNR'!H17&gt;0,H15/'CL IBNR'!H17,"")</f>
        <v>1.2666482272398238</v>
      </c>
      <c r="I33">
        <f>IF('CL IBNR'!I17&gt;0,I15/'CL IBNR'!I17,"")</f>
        <v>1.3791373851795103</v>
      </c>
      <c r="J33">
        <f>IF('CL IBNR'!J17&gt;0,J15/'CL IBNR'!J17,"")</f>
        <v>1.83020060558719</v>
      </c>
      <c r="K33">
        <f>IF('CL IBNR'!K17&gt;0,K15/'CL IBNR'!K17,"")</f>
        <v>1.575544821886564</v>
      </c>
      <c r="L33">
        <f>IF('CL IBNR'!L17&gt;0,L15/'CL IBNR'!L17,"")</f>
        <v>1.6162778267327318</v>
      </c>
      <c r="M33">
        <f>IF('CL IBNR'!M17&gt;0,M15/'CL IBNR'!M17,"")</f>
        <v>0.93486524221024703</v>
      </c>
      <c r="N33">
        <f>IF('CL IBNR'!N17&gt;0,N15/'CL IBNR'!N17,"")</f>
        <v>0</v>
      </c>
    </row>
    <row r="34" spans="3:14" x14ac:dyDescent="0.25">
      <c r="D34">
        <f>IF('CL IBNR'!D18&gt;0,D16/'CL IBNR'!D18,"")</f>
        <v>1</v>
      </c>
      <c r="E34">
        <f>IF('CL IBNR'!E18&gt;0,E16/'CL IBNR'!E18,"")</f>
        <v>2.076819366371605</v>
      </c>
      <c r="F34">
        <f>IF('CL IBNR'!F18&gt;0,F16/'CL IBNR'!F18,"")</f>
        <v>2.8187379508485777</v>
      </c>
      <c r="G34">
        <f>IF('CL IBNR'!G18&gt;0,G16/'CL IBNR'!G18,"")</f>
        <v>3.3975187082359461</v>
      </c>
      <c r="H34">
        <f>IF('CL IBNR'!H18&gt;0,H16/'CL IBNR'!H18,"")</f>
        <v>3.7007920557220952</v>
      </c>
      <c r="I34">
        <f>IF('CL IBNR'!I18&gt;0,I16/'CL IBNR'!I18,"")</f>
        <v>3.9167922211415984</v>
      </c>
      <c r="J34">
        <f>IF('CL IBNR'!J18&gt;0,J16/'CL IBNR'!J18,"")</f>
        <v>4.9071576447188425</v>
      </c>
      <c r="K34">
        <f>IF('CL IBNR'!K18&gt;0,K16/'CL IBNR'!K18,"")</f>
        <v>6.437137140644718</v>
      </c>
      <c r="L34">
        <f>IF('CL IBNR'!L18&gt;0,L16/'CL IBNR'!L18,"")</f>
        <v>6.1908358720182433</v>
      </c>
      <c r="M34">
        <f>IF('CL IBNR'!M18&gt;0,M16/'CL IBNR'!M18,"")</f>
        <v>11.458618673108131</v>
      </c>
      <c r="N34">
        <f>IF('CL IBNR'!N18&gt;0,N16/'CL IBNR'!N18,"")</f>
        <v>0</v>
      </c>
    </row>
    <row r="35" spans="3:14" x14ac:dyDescent="0.25">
      <c r="C35">
        <f>IF('CL IBNR'!C19&gt;0,C17/'CL IBNR'!C19,"")</f>
        <v>1</v>
      </c>
      <c r="D35">
        <f>IF('CL IBNR'!D19&gt;0,D17/'CL IBNR'!D19,"")</f>
        <v>0.58923160399014984</v>
      </c>
      <c r="E35">
        <f>IF('CL IBNR'!E19&gt;0,E17/'CL IBNR'!E19,"")</f>
        <v>0.33960670553580341</v>
      </c>
      <c r="F35">
        <f>IF('CL IBNR'!F19&gt;0,F17/'CL IBNR'!F19,"")</f>
        <v>0.26214365990946636</v>
      </c>
      <c r="G35">
        <f>IF('CL IBNR'!G19&gt;0,G17/'CL IBNR'!G19,"")</f>
        <v>0.18941180149296552</v>
      </c>
      <c r="H35">
        <f>IF('CL IBNR'!H19&gt;0,H17/'CL IBNR'!H19,"")</f>
        <v>0.15367204517913455</v>
      </c>
      <c r="I35">
        <f>IF('CL IBNR'!I19&gt;0,I17/'CL IBNR'!I19,"")</f>
        <v>0.10891946236992081</v>
      </c>
      <c r="J35">
        <f>IF('CL IBNR'!J19&gt;0,J17/'CL IBNR'!J19,"")</f>
        <v>0.13718188377316881</v>
      </c>
      <c r="K35">
        <f>IF('CL IBNR'!K19&gt;0,K17/'CL IBNR'!K19,"")</f>
        <v>6.2983611297587214E-2</v>
      </c>
      <c r="L35">
        <f>IF('CL IBNR'!L19&gt;0,L17/'CL IBNR'!L19,"")</f>
        <v>0.14537687483773701</v>
      </c>
      <c r="M35">
        <f>IF('CL IBNR'!M19&gt;0,M17/'CL IBNR'!M19,"")</f>
        <v>0.33634758841351975</v>
      </c>
      <c r="N35">
        <f>IF('CL IBNR'!N19&gt;0,N17/'CL IBNR'!N19,"")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7277-F5B5-4DF4-A542-746EEE170427}">
  <dimension ref="A1:R46"/>
  <sheetViews>
    <sheetView topLeftCell="A18" workbookViewId="0">
      <selection activeCell="C26" sqref="C26"/>
    </sheetView>
  </sheetViews>
  <sheetFormatPr defaultRowHeight="14.25" x14ac:dyDescent="0.2"/>
  <cols>
    <col min="1" max="1" width="21.5703125" style="38" bestFit="1" customWidth="1"/>
    <col min="2" max="2" width="17.140625" style="38" customWidth="1"/>
    <col min="3" max="20" width="9.140625" style="38"/>
    <col min="21" max="21" width="9.42578125" style="38" bestFit="1" customWidth="1"/>
    <col min="22" max="22" width="9.140625" style="38"/>
    <col min="23" max="23" width="9.42578125" style="38" bestFit="1" customWidth="1"/>
    <col min="24" max="16384" width="9.140625" style="38"/>
  </cols>
  <sheetData>
    <row r="1" spans="1:18" ht="15.75" x14ac:dyDescent="0.25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5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5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5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5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5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5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5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5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5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5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5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5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5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18" ht="15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18" ht="15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18" ht="15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18" s="59" customFormat="1" x14ac:dyDescent="0.2"/>
    <row r="22" spans="1:18" ht="15" x14ac:dyDescent="0.25">
      <c r="A22" s="60" t="s">
        <v>18</v>
      </c>
    </row>
    <row r="24" spans="1:18" ht="15" x14ac:dyDescent="0.2">
      <c r="A24" s="1" t="s">
        <v>44</v>
      </c>
      <c r="B24" s="1"/>
      <c r="C24" s="43">
        <f>SUM(Data!$B1:C1,Data!$B5:C5,Data!$B9:C9,Data!$B13:C13)/SUM(Data!B1,Data!B5,Data!B9,Data!B13)</f>
        <v>4.9573170731707314</v>
      </c>
      <c r="D24" s="43">
        <f>SUM(Data!$B1:D1,Data!$B5:D5,Data!$B9:D9,Data!$B13:D13)/SUM(Data!$B1:C1,Data!$B5:C5,Data!$B9:C9,Data!$B13:C13)</f>
        <v>1.6070110701107012</v>
      </c>
      <c r="E24" s="43">
        <f>SUM(Data!$B1:E1,Data!$B5:E5,Data!$B9:E9,Data!$B13:E13)/SUM(Data!$B1:D1,Data!$B5:D5,Data!$B9:D9,Data!$B13:D13)</f>
        <v>1.211251435132032</v>
      </c>
      <c r="F24" s="43">
        <f>SUM(Data!$B1:F1,Data!$B5:F5,Data!$B9:F9)/SUM(Data!$B1:E1,Data!$B5:E5,Data!$B9:E9)</f>
        <v>1.0821754664549423</v>
      </c>
      <c r="G24" s="43">
        <f>SUM(Data!$B1:G1,Data!$B5:G5,Data!$B9:G9)/SUM(Data!$B1:F1,Data!$B5:F5,Data!$B9:F9)</f>
        <v>1.0385179750550257</v>
      </c>
      <c r="H24" s="43">
        <f>SUM(Data!$B1:H1,Data!$B5:H5,Data!$B9:H9)/SUM(Data!$B1:G1,Data!$B5:G5,Data!$B9:G9)</f>
        <v>1.0137760508654186</v>
      </c>
      <c r="I24" s="43">
        <f>SUM(Data!$B1:I1,Data!$B5:I5,Data!$B9:I9)/SUM(Data!$B1:H1,Data!$B5:H5,Data!$B9:H9)</f>
        <v>1.0073170731707317</v>
      </c>
      <c r="J24" s="43">
        <f>SUM(Data!$B1:J1,Data!$B5:J5)/SUM(Data!$B1:I1,Data!$B5:I5)</f>
        <v>1.0024131274131274</v>
      </c>
      <c r="K24" s="43">
        <f>SUM(Data!$B1:K1,Data!$B5:K5)/SUM(Data!$B1:J1,Data!$B5:J5)</f>
        <v>1.0004814636494945</v>
      </c>
      <c r="L24" s="43">
        <f>SUM(Data!$B1:L1,Data!$B5:L5)/SUM(Data!$B1:K1,Data!$B5:K5)</f>
        <v>1.0004812319538017</v>
      </c>
      <c r="M24" s="43">
        <f>SUM(Data!$B1:M1,Data!$B5:M5)/SUM(Data!$B1:L1,Data!$B5:L5)</f>
        <v>1.0004810004810005</v>
      </c>
      <c r="N24" s="43">
        <f>SUM(Data!$B1:N1)/SUM(Data!$B1:M1)</f>
        <v>1.0009276437847867</v>
      </c>
      <c r="O24" s="43">
        <f>SUM(Data!$B1:O1)/SUM(Data!$B1:N1)</f>
        <v>1</v>
      </c>
      <c r="P24" s="43">
        <f>SUM(Data!$B1:P1)/SUM(Data!$B1:O1)</f>
        <v>1</v>
      </c>
      <c r="Q24" s="43">
        <f>SUM(Data!$B1:Q1)/SUM(Data!$B1:P1)</f>
        <v>1</v>
      </c>
      <c r="R24" s="43"/>
    </row>
    <row r="25" spans="1:18" ht="15" x14ac:dyDescent="0.2">
      <c r="A25" s="1" t="s">
        <v>43</v>
      </c>
      <c r="B25" s="1"/>
      <c r="C25" s="43">
        <f>SUM(Data!$B2:C2,Data!$B6:C6,Data!$B10:C10,Data!$B14:C14)/SUM(Data!$B2:B2,Data!$B6:B6,Data!$B10:B10,Data!$B14:B14)</f>
        <v>8.2851985559566792</v>
      </c>
      <c r="D25" s="43">
        <f>SUM(Data!$B2:D2,Data!$B6:D6,Data!$B10:D10,Data!$B14:D14)/SUM(Data!$B2:C2,Data!$B6:C6,Data!$B10:C10,Data!$B14:C14)</f>
        <v>1.9516339869281045</v>
      </c>
      <c r="E25" s="43">
        <f>SUM(Data!$B2:E2,Data!$B6:E6,Data!$B10:E10)/SUM(Data!$B2:D2,Data!$B6:D6,Data!$B10:D10)</f>
        <v>1.315464496211058</v>
      </c>
      <c r="F25" s="43">
        <f>SUM(Data!$B2:F2,Data!$B6:F6,Data!$B10:F10)/SUM(Data!$B2:E2,Data!$B6:E6,Data!$B10:E10)</f>
        <v>1.1487091956475357</v>
      </c>
      <c r="G25" s="43">
        <f>SUM(Data!$B2:G2,Data!$B6:G6,Data!$B10:G10)/SUM(Data!$B2:F2,Data!$B6:F6,Data!$B10:F10)</f>
        <v>1.062964338781575</v>
      </c>
      <c r="H25" s="43">
        <f>SUM(Data!$B2:H2,Data!$B6:H6,Data!$B10:H10)/SUM(Data!$B2:G2,Data!$B6:G6,Data!$B10:G10)</f>
        <v>1.0304036344574523</v>
      </c>
      <c r="I25" s="43">
        <f>SUM(Data!$B2:I2,Data!$B6:I6)/SUM(Data!$B2:H2,Data!$B6:H6)</f>
        <v>1.0112387612387612</v>
      </c>
      <c r="J25" s="43">
        <f>SUM(Data!$B2:J2,Data!$B6:J6)/SUM(Data!$B2:I2,Data!$B6:I6)</f>
        <v>1.004939491232403</v>
      </c>
      <c r="K25" s="43">
        <f>SUM(Data!$B2:K2,Data!$B6:K6)/SUM(Data!$B2:J2,Data!$B6:J6)</f>
        <v>1.0022118456623248</v>
      </c>
      <c r="L25" s="43">
        <f>SUM(Data!$B2:L2,Data!$B6:L6)/SUM(Data!$B2:K2,Data!$B6:K6)</f>
        <v>1.0002452182442374</v>
      </c>
      <c r="M25" s="43">
        <f>SUM(Data!$B2:M2)/SUM(Data!$B2:L2)</f>
        <v>1.0004970178926442</v>
      </c>
      <c r="N25" s="43">
        <f>SUM(Data!$B2:N2)/SUM(Data!$B2:M2)</f>
        <v>1</v>
      </c>
      <c r="O25" s="43">
        <f>SUM(Data!$B2:O2)/SUM(Data!$B2:N2)</f>
        <v>1</v>
      </c>
      <c r="P25" s="43">
        <f>SUM(Data!$B2:P2)/SUM(Data!$B2:O2)</f>
        <v>1</v>
      </c>
      <c r="R25" s="1"/>
    </row>
    <row r="26" spans="1:18" ht="15" x14ac:dyDescent="0.2">
      <c r="A26" s="1" t="s">
        <v>42</v>
      </c>
      <c r="B26" s="1"/>
      <c r="C26" s="43">
        <f>SUM(Data!$B3:C3,Data!$B7:C7,Data!$B11:C11,Data!$B15:C15)/SUM(Data!$B3:B3,Data!$B7:B7,Data!$B11:B11,Data!$B15:B15)</f>
        <v>14.297872340425531</v>
      </c>
      <c r="D26" s="43">
        <f>SUM(Data!$B3:D3,Data!$B7:D7,Data!$B11:D11)/SUM(Data!$B3:C3,Data!$B7:C7,Data!$B11:C11)</f>
        <v>2.5203252032520327</v>
      </c>
      <c r="E26" s="43">
        <f>SUM(Data!$B3:E3,Data!$B7:E7,Data!$B11:E11)/SUM(Data!$B3:D3,Data!$B7:D7,Data!$B11:D11)</f>
        <v>1.5217741935483871</v>
      </c>
      <c r="F26" s="43">
        <f>SUM(Data!$B3:F3,Data!$B7:F7,Data!$B11:F11)/SUM(Data!$B3:E3,Data!$B7:E7,Data!$B11:E11)</f>
        <v>1.2310545839957605</v>
      </c>
      <c r="G26" s="43">
        <f>SUM(Data!$B3:G3,Data!$B7:G7,Data!$B11:G11)/SUM(Data!$B3:F3,Data!$B7:F7,Data!$B11:F11)</f>
        <v>1.1037451571244081</v>
      </c>
      <c r="H26" s="43">
        <f>SUM(Data!$B3:H3,Data!$B7:H7)/SUM(Data!$B3:G3,Data!$B7:G7)</f>
        <v>1.0504750593824228</v>
      </c>
      <c r="I26" s="43">
        <f>SUM(Data!$B3:I3,Data!$B7:I7)/SUM(Data!$B3:H3,Data!$B7:H7)</f>
        <v>1.0231769361221028</v>
      </c>
      <c r="J26" s="43">
        <f>SUM(Data!$B3:J3,Data!$B7:J7)/SUM(Data!$B3:I3,Data!$B7:I7)</f>
        <v>1.0093922651933702</v>
      </c>
      <c r="K26" s="43">
        <f>SUM(Data!$B3:K3,Data!$B7:K7)/SUM(Data!$B3:J3,Data!$B7:J7)</f>
        <v>1.0043787629994527</v>
      </c>
      <c r="L26" s="43">
        <f>SUM(Data!$B3:L3)/SUM(Data!$B3:K3)</f>
        <v>1.0039960039960041</v>
      </c>
      <c r="M26" s="43">
        <f>SUM(Data!$B3:M3)/SUM(Data!$B3:L3)</f>
        <v>1</v>
      </c>
      <c r="N26" s="43">
        <f>SUM(Data!$B3:N3)/SUM(Data!$B3:M3)</f>
        <v>1</v>
      </c>
      <c r="O26" s="43">
        <f>SUM(Data!$B3:O3)/SUM(Data!$B3:N3)</f>
        <v>1.0009950248756219</v>
      </c>
      <c r="R26" s="1"/>
    </row>
    <row r="27" spans="1:18" ht="15" x14ac:dyDescent="0.2">
      <c r="A27" s="1" t="s">
        <v>41</v>
      </c>
      <c r="B27" s="1"/>
      <c r="C27" s="43">
        <f>SUM(Data!$B4:C4,Data!$B8:C8,Data!$B12:C12)/SUM(Data!$B4:B4,Data!$B8:B8,Data!$B12:B12)</f>
        <v>3.2929194956353056</v>
      </c>
      <c r="D27" s="43">
        <f>SUM(Data!$B4:D4,Data!$B8:D8,Data!$B12:D12)/SUM(Data!$B4:C4,Data!$B8:C8,Data!$B12:C12)</f>
        <v>1.3652430044182622</v>
      </c>
      <c r="E27" s="43">
        <f>SUM(Data!$B4:E4,Data!$B8:E8,Data!$B12:E12)/SUM(Data!$B4:D4,Data!$B8:D8,Data!$B12:D12)</f>
        <v>1.1221143473570658</v>
      </c>
      <c r="F27" s="43">
        <f>SUM(Data!$B4:F4,Data!$B8:F8,Data!$B12:F12)/SUM(Data!$B4:E4,Data!$B8:E8,Data!$B12:E12)</f>
        <v>1.0457604306864066</v>
      </c>
      <c r="G27" s="43">
        <f>SUM(Data!$B4:G4,Data!$B8:G8)/SUM(Data!$B4:F4,Data!$B8:F8)</f>
        <v>1.0210330138445154</v>
      </c>
      <c r="H27" s="43">
        <f>SUM(Data!$B4:H4,Data!$B8:H8)/SUM(Data!$B4:G4,Data!$B8:G8)</f>
        <v>1.0075619295958278</v>
      </c>
      <c r="I27" s="43">
        <f>SUM(Data!$B4:I4,Data!$B8:I8)/SUM(Data!$B4:H4,Data!$B8:H8)</f>
        <v>1.0015527950310559</v>
      </c>
      <c r="J27" s="43">
        <f>SUM(Data!$B4:J4,Data!$B8:J8)/SUM(Data!$B4:I4,Data!$B8:I8)</f>
        <v>1.0012919896640826</v>
      </c>
      <c r="K27" s="43">
        <f>SUM(Data!$B4:K4)/SUM(Data!$B4:J4)</f>
        <v>1.0009483167377904</v>
      </c>
      <c r="L27" s="43">
        <f>SUM(Data!$B4:L4)/SUM(Data!$B4:K4)</f>
        <v>1.0004737091425864</v>
      </c>
      <c r="M27" s="43">
        <f>SUM(Data!$B4:M4)/SUM(Data!$B4:L4)</f>
        <v>1</v>
      </c>
      <c r="N27" s="43">
        <f>SUM(Data!$B4:N4)/SUM(Data!$B4:M4)</f>
        <v>1</v>
      </c>
      <c r="R27" s="1"/>
    </row>
    <row r="29" spans="1:18" s="59" customFormat="1" x14ac:dyDescent="0.2"/>
    <row r="32" spans="1:18" ht="15.75" x14ac:dyDescent="0.25">
      <c r="A32" s="3" t="s">
        <v>13</v>
      </c>
      <c r="B32" s="3" t="s">
        <v>40</v>
      </c>
      <c r="C32" s="46">
        <f t="shared" ref="C32:H35" si="0">C24</f>
        <v>4.9573170731707314</v>
      </c>
      <c r="D32" s="46">
        <f t="shared" si="0"/>
        <v>1.6070110701107012</v>
      </c>
      <c r="E32" s="46">
        <f t="shared" si="0"/>
        <v>1.211251435132032</v>
      </c>
      <c r="F32" s="46">
        <f t="shared" si="0"/>
        <v>1.0821754664549423</v>
      </c>
      <c r="G32" s="46">
        <f t="shared" si="0"/>
        <v>1.0385179750550257</v>
      </c>
      <c r="H32" s="46">
        <f t="shared" si="0"/>
        <v>1.0137760508654186</v>
      </c>
      <c r="I32" s="45" cm="1">
        <f t="array" ref="I32">EXP(_xlfn.FORECAST.LINEAR(I$2-8,LN($H24:$N24-1),$H$2:$N$2-8))+1</f>
        <v>1.0046779778569639</v>
      </c>
      <c r="J32" s="45" cm="1">
        <f t="array" ref="J32">EXP(_xlfn.FORECAST.LINEAR(J$2-8,LN($H24:$N24-1),$H$2:$N$2-8))+1</f>
        <v>1.0027231017775946</v>
      </c>
      <c r="K32" s="45" cm="1">
        <f t="array" ref="K32">EXP(_xlfn.FORECAST.LINEAR(K$2-8,LN($H24:$N24-1),$H$2:$N$2-8))+1</f>
        <v>1.0015851471550041</v>
      </c>
      <c r="L32" s="45" cm="1">
        <f t="array" ref="L32">EXP(_xlfn.FORECAST.LINEAR(L$2-8,LN($H24:$N24-1),$H$2:$N$2-8))+1</f>
        <v>1.0009227313953859</v>
      </c>
      <c r="M32" s="45" cm="1">
        <f t="array" ref="M32">EXP(_xlfn.FORECAST.LINEAR(M$2-8,LN($H24:$N24-1),$H$2:$N$2-8))+1</f>
        <v>1.0005371319787839</v>
      </c>
      <c r="N32" s="45" cm="1">
        <f t="array" ref="N32">EXP(_xlfn.FORECAST.LINEAR(N$2-8,LN($H24:$N24-1),$H$2:$N$2-8))+1</f>
        <v>1.0003126703654768</v>
      </c>
      <c r="O32" s="44" cm="1">
        <f t="array" ref="O32">EXP(INTERCEPT(LN(H24:N24-1),H$2:N$2-8))*EXP(SLOPE(LN(J24:N24-1),J$2:N$2-8))^(12-8)/(1-EXP(SLOPE(LN(J24:N24-1),J$2:N$2-8)))+1</f>
        <v>1.0042354678605763</v>
      </c>
    </row>
    <row r="33" spans="1:16" ht="15.75" x14ac:dyDescent="0.25">
      <c r="A33" s="3" t="s">
        <v>12</v>
      </c>
      <c r="B33" s="3" t="s">
        <v>39</v>
      </c>
      <c r="C33" s="46">
        <f t="shared" si="0"/>
        <v>8.2851985559566792</v>
      </c>
      <c r="D33" s="46">
        <f t="shared" si="0"/>
        <v>1.9516339869281045</v>
      </c>
      <c r="E33" s="46">
        <f t="shared" si="0"/>
        <v>1.315464496211058</v>
      </c>
      <c r="F33" s="46">
        <f t="shared" si="0"/>
        <v>1.1487091956475357</v>
      </c>
      <c r="G33" s="46">
        <f t="shared" si="0"/>
        <v>1.062964338781575</v>
      </c>
      <c r="H33" s="46">
        <f t="shared" si="0"/>
        <v>1.0304036344574523</v>
      </c>
      <c r="I33" s="45" cm="1">
        <f t="array" ref="I33">EXP(_xlfn.FORECAST.LINEAR(I$2-8,LN($H25:$K25-1),$H$2:$K$2-8))+1</f>
        <v>1.0120669540833569</v>
      </c>
      <c r="J33" s="45" cm="1">
        <f t="array" ref="J33">EXP(_xlfn.FORECAST.LINEAR(J$2-8,LN($H25:$K25-1),$H$2:$K$2-8))+1</f>
        <v>1.0050634069424842</v>
      </c>
      <c r="K33" s="45" cm="1">
        <f t="array" ref="K33">EXP(_xlfn.FORECAST.LINEAR(K$2-8,LN($H25:$K25-1),$H$2:$K$2-8))+1</f>
        <v>1.0021246529727463</v>
      </c>
      <c r="L33" s="45" cm="1">
        <f t="array" ref="L33">EXP(_xlfn.FORECAST.LINEAR(L$2-8,LN($H25:$K25-1),$H$2:$K$2-8))+1</f>
        <v>1.0008915242851062</v>
      </c>
      <c r="M33" s="45" cm="1">
        <f t="array" ref="M33">EXP(_xlfn.FORECAST.LINEAR(M$2-8,LN($H25:$K25-1),$H$2:$K$2-8))+1</f>
        <v>1.0003740919393094</v>
      </c>
      <c r="N33" s="45" cm="1">
        <f t="array" ref="N33">EXP(_xlfn.FORECAST.LINEAR(N$2-8,LN($H25:$K25-1),$H$2:$K$2-8))+1</f>
        <v>1.0001569724811699</v>
      </c>
      <c r="O33" s="44" cm="1">
        <f t="array" ref="O33">EXP(INTERCEPT(LN(H25:K25-1),H$2:K$2-8))*EXP(SLOPE(LN(J25:K25-1),J$2:K$2-8))^(12-8)/(1-EXP(SLOPE(LN(J25:K25-1),J$2:K$2-8)))+1</f>
        <v>1.0001546937222012</v>
      </c>
    </row>
    <row r="34" spans="1:16" ht="15.75" x14ac:dyDescent="0.25">
      <c r="A34" s="3"/>
      <c r="B34" s="3" t="s">
        <v>38</v>
      </c>
      <c r="C34" s="46">
        <f t="shared" si="0"/>
        <v>14.297872340425531</v>
      </c>
      <c r="D34" s="46">
        <f t="shared" si="0"/>
        <v>2.5203252032520327</v>
      </c>
      <c r="E34" s="46">
        <f t="shared" si="0"/>
        <v>1.5217741935483871</v>
      </c>
      <c r="F34" s="46">
        <f t="shared" si="0"/>
        <v>1.2310545839957605</v>
      </c>
      <c r="G34" s="46">
        <f t="shared" si="0"/>
        <v>1.1037451571244081</v>
      </c>
      <c r="H34" s="46">
        <f t="shared" si="0"/>
        <v>1.0504750593824228</v>
      </c>
      <c r="I34" s="45" cm="1">
        <f t="array" ref="I34">EXP(_xlfn.FORECAST.LINEAR(I$2-8,LN($H26:$L26-1),$H$2:$L$2-8))+1</f>
        <v>1.0223581958359667</v>
      </c>
      <c r="J34" s="45" cm="1">
        <f t="array" ref="J34">EXP(_xlfn.FORECAST.LINEAR(J$2-8,LN($H26:$L26-1),$H$2:$L$2-8))+1</f>
        <v>1.0113966211738412</v>
      </c>
      <c r="K34" s="45" cm="1">
        <f t="array" ref="K34">EXP(_xlfn.FORECAST.LINEAR(K$2-8,LN($H26:$L26-1),$H$2:$L$2-8))+1</f>
        <v>1.0058091885021916</v>
      </c>
      <c r="L34" s="45" cm="1">
        <f t="array" ref="L34">EXP(_xlfn.FORECAST.LINEAR(L$2-8,LN($H26:$L26-1),$H$2:$L$2-8))+1</f>
        <v>1.0029611119417967</v>
      </c>
      <c r="M34" s="45" cm="1">
        <f t="array" ref="M34">EXP(_xlfn.FORECAST.LINEAR(M$2-8,LN($H26:$L26-1),$H$2:$L$2-8))+1</f>
        <v>1.0015093646777935</v>
      </c>
      <c r="N34" s="45" cm="1">
        <f t="array" ref="N34">EXP(_xlfn.FORECAST.LINEAR(N$2-8,LN($H26:$L26-1),$H$2:$L$2-8))+1</f>
        <v>1.0007693669727284</v>
      </c>
      <c r="O34" s="44" cm="1">
        <f t="array" ref="O34">EXP(INTERCEPT(LN(H26:L26-1),H$2:L$2-8))*EXP(SLOPE(LN(J26:L26-1),J$2:L$2-8))^(12-8)/(1-EXP(SLOPE(LN(J26:L26-1),J$2:L$2-8)))+1</f>
        <v>1.0030240234507533</v>
      </c>
    </row>
    <row r="35" spans="1:16" ht="15.75" x14ac:dyDescent="0.25">
      <c r="A35" s="3"/>
      <c r="B35" s="3" t="s">
        <v>37</v>
      </c>
      <c r="C35" s="46">
        <f t="shared" si="0"/>
        <v>3.2929194956353056</v>
      </c>
      <c r="D35" s="46">
        <f t="shared" si="0"/>
        <v>1.3652430044182622</v>
      </c>
      <c r="E35" s="46">
        <f t="shared" si="0"/>
        <v>1.1221143473570658</v>
      </c>
      <c r="F35" s="46">
        <f t="shared" si="0"/>
        <v>1.0457604306864066</v>
      </c>
      <c r="G35" s="46">
        <f t="shared" si="0"/>
        <v>1.0210330138445154</v>
      </c>
      <c r="H35" s="46">
        <f t="shared" si="0"/>
        <v>1.0075619295958278</v>
      </c>
      <c r="I35" s="45" cm="1">
        <f t="array" ref="I35">EXP(_xlfn.FORECAST.LINEAR(I$2-8,LN($H27:$L27-1),$H$2:$L$2-8))+1</f>
        <v>1.0026837029346951</v>
      </c>
      <c r="J35" s="45" cm="1">
        <f t="array" ref="J35">EXP(_xlfn.FORECAST.LINEAR(J$2-8,LN($H27:$L27-1),$H$2:$L$2-8))+1</f>
        <v>1.0014678923151905</v>
      </c>
      <c r="K35" s="45" cm="1">
        <f t="array" ref="K35">EXP(_xlfn.FORECAST.LINEAR(K$2-8,LN($H27:$L27-1),$H$2:$L$2-8))+1</f>
        <v>1.0008028861246672</v>
      </c>
      <c r="L35" s="45" cm="1">
        <f t="array" ref="L35">EXP(_xlfn.FORECAST.LINEAR(L$2-8,LN($H27:$L27-1),$H$2:$L$2-8))+1</f>
        <v>1.00043915083042</v>
      </c>
      <c r="M35" s="45" cm="1">
        <f t="array" ref="M35">EXP(_xlfn.FORECAST.LINEAR(M$2-8,LN($H27:$L27-1),$H$2:$L$2-8))+1</f>
        <v>1.0002402002549722</v>
      </c>
      <c r="N35" s="45" cm="1">
        <f t="array" ref="N35">EXP(_xlfn.FORECAST.LINEAR(N$2-8,LN($H27:$L27-1),$H$2:$L$2-8))+1</f>
        <v>1.0001313811986499</v>
      </c>
      <c r="O35" s="44" cm="1">
        <f t="array" ref="O35">EXP(INTERCEPT(LN(H27:L27-1),H$2:L$2-8))*EXP(SLOPE(LN(J27:L27-1),J$2:L$2-8))^(12-8)/(1-EXP(SLOPE(LN(J27:L27-1),J$2:L$2-8)))+1</f>
        <v>1.0002736094862021</v>
      </c>
    </row>
    <row r="38" spans="1:16" x14ac:dyDescent="0.2">
      <c r="C38" s="38">
        <v>0</v>
      </c>
      <c r="D38" s="38">
        <v>1</v>
      </c>
      <c r="E38" s="38">
        <v>2</v>
      </c>
      <c r="F38" s="38">
        <v>3</v>
      </c>
      <c r="G38" s="38">
        <v>4</v>
      </c>
      <c r="H38" s="38">
        <v>5</v>
      </c>
      <c r="I38" s="38">
        <v>6</v>
      </c>
      <c r="J38" s="38">
        <v>7</v>
      </c>
      <c r="K38" s="38">
        <v>8</v>
      </c>
      <c r="L38" s="38">
        <v>9</v>
      </c>
      <c r="M38" s="38">
        <v>10</v>
      </c>
      <c r="N38" s="38">
        <v>11</v>
      </c>
      <c r="O38" s="38" t="s">
        <v>69</v>
      </c>
    </row>
    <row r="39" spans="1:16" x14ac:dyDescent="0.2">
      <c r="A39" s="38" t="s">
        <v>56</v>
      </c>
      <c r="B39" s="38" t="s">
        <v>40</v>
      </c>
      <c r="C39" s="47">
        <f>PRODUCT(C32:$O32)</f>
        <v>11.159750057594891</v>
      </c>
      <c r="D39" s="47">
        <f>PRODUCT(D32:$O32)</f>
        <v>2.2511672932909734</v>
      </c>
      <c r="E39" s="47">
        <f>PRODUCT(E32:$O32)</f>
        <v>1.400841185951444</v>
      </c>
      <c r="F39" s="47">
        <f>PRODUCT(F32:$O32)</f>
        <v>1.1565238606291073</v>
      </c>
      <c r="G39" s="47">
        <f>PRODUCT(G32:$O32)</f>
        <v>1.0687027164067204</v>
      </c>
      <c r="H39" s="47">
        <f>PRODUCT(H32:$O32)</f>
        <v>1.0290652083803324</v>
      </c>
      <c r="I39" s="47">
        <f>PRODUCT(I32:$O32)</f>
        <v>1.0150813954441535</v>
      </c>
      <c r="J39" s="47">
        <f>PRODUCT(J32:$O32)</f>
        <v>1.0103549772329843</v>
      </c>
      <c r="K39" s="47">
        <f>PRODUCT(K32:$O32)</f>
        <v>1.0076111495206008</v>
      </c>
      <c r="L39" s="47">
        <f>PRODUCT(L32:$O32)</f>
        <v>1.006016465382612</v>
      </c>
      <c r="M39" s="47">
        <f>PRODUCT(M32:$O32)</f>
        <v>1.0050890381719328</v>
      </c>
      <c r="N39" s="47">
        <f>PRODUCT(N32:$O32)</f>
        <v>1.0045494625313369</v>
      </c>
      <c r="O39" s="47">
        <f>PRODUCT(O32:$O32)</f>
        <v>1.0042354678605763</v>
      </c>
      <c r="P39" s="47"/>
    </row>
    <row r="40" spans="1:16" x14ac:dyDescent="0.2">
      <c r="A40" s="38" t="s">
        <v>55</v>
      </c>
      <c r="C40" s="58">
        <f>1/C39</f>
        <v>8.9607741646457295E-2</v>
      </c>
      <c r="D40" s="58">
        <f t="shared" ref="D40:O40" si="1">1/D39-1/C39</f>
        <v>0.3546062459057977</v>
      </c>
      <c r="E40" s="58">
        <f t="shared" si="1"/>
        <v>0.26964280794223588</v>
      </c>
      <c r="F40" s="58">
        <f t="shared" si="1"/>
        <v>0.15080327252696446</v>
      </c>
      <c r="G40" s="58">
        <f t="shared" si="1"/>
        <v>7.10538444146257E-2</v>
      </c>
      <c r="H40" s="58">
        <f t="shared" si="1"/>
        <v>3.6041805137853045E-2</v>
      </c>
      <c r="I40" s="58">
        <f t="shared" si="1"/>
        <v>1.3386956194060051E-2</v>
      </c>
      <c r="J40" s="58">
        <f t="shared" si="1"/>
        <v>4.6084756138369265E-3</v>
      </c>
      <c r="K40" s="58">
        <f t="shared" si="1"/>
        <v>2.6951931142578101E-3</v>
      </c>
      <c r="L40" s="58">
        <f t="shared" si="1"/>
        <v>1.5731734963021493E-3</v>
      </c>
      <c r="M40" s="58">
        <f t="shared" si="1"/>
        <v>9.1721301503222552E-4</v>
      </c>
      <c r="N40" s="58">
        <f t="shared" si="1"/>
        <v>5.344123340166318E-4</v>
      </c>
      <c r="O40" s="58">
        <f t="shared" si="1"/>
        <v>3.112543255847644E-4</v>
      </c>
      <c r="P40" s="58"/>
    </row>
    <row r="41" spans="1:16" x14ac:dyDescent="0.2">
      <c r="B41" s="38" t="s">
        <v>39</v>
      </c>
      <c r="C41" s="47">
        <f>PRODUCT(C33:$O33)</f>
        <v>27.322840216368206</v>
      </c>
      <c r="D41" s="47">
        <f>PRODUCT(D33:$O33)</f>
        <v>3.2977894291651393</v>
      </c>
      <c r="E41" s="47">
        <f>PRODUCT(E33:$O33)</f>
        <v>1.6897581468930554</v>
      </c>
      <c r="F41" s="47">
        <f>PRODUCT(F33:$O33)</f>
        <v>1.2845334494089937</v>
      </c>
      <c r="G41" s="47">
        <f>PRODUCT(G33:$O33)</f>
        <v>1.1182407647436765</v>
      </c>
      <c r="H41" s="47">
        <f>PRODUCT(H33:$O33)</f>
        <v>1.0520021452699557</v>
      </c>
      <c r="I41" s="47">
        <f>PRODUCT(I33:$O33)</f>
        <v>1.0209612137323987</v>
      </c>
      <c r="J41" s="47">
        <f>PRODUCT(J33:$O33)</f>
        <v>1.0087882126900363</v>
      </c>
      <c r="K41" s="47">
        <f>PRODUCT(K33:$O33)</f>
        <v>1.0037060405560716</v>
      </c>
      <c r="L41" s="47">
        <f>PRODUCT(L33:$O33)</f>
        <v>1.0015780348069816</v>
      </c>
      <c r="M41" s="47">
        <f>PRODUCT(M33:$O33)</f>
        <v>1.0006858990262362</v>
      </c>
      <c r="N41" s="47">
        <f>PRODUCT(N33:$O33)</f>
        <v>1.0003116904860285</v>
      </c>
      <c r="O41" s="47">
        <f>PRODUCT(O33:$O33)</f>
        <v>1.0001546937222012</v>
      </c>
      <c r="P41" s="47"/>
    </row>
    <row r="42" spans="1:16" x14ac:dyDescent="0.2">
      <c r="C42" s="58">
        <f>1/C41</f>
        <v>3.6599416169075027E-2</v>
      </c>
      <c r="D42" s="58">
        <f t="shared" ref="D42:O42" si="2">1/D41-1/C41</f>
        <v>0.26663401382380286</v>
      </c>
      <c r="E42" s="58">
        <f t="shared" si="2"/>
        <v>0.28856723795400668</v>
      </c>
      <c r="F42" s="58">
        <f t="shared" si="2"/>
        <v>0.1866920995712319</v>
      </c>
      <c r="G42" s="58">
        <f t="shared" si="2"/>
        <v>0.11576903327504307</v>
      </c>
      <c r="H42" s="58">
        <f t="shared" si="2"/>
        <v>5.6306602984561471E-2</v>
      </c>
      <c r="I42" s="58">
        <f t="shared" si="2"/>
        <v>2.8900734275262074E-2</v>
      </c>
      <c r="J42" s="58">
        <f t="shared" si="2"/>
        <v>1.1819209114950602E-2</v>
      </c>
      <c r="K42" s="58">
        <f t="shared" si="2"/>
        <v>5.0192962990535106E-3</v>
      </c>
      <c r="L42" s="58">
        <f t="shared" si="2"/>
        <v>2.1168079964619668E-3</v>
      </c>
      <c r="M42" s="58">
        <f t="shared" si="2"/>
        <v>8.9011964532370591E-4</v>
      </c>
      <c r="N42" s="58">
        <f t="shared" si="2"/>
        <v>3.7383552588610147E-4</v>
      </c>
      <c r="O42" s="58">
        <f t="shared" si="2"/>
        <v>1.5692356958618703E-4</v>
      </c>
      <c r="P42" s="58"/>
    </row>
    <row r="43" spans="1:16" x14ac:dyDescent="0.2">
      <c r="B43" s="38" t="s">
        <v>38</v>
      </c>
      <c r="C43" s="47">
        <f>PRODUCT(C34:$O34)</f>
        <v>82.079500762148484</v>
      </c>
      <c r="D43" s="47">
        <f>PRODUCT(D34:$O34)</f>
        <v>5.7406793687812199</v>
      </c>
      <c r="E43" s="47">
        <f>PRODUCT(E34:$O34)</f>
        <v>2.2777534269680322</v>
      </c>
      <c r="F43" s="47">
        <f>PRODUCT(F34:$O34)</f>
        <v>1.4967749069636247</v>
      </c>
      <c r="G43" s="47">
        <f>PRODUCT(G34:$O34)</f>
        <v>1.2158477182265863</v>
      </c>
      <c r="H43" s="47">
        <f>PRODUCT(H34:$O34)</f>
        <v>1.1015656199065365</v>
      </c>
      <c r="I43" s="47">
        <f>PRODUCT(I34:$O34)</f>
        <v>1.0486356720873982</v>
      </c>
      <c r="J43" s="47">
        <f>PRODUCT(J34:$O34)</f>
        <v>1.0257028078402062</v>
      </c>
      <c r="K43" s="47">
        <f>PRODUCT(K34:$O34)</f>
        <v>1.0141449816687749</v>
      </c>
      <c r="L43" s="47">
        <f>PRODUCT(L34:$O34)</f>
        <v>1.0082876486533163</v>
      </c>
      <c r="M43" s="47">
        <f>PRODUCT(M34:$O34)</f>
        <v>1.0053108108062208</v>
      </c>
      <c r="N43" s="47">
        <f>PRODUCT(N34:$O34)</f>
        <v>1.0037957170072496</v>
      </c>
      <c r="O43" s="47">
        <f>PRODUCT(O34:$O34)</f>
        <v>1.0030240234507533</v>
      </c>
      <c r="P43" s="47"/>
    </row>
    <row r="44" spans="1:16" x14ac:dyDescent="0.2">
      <c r="C44" s="58">
        <f>1/C43</f>
        <v>1.2183309970388571E-2</v>
      </c>
      <c r="D44" s="58">
        <f t="shared" ref="D44:O44" si="3">1/D43-1/C43</f>
        <v>0.16201210067006075</v>
      </c>
      <c r="E44" s="58">
        <f t="shared" si="3"/>
        <v>0.26483367308751238</v>
      </c>
      <c r="F44" s="58">
        <f t="shared" si="3"/>
        <v>0.22907404610644461</v>
      </c>
      <c r="G44" s="58">
        <f t="shared" si="3"/>
        <v>0.15436829073015423</v>
      </c>
      <c r="H44" s="58">
        <f t="shared" si="3"/>
        <v>8.5327426756805602E-2</v>
      </c>
      <c r="I44" s="58">
        <f t="shared" si="3"/>
        <v>4.5821200725840949E-2</v>
      </c>
      <c r="J44" s="58">
        <f t="shared" si="3"/>
        <v>2.1321223787343246E-2</v>
      </c>
      <c r="K44" s="58">
        <f t="shared" si="3"/>
        <v>1.1111036341841407E-2</v>
      </c>
      <c r="L44" s="58">
        <f t="shared" si="3"/>
        <v>5.7281637312176503E-3</v>
      </c>
      <c r="M44" s="58">
        <f t="shared" si="3"/>
        <v>2.9367729990064095E-3</v>
      </c>
      <c r="N44" s="58">
        <f t="shared" si="3"/>
        <v>1.5013910738541636E-3</v>
      </c>
      <c r="O44" s="58">
        <f t="shared" si="3"/>
        <v>7.6645771614003433E-4</v>
      </c>
      <c r="P44" s="58"/>
    </row>
    <row r="45" spans="1:16" x14ac:dyDescent="0.2">
      <c r="B45" s="38" t="s">
        <v>37</v>
      </c>
      <c r="C45" s="47">
        <f>PRODUCT(C35:$O35)</f>
        <v>5.4599958469076109</v>
      </c>
      <c r="D45" s="47">
        <f>PRODUCT(D35:$O35)</f>
        <v>1.6581018315645792</v>
      </c>
      <c r="E45" s="47">
        <f>PRODUCT(E35:$O35)</f>
        <v>1.2145104030553935</v>
      </c>
      <c r="F45" s="47">
        <f>PRODUCT(F35:$O35)</f>
        <v>1.082341034063016</v>
      </c>
      <c r="G45" s="47">
        <f>PRODUCT(G35:$O35)</f>
        <v>1.0349799077333599</v>
      </c>
      <c r="H45" s="47">
        <f>PRODUCT(H35:$O35)</f>
        <v>1.0136595915114737</v>
      </c>
      <c r="I45" s="47">
        <f>PRODUCT(I35:$O35)</f>
        <v>1.0060518978898814</v>
      </c>
      <c r="J45" s="47">
        <f>PRODUCT(J35:$O35)</f>
        <v>1.0033591799141925</v>
      </c>
      <c r="K45" s="47">
        <f>PRODUCT(K35:$O35)</f>
        <v>1.0018885154616688</v>
      </c>
      <c r="L45" s="47">
        <f>PRODUCT(L35:$O35)</f>
        <v>1.0010847583995337</v>
      </c>
      <c r="M45" s="47">
        <f>PRODUCT(M35:$O35)</f>
        <v>1.0006453241744668</v>
      </c>
      <c r="N45" s="47">
        <f>PRODUCT(N35:$O35)</f>
        <v>1.0004050266319942</v>
      </c>
      <c r="O45" s="47">
        <f>PRODUCT(O35:$O35)</f>
        <v>1.0002736094862021</v>
      </c>
      <c r="P45" s="47"/>
    </row>
    <row r="46" spans="1:16" x14ac:dyDescent="0.2">
      <c r="C46" s="58">
        <f>1/C45</f>
        <v>0.18315032246157698</v>
      </c>
      <c r="D46" s="58">
        <f t="shared" ref="D46:O46" si="4">1/D45-1/C45</f>
        <v>0.41994894500404273</v>
      </c>
      <c r="E46" s="58">
        <f t="shared" si="4"/>
        <v>0.22027778841159562</v>
      </c>
      <c r="F46" s="58">
        <f t="shared" si="4"/>
        <v>0.10054615180722892</v>
      </c>
      <c r="G46" s="58">
        <f t="shared" si="4"/>
        <v>4.2279123904806593E-2</v>
      </c>
      <c r="H46" s="58">
        <f t="shared" si="4"/>
        <v>2.0322147016919367E-2</v>
      </c>
      <c r="I46" s="58">
        <f t="shared" si="4"/>
        <v>7.4600286517806369E-3</v>
      </c>
      <c r="J46" s="58">
        <f t="shared" si="4"/>
        <v>2.6675591391694953E-3</v>
      </c>
      <c r="K46" s="58">
        <f t="shared" si="4"/>
        <v>1.4629779091829276E-3</v>
      </c>
      <c r="L46" s="58">
        <f t="shared" si="4"/>
        <v>8.0137271989544345E-4</v>
      </c>
      <c r="M46" s="58">
        <f t="shared" si="4"/>
        <v>4.3867497405702949E-4</v>
      </c>
      <c r="N46" s="58">
        <f t="shared" si="4"/>
        <v>2.4004534790644794E-4</v>
      </c>
      <c r="O46" s="58">
        <f t="shared" si="4"/>
        <v>1.3132800730919492E-4</v>
      </c>
      <c r="P46" s="5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3B-5149-4F07-A751-B8E65AA820B6}">
  <dimension ref="A1:T22"/>
  <sheetViews>
    <sheetView topLeftCell="R1" workbookViewId="0">
      <selection activeCell="C26" sqref="C26"/>
    </sheetView>
  </sheetViews>
  <sheetFormatPr defaultRowHeight="15" x14ac:dyDescent="0.25"/>
  <cols>
    <col min="1" max="1" width="11.28515625" customWidth="1"/>
    <col min="2" max="2" width="11.85546875" bestFit="1" customWidth="1"/>
  </cols>
  <sheetData>
    <row r="1" spans="1:20" ht="15.75" x14ac:dyDescent="0.25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5.75" x14ac:dyDescent="0.25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70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5.75" x14ac:dyDescent="0.25">
      <c r="A4" s="13">
        <f>'CL quarter'!A4</f>
        <v>0</v>
      </c>
      <c r="B4" s="55">
        <f>Data!A1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28">
        <f>SUM($C4:N4)*('CL quarter'!$N$32-1)</f>
        <v>0.33705865398396329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0.33705865398405876</v>
      </c>
      <c r="S4" s="20">
        <f t="shared" ref="S4:S19" si="2">SUM(C4:O4)</f>
        <v>1078.3370586539841</v>
      </c>
      <c r="T4" s="26">
        <f t="shared" ref="T4:T19" si="3">S4/B4</f>
        <v>9.9349277561634794E-2</v>
      </c>
    </row>
    <row r="5" spans="1:20" ht="15.75" x14ac:dyDescent="0.25">
      <c r="A5" s="13">
        <f>'CL quarter'!A5</f>
        <v>1</v>
      </c>
      <c r="B5" s="55">
        <f>Data!A2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SUM($C5:N5)*('CL quarter'!$N$33-1)</f>
        <v>0.31598560459492653</v>
      </c>
      <c r="P5" s="27">
        <f>SUM(C5:N5)</f>
        <v>2013</v>
      </c>
      <c r="Q5" s="26">
        <f t="shared" si="0"/>
        <v>0.19801298445799725</v>
      </c>
      <c r="R5" s="20">
        <f t="shared" si="1"/>
        <v>0.31598560459497094</v>
      </c>
      <c r="S5" s="20">
        <f t="shared" si="2"/>
        <v>2013.315985604595</v>
      </c>
      <c r="T5" s="26">
        <f t="shared" si="3"/>
        <v>0.19804406704747146</v>
      </c>
    </row>
    <row r="6" spans="1:20" ht="15.75" x14ac:dyDescent="0.25">
      <c r="A6" s="13">
        <f>'CL quarter'!A6</f>
        <v>2</v>
      </c>
      <c r="B6" s="55">
        <f>Data!A3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28">
        <f>SUM($C6:N6)*('CL quarter'!$N$34-1)</f>
        <v>0.77321380759208913</v>
      </c>
      <c r="P6" s="27">
        <f>SUM(C6:N6)</f>
        <v>1005</v>
      </c>
      <c r="Q6" s="26">
        <f t="shared" si="0"/>
        <v>9.9841049076097754E-2</v>
      </c>
      <c r="R6" s="20">
        <f t="shared" si="1"/>
        <v>0.77321380759212843</v>
      </c>
      <c r="S6" s="20">
        <f t="shared" si="2"/>
        <v>1005.7732138075921</v>
      </c>
      <c r="T6" s="26">
        <f t="shared" si="3"/>
        <v>9.9917863481779473E-2</v>
      </c>
    </row>
    <row r="7" spans="1:20" ht="15.75" x14ac:dyDescent="0.25">
      <c r="A7" s="13">
        <f>'CL quarter'!A7</f>
        <v>3</v>
      </c>
      <c r="B7" s="55">
        <f>Data!A4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SUM($C7:N7)*('CL quarter'!$N$35-1)</f>
        <v>0.27747709154850497</v>
      </c>
      <c r="P7" s="27">
        <f>SUM(C7:N7)</f>
        <v>2112</v>
      </c>
      <c r="Q7" s="26">
        <f t="shared" si="0"/>
        <v>0.20401854714064915</v>
      </c>
      <c r="R7" s="20">
        <f t="shared" si="1"/>
        <v>0.27747709154846234</v>
      </c>
      <c r="S7" s="20">
        <f t="shared" si="2"/>
        <v>2112.2774770915485</v>
      </c>
      <c r="T7" s="26">
        <f t="shared" si="3"/>
        <v>0.20404535134191928</v>
      </c>
    </row>
    <row r="8" spans="1:20" ht="15.75" x14ac:dyDescent="0.25">
      <c r="A8" s="13">
        <f>'CL quarter'!A8</f>
        <v>4</v>
      </c>
      <c r="B8" s="55">
        <f>Data!A5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SUM($C8:N8)*('CL quarter'!$N$32-1)</f>
        <v>0.3132957062077284</v>
      </c>
      <c r="P8" s="27">
        <f>SUM(C8:N8)</f>
        <v>1002</v>
      </c>
      <c r="Q8" s="26">
        <f t="shared" si="0"/>
        <v>0.10219275879653238</v>
      </c>
      <c r="R8" s="20">
        <f t="shared" si="1"/>
        <v>0.31329570620778213</v>
      </c>
      <c r="S8" s="20">
        <f t="shared" si="2"/>
        <v>1002.3132957062078</v>
      </c>
      <c r="T8" s="26">
        <f t="shared" si="3"/>
        <v>0.10222471144377437</v>
      </c>
    </row>
    <row r="9" spans="1:20" ht="15.75" x14ac:dyDescent="0.25">
      <c r="A9" s="13">
        <f>'CL quarter'!A9</f>
        <v>5</v>
      </c>
      <c r="B9" s="55">
        <f>Data!A6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SUM($C9:M9)*('CL quarter'!M$33-1)</f>
        <v>0.7732480385524747</v>
      </c>
      <c r="O9" s="28">
        <f>SUM($C9:N9)*('CL quarter'!$N$33-1)</f>
        <v>0.32458349724127022</v>
      </c>
      <c r="P9" s="27">
        <f>SUM(C9:M9)</f>
        <v>2067</v>
      </c>
      <c r="Q9" s="26">
        <f t="shared" si="0"/>
        <v>0.19926732864166585</v>
      </c>
      <c r="R9" s="20">
        <f t="shared" si="1"/>
        <v>1.09783153579383</v>
      </c>
      <c r="S9" s="20">
        <f t="shared" si="2"/>
        <v>2068.0978315357938</v>
      </c>
      <c r="T9" s="26">
        <f t="shared" si="3"/>
        <v>0.19937316413147535</v>
      </c>
    </row>
    <row r="10" spans="1:20" ht="15.75" x14ac:dyDescent="0.25">
      <c r="A10" s="13">
        <f>'CL quarter'!A10</f>
        <v>6</v>
      </c>
      <c r="B10" s="55">
        <f>Data!A7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SUM($C10:L10)*('CL quarter'!L$34-1)</f>
        <v>2.4695673594584582</v>
      </c>
      <c r="N10" s="28">
        <f>SUM($C10:M10)*('CL quarter'!M$34-1)</f>
        <v>1.2625376190215782</v>
      </c>
      <c r="O10" s="28">
        <f>SUM($C10:N10)*('CL quarter'!$N$34-1)</f>
        <v>0.64452341356472265</v>
      </c>
      <c r="P10" s="27">
        <f>SUM(C10:L10)</f>
        <v>834</v>
      </c>
      <c r="Q10" s="26">
        <f t="shared" si="0"/>
        <v>9.9333015721772278E-2</v>
      </c>
      <c r="R10" s="20">
        <f t="shared" si="1"/>
        <v>4.3766283920447222</v>
      </c>
      <c r="S10" s="20">
        <f t="shared" si="2"/>
        <v>838.37662839204472</v>
      </c>
      <c r="T10" s="26">
        <f t="shared" si="3"/>
        <v>9.9854291137689941E-2</v>
      </c>
    </row>
    <row r="11" spans="1:20" ht="15.75" x14ac:dyDescent="0.25">
      <c r="A11" s="13">
        <f>'CL quarter'!A11</f>
        <v>7</v>
      </c>
      <c r="B11" s="55">
        <f>Data!A8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SUM($C11:K11)*('CL quarter'!K$35-1)</f>
        <v>1.4178968961622189</v>
      </c>
      <c r="M11" s="28">
        <f>SUM($C11:L11)*('CL quarter'!L$35-1)</f>
        <v>0.77616303712113688</v>
      </c>
      <c r="N11" s="28">
        <f>SUM($C11:M11)*('CL quarter'!M$35-1)</f>
        <v>0.42472066403626568</v>
      </c>
      <c r="O11" s="28">
        <f>SUM($C11:N11)*('CL quarter'!$N$35-1)</f>
        <v>0.23236325534953015</v>
      </c>
      <c r="P11" s="27">
        <f>SUM(C11:K11)</f>
        <v>1766</v>
      </c>
      <c r="Q11" s="26">
        <f t="shared" si="0"/>
        <v>0.20444547348923361</v>
      </c>
      <c r="R11" s="20">
        <f t="shared" si="1"/>
        <v>2.8511438526691109</v>
      </c>
      <c r="S11" s="20">
        <f t="shared" si="2"/>
        <v>1768.8511438526691</v>
      </c>
      <c r="T11" s="26">
        <f t="shared" si="3"/>
        <v>0.20477554339577092</v>
      </c>
    </row>
    <row r="12" spans="1:20" ht="15.75" x14ac:dyDescent="0.25">
      <c r="A12" s="13">
        <f>'CL quarter'!A12</f>
        <v>8</v>
      </c>
      <c r="B12" s="55">
        <f>Data!A9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SUM($C12:J12)*('CL quarter'!J$32-1)</f>
        <v>2.2302203558499816</v>
      </c>
      <c r="L12" s="28">
        <f>SUM($C12:K12)*('CL quarter'!K$32-1)</f>
        <v>1.30177074740049</v>
      </c>
      <c r="M12" s="28">
        <f>SUM($C12:L12)*('CL quarter'!L$32-1)</f>
        <v>0.75897609190024551</v>
      </c>
      <c r="N12" s="28">
        <f>SUM($C12:M12)*('CL quarter'!M$32-1)</f>
        <v>0.44221590632445146</v>
      </c>
      <c r="O12" s="28">
        <f>SUM($C12:N12)*('CL quarter'!$N$32-1)</f>
        <v>0.2575569554156853</v>
      </c>
      <c r="P12" s="27">
        <f>SUM(C12:J12)</f>
        <v>819</v>
      </c>
      <c r="Q12" s="26">
        <f t="shared" si="0"/>
        <v>9.8639046127905583E-2</v>
      </c>
      <c r="R12" s="20">
        <f t="shared" si="1"/>
        <v>4.990740056890786</v>
      </c>
      <c r="S12" s="20">
        <f t="shared" si="2"/>
        <v>823.99074005689079</v>
      </c>
      <c r="T12" s="26">
        <f t="shared" si="3"/>
        <v>9.9240122854015511E-2</v>
      </c>
    </row>
    <row r="13" spans="1:20" ht="15.75" x14ac:dyDescent="0.25">
      <c r="A13" s="13">
        <f>'CL quarter'!A13</f>
        <v>9</v>
      </c>
      <c r="B13" s="55">
        <f>Data!A10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SUM($C13:I13)*('CL quarter'!I$33-1)</f>
        <v>22.842744079794603</v>
      </c>
      <c r="K13" s="28">
        <f>SUM($C13:J13)*('CL quarter'!J$33-1)</f>
        <v>9.7006914510816014</v>
      </c>
      <c r="L13" s="28">
        <f>SUM($C13:K13)*('CL quarter'!K$33-1)</f>
        <v>4.0911115844528627</v>
      </c>
      <c r="M13" s="28">
        <f>SUM($C13:L13)*('CL quarter'!L$33-1)</f>
        <v>1.7203160601332068</v>
      </c>
      <c r="N13" s="28">
        <f>SUM($C13:M13)*('CL quarter'!M$33-1)</f>
        <v>0.72250428625989804</v>
      </c>
      <c r="O13" s="28">
        <f>SUM($C13:N13)*('CL quarter'!$N$33-1)</f>
        <v>0.30328297818259625</v>
      </c>
      <c r="P13" s="27">
        <f>SUM(C13:I13)</f>
        <v>1893</v>
      </c>
      <c r="Q13" s="26">
        <f t="shared" si="0"/>
        <v>0.19580057923045097</v>
      </c>
      <c r="R13" s="20">
        <f t="shared" si="1"/>
        <v>39.380650439904684</v>
      </c>
      <c r="S13" s="20">
        <f t="shared" si="2"/>
        <v>1932.3806504399047</v>
      </c>
      <c r="T13" s="26">
        <f t="shared" si="3"/>
        <v>0.19987387778650234</v>
      </c>
    </row>
    <row r="14" spans="1:20" ht="15.75" x14ac:dyDescent="0.25">
      <c r="A14" s="13">
        <f>'CL quarter'!A14</f>
        <v>10</v>
      </c>
      <c r="B14" s="55">
        <f>Data!A11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SUM($C14:H14)*('CL quarter'!H$34-1)</f>
        <v>44.418052256532064</v>
      </c>
      <c r="J14" s="28">
        <f>SUM($C14:I14)*('CL quarter'!I$34-1)</f>
        <v>20.668319846654402</v>
      </c>
      <c r="K14" s="28">
        <f>SUM($C14:J14)*('CL quarter'!J$34-1)</f>
        <v>10.770791359419952</v>
      </c>
      <c r="L14" s="28">
        <f>SUM($C14:K14)*('CL quarter'!K$34-1)</f>
        <v>5.5527544437244369</v>
      </c>
      <c r="M14" s="28">
        <f>SUM($C14:L14)*('CL quarter'!L$34-1)</f>
        <v>2.8468423888742334</v>
      </c>
      <c r="N14" s="28">
        <f>SUM($C14:M14)*('CL quarter'!M$34-1)</f>
        <v>1.4554150943131774</v>
      </c>
      <c r="O14" s="28">
        <f>SUM($C14:N14)*('CL quarter'!$N$34-1)</f>
        <v>0.74298705290643663</v>
      </c>
      <c r="P14" s="27">
        <f>SUM(C14:H14)</f>
        <v>880</v>
      </c>
      <c r="Q14" s="26">
        <f t="shared" si="0"/>
        <v>9.4613482421245024E-2</v>
      </c>
      <c r="R14" s="20">
        <f t="shared" si="1"/>
        <v>86.455162442424694</v>
      </c>
      <c r="S14" s="20">
        <f t="shared" si="2"/>
        <v>966.45516244242469</v>
      </c>
      <c r="T14" s="26">
        <f t="shared" si="3"/>
        <v>0.1039087369575771</v>
      </c>
    </row>
    <row r="15" spans="1:20" ht="15.75" x14ac:dyDescent="0.25">
      <c r="A15" s="13">
        <f>'CL quarter'!A15</f>
        <v>11</v>
      </c>
      <c r="B15" s="55">
        <f>Data!A12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SUM($C15:G15)*('CL quarter'!G$35-1)</f>
        <v>35.398562300319405</v>
      </c>
      <c r="I15" s="28">
        <f>SUM($C15:H15)*('CL quarter'!H$35-1)</f>
        <v>12.994408945686724</v>
      </c>
      <c r="J15" s="28">
        <f>SUM($C15:I15)*('CL quarter'!I$35-1)</f>
        <v>4.6465443980433907</v>
      </c>
      <c r="K15" s="28">
        <f>SUM($C15:J15)*('CL quarter'!J$35-1)</f>
        <v>2.5483190638809572</v>
      </c>
      <c r="L15" s="28">
        <f>SUM($C15:K15)*('CL quarter'!K$35-1)</f>
        <v>1.3958880490021333</v>
      </c>
      <c r="M15" s="28">
        <f>SUM($C15:L15)*('CL quarter'!L$35-1)</f>
        <v>0.76411529676600709</v>
      </c>
      <c r="N15" s="28">
        <f>SUM($C15:M15)*('CL quarter'!M$35-1)</f>
        <v>0.4181280745427664</v>
      </c>
      <c r="O15" s="28">
        <f>SUM($C15:N15)*('CL quarter'!$N$35-1)</f>
        <v>0.2287564716782704</v>
      </c>
      <c r="P15" s="27">
        <f>SUM(C15:G15)</f>
        <v>1683</v>
      </c>
      <c r="Q15" s="26">
        <f t="shared" si="0"/>
        <v>0.20002376990729737</v>
      </c>
      <c r="R15" s="20">
        <f t="shared" si="1"/>
        <v>58.394722599919533</v>
      </c>
      <c r="S15" s="20">
        <f t="shared" si="2"/>
        <v>1741.3947225999195</v>
      </c>
      <c r="T15" s="26">
        <f t="shared" si="3"/>
        <v>0.20696395562157352</v>
      </c>
    </row>
    <row r="16" spans="1:20" ht="15.75" x14ac:dyDescent="0.25">
      <c r="A16" s="13">
        <f>'CL quarter'!A16</f>
        <v>12</v>
      </c>
      <c r="B16" s="55">
        <f>Data!A13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SUM($C16:F16)*('CL quarter'!F$32-1)</f>
        <v>53.085351329892752</v>
      </c>
      <c r="H16" s="28">
        <f>SUM($C16:G16)*('CL quarter'!G$32-1)</f>
        <v>26.927352123858718</v>
      </c>
      <c r="I16" s="28">
        <f>SUM($C16:H16)*('CL quarter'!H$32-1)</f>
        <v>10.001587931718916</v>
      </c>
      <c r="J16" s="28">
        <f>SUM($C16:I16)*('CL quarter'!I$32-1)</f>
        <v>3.4430585575101977</v>
      </c>
      <c r="K16" s="28">
        <f>SUM($C16:J16)*('CL quarter'!J$32-1)</f>
        <v>2.0136176240851267</v>
      </c>
      <c r="L16" s="28">
        <f>SUM($C16:K16)*('CL quarter'!K$32-1)</f>
        <v>1.1753405947570934</v>
      </c>
      <c r="M16" s="28">
        <f>SUM($C16:L16)*('CL quarter'!L$32-1)</f>
        <v>0.68526306420834637</v>
      </c>
      <c r="N16" s="28">
        <f>SUM($C16:M16)*('CL quarter'!M$32-1)</f>
        <v>0.399267157745192</v>
      </c>
      <c r="O16" s="28">
        <f>SUM($C16:N16)*('CL quarter'!$N$32-1)</f>
        <v>0.23254259305380351</v>
      </c>
      <c r="P16" s="27">
        <f>SUM(C16:F16)</f>
        <v>646</v>
      </c>
      <c r="Q16" s="26">
        <f t="shared" si="0"/>
        <v>8.3516483516483511E-2</v>
      </c>
      <c r="R16" s="20">
        <f t="shared" si="1"/>
        <v>97.963380976830194</v>
      </c>
      <c r="S16" s="20">
        <f t="shared" si="2"/>
        <v>743.96338097683019</v>
      </c>
      <c r="T16" s="26">
        <f t="shared" si="3"/>
        <v>9.6181432576190065E-2</v>
      </c>
    </row>
    <row r="17" spans="1:20" ht="15.75" x14ac:dyDescent="0.25">
      <c r="A17" s="13">
        <f>'CL quarter'!A17</f>
        <v>13</v>
      </c>
      <c r="B17" s="55">
        <f>Data!A14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SUM($C17:E17)*('CL quarter'!E$33-1)</f>
        <v>288.96547852932912</v>
      </c>
      <c r="G17" s="28">
        <f>SUM($C17:F17)*('CL quarter'!F$33-1)</f>
        <v>179.18944709514449</v>
      </c>
      <c r="H17" s="28">
        <f>SUM($C17:G17)*('CL quarter'!G$33-1)</f>
        <v>87.152399663205159</v>
      </c>
      <c r="I17" s="28">
        <f>SUM($C17:H17)*('CL quarter'!H$33-1)</f>
        <v>44.733090092618468</v>
      </c>
      <c r="J17" s="28">
        <f>SUM($C17:I17)*('CL quarter'!I$33-1)</f>
        <v>18.293990080907363</v>
      </c>
      <c r="K17" s="28">
        <f>SUM($C17:J17)*('CL quarter'!J$33-1)</f>
        <v>7.7689594807046234</v>
      </c>
      <c r="L17" s="28">
        <f>SUM($C17:K17)*('CL quarter'!K$33-1)</f>
        <v>3.2764344986059504</v>
      </c>
      <c r="M17" s="28">
        <f>SUM($C17:L17)*('CL quarter'!L$33-1)</f>
        <v>1.3777436209137579</v>
      </c>
      <c r="N17" s="28">
        <f>SUM($C17:M17)*('CL quarter'!M$33-1)</f>
        <v>0.57862952892525166</v>
      </c>
      <c r="O17" s="28">
        <f>SUM($C17:N17)*('CL quarter'!$N$33-1)</f>
        <v>0.24288919821538138</v>
      </c>
      <c r="P17" s="27">
        <f>SUM(C17:E17)</f>
        <v>916</v>
      </c>
      <c r="Q17" s="26">
        <f t="shared" si="0"/>
        <v>0.10785352643353349</v>
      </c>
      <c r="R17" s="20">
        <f t="shared" si="1"/>
        <v>631.57906178856979</v>
      </c>
      <c r="S17" s="20">
        <f t="shared" si="2"/>
        <v>1547.5790617885698</v>
      </c>
      <c r="T17" s="26">
        <f t="shared" si="3"/>
        <v>0.18221818695261624</v>
      </c>
    </row>
    <row r="18" spans="1:20" ht="15.75" x14ac:dyDescent="0.25">
      <c r="A18" s="13">
        <f>'CL quarter'!A18</f>
        <v>14</v>
      </c>
      <c r="B18" s="55">
        <f>Data!A15</f>
        <v>8696</v>
      </c>
      <c r="C18" s="22">
        <f>Data!B15</f>
        <v>11</v>
      </c>
      <c r="D18" s="22">
        <f>Data!C15</f>
        <v>169</v>
      </c>
      <c r="E18" s="28">
        <f>SUM($C18:D18)*('CL quarter'!D$34-1)</f>
        <v>273.65853658536588</v>
      </c>
      <c r="F18" s="28">
        <f>SUM($C18:E18)*('CL quarter'!E$34-1)</f>
        <v>236.70731707317071</v>
      </c>
      <c r="G18" s="28">
        <f>SUM($C18:F18)*('CL quarter'!F$34-1)</f>
        <v>159.51219512195127</v>
      </c>
      <c r="H18" s="28">
        <f>SUM($C18:G18)*('CL quarter'!G$34-1)</f>
        <v>88.170731707317117</v>
      </c>
      <c r="I18" s="28">
        <f>SUM($C18:H18)*('CL quarter'!H$34-1)</f>
        <v>47.348067898731252</v>
      </c>
      <c r="J18" s="28">
        <f>SUM($C18:I18)*('CL quarter'!I$34-1)</f>
        <v>22.031695712370521</v>
      </c>
      <c r="K18" s="28">
        <f>SUM($C18:J18)*('CL quarter'!J$34-1)</f>
        <v>11.481281476809629</v>
      </c>
      <c r="L18" s="28">
        <f>SUM($C18:K18)*('CL quarter'!K$34-1)</f>
        <v>5.9190392435044874</v>
      </c>
      <c r="M18" s="28">
        <f>SUM($C18:L18)*('CL quarter'!L$34-1)</f>
        <v>3.0346329899141642</v>
      </c>
      <c r="N18" s="28">
        <f>SUM($C18:M18)*('CL quarter'!M$34-1)</f>
        <v>1.5514208571863863</v>
      </c>
      <c r="O18" s="28">
        <f>SUM($C18:N18)*('CL quarter'!$N$34-1)</f>
        <v>0.79199783965580828</v>
      </c>
      <c r="P18" s="27">
        <f>SUM(C18:D18)</f>
        <v>180</v>
      </c>
      <c r="Q18" s="26">
        <f t="shared" si="0"/>
        <v>2.0699172033118676E-2</v>
      </c>
      <c r="R18" s="20">
        <f t="shared" si="1"/>
        <v>850.20691650597746</v>
      </c>
      <c r="S18" s="20">
        <f t="shared" si="2"/>
        <v>1030.2069165059775</v>
      </c>
      <c r="T18" s="26">
        <f t="shared" si="3"/>
        <v>0.11846905663592197</v>
      </c>
    </row>
    <row r="19" spans="1:20" ht="15.75" x14ac:dyDescent="0.25">
      <c r="A19" s="13">
        <f>'CL quarter'!A19</f>
        <v>15</v>
      </c>
      <c r="B19" s="55">
        <f>Data!A16</f>
        <v>8772</v>
      </c>
      <c r="C19" s="22">
        <f>Data!B16</f>
        <v>323</v>
      </c>
      <c r="D19" s="28">
        <f>SUM($C19:C19)*('CL quarter'!C$35-1)</f>
        <v>740.61299709020375</v>
      </c>
      <c r="E19" s="28">
        <f>SUM($C19:D19)*('CL quarter'!D$35-1)</f>
        <v>388.47720659553841</v>
      </c>
      <c r="F19" s="28">
        <f>SUM($C19:E19)*('CL quarter'!E$35-1)</f>
        <v>177.32104752667323</v>
      </c>
      <c r="G19" s="28">
        <f>SUM($C19:F19)*('CL quarter'!F$35-1)</f>
        <v>74.562560620756742</v>
      </c>
      <c r="H19" s="28">
        <f>SUM($C19:G19)*('CL quarter'!G$35-1)</f>
        <v>35.839704774978784</v>
      </c>
      <c r="I19" s="28">
        <f>SUM($C19:H19)*('CL quarter'!H$35-1)</f>
        <v>13.156347322460419</v>
      </c>
      <c r="J19" s="28">
        <f>SUM($C19:I19)*('CL quarter'!I$35-1)</f>
        <v>4.7044503682626688</v>
      </c>
      <c r="K19" s="28">
        <f>SUM($C19:J19)*('CL quarter'!J$35-1)</f>
        <v>2.5800766185670687</v>
      </c>
      <c r="L19" s="28">
        <f>SUM($C19:K19)*('CL quarter'!K$35-1)</f>
        <v>1.4132838263520711</v>
      </c>
      <c r="M19" s="28">
        <f>SUM($C19:L19)*('CL quarter'!L$35-1)</f>
        <v>0.77363782228782463</v>
      </c>
      <c r="N19" s="28">
        <f>SUM($C19:M19)*('CL quarter'!M$35-1)</f>
        <v>0.42333885265187315</v>
      </c>
      <c r="O19" s="28">
        <f>SUM($C19:N19)*('CL quarter'!$N$35-1)</f>
        <v>0.23160727096086131</v>
      </c>
      <c r="P19" s="27">
        <f>SUM(C19)</f>
        <v>323</v>
      </c>
      <c r="Q19" s="26">
        <f t="shared" si="0"/>
        <v>3.6821705426356592E-2</v>
      </c>
      <c r="R19" s="20">
        <f t="shared" si="1"/>
        <v>1440.096258689694</v>
      </c>
      <c r="S19" s="20">
        <f t="shared" si="2"/>
        <v>1763.096258689694</v>
      </c>
      <c r="T19" s="26">
        <f t="shared" si="3"/>
        <v>0.20099136555970062</v>
      </c>
    </row>
    <row r="20" spans="1:2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3219.4095281446462</v>
      </c>
      <c r="S21" s="3"/>
    </row>
    <row r="22" spans="1:20" ht="15.75" thickTop="1" x14ac:dyDescent="0.2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2F9D-5EE6-4E52-93CB-1EC2C9946980}">
  <dimension ref="A1:AB35"/>
  <sheetViews>
    <sheetView workbookViewId="0">
      <selection activeCell="R3" sqref="R3"/>
    </sheetView>
  </sheetViews>
  <sheetFormatPr defaultRowHeight="15" x14ac:dyDescent="0.25"/>
  <sheetData>
    <row r="1" spans="1:28" ht="15.75" x14ac:dyDescent="0.25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5.75" x14ac:dyDescent="0.25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Q2/'CL quarter IBNR'!R4</f>
        <v>2.9668426791002824</v>
      </c>
      <c r="S2" s="34">
        <f t="shared" ref="S2:S17" si="1">SUM(C2:O2)</f>
        <v>1079</v>
      </c>
      <c r="T2" s="33">
        <f>S2/'CL quarter IBNR'!S4</f>
        <v>1.0006147811954487</v>
      </c>
    </row>
    <row r="3" spans="1:28" ht="15.75" x14ac:dyDescent="0.25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Q3/'CL quarter IBNR'!R5</f>
        <v>0</v>
      </c>
      <c r="S3" s="34">
        <f t="shared" si="1"/>
        <v>2013</v>
      </c>
      <c r="T3" s="33">
        <f>S3/'CL quarter IBNR'!S5</f>
        <v>0.99984305215532276</v>
      </c>
    </row>
    <row r="4" spans="1:28" ht="15.75" x14ac:dyDescent="0.25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Q4/'CL quarter IBNR'!R6</f>
        <v>1.2933033401383613</v>
      </c>
      <c r="S4" s="34">
        <f t="shared" si="1"/>
        <v>1006</v>
      </c>
      <c r="T4" s="33">
        <f>S4/'CL quarter IBNR'!S6</f>
        <v>1.0002254844226257</v>
      </c>
    </row>
    <row r="5" spans="1:28" ht="15.75" x14ac:dyDescent="0.25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Q5/'CL quarter IBNR'!R7</f>
        <v>0</v>
      </c>
      <c r="S5" s="34">
        <f t="shared" si="1"/>
        <v>2112</v>
      </c>
      <c r="T5" s="33">
        <f>S5/'CL quarter IBNR'!S7</f>
        <v>0.99986863606010201</v>
      </c>
    </row>
    <row r="6" spans="1:28" ht="15.75" x14ac:dyDescent="0.25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Q6/'CL quarter IBNR'!R8</f>
        <v>0</v>
      </c>
      <c r="S6" s="34">
        <f t="shared" si="1"/>
        <v>1002</v>
      </c>
      <c r="T6" s="33">
        <f>S6/'CL quarter IBNR'!S8</f>
        <v>0.99968742736672267</v>
      </c>
    </row>
    <row r="7" spans="1:28" ht="15.75" x14ac:dyDescent="0.25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Q7/'CL quarter IBNR'!R9</f>
        <v>2.7326597043240635</v>
      </c>
      <c r="S7" s="34">
        <f t="shared" si="1"/>
        <v>2070</v>
      </c>
      <c r="T7" s="33">
        <f>S7/'CL quarter IBNR'!S9</f>
        <v>1.0009197671576269</v>
      </c>
    </row>
    <row r="8" spans="1:28" ht="15.75" x14ac:dyDescent="0.25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Q8/'CL quarter IBNR'!R10</f>
        <v>0.91394554019497987</v>
      </c>
      <c r="S8" s="34">
        <f t="shared" si="1"/>
        <v>838</v>
      </c>
      <c r="T8" s="33">
        <f>S8/'CL quarter IBNR'!S10</f>
        <v>0.99955076468106341</v>
      </c>
    </row>
    <row r="9" spans="1:28" ht="15.75" x14ac:dyDescent="0.25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Q9/'CL quarter IBNR'!R11</f>
        <v>0.35073642428243162</v>
      </c>
      <c r="S9" s="34">
        <f t="shared" si="1"/>
        <v>1767</v>
      </c>
      <c r="T9" s="33">
        <f>S9/'CL quarter IBNR'!S11</f>
        <v>0.99895347674726476</v>
      </c>
    </row>
    <row r="10" spans="1:28" ht="15.75" x14ac:dyDescent="0.25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Q10/'CL quarter IBNR'!R12</f>
        <v>0.80148433987803935</v>
      </c>
      <c r="S10" s="34">
        <f t="shared" si="1"/>
        <v>823</v>
      </c>
      <c r="T10" s="33">
        <f>S10/'CL quarter IBNR'!S12</f>
        <v>0.99879763205006111</v>
      </c>
    </row>
    <row r="11" spans="1:28" ht="15.75" x14ac:dyDescent="0.25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Q11/'CL quarter IBNR'!R13</f>
        <v>1.1426931626909136</v>
      </c>
      <c r="S11" s="34">
        <f t="shared" si="1"/>
        <v>1938</v>
      </c>
      <c r="T11" s="33">
        <f>S11/'CL quarter IBNR'!S13</f>
        <v>1.0029079930803571</v>
      </c>
    </row>
    <row r="12" spans="1:28" ht="15.75" x14ac:dyDescent="0.25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Q12/'CL quarter IBNR'!R14</f>
        <v>0.94846852036867513</v>
      </c>
      <c r="S12" s="34">
        <f t="shared" si="1"/>
        <v>962</v>
      </c>
      <c r="T12" s="33">
        <f>S12/'CL quarter IBNR'!S14</f>
        <v>0.99539020265444533</v>
      </c>
    </row>
    <row r="13" spans="1:28" ht="15.75" x14ac:dyDescent="0.25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Q13/'CL quarter IBNR'!R15</f>
        <v>0.821992088717725</v>
      </c>
      <c r="S13" s="34">
        <f t="shared" si="1"/>
        <v>1731</v>
      </c>
      <c r="T13" s="33">
        <f>S13/'CL quarter IBNR'!S15</f>
        <v>0.9940308061894203</v>
      </c>
    </row>
    <row r="14" spans="1:28" ht="15.75" x14ac:dyDescent="0.25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Q14/'CL quarter IBNR'!R16</f>
        <v>1.0412053869815348</v>
      </c>
      <c r="S14" s="34">
        <f t="shared" si="1"/>
        <v>748</v>
      </c>
      <c r="T14" s="33">
        <f>S14/'CL quarter IBNR'!S16</f>
        <v>1.0054258302577603</v>
      </c>
    </row>
    <row r="15" spans="1:28" ht="15.75" x14ac:dyDescent="0.25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Q15/'CL quarter IBNR'!R17</f>
        <v>1.0829998037980855</v>
      </c>
      <c r="S15" s="34">
        <f t="shared" si="1"/>
        <v>1600</v>
      </c>
      <c r="T15" s="33">
        <f>S15/'CL quarter IBNR'!S17</f>
        <v>1.0338728660174856</v>
      </c>
    </row>
    <row r="16" spans="1:28" ht="15.75" x14ac:dyDescent="0.25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Q16/'CL quarter IBNR'!R18</f>
        <v>0.88331438549843888</v>
      </c>
      <c r="S16" s="34">
        <f t="shared" si="1"/>
        <v>931</v>
      </c>
      <c r="T16" s="57">
        <f>S16/'CL quarter IBNR'!S18</f>
        <v>0.90370195063100045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5.75" x14ac:dyDescent="0.25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Q17/'CL quarter IBNR'!R19</f>
        <v>0.9228549772146637</v>
      </c>
      <c r="S17" s="34">
        <f t="shared" si="1"/>
        <v>1652</v>
      </c>
      <c r="T17" s="57">
        <f>S17/'CL quarter IBNR'!S19</f>
        <v>0.93698797887969032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5.75" x14ac:dyDescent="0.25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5.75" x14ac:dyDescent="0.25">
      <c r="A19" s="21" t="s">
        <v>51</v>
      </c>
      <c r="P19" s="1"/>
      <c r="Q19" s="20">
        <f>SUM(Q2:Q17)</f>
        <v>3055</v>
      </c>
      <c r="R19" s="33">
        <f>Q19/'CL quarter IBNR'!R21</f>
        <v>0.94893177562302988</v>
      </c>
      <c r="S19" s="3"/>
      <c r="T19" s="35">
        <f>AVERAGE(T2:T17)</f>
        <v>0.9919236655966498</v>
      </c>
      <c r="U19" s="35" t="s">
        <v>52</v>
      </c>
    </row>
    <row r="20" spans="1:28" x14ac:dyDescent="0.25">
      <c r="O20">
        <f>IF('CL quarter IBNR'!O4&gt;0,O2/'CL quarter IBNR'!O4,"")</f>
        <v>2.9668426791011231</v>
      </c>
    </row>
    <row r="21" spans="1:28" x14ac:dyDescent="0.25">
      <c r="O21">
        <f>IF('CL quarter IBNR'!O5&gt;0,O3/'CL quarter IBNR'!O5,"")</f>
        <v>0</v>
      </c>
    </row>
    <row r="22" spans="1:28" x14ac:dyDescent="0.25">
      <c r="O22">
        <f>IF('CL quarter IBNR'!O6&gt;0,O4/'CL quarter IBNR'!O6,"")</f>
        <v>1.2933033401384271</v>
      </c>
    </row>
    <row r="23" spans="1:28" x14ac:dyDescent="0.25">
      <c r="O23">
        <f>IF('CL quarter IBNR'!O7&gt;0,O5/'CL quarter IBNR'!O7,"")</f>
        <v>0</v>
      </c>
    </row>
    <row r="24" spans="1:28" x14ac:dyDescent="0.25">
      <c r="O24">
        <f>IF('CL quarter IBNR'!O8&gt;0,O6/'CL quarter IBNR'!O8,"")</f>
        <v>0</v>
      </c>
    </row>
    <row r="25" spans="1:28" x14ac:dyDescent="0.25">
      <c r="M25">
        <f>IF('CL quarter IBNR'!M9&gt;0,M7/'CL quarter IBNR'!M9,"")</f>
        <v>1</v>
      </c>
      <c r="N25">
        <f>IF('CL quarter IBNR'!N9&gt;0,N7/'CL quarter IBNR'!N9,"")</f>
        <v>2.5864921736419957</v>
      </c>
      <c r="O25">
        <f>IF('CL quarter IBNR'!O9&gt;0,O7/'CL quarter IBNR'!O9,"")</f>
        <v>3.0808713582153486</v>
      </c>
    </row>
    <row r="26" spans="1:28" x14ac:dyDescent="0.25">
      <c r="L26">
        <f>IF('CL quarter IBNR'!L10&gt;0,L8/'CL quarter IBNR'!L10,"")</f>
        <v>1</v>
      </c>
      <c r="M26">
        <f>IF('CL quarter IBNR'!M10&gt;0,M8/'CL quarter IBNR'!M10,"")</f>
        <v>1.2147876787041185</v>
      </c>
      <c r="N26">
        <f>IF('CL quarter IBNR'!N10&gt;0,N8/'CL quarter IBNR'!N10,"")</f>
        <v>0.79205560684596821</v>
      </c>
      <c r="O26">
        <f>IF('CL quarter IBNR'!O10&gt;0,O8/'CL quarter IBNR'!O10,"")</f>
        <v>0</v>
      </c>
    </row>
    <row r="27" spans="1:28" x14ac:dyDescent="0.25">
      <c r="K27">
        <f>IF('CL quarter IBNR'!K11&gt;0,K9/'CL quarter IBNR'!K11,"")</f>
        <v>1</v>
      </c>
      <c r="L27">
        <f>IF('CL quarter IBNR'!L11&gt;0,L9/'CL quarter IBNR'!L11,"")</f>
        <v>0</v>
      </c>
      <c r="M27">
        <f>IF('CL quarter IBNR'!M11&gt;0,M9/'CL quarter IBNR'!M11,"")</f>
        <v>1.2883891040587243</v>
      </c>
      <c r="N27">
        <f>IF('CL quarter IBNR'!N11&gt;0,N9/'CL quarter IBNR'!N11,"")</f>
        <v>0</v>
      </c>
      <c r="O27">
        <f>IF('CL quarter IBNR'!O11&gt;0,O9/'CL quarter IBNR'!O11,"")</f>
        <v>0</v>
      </c>
    </row>
    <row r="28" spans="1:28" x14ac:dyDescent="0.25">
      <c r="J28">
        <f>IF('CL quarter IBNR'!J12&gt;0,J10/'CL quarter IBNR'!J12,"")</f>
        <v>1</v>
      </c>
      <c r="K28">
        <f>IF('CL quarter IBNR'!K12&gt;0,K10/'CL quarter IBNR'!K12,"")</f>
        <v>1.3451585589427733</v>
      </c>
      <c r="L28">
        <f>IF('CL quarter IBNR'!L12&gt;0,L10/'CL quarter IBNR'!L12,"")</f>
        <v>0</v>
      </c>
      <c r="M28">
        <f>IF('CL quarter IBNR'!M12&gt;0,M10/'CL quarter IBNR'!M12,"")</f>
        <v>0</v>
      </c>
      <c r="N28">
        <f>IF('CL quarter IBNR'!N12&gt;0,N10/'CL quarter IBNR'!N12,"")</f>
        <v>2.2613388295135302</v>
      </c>
      <c r="O28">
        <f>IF('CL quarter IBNR'!O12&gt;0,O10/'CL quarter IBNR'!O12,"")</f>
        <v>0</v>
      </c>
    </row>
    <row r="29" spans="1:28" x14ac:dyDescent="0.25">
      <c r="I29">
        <f>IF('CL quarter IBNR'!I13&gt;0,I11/'CL quarter IBNR'!I13,"")</f>
        <v>1</v>
      </c>
      <c r="J29">
        <f>IF('CL quarter IBNR'!J13&gt;0,J11/'CL quarter IBNR'!J13,"")</f>
        <v>1.0068842832391796</v>
      </c>
      <c r="K29">
        <f>IF('CL quarter IBNR'!K13&gt;0,K11/'CL quarter IBNR'!K13,"")</f>
        <v>1.5462815280376265</v>
      </c>
      <c r="L29">
        <f>IF('CL quarter IBNR'!L13&gt;0,L11/'CL quarter IBNR'!L13,"")</f>
        <v>0.97772938171642465</v>
      </c>
      <c r="M29">
        <f>IF('CL quarter IBNR'!M13&gt;0,M11/'CL quarter IBNR'!M13,"")</f>
        <v>1.7438656009336477</v>
      </c>
      <c r="N29">
        <f>IF('CL quarter IBNR'!N13&gt;0,N11/'CL quarter IBNR'!N13,"")</f>
        <v>0</v>
      </c>
      <c r="O29">
        <f>IF('CL quarter IBNR'!O13&gt;0,O11/'CL quarter IBNR'!O13,"")</f>
        <v>0</v>
      </c>
    </row>
    <row r="30" spans="1:28" x14ac:dyDescent="0.25">
      <c r="H30">
        <f>IF('CL quarter IBNR'!H14&gt;0,H12/'CL quarter IBNR'!H14,"")</f>
        <v>1</v>
      </c>
      <c r="I30">
        <f>IF('CL quarter IBNR'!I14&gt;0,I12/'CL quarter IBNR'!I14,"")</f>
        <v>0.78796791443850267</v>
      </c>
      <c r="J30">
        <f>IF('CL quarter IBNR'!J14&gt;0,J12/'CL quarter IBNR'!J14,"")</f>
        <v>1.4998800207273739</v>
      </c>
      <c r="K30">
        <f>IF('CL quarter IBNR'!K14&gt;0,K12/'CL quarter IBNR'!K14,"")</f>
        <v>0.83559319827774325</v>
      </c>
      <c r="L30">
        <f>IF('CL quarter IBNR'!L14&gt;0,L12/'CL quarter IBNR'!L14,"")</f>
        <v>0.36018160361122081</v>
      </c>
      <c r="M30">
        <f>IF('CL quarter IBNR'!M14&gt;0,M12/'CL quarter IBNR'!M14,"")</f>
        <v>0.70253274568912394</v>
      </c>
      <c r="N30">
        <f>IF('CL quarter IBNR'!N14&gt;0,N12/'CL quarter IBNR'!N14,"")</f>
        <v>2.0612676148007969</v>
      </c>
      <c r="O30">
        <f>IF('CL quarter IBNR'!O14&gt;0,O12/'CL quarter IBNR'!O14,"")</f>
        <v>0</v>
      </c>
    </row>
    <row r="31" spans="1:28" x14ac:dyDescent="0.25">
      <c r="G31">
        <f>IF('CL quarter IBNR'!G15&gt;0,G13/'CL quarter IBNR'!G15,"")</f>
        <v>1</v>
      </c>
      <c r="H31">
        <f>IF('CL quarter IBNR'!H15&gt;0,H13/'CL quarter IBNR'!H15,"")</f>
        <v>0.76274284167061712</v>
      </c>
      <c r="I31">
        <f>IF('CL quarter IBNR'!I15&gt;0,I13/'CL quarter IBNR'!I15,"")</f>
        <v>0.84651791751184391</v>
      </c>
      <c r="J31">
        <f>IF('CL quarter IBNR'!J15&gt;0,J13/'CL quarter IBNR'!J15,"")</f>
        <v>1.2912821843532873</v>
      </c>
      <c r="K31">
        <f>IF('CL quarter IBNR'!K15&gt;0,K13/'CL quarter IBNR'!K15,"")</f>
        <v>1.1772466181809889</v>
      </c>
      <c r="L31">
        <f>IF('CL quarter IBNR'!L15&gt;0,L13/'CL quarter IBNR'!L15,"")</f>
        <v>0</v>
      </c>
      <c r="M31">
        <f>IF('CL quarter IBNR'!M15&gt;0,M13/'CL quarter IBNR'!M15,"")</f>
        <v>1.3087030245727789</v>
      </c>
      <c r="N31">
        <f>IF('CL quarter IBNR'!N15&gt;0,N13/'CL quarter IBNR'!N15,"")</f>
        <v>0</v>
      </c>
      <c r="O31">
        <f>IF('CL quarter IBNR'!O15&gt;0,O13/'CL quarter IBNR'!O15,"")</f>
        <v>0</v>
      </c>
    </row>
    <row r="32" spans="1:28" x14ac:dyDescent="0.25">
      <c r="F32">
        <f>IF('CL quarter IBNR'!F16&gt;0,F14/'CL quarter IBNR'!F16,"")</f>
        <v>1</v>
      </c>
      <c r="G32">
        <f>IF('CL quarter IBNR'!G16&gt;0,G14/'CL quarter IBNR'!G16,"")</f>
        <v>1.0737425404944598</v>
      </c>
      <c r="H32">
        <f>IF('CL quarter IBNR'!H16&gt;0,H14/'CL quarter IBNR'!H16,"")</f>
        <v>1.002697921273771</v>
      </c>
      <c r="I32">
        <f>IF('CL quarter IBNR'!I16&gt;0,I14/'CL quarter IBNR'!I16,"")</f>
        <v>1.0998253552433142</v>
      </c>
      <c r="J32">
        <f>IF('CL quarter IBNR'!J16&gt;0,J14/'CL quarter IBNR'!J16,"")</f>
        <v>0.58087888038891611</v>
      </c>
      <c r="K32">
        <f>IF('CL quarter IBNR'!K16&gt;0,K14/'CL quarter IBNR'!K16,"")</f>
        <v>0.99323723435758382</v>
      </c>
      <c r="L32">
        <f>IF('CL quarter IBNR'!L16&gt;0,L14/'CL quarter IBNR'!L16,"")</f>
        <v>1.7016344104181462</v>
      </c>
      <c r="M32">
        <f>IF('CL quarter IBNR'!M16&gt;0,M14/'CL quarter IBNR'!M16,"")</f>
        <v>1.4592935942859477</v>
      </c>
      <c r="N32">
        <f>IF('CL quarter IBNR'!N16&gt;0,N14/'CL quarter IBNR'!N16,"")</f>
        <v>0</v>
      </c>
      <c r="O32">
        <f>IF('CL quarter IBNR'!O16&gt;0,O14/'CL quarter IBNR'!O16,"")</f>
        <v>0</v>
      </c>
    </row>
    <row r="33" spans="3:15" x14ac:dyDescent="0.25">
      <c r="E33">
        <f>IF('CL quarter IBNR'!E17&gt;0,E15/'CL quarter IBNR'!E17,"")</f>
        <v>1</v>
      </c>
      <c r="F33">
        <f>IF('CL quarter IBNR'!F17&gt;0,F15/'CL quarter IBNR'!F17,"")</f>
        <v>1.103938095386098</v>
      </c>
      <c r="G33">
        <f>IF('CL quarter IBNR'!G17&gt;0,G15/'CL quarter IBNR'!G17,"")</f>
        <v>1.1161371567478844</v>
      </c>
      <c r="H33">
        <f>IF('CL quarter IBNR'!H17&gt;0,H15/'CL quarter IBNR'!H17,"")</f>
        <v>0.98677718952480331</v>
      </c>
      <c r="I33">
        <f>IF('CL quarter IBNR'!I17&gt;0,I15/'CL quarter IBNR'!I17,"")</f>
        <v>0.91654745771219426</v>
      </c>
      <c r="J33">
        <f>IF('CL quarter IBNR'!J17&gt;0,J15/'CL quarter IBNR'!J17,"")</f>
        <v>1.3119062541226449</v>
      </c>
      <c r="K33">
        <f>IF('CL quarter IBNR'!K17&gt;0,K15/'CL quarter IBNR'!K17,"")</f>
        <v>1.1584562929376643</v>
      </c>
      <c r="L33">
        <f>IF('CL quarter IBNR'!L17&gt;0,L15/'CL quarter IBNR'!L17,"")</f>
        <v>1.2208393000689959</v>
      </c>
      <c r="M33">
        <f>IF('CL quarter IBNR'!M17&gt;0,M15/'CL quarter IBNR'!M17,"")</f>
        <v>0.72582444572435922</v>
      </c>
      <c r="N33">
        <f>IF('CL quarter IBNR'!N17&gt;0,N15/'CL quarter IBNR'!N17,"")</f>
        <v>0</v>
      </c>
      <c r="O33">
        <f>IF('CL quarter IBNR'!O17&gt;0,O15/'CL quarter IBNR'!O17,"")</f>
        <v>0</v>
      </c>
    </row>
    <row r="34" spans="3:15" x14ac:dyDescent="0.25">
      <c r="D34">
        <f>IF('CL quarter IBNR'!D18&gt;0,D16/'CL quarter IBNR'!D18,"")</f>
        <v>1</v>
      </c>
      <c r="E34">
        <f>IF('CL quarter IBNR'!E18&gt;0,E16/'CL quarter IBNR'!E18,"")</f>
        <v>0.90258467023172895</v>
      </c>
      <c r="F34">
        <f>IF('CL quarter IBNR'!F18&gt;0,F16/'CL quarter IBNR'!F18,"")</f>
        <v>0.85337454920144262</v>
      </c>
      <c r="G34">
        <f>IF('CL quarter IBNR'!G18&gt;0,G16/'CL quarter IBNR'!G18,"")</f>
        <v>0.87140672782874595</v>
      </c>
      <c r="H34">
        <f>IF('CL quarter IBNR'!H18&gt;0,H16/'CL quarter IBNR'!H18,"")</f>
        <v>0.93001383125864412</v>
      </c>
      <c r="I34">
        <f>IF('CL quarter IBNR'!I18&gt;0,I16/'CL quarter IBNR'!I18,"")</f>
        <v>0.80256706738857775</v>
      </c>
      <c r="J34">
        <f>IF('CL quarter IBNR'!J18&gt;0,J16/'CL quarter IBNR'!J18,"")</f>
        <v>0.95317220581476914</v>
      </c>
      <c r="K34">
        <f>IF('CL quarter IBNR'!K18&gt;0,K16/'CL quarter IBNR'!K18,"")</f>
        <v>1.0451794971003978</v>
      </c>
      <c r="L34">
        <f>IF('CL quarter IBNR'!L18&gt;0,L16/'CL quarter IBNR'!L18,"")</f>
        <v>0.84473168605647708</v>
      </c>
      <c r="M34">
        <f>IF('CL quarter IBNR'!M18&gt;0,M16/'CL quarter IBNR'!M18,"")</f>
        <v>1.3181165608145391</v>
      </c>
      <c r="N34">
        <f>IF('CL quarter IBNR'!N18&gt;0,N16/'CL quarter IBNR'!N18,"")</f>
        <v>0</v>
      </c>
      <c r="O34">
        <f>IF('CL quarter IBNR'!O18&gt;0,O16/'CL quarter IBNR'!O18,"")</f>
        <v>1.262629706710547</v>
      </c>
    </row>
    <row r="35" spans="3:15" x14ac:dyDescent="0.25">
      <c r="C35">
        <f>IF('CL quarter IBNR'!C19&gt;0,C17/'CL quarter IBNR'!C19,"")</f>
        <v>1</v>
      </c>
      <c r="D35">
        <f>IF('CL quarter IBNR'!D19&gt;0,D17/'CL quarter IBNR'!D19,"")</f>
        <v>0.96271602416013147</v>
      </c>
      <c r="E35">
        <f>IF('CL quarter IBNR'!E19&gt;0,E17/'CL quarter IBNR'!E19,"")</f>
        <v>0.88550883850993689</v>
      </c>
      <c r="F35">
        <f>IF('CL quarter IBNR'!F19&gt;0,F17/'CL quarter IBNR'!F19,"")</f>
        <v>0.90231815247951463</v>
      </c>
      <c r="G35">
        <f>IF('CL quarter IBNR'!G19&gt;0,G17/'CL quarter IBNR'!G19,"")</f>
        <v>0.88516273382417754</v>
      </c>
      <c r="H35">
        <f>IF('CL quarter IBNR'!H19&gt;0,H17/'CL quarter IBNR'!H19,"")</f>
        <v>0.80915845099946604</v>
      </c>
      <c r="I35">
        <f>IF('CL quarter IBNR'!I19&gt;0,I17/'CL quarter IBNR'!I19,"")</f>
        <v>0.68408045025044806</v>
      </c>
      <c r="J35">
        <f>IF('CL quarter IBNR'!J19&gt;0,J17/'CL quarter IBNR'!J19,"")</f>
        <v>1.0628234137044317</v>
      </c>
      <c r="K35">
        <f>IF('CL quarter IBNR'!K19&gt;0,K17/'CL quarter IBNR'!K19,"")</f>
        <v>0.38758538905537743</v>
      </c>
      <c r="L35">
        <f>IF('CL quarter IBNR'!L19&gt;0,L17/'CL quarter IBNR'!L19,"")</f>
        <v>0.70757195501286685</v>
      </c>
      <c r="M35">
        <f>IF('CL quarter IBNR'!M19&gt;0,M17/'CL quarter IBNR'!M19,"")</f>
        <v>1.2925945076505831</v>
      </c>
      <c r="N35">
        <f>IF('CL quarter IBNR'!N19&gt;0,N17/'CL quarter IBNR'!N19,"")</f>
        <v>0</v>
      </c>
      <c r="O35">
        <f>IF('CL quarter IBNR'!O19&gt;0,O17/'CL quarter IBNR'!O19,"")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Exposure</vt:lpstr>
      <vt:lpstr>IBNR</vt:lpstr>
      <vt:lpstr>comparison</vt:lpstr>
      <vt:lpstr>Exposure_quarter</vt:lpstr>
      <vt:lpstr>IBNR_quarter</vt:lpstr>
      <vt:lpstr>comparison quarter</vt:lpstr>
      <vt:lpstr>CL</vt:lpstr>
      <vt:lpstr>CL IBNR</vt:lpstr>
      <vt:lpstr>CL-comparison</vt:lpstr>
      <vt:lpstr>CL quarter</vt:lpstr>
      <vt:lpstr>CL quarter IBNR</vt:lpstr>
      <vt:lpstr>CL-comparison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2024-08-06T10:33:51Z</dcterms:modified>
</cp:coreProperties>
</file>