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_avanzi_unimelb_edu_au/Documents/Documents/Teaching 20 onwards/2024/24 20004 90021/PG tutorials/wk6/"/>
    </mc:Choice>
  </mc:AlternateContent>
  <xr:revisionPtr revIDLastSave="55" documentId="13_ncr:1_{EDD25CB4-CF4E-7147-96AA-EC016799BC9B}" xr6:coauthVersionLast="47" xr6:coauthVersionMax="47" xr10:uidLastSave="{F854E699-F332-344D-B5FF-2E996D8797D5}"/>
  <bookViews>
    <workbookView xWindow="-43100" yWindow="-1860" windowWidth="29400" windowHeight="20820" activeTab="8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  <sheet name="LRcomb1 Comparison" sheetId="7" r:id="rId7"/>
    <sheet name="LRcomb2 average claim size" sheetId="10" r:id="rId8"/>
    <sheet name="LRcomb3 case reserves" sheetId="9" r:id="rId9"/>
    <sheet name="LRcomb4 B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/>
  <c r="C31" i="10"/>
  <c r="B31" i="10"/>
  <c r="C71" i="7"/>
  <c r="B20" i="6"/>
  <c r="C16" i="7"/>
  <c r="C29" i="7" s="1"/>
  <c r="D16" i="7"/>
  <c r="E16" i="7"/>
  <c r="F16" i="7"/>
  <c r="G16" i="7"/>
  <c r="C17" i="7"/>
  <c r="D17" i="7"/>
  <c r="E17" i="7"/>
  <c r="E30" i="7" s="1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F33" i="7" s="1"/>
  <c r="C21" i="7"/>
  <c r="D21" i="7"/>
  <c r="E21" i="7"/>
  <c r="F21" i="7"/>
  <c r="C22" i="7"/>
  <c r="D22" i="7"/>
  <c r="E22" i="7"/>
  <c r="F22" i="7"/>
  <c r="C23" i="7"/>
  <c r="D23" i="7"/>
  <c r="D36" i="7" s="1"/>
  <c r="E23" i="7"/>
  <c r="F23" i="7"/>
  <c r="C24" i="7"/>
  <c r="C37" i="7" s="1"/>
  <c r="D24" i="7"/>
  <c r="E24" i="7"/>
  <c r="F24" i="7"/>
  <c r="C25" i="7"/>
  <c r="D25" i="7"/>
  <c r="E25" i="7"/>
  <c r="E38" i="7" s="1"/>
  <c r="F25" i="7"/>
  <c r="B29" i="7"/>
  <c r="D29" i="7"/>
  <c r="E29" i="7"/>
  <c r="F29" i="7"/>
  <c r="G29" i="7"/>
  <c r="B30" i="7"/>
  <c r="C30" i="7"/>
  <c r="D30" i="7"/>
  <c r="F30" i="7"/>
  <c r="B31" i="7"/>
  <c r="C31" i="7"/>
  <c r="D31" i="7"/>
  <c r="E31" i="7"/>
  <c r="F31" i="7"/>
  <c r="B32" i="7"/>
  <c r="C32" i="7"/>
  <c r="D32" i="7"/>
  <c r="E32" i="7"/>
  <c r="F32" i="7"/>
  <c r="B33" i="7"/>
  <c r="D33" i="7"/>
  <c r="E33" i="7"/>
  <c r="B34" i="7"/>
  <c r="C34" i="7"/>
  <c r="D34" i="7"/>
  <c r="F34" i="7"/>
  <c r="B35" i="7"/>
  <c r="C35" i="7"/>
  <c r="D35" i="7"/>
  <c r="E35" i="7"/>
  <c r="F35" i="7"/>
  <c r="B36" i="7"/>
  <c r="C36" i="7"/>
  <c r="E36" i="7"/>
  <c r="F36" i="7"/>
  <c r="B37" i="7"/>
  <c r="D37" i="7"/>
  <c r="E37" i="7"/>
  <c r="F37" i="7"/>
  <c r="B38" i="7"/>
  <c r="C38" i="7"/>
  <c r="D38" i="7"/>
  <c r="F38" i="7"/>
  <c r="C42" i="7"/>
  <c r="D42" i="7"/>
  <c r="D56" i="7" s="1"/>
  <c r="E42" i="7"/>
  <c r="F42" i="7"/>
  <c r="G42" i="7"/>
  <c r="C43" i="7"/>
  <c r="C57" i="7" s="1"/>
  <c r="D43" i="7"/>
  <c r="E43" i="7"/>
  <c r="F43" i="7"/>
  <c r="F71" i="7" s="1"/>
  <c r="C44" i="7"/>
  <c r="D44" i="7"/>
  <c r="E44" i="7"/>
  <c r="E72" i="7" s="1"/>
  <c r="F44" i="7"/>
  <c r="C45" i="7"/>
  <c r="D45" i="7"/>
  <c r="E45" i="7"/>
  <c r="F45" i="7"/>
  <c r="C46" i="7"/>
  <c r="D46" i="7"/>
  <c r="D74" i="7" s="1"/>
  <c r="E46" i="7"/>
  <c r="F46" i="7"/>
  <c r="C47" i="7"/>
  <c r="C75" i="7" s="1"/>
  <c r="D47" i="7"/>
  <c r="E47" i="7"/>
  <c r="F47" i="7"/>
  <c r="F61" i="7" s="1"/>
  <c r="C48" i="7"/>
  <c r="D48" i="7"/>
  <c r="E48" i="7"/>
  <c r="E62" i="7" s="1"/>
  <c r="F48" i="7"/>
  <c r="C49" i="7"/>
  <c r="D49" i="7"/>
  <c r="E49" i="7"/>
  <c r="F49" i="7"/>
  <c r="C50" i="7"/>
  <c r="D50" i="7"/>
  <c r="D78" i="7" s="1"/>
  <c r="E50" i="7"/>
  <c r="F50" i="7"/>
  <c r="C51" i="7"/>
  <c r="C65" i="7" s="1"/>
  <c r="D51" i="7"/>
  <c r="E51" i="7"/>
  <c r="F51" i="7"/>
  <c r="F79" i="7" s="1"/>
  <c r="B52" i="7"/>
  <c r="B56" i="7"/>
  <c r="C56" i="7"/>
  <c r="E56" i="7"/>
  <c r="F56" i="7"/>
  <c r="G56" i="7"/>
  <c r="B57" i="7"/>
  <c r="D57" i="7"/>
  <c r="E57" i="7"/>
  <c r="F57" i="7"/>
  <c r="B58" i="7"/>
  <c r="C58" i="7"/>
  <c r="D58" i="7"/>
  <c r="F58" i="7"/>
  <c r="B59" i="7"/>
  <c r="C59" i="7"/>
  <c r="D59" i="7"/>
  <c r="E59" i="7"/>
  <c r="F59" i="7"/>
  <c r="B60" i="7"/>
  <c r="C60" i="7"/>
  <c r="D60" i="7"/>
  <c r="E60" i="7"/>
  <c r="F60" i="7"/>
  <c r="B61" i="7"/>
  <c r="D61" i="7"/>
  <c r="E61" i="7"/>
  <c r="B62" i="7"/>
  <c r="C62" i="7"/>
  <c r="D62" i="7"/>
  <c r="F62" i="7"/>
  <c r="B63" i="7"/>
  <c r="C63" i="7"/>
  <c r="D63" i="7"/>
  <c r="E63" i="7"/>
  <c r="F63" i="7"/>
  <c r="B64" i="7"/>
  <c r="C64" i="7"/>
  <c r="E64" i="7"/>
  <c r="F64" i="7"/>
  <c r="B65" i="7"/>
  <c r="D65" i="7"/>
  <c r="E65" i="7"/>
  <c r="F65" i="7"/>
  <c r="B66" i="7"/>
  <c r="B71" i="7"/>
  <c r="D71" i="7"/>
  <c r="E71" i="7"/>
  <c r="B72" i="7"/>
  <c r="C72" i="7"/>
  <c r="D72" i="7"/>
  <c r="F72" i="7"/>
  <c r="B73" i="7"/>
  <c r="C73" i="7"/>
  <c r="D73" i="7"/>
  <c r="E73" i="7"/>
  <c r="F73" i="7"/>
  <c r="B74" i="7"/>
  <c r="C74" i="7"/>
  <c r="E74" i="7"/>
  <c r="F74" i="7"/>
  <c r="B75" i="7"/>
  <c r="D75" i="7"/>
  <c r="E75" i="7"/>
  <c r="B76" i="7"/>
  <c r="C76" i="7"/>
  <c r="D76" i="7"/>
  <c r="E76" i="7"/>
  <c r="F76" i="7"/>
  <c r="B77" i="7"/>
  <c r="C77" i="7"/>
  <c r="D77" i="7"/>
  <c r="E77" i="7"/>
  <c r="F77" i="7"/>
  <c r="B78" i="7"/>
  <c r="C78" i="7"/>
  <c r="E78" i="7"/>
  <c r="F78" i="7"/>
  <c r="B79" i="7"/>
  <c r="C79" i="7"/>
  <c r="D79" i="7"/>
  <c r="E79" i="7"/>
  <c r="B80" i="7"/>
  <c r="B32" i="10"/>
  <c r="B33" i="10"/>
  <c r="B34" i="10"/>
  <c r="B35" i="10"/>
  <c r="B36" i="10"/>
  <c r="B37" i="10"/>
  <c r="B38" i="10"/>
  <c r="B39" i="10"/>
  <c r="B40" i="10"/>
  <c r="B45" i="10"/>
  <c r="B48" i="10"/>
  <c r="B49" i="10"/>
  <c r="B50" i="10"/>
  <c r="B51" i="10"/>
  <c r="B52" i="10"/>
  <c r="B53" i="10"/>
  <c r="B62" i="10"/>
  <c r="B63" i="10"/>
  <c r="B64" i="10"/>
  <c r="B65" i="10"/>
  <c r="B66" i="10"/>
  <c r="B67" i="10"/>
  <c r="B4" i="9"/>
  <c r="C4" i="9"/>
  <c r="C18" i="9" s="1"/>
  <c r="D4" i="9"/>
  <c r="D18" i="9" s="1"/>
  <c r="E4" i="9"/>
  <c r="E18" i="9" s="1"/>
  <c r="F4" i="9"/>
  <c r="G4" i="9"/>
  <c r="C5" i="9"/>
  <c r="D5" i="9"/>
  <c r="E5" i="9"/>
  <c r="F5" i="9"/>
  <c r="F19" i="9" s="1"/>
  <c r="B6" i="9"/>
  <c r="C6" i="9"/>
  <c r="D6" i="9"/>
  <c r="E6" i="9"/>
  <c r="E20" i="9" s="1"/>
  <c r="F6" i="9"/>
  <c r="F20" i="9" s="1"/>
  <c r="B7" i="9"/>
  <c r="E21" i="9" s="1"/>
  <c r="C7" i="9"/>
  <c r="C14" i="9" s="1"/>
  <c r="D7" i="9"/>
  <c r="E7" i="9"/>
  <c r="F7" i="9"/>
  <c r="B8" i="9"/>
  <c r="B36" i="9" s="1"/>
  <c r="C8" i="9"/>
  <c r="D8" i="9"/>
  <c r="E8" i="9"/>
  <c r="F8" i="9"/>
  <c r="B9" i="9"/>
  <c r="B37" i="9" s="1"/>
  <c r="C9" i="9"/>
  <c r="C23" i="9" s="1"/>
  <c r="D9" i="9"/>
  <c r="D37" i="9" s="1"/>
  <c r="E9" i="9"/>
  <c r="F9" i="9"/>
  <c r="B10" i="9"/>
  <c r="C10" i="9"/>
  <c r="C24" i="9" s="1"/>
  <c r="D10" i="9"/>
  <c r="D24" i="9" s="1"/>
  <c r="E10" i="9"/>
  <c r="E38" i="9" s="1"/>
  <c r="F10" i="9"/>
  <c r="F38" i="9" s="1"/>
  <c r="B11" i="9"/>
  <c r="B25" i="9" s="1"/>
  <c r="C11" i="9"/>
  <c r="D11" i="9"/>
  <c r="D25" i="9" s="1"/>
  <c r="E11" i="9"/>
  <c r="E25" i="9" s="1"/>
  <c r="F11" i="9"/>
  <c r="F39" i="9" s="1"/>
  <c r="B12" i="9"/>
  <c r="B26" i="9" s="1"/>
  <c r="C12" i="9"/>
  <c r="D12" i="9"/>
  <c r="E12" i="9"/>
  <c r="E26" i="9" s="1"/>
  <c r="F12" i="9"/>
  <c r="B13" i="9"/>
  <c r="C13" i="9"/>
  <c r="D13" i="9"/>
  <c r="E13" i="9"/>
  <c r="F13" i="9"/>
  <c r="B18" i="9"/>
  <c r="E19" i="9"/>
  <c r="B24" i="9"/>
  <c r="E27" i="9"/>
  <c r="B38" i="9"/>
  <c r="C38" i="9"/>
  <c r="D38" i="9"/>
  <c r="E39" i="9"/>
  <c r="C2" i="11"/>
  <c r="C3" i="11" s="1"/>
  <c r="F2" i="11"/>
  <c r="E3" i="11"/>
  <c r="E4" i="11"/>
  <c r="E5" i="11"/>
  <c r="E6" i="11"/>
  <c r="E7" i="11"/>
  <c r="E8" i="11"/>
  <c r="E9" i="11"/>
  <c r="E10" i="11"/>
  <c r="E11" i="11"/>
  <c r="R13" i="4"/>
  <c r="Z13" i="4"/>
  <c r="Y13" i="4"/>
  <c r="X13" i="4"/>
  <c r="W13" i="4"/>
  <c r="V13" i="4"/>
  <c r="U13" i="4"/>
  <c r="G13" i="4" s="1"/>
  <c r="T13" i="4"/>
  <c r="S13" i="4"/>
  <c r="Z12" i="4"/>
  <c r="Y12" i="4"/>
  <c r="X12" i="4"/>
  <c r="W12" i="4"/>
  <c r="V12" i="4"/>
  <c r="U12" i="4"/>
  <c r="G12" i="4" s="1"/>
  <c r="T12" i="4"/>
  <c r="S12" i="4"/>
  <c r="Z11" i="4"/>
  <c r="Y11" i="4"/>
  <c r="X11" i="4"/>
  <c r="W11" i="4"/>
  <c r="V11" i="4"/>
  <c r="U11" i="4"/>
  <c r="G11" i="4" s="1"/>
  <c r="T11" i="4"/>
  <c r="Z10" i="4"/>
  <c r="Y10" i="4"/>
  <c r="X10" i="4"/>
  <c r="W10" i="4"/>
  <c r="V10" i="4"/>
  <c r="U10" i="4"/>
  <c r="Z9" i="4"/>
  <c r="Y9" i="4"/>
  <c r="X9" i="4"/>
  <c r="W9" i="4"/>
  <c r="V9" i="4"/>
  <c r="Z8" i="4"/>
  <c r="Y8" i="4"/>
  <c r="X8" i="4"/>
  <c r="W8" i="4"/>
  <c r="Z7" i="4"/>
  <c r="Y7" i="4"/>
  <c r="X7" i="4"/>
  <c r="Z6" i="4"/>
  <c r="Y6" i="4"/>
  <c r="Z5" i="4"/>
  <c r="AA5" i="4" s="1"/>
  <c r="AA4" i="4"/>
  <c r="K80" i="5"/>
  <c r="J80" i="5"/>
  <c r="I80" i="5"/>
  <c r="H80" i="5"/>
  <c r="G80" i="5"/>
  <c r="F80" i="5"/>
  <c r="E80" i="5"/>
  <c r="D80" i="5"/>
  <c r="C80" i="5"/>
  <c r="K29" i="5"/>
  <c r="J29" i="5"/>
  <c r="I29" i="5"/>
  <c r="H29" i="5"/>
  <c r="G29" i="5"/>
  <c r="F29" i="5"/>
  <c r="E29" i="5"/>
  <c r="D29" i="5"/>
  <c r="C29" i="5"/>
  <c r="K80" i="2"/>
  <c r="J80" i="2"/>
  <c r="I80" i="2"/>
  <c r="H80" i="2"/>
  <c r="G80" i="2"/>
  <c r="F80" i="2"/>
  <c r="E80" i="2"/>
  <c r="D80" i="2"/>
  <c r="C80" i="2"/>
  <c r="K29" i="2"/>
  <c r="J29" i="2"/>
  <c r="I29" i="2"/>
  <c r="H29" i="2"/>
  <c r="G29" i="2"/>
  <c r="F29" i="2"/>
  <c r="E29" i="2"/>
  <c r="D29" i="2"/>
  <c r="C29" i="2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C43" i="5"/>
  <c r="D43" i="5"/>
  <c r="E43" i="5"/>
  <c r="F43" i="5"/>
  <c r="G43" i="5"/>
  <c r="H43" i="5"/>
  <c r="C44" i="5"/>
  <c r="D44" i="5"/>
  <c r="E44" i="5"/>
  <c r="F44" i="5"/>
  <c r="G44" i="5"/>
  <c r="C45" i="5"/>
  <c r="D45" i="5"/>
  <c r="E45" i="5"/>
  <c r="F45" i="5"/>
  <c r="C46" i="5"/>
  <c r="D46" i="5"/>
  <c r="E46" i="5"/>
  <c r="C47" i="5"/>
  <c r="D47" i="5"/>
  <c r="C48" i="5"/>
  <c r="C25" i="9" l="1"/>
  <c r="F36" i="9"/>
  <c r="D26" i="9"/>
  <c r="D40" i="9"/>
  <c r="C26" i="9"/>
  <c r="D36" i="9"/>
  <c r="B40" i="9"/>
  <c r="C36" i="9"/>
  <c r="F26" i="9"/>
  <c r="D39" i="9"/>
  <c r="B23" i="9"/>
  <c r="E40" i="9"/>
  <c r="C39" i="9"/>
  <c r="F22" i="9"/>
  <c r="B39" i="9"/>
  <c r="B22" i="9"/>
  <c r="C40" i="9"/>
  <c r="F14" i="9"/>
  <c r="F21" i="9"/>
  <c r="F27" i="9"/>
  <c r="C34" i="9"/>
  <c r="F40" i="9"/>
  <c r="C37" i="9"/>
  <c r="F18" i="9"/>
  <c r="E14" i="9"/>
  <c r="F37" i="9"/>
  <c r="D14" i="9"/>
  <c r="E37" i="9"/>
  <c r="C35" i="9"/>
  <c r="G18" i="9"/>
  <c r="F75" i="7"/>
  <c r="F52" i="7"/>
  <c r="E34" i="7"/>
  <c r="C61" i="7"/>
  <c r="E52" i="7"/>
  <c r="C33" i="7"/>
  <c r="D64" i="7"/>
  <c r="C52" i="7"/>
  <c r="E58" i="7"/>
  <c r="D52" i="7"/>
  <c r="B54" i="10"/>
  <c r="B46" i="10"/>
  <c r="B47" i="10"/>
  <c r="B68" i="10"/>
  <c r="B60" i="10"/>
  <c r="B61" i="10"/>
  <c r="B41" i="10"/>
  <c r="F35" i="9"/>
  <c r="E34" i="9"/>
  <c r="D33" i="9"/>
  <c r="B27" i="9"/>
  <c r="F23" i="9"/>
  <c r="E22" i="9"/>
  <c r="D21" i="9"/>
  <c r="C20" i="9"/>
  <c r="B19" i="9"/>
  <c r="C41" i="9"/>
  <c r="E35" i="9"/>
  <c r="D34" i="9"/>
  <c r="C33" i="9"/>
  <c r="F24" i="9"/>
  <c r="E23" i="9"/>
  <c r="D22" i="9"/>
  <c r="C21" i="9"/>
  <c r="B20" i="9"/>
  <c r="F34" i="9"/>
  <c r="B41" i="9"/>
  <c r="E36" i="9"/>
  <c r="D35" i="9"/>
  <c r="B33" i="9"/>
  <c r="F25" i="9"/>
  <c r="E24" i="9"/>
  <c r="D23" i="9"/>
  <c r="C22" i="9"/>
  <c r="B21" i="9"/>
  <c r="D27" i="9"/>
  <c r="D19" i="9"/>
  <c r="B14" i="9"/>
  <c r="E33" i="9"/>
  <c r="C27" i="9"/>
  <c r="D20" i="9"/>
  <c r="C19" i="9"/>
  <c r="D41" i="9"/>
  <c r="B34" i="9"/>
  <c r="F41" i="9"/>
  <c r="F33" i="9"/>
  <c r="E41" i="9"/>
  <c r="B35" i="9"/>
  <c r="D3" i="11"/>
  <c r="F3" i="11" s="1"/>
  <c r="C4" i="11"/>
  <c r="AA10" i="4"/>
  <c r="AA6" i="4"/>
  <c r="AA8" i="4"/>
  <c r="AA13" i="4"/>
  <c r="AA9" i="4"/>
  <c r="AA7" i="4"/>
  <c r="AA12" i="4"/>
  <c r="AA11" i="4"/>
  <c r="K91" i="5"/>
  <c r="J91" i="5"/>
  <c r="J92" i="5"/>
  <c r="I91" i="5"/>
  <c r="I92" i="5"/>
  <c r="I93" i="5"/>
  <c r="H91" i="5"/>
  <c r="H92" i="5"/>
  <c r="H93" i="5"/>
  <c r="H94" i="5"/>
  <c r="G91" i="5"/>
  <c r="G92" i="5"/>
  <c r="G93" i="5"/>
  <c r="G94" i="5"/>
  <c r="G95" i="5"/>
  <c r="F91" i="5"/>
  <c r="F92" i="5"/>
  <c r="F93" i="5"/>
  <c r="F94" i="5"/>
  <c r="F95" i="5"/>
  <c r="F96" i="5"/>
  <c r="E91" i="5"/>
  <c r="E92" i="5"/>
  <c r="E93" i="5"/>
  <c r="E94" i="5"/>
  <c r="E95" i="5"/>
  <c r="E96" i="5"/>
  <c r="E97" i="5"/>
  <c r="D91" i="5"/>
  <c r="D92" i="5"/>
  <c r="D93" i="5"/>
  <c r="D94" i="5"/>
  <c r="D95" i="5"/>
  <c r="D96" i="5"/>
  <c r="D97" i="5"/>
  <c r="D98" i="5"/>
  <c r="E90" i="5"/>
  <c r="F90" i="5"/>
  <c r="G90" i="5"/>
  <c r="H90" i="5"/>
  <c r="I90" i="5"/>
  <c r="J90" i="5"/>
  <c r="K90" i="5"/>
  <c r="L90" i="5"/>
  <c r="D90" i="5"/>
  <c r="C91" i="5"/>
  <c r="C92" i="5"/>
  <c r="C93" i="5"/>
  <c r="C94" i="5"/>
  <c r="C95" i="5"/>
  <c r="C96" i="5"/>
  <c r="C97" i="5"/>
  <c r="C98" i="5"/>
  <c r="C99" i="5"/>
  <c r="C90" i="5"/>
  <c r="C55" i="5"/>
  <c r="B18" i="1"/>
  <c r="C4" i="5"/>
  <c r="A3" i="11"/>
  <c r="A4" i="11"/>
  <c r="A5" i="11"/>
  <c r="A6" i="11"/>
  <c r="A7" i="11"/>
  <c r="A8" i="11"/>
  <c r="A9" i="11"/>
  <c r="A10" i="11"/>
  <c r="A11" i="11"/>
  <c r="A2" i="11"/>
  <c r="A61" i="6"/>
  <c r="A53" i="6"/>
  <c r="A54" i="6"/>
  <c r="A55" i="6"/>
  <c r="A56" i="6"/>
  <c r="A57" i="6"/>
  <c r="A58" i="6"/>
  <c r="A59" i="6"/>
  <c r="A60" i="6"/>
  <c r="A52" i="6"/>
  <c r="K46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19" i="6" s="1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7" i="6"/>
  <c r="B21" i="6" s="1"/>
  <c r="B8" i="6"/>
  <c r="B22" i="6" s="1"/>
  <c r="B9" i="6"/>
  <c r="B23" i="6" s="1"/>
  <c r="B10" i="6"/>
  <c r="B24" i="6" s="1"/>
  <c r="B11" i="6"/>
  <c r="B25" i="6" s="1"/>
  <c r="B12" i="6"/>
  <c r="B26" i="6" s="1"/>
  <c r="B13" i="6"/>
  <c r="B27" i="6" s="1"/>
  <c r="C4" i="6"/>
  <c r="C18" i="6" s="1"/>
  <c r="D4" i="6"/>
  <c r="D18" i="6" s="1"/>
  <c r="E4" i="6"/>
  <c r="E18" i="6" s="1"/>
  <c r="F4" i="6"/>
  <c r="F18" i="6" s="1"/>
  <c r="G4" i="6"/>
  <c r="G18" i="6" s="1"/>
  <c r="H4" i="6"/>
  <c r="H18" i="6" s="1"/>
  <c r="I4" i="6"/>
  <c r="I18" i="6" s="1"/>
  <c r="J4" i="6"/>
  <c r="J18" i="6" s="1"/>
  <c r="K4" i="6"/>
  <c r="B4" i="6"/>
  <c r="B18" i="6" s="1"/>
  <c r="E28" i="9" l="1"/>
  <c r="K18" i="6"/>
  <c r="J43" i="6" s="1"/>
  <c r="C3" i="7"/>
  <c r="F43" i="6"/>
  <c r="D66" i="7"/>
  <c r="D80" i="7"/>
  <c r="E80" i="7"/>
  <c r="E66" i="7"/>
  <c r="F80" i="7"/>
  <c r="F66" i="7"/>
  <c r="C66" i="7"/>
  <c r="C80" i="7"/>
  <c r="B69" i="10"/>
  <c r="B55" i="10"/>
  <c r="F42" i="9"/>
  <c r="C42" i="9"/>
  <c r="B42" i="9"/>
  <c r="B28" i="9"/>
  <c r="C28" i="9"/>
  <c r="E42" i="9"/>
  <c r="D42" i="9"/>
  <c r="F28" i="9"/>
  <c r="D28" i="9"/>
  <c r="C5" i="11"/>
  <c r="D4" i="11"/>
  <c r="F4" i="11" s="1"/>
  <c r="E43" i="6"/>
  <c r="D43" i="6"/>
  <c r="C43" i="6"/>
  <c r="B43" i="6"/>
  <c r="I43" i="6"/>
  <c r="H43" i="6"/>
  <c r="G43" i="6"/>
  <c r="D32" i="6"/>
  <c r="C32" i="6"/>
  <c r="B32" i="6"/>
  <c r="C37" i="6"/>
  <c r="F35" i="6"/>
  <c r="G34" i="6"/>
  <c r="H33" i="6"/>
  <c r="F33" i="6"/>
  <c r="D34" i="6"/>
  <c r="H34" i="6"/>
  <c r="C36" i="6"/>
  <c r="C33" i="6"/>
  <c r="D37" i="6"/>
  <c r="G33" i="6"/>
  <c r="B33" i="6"/>
  <c r="B38" i="6"/>
  <c r="B37" i="6"/>
  <c r="B39" i="6"/>
  <c r="E36" i="6"/>
  <c r="E35" i="6"/>
  <c r="E34" i="6"/>
  <c r="E33" i="6"/>
  <c r="B34" i="6"/>
  <c r="B36" i="6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D3" i="7" l="1"/>
  <c r="D31" i="10"/>
  <c r="E31" i="10"/>
  <c r="E45" i="10" s="1"/>
  <c r="G31" i="10"/>
  <c r="F31" i="10"/>
  <c r="D5" i="11"/>
  <c r="F5" i="11" s="1"/>
  <c r="C6" i="11"/>
  <c r="H46" i="6"/>
  <c r="B55" i="6" s="1"/>
  <c r="B53" i="6"/>
  <c r="I46" i="6"/>
  <c r="B54" i="6" s="1"/>
  <c r="D46" i="6"/>
  <c r="B59" i="6" s="1"/>
  <c r="C46" i="6"/>
  <c r="B46" i="6"/>
  <c r="B47" i="6" s="1"/>
  <c r="E46" i="6"/>
  <c r="G46" i="6"/>
  <c r="B56" i="6" s="1"/>
  <c r="D52" i="6"/>
  <c r="H16" i="7" s="1"/>
  <c r="F46" i="6"/>
  <c r="B57" i="6" s="1"/>
  <c r="D47" i="6" l="1"/>
  <c r="C45" i="10"/>
  <c r="G45" i="10"/>
  <c r="F45" i="10"/>
  <c r="H31" i="10"/>
  <c r="H29" i="7"/>
  <c r="D45" i="10"/>
  <c r="C7" i="11"/>
  <c r="D6" i="11"/>
  <c r="F6" i="11" s="1"/>
  <c r="J47" i="6"/>
  <c r="B61" i="6"/>
  <c r="B60" i="6"/>
  <c r="H47" i="6"/>
  <c r="I47" i="6"/>
  <c r="E47" i="6"/>
  <c r="B58" i="6"/>
  <c r="C47" i="6"/>
  <c r="F47" i="6"/>
  <c r="G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H45" i="10" l="1"/>
  <c r="D7" i="11"/>
  <c r="F7" i="11" s="1"/>
  <c r="C8" i="11"/>
  <c r="E110" i="5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C9" i="11" l="1"/>
  <c r="D8" i="11"/>
  <c r="F8" i="11" s="1"/>
  <c r="C72" i="5"/>
  <c r="E12" i="6"/>
  <c r="D12" i="6"/>
  <c r="K55" i="5"/>
  <c r="M7" i="4"/>
  <c r="J7" i="6"/>
  <c r="I7" i="6"/>
  <c r="K7" i="6"/>
  <c r="C6" i="7" s="1"/>
  <c r="M6" i="4"/>
  <c r="D34" i="4" s="1"/>
  <c r="K6" i="6"/>
  <c r="C5" i="7" s="1"/>
  <c r="J6" i="6"/>
  <c r="I11" i="6"/>
  <c r="E11" i="6"/>
  <c r="H10" i="6"/>
  <c r="F10" i="6"/>
  <c r="I10" i="6"/>
  <c r="G10" i="6"/>
  <c r="J10" i="6"/>
  <c r="K10" i="6"/>
  <c r="C9" i="7" s="1"/>
  <c r="M9" i="4"/>
  <c r="F37" i="4" s="1"/>
  <c r="J9" i="6"/>
  <c r="I9" i="6"/>
  <c r="H9" i="6"/>
  <c r="K9" i="6"/>
  <c r="C8" i="7" s="1"/>
  <c r="G9" i="6"/>
  <c r="I8" i="6"/>
  <c r="K8" i="6"/>
  <c r="C7" i="7" s="1"/>
  <c r="J8" i="6"/>
  <c r="H8" i="6"/>
  <c r="L55" i="5"/>
  <c r="I58" i="5"/>
  <c r="G57" i="5"/>
  <c r="F71" i="5" s="1"/>
  <c r="G58" i="5"/>
  <c r="C13" i="6"/>
  <c r="J13" i="6"/>
  <c r="H13" i="6"/>
  <c r="F13" i="6"/>
  <c r="D13" i="6"/>
  <c r="I13" i="6"/>
  <c r="K13" i="6"/>
  <c r="C12" i="7" s="1"/>
  <c r="E13" i="6"/>
  <c r="G13" i="6"/>
  <c r="M5" i="4"/>
  <c r="F33" i="4" s="1"/>
  <c r="K5" i="6"/>
  <c r="C4" i="7" s="1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C69" i="5"/>
  <c r="D113" i="5"/>
  <c r="E113" i="5" s="1"/>
  <c r="D75" i="5"/>
  <c r="H57" i="5"/>
  <c r="G71" i="5" s="1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J12" i="6"/>
  <c r="M10" i="4"/>
  <c r="D37" i="10" l="1"/>
  <c r="C37" i="10"/>
  <c r="F37" i="10"/>
  <c r="E37" i="10"/>
  <c r="D9" i="7"/>
  <c r="D7" i="7"/>
  <c r="E35" i="10"/>
  <c r="F35" i="10"/>
  <c r="D35" i="10"/>
  <c r="C35" i="10"/>
  <c r="D4" i="7"/>
  <c r="C32" i="10"/>
  <c r="D32" i="10"/>
  <c r="F32" i="10"/>
  <c r="E32" i="10"/>
  <c r="D33" i="10"/>
  <c r="C33" i="10"/>
  <c r="F33" i="10"/>
  <c r="E33" i="10"/>
  <c r="D5" i="7"/>
  <c r="D12" i="7"/>
  <c r="C40" i="10"/>
  <c r="D40" i="10"/>
  <c r="F40" i="10"/>
  <c r="E40" i="10"/>
  <c r="C34" i="10"/>
  <c r="E34" i="10"/>
  <c r="F34" i="10"/>
  <c r="D6" i="7"/>
  <c r="D34" i="10"/>
  <c r="D8" i="7"/>
  <c r="C36" i="10"/>
  <c r="D36" i="10"/>
  <c r="F36" i="10"/>
  <c r="E36" i="10"/>
  <c r="D9" i="11"/>
  <c r="F9" i="11" s="1"/>
  <c r="C10" i="11"/>
  <c r="D74" i="5"/>
  <c r="E70" i="5"/>
  <c r="K69" i="5"/>
  <c r="K79" i="5" s="1"/>
  <c r="K81" i="5" s="1"/>
  <c r="K83" i="5" s="1"/>
  <c r="L84" i="5" s="1"/>
  <c r="J69" i="5"/>
  <c r="E74" i="5"/>
  <c r="H71" i="5"/>
  <c r="E72" i="5"/>
  <c r="E73" i="5"/>
  <c r="C53" i="6"/>
  <c r="D53" i="6" s="1"/>
  <c r="H17" i="7" s="1"/>
  <c r="C55" i="6"/>
  <c r="D55" i="6" s="1"/>
  <c r="H19" i="7" s="1"/>
  <c r="C56" i="6"/>
  <c r="D56" i="6" s="1"/>
  <c r="H20" i="7" s="1"/>
  <c r="C54" i="6"/>
  <c r="D54" i="6" s="1"/>
  <c r="H18" i="7" s="1"/>
  <c r="H31" i="7" s="1"/>
  <c r="C61" i="6"/>
  <c r="D61" i="6" s="1"/>
  <c r="H25" i="7" s="1"/>
  <c r="C57" i="6"/>
  <c r="D57" i="6" s="1"/>
  <c r="H21" i="7" s="1"/>
  <c r="C58" i="6"/>
  <c r="D58" i="6" s="1"/>
  <c r="H22" i="7" s="1"/>
  <c r="F42" i="4"/>
  <c r="C79" i="5"/>
  <c r="C81" i="5" s="1"/>
  <c r="J33" i="4"/>
  <c r="D79" i="5"/>
  <c r="D81" i="5" s="1"/>
  <c r="I12" i="6"/>
  <c r="K12" i="6"/>
  <c r="C11" i="7" s="1"/>
  <c r="G33" i="4"/>
  <c r="G42" i="4" s="1"/>
  <c r="I33" i="4"/>
  <c r="I42" i="4" s="1"/>
  <c r="K11" i="6"/>
  <c r="C10" i="7" s="1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L91" i="5"/>
  <c r="G111" i="5" s="1"/>
  <c r="C33" i="5"/>
  <c r="D119" i="5"/>
  <c r="E119" i="5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C62" i="10" l="1"/>
  <c r="C48" i="10"/>
  <c r="H32" i="7"/>
  <c r="H34" i="10"/>
  <c r="E54" i="10"/>
  <c r="E68" i="10"/>
  <c r="D60" i="10"/>
  <c r="D46" i="10"/>
  <c r="E47" i="10"/>
  <c r="E61" i="10"/>
  <c r="F47" i="10"/>
  <c r="F61" i="10"/>
  <c r="H32" i="10"/>
  <c r="H30" i="7"/>
  <c r="C61" i="10"/>
  <c r="C47" i="10"/>
  <c r="C46" i="10"/>
  <c r="C60" i="10"/>
  <c r="F38" i="10"/>
  <c r="E38" i="10"/>
  <c r="D10" i="7"/>
  <c r="C38" i="10"/>
  <c r="D38" i="10"/>
  <c r="F54" i="10"/>
  <c r="F68" i="10"/>
  <c r="H35" i="7"/>
  <c r="H37" i="10"/>
  <c r="D68" i="10"/>
  <c r="D54" i="10"/>
  <c r="C63" i="10"/>
  <c r="C49" i="10"/>
  <c r="E51" i="10"/>
  <c r="E65" i="10"/>
  <c r="C64" i="10"/>
  <c r="C50" i="10"/>
  <c r="D62" i="10"/>
  <c r="D48" i="10"/>
  <c r="D47" i="10"/>
  <c r="D61" i="10"/>
  <c r="H34" i="7"/>
  <c r="H36" i="10"/>
  <c r="E64" i="10"/>
  <c r="E50" i="10"/>
  <c r="C68" i="10"/>
  <c r="C54" i="10"/>
  <c r="H33" i="10"/>
  <c r="F65" i="10"/>
  <c r="F51" i="10"/>
  <c r="H35" i="10"/>
  <c r="H33" i="7"/>
  <c r="E63" i="10"/>
  <c r="E49" i="10"/>
  <c r="D11" i="7"/>
  <c r="D39" i="10"/>
  <c r="E39" i="10"/>
  <c r="F39" i="10"/>
  <c r="C39" i="10"/>
  <c r="H40" i="10"/>
  <c r="H38" i="7"/>
  <c r="F64" i="10"/>
  <c r="F50" i="10"/>
  <c r="F48" i="10"/>
  <c r="F62" i="10"/>
  <c r="E46" i="10"/>
  <c r="E60" i="10"/>
  <c r="D63" i="10"/>
  <c r="D49" i="10"/>
  <c r="C51" i="10"/>
  <c r="C65" i="10"/>
  <c r="F46" i="10"/>
  <c r="F60" i="10"/>
  <c r="D50" i="10"/>
  <c r="D64" i="10"/>
  <c r="E48" i="10"/>
  <c r="E62" i="10"/>
  <c r="F63" i="10"/>
  <c r="F49" i="10"/>
  <c r="D65" i="10"/>
  <c r="D51" i="10"/>
  <c r="C11" i="11"/>
  <c r="D11" i="11" s="1"/>
  <c r="F11" i="11" s="1"/>
  <c r="D10" i="11"/>
  <c r="F10" i="11" s="1"/>
  <c r="C59" i="6"/>
  <c r="D59" i="6" s="1"/>
  <c r="H23" i="7" s="1"/>
  <c r="C60" i="6"/>
  <c r="D60" i="6" s="1"/>
  <c r="H24" i="7" s="1"/>
  <c r="H42" i="4"/>
  <c r="J42" i="4"/>
  <c r="G83" i="5"/>
  <c r="B38" i="4"/>
  <c r="D40" i="4"/>
  <c r="E83" i="5"/>
  <c r="B37" i="4"/>
  <c r="F83" i="5"/>
  <c r="I83" i="5"/>
  <c r="H83" i="5"/>
  <c r="D83" i="5"/>
  <c r="L92" i="5"/>
  <c r="K84" i="5"/>
  <c r="C83" i="5"/>
  <c r="C39" i="4"/>
  <c r="B39" i="4" s="1"/>
  <c r="E39" i="4"/>
  <c r="E42" i="4" s="1"/>
  <c r="D39" i="4"/>
  <c r="F41" i="10" l="1"/>
  <c r="D42" i="4"/>
  <c r="C42" i="4"/>
  <c r="C41" i="10"/>
  <c r="C55" i="10" s="1"/>
  <c r="E41" i="10"/>
  <c r="E55" i="10" s="1"/>
  <c r="H38" i="10"/>
  <c r="H36" i="7"/>
  <c r="E53" i="10"/>
  <c r="E67" i="10"/>
  <c r="H64" i="10"/>
  <c r="H50" i="10"/>
  <c r="H46" i="10"/>
  <c r="H60" i="10"/>
  <c r="D67" i="10"/>
  <c r="D53" i="10"/>
  <c r="D66" i="10"/>
  <c r="D52" i="10"/>
  <c r="C52" i="10"/>
  <c r="C66" i="10"/>
  <c r="H51" i="10"/>
  <c r="H65" i="10"/>
  <c r="H48" i="10"/>
  <c r="H62" i="10"/>
  <c r="H37" i="7"/>
  <c r="H39" i="10"/>
  <c r="H54" i="10"/>
  <c r="H68" i="10"/>
  <c r="H61" i="10"/>
  <c r="H47" i="10"/>
  <c r="C53" i="10"/>
  <c r="C67" i="10"/>
  <c r="E66" i="10"/>
  <c r="E52" i="10"/>
  <c r="F55" i="10"/>
  <c r="F69" i="10"/>
  <c r="F67" i="10"/>
  <c r="F53" i="10"/>
  <c r="H49" i="10"/>
  <c r="H63" i="10"/>
  <c r="F66" i="10"/>
  <c r="F52" i="10"/>
  <c r="D41" i="10"/>
  <c r="F13" i="11"/>
  <c r="L95" i="5"/>
  <c r="K95" i="5"/>
  <c r="E84" i="5"/>
  <c r="E98" i="5" s="1"/>
  <c r="B40" i="4"/>
  <c r="K97" i="5"/>
  <c r="L97" i="5"/>
  <c r="H84" i="5"/>
  <c r="H99" i="5" s="1"/>
  <c r="L94" i="5"/>
  <c r="K94" i="5"/>
  <c r="C84" i="5"/>
  <c r="K99" i="5"/>
  <c r="L99" i="5"/>
  <c r="I84" i="5"/>
  <c r="I96" i="5" s="1"/>
  <c r="L93" i="5"/>
  <c r="K93" i="5"/>
  <c r="F84" i="5"/>
  <c r="F97" i="5" s="1"/>
  <c r="L96" i="5"/>
  <c r="K96" i="5"/>
  <c r="K92" i="5"/>
  <c r="G112" i="5" s="1"/>
  <c r="J84" i="5"/>
  <c r="J98" i="5" s="1"/>
  <c r="D84" i="5"/>
  <c r="D99" i="5" s="1"/>
  <c r="L98" i="5"/>
  <c r="K98" i="5"/>
  <c r="G84" i="5"/>
  <c r="G97" i="5" s="1"/>
  <c r="B41" i="4"/>
  <c r="B62" i="4" s="1"/>
  <c r="C69" i="10" l="1"/>
  <c r="E69" i="10"/>
  <c r="H41" i="10"/>
  <c r="H55" i="10" s="1"/>
  <c r="D55" i="10"/>
  <c r="D69" i="10"/>
  <c r="H67" i="10"/>
  <c r="H53" i="10"/>
  <c r="H66" i="10"/>
  <c r="H52" i="10"/>
  <c r="E99" i="5"/>
  <c r="I95" i="5"/>
  <c r="H96" i="5"/>
  <c r="F99" i="5"/>
  <c r="H98" i="5"/>
  <c r="B80" i="4"/>
  <c r="E62" i="4"/>
  <c r="B61" i="4" s="1"/>
  <c r="G99" i="5"/>
  <c r="I99" i="5"/>
  <c r="I97" i="5"/>
  <c r="J97" i="5"/>
  <c r="J95" i="5"/>
  <c r="J99" i="5"/>
  <c r="J96" i="5"/>
  <c r="G98" i="5"/>
  <c r="G96" i="5"/>
  <c r="I98" i="5"/>
  <c r="J94" i="5"/>
  <c r="F98" i="5"/>
  <c r="J93" i="5"/>
  <c r="I94" i="5"/>
  <c r="H95" i="5"/>
  <c r="H97" i="5"/>
  <c r="H69" i="10" l="1"/>
  <c r="G117" i="5"/>
  <c r="G113" i="5"/>
  <c r="G116" i="5"/>
  <c r="B79" i="4"/>
  <c r="E61" i="4"/>
  <c r="B60" i="4" s="1"/>
  <c r="B78" i="4" s="1"/>
  <c r="G119" i="5"/>
  <c r="G118" i="5"/>
  <c r="G115" i="5"/>
  <c r="G114" i="5"/>
  <c r="E60" i="4" l="1"/>
  <c r="B59" i="4" l="1"/>
  <c r="E59" i="4" l="1"/>
  <c r="B58" i="4" s="1"/>
  <c r="B77" i="4"/>
  <c r="E58" i="4" l="1"/>
  <c r="B57" i="4" s="1"/>
  <c r="B76" i="4"/>
  <c r="E57" i="4" l="1"/>
  <c r="B56" i="4" s="1"/>
  <c r="B75" i="4"/>
  <c r="E56" i="4" l="1"/>
  <c r="B55" i="4" s="1"/>
  <c r="B74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I94" i="2"/>
  <c r="F114" i="2" s="1"/>
  <c r="I97" i="2"/>
  <c r="F113" i="2"/>
  <c r="K92" i="2"/>
  <c r="F112" i="2" s="1"/>
  <c r="J101" i="2"/>
  <c r="I99" i="2"/>
  <c r="K97" i="2"/>
  <c r="J98" i="2"/>
  <c r="L96" i="2"/>
  <c r="F116" i="2" s="1"/>
  <c r="K101" i="2" l="1"/>
  <c r="K98" i="2"/>
  <c r="J99" i="2"/>
  <c r="L97" i="2"/>
  <c r="F117" i="2" s="1"/>
  <c r="L101" i="2" l="1"/>
  <c r="L99" i="2" s="1"/>
  <c r="K99" i="2"/>
  <c r="L98" i="2"/>
  <c r="F118" i="2" s="1"/>
  <c r="F119" i="2" l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l="1"/>
  <c r="B65" i="4"/>
  <c r="E58" i="6"/>
  <c r="F58" i="6" s="1"/>
  <c r="G116" i="2"/>
  <c r="M77" i="4"/>
  <c r="F116" i="5"/>
  <c r="H116" i="5"/>
  <c r="D18" i="2"/>
  <c r="D28" i="2"/>
  <c r="D30" i="2" s="1"/>
  <c r="E60" i="6"/>
  <c r="F60" i="6" s="1"/>
  <c r="G118" i="2"/>
  <c r="D24" i="2"/>
  <c r="E56" i="6"/>
  <c r="F56" i="6" s="1"/>
  <c r="G114" i="2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J19" i="2"/>
  <c r="E20" i="2"/>
  <c r="D25" i="2"/>
  <c r="E57" i="6"/>
  <c r="F57" i="6" s="1"/>
  <c r="G115" i="2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F21" i="2"/>
  <c r="E54" i="6"/>
  <c r="F54" i="6" s="1"/>
  <c r="G112" i="2"/>
  <c r="M73" i="4"/>
  <c r="F112" i="5"/>
  <c r="H112" i="5"/>
  <c r="M74" i="4"/>
  <c r="F113" i="5"/>
  <c r="H113" i="5"/>
  <c r="D84" i="4"/>
  <c r="G54" i="4"/>
  <c r="G55" i="4"/>
  <c r="G56" i="4"/>
  <c r="G59" i="4"/>
  <c r="G53" i="4"/>
  <c r="G58" i="4"/>
  <c r="E53" i="4"/>
  <c r="C82" i="4" s="1" a="1"/>
  <c r="G57" i="4"/>
  <c r="G62" i="4"/>
  <c r="G61" i="4"/>
  <c r="G60" i="4"/>
  <c r="H44" i="7" l="1"/>
  <c r="H6" i="9"/>
  <c r="H5" i="9"/>
  <c r="H43" i="7"/>
  <c r="H50" i="7"/>
  <c r="H12" i="9"/>
  <c r="H8" i="9"/>
  <c r="H46" i="7"/>
  <c r="H45" i="7"/>
  <c r="H7" i="9"/>
  <c r="H13" i="9"/>
  <c r="H51" i="7"/>
  <c r="H9" i="9"/>
  <c r="H47" i="7"/>
  <c r="H42" i="7"/>
  <c r="H56" i="7" s="1"/>
  <c r="H4" i="9"/>
  <c r="H49" i="7"/>
  <c r="H11" i="9"/>
  <c r="H48" i="7"/>
  <c r="H10" i="9"/>
  <c r="E84" i="4"/>
  <c r="F84" i="4" s="1"/>
  <c r="G77" i="4"/>
  <c r="H121" i="5"/>
  <c r="C117" i="2"/>
  <c r="D117" i="2" s="1"/>
  <c r="E117" i="2" s="1"/>
  <c r="F121" i="5"/>
  <c r="J33" i="2"/>
  <c r="C113" i="2"/>
  <c r="D113" i="2" s="1"/>
  <c r="E113" i="2" s="1"/>
  <c r="F32" i="2"/>
  <c r="G33" i="2" s="1"/>
  <c r="D32" i="2"/>
  <c r="K33" i="2"/>
  <c r="G121" i="2"/>
  <c r="C32" i="2"/>
  <c r="C115" i="2"/>
  <c r="D115" i="2" s="1"/>
  <c r="E115" i="2" s="1"/>
  <c r="H76" i="4"/>
  <c r="L72" i="4"/>
  <c r="N72" i="4" s="1"/>
  <c r="K73" i="4"/>
  <c r="E79" i="4"/>
  <c r="J74" i="4"/>
  <c r="F78" i="4"/>
  <c r="I75" i="4"/>
  <c r="D80" i="4"/>
  <c r="H32" i="2"/>
  <c r="F63" i="6"/>
  <c r="D41" i="4"/>
  <c r="C82" i="4"/>
  <c r="I76" i="4" l="1"/>
  <c r="K74" i="4"/>
  <c r="F79" i="4"/>
  <c r="J75" i="4"/>
  <c r="L73" i="4"/>
  <c r="N73" i="4" s="1"/>
  <c r="G5" i="9"/>
  <c r="G43" i="7"/>
  <c r="G78" i="4"/>
  <c r="E80" i="4"/>
  <c r="H77" i="4"/>
  <c r="H40" i="9"/>
  <c r="H26" i="9"/>
  <c r="H79" i="7"/>
  <c r="H65" i="7"/>
  <c r="H74" i="7"/>
  <c r="H60" i="7"/>
  <c r="H75" i="7"/>
  <c r="H61" i="7"/>
  <c r="H24" i="9"/>
  <c r="H38" i="9"/>
  <c r="H71" i="7"/>
  <c r="H57" i="7"/>
  <c r="H62" i="7"/>
  <c r="H76" i="7"/>
  <c r="H41" i="9"/>
  <c r="H27" i="9"/>
  <c r="H33" i="9"/>
  <c r="H19" i="9"/>
  <c r="H39" i="9"/>
  <c r="H25" i="9"/>
  <c r="H35" i="9"/>
  <c r="H21" i="9"/>
  <c r="H34" i="9"/>
  <c r="H20" i="9"/>
  <c r="H18" i="9"/>
  <c r="H14" i="9"/>
  <c r="H22" i="9"/>
  <c r="H36" i="9"/>
  <c r="H23" i="9"/>
  <c r="H37" i="9"/>
  <c r="H78" i="7"/>
  <c r="H64" i="7"/>
  <c r="H77" i="7"/>
  <c r="H63" i="7"/>
  <c r="H73" i="7"/>
  <c r="H59" i="7"/>
  <c r="H52" i="7"/>
  <c r="H58" i="7"/>
  <c r="H72" i="7"/>
  <c r="O72" i="4"/>
  <c r="G17" i="7" s="1"/>
  <c r="H33" i="2"/>
  <c r="C114" i="2"/>
  <c r="D114" i="2" s="1"/>
  <c r="E114" i="2" s="1"/>
  <c r="G84" i="4"/>
  <c r="I77" i="4"/>
  <c r="L74" i="4"/>
  <c r="N74" i="4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C118" i="2"/>
  <c r="D118" i="2" s="1"/>
  <c r="E118" i="2" s="1"/>
  <c r="D33" i="2"/>
  <c r="E33" i="2"/>
  <c r="I33" i="2"/>
  <c r="G30" i="7" l="1"/>
  <c r="G32" i="10"/>
  <c r="G6" i="9"/>
  <c r="G44" i="7"/>
  <c r="G57" i="7"/>
  <c r="G71" i="7"/>
  <c r="G7" i="9"/>
  <c r="G45" i="7"/>
  <c r="G33" i="9"/>
  <c r="G19" i="9"/>
  <c r="H42" i="9"/>
  <c r="H28" i="9"/>
  <c r="H66" i="7"/>
  <c r="H80" i="7"/>
  <c r="E119" i="2"/>
  <c r="O74" i="4"/>
  <c r="G19" i="7" s="1"/>
  <c r="O73" i="4"/>
  <c r="G18" i="7" s="1"/>
  <c r="H84" i="4"/>
  <c r="H79" i="4"/>
  <c r="G80" i="4"/>
  <c r="I78" i="4"/>
  <c r="J77" i="4"/>
  <c r="L75" i="4"/>
  <c r="N75" i="4" s="1"/>
  <c r="K76" i="4"/>
  <c r="E121" i="2"/>
  <c r="G21" i="9" l="1"/>
  <c r="G35" i="9"/>
  <c r="G58" i="7"/>
  <c r="G72" i="7"/>
  <c r="G31" i="7"/>
  <c r="G33" i="10"/>
  <c r="G60" i="10"/>
  <c r="G46" i="10"/>
  <c r="G73" i="7"/>
  <c r="G59" i="7"/>
  <c r="G32" i="7"/>
  <c r="G34" i="10"/>
  <c r="G34" i="9"/>
  <c r="G20" i="9"/>
  <c r="G8" i="9"/>
  <c r="G46" i="7"/>
  <c r="O75" i="4"/>
  <c r="G20" i="7" s="1"/>
  <c r="I84" i="4"/>
  <c r="L76" i="4"/>
  <c r="N76" i="4" s="1"/>
  <c r="I79" i="4"/>
  <c r="K77" i="4"/>
  <c r="H80" i="4"/>
  <c r="J78" i="4"/>
  <c r="G33" i="7" l="1"/>
  <c r="G35" i="10"/>
  <c r="G9" i="9"/>
  <c r="G47" i="7"/>
  <c r="G47" i="10"/>
  <c r="G61" i="10"/>
  <c r="G74" i="7"/>
  <c r="G60" i="7"/>
  <c r="G36" i="9"/>
  <c r="G22" i="9"/>
  <c r="G62" i="10"/>
  <c r="G48" i="10"/>
  <c r="O76" i="4"/>
  <c r="G21" i="7" s="1"/>
  <c r="J84" i="4"/>
  <c r="J79" i="4"/>
  <c r="L77" i="4"/>
  <c r="N77" i="4" s="1"/>
  <c r="I80" i="4"/>
  <c r="K78" i="4"/>
  <c r="G63" i="10" l="1"/>
  <c r="G49" i="10"/>
  <c r="G75" i="7"/>
  <c r="G61" i="7"/>
  <c r="G37" i="9"/>
  <c r="G23" i="9"/>
  <c r="G48" i="7"/>
  <c r="G10" i="9"/>
  <c r="G34" i="7"/>
  <c r="G36" i="10"/>
  <c r="O77" i="4"/>
  <c r="G22" i="7" s="1"/>
  <c r="K84" i="4"/>
  <c r="K79" i="4"/>
  <c r="J80" i="4"/>
  <c r="L78" i="4"/>
  <c r="N78" i="4" s="1"/>
  <c r="G50" i="10" l="1"/>
  <c r="G64" i="10"/>
  <c r="G38" i="9"/>
  <c r="G24" i="9"/>
  <c r="G11" i="9"/>
  <c r="G49" i="7"/>
  <c r="G62" i="7"/>
  <c r="G76" i="7"/>
  <c r="G35" i="7"/>
  <c r="G37" i="10"/>
  <c r="O78" i="4"/>
  <c r="G23" i="7" s="1"/>
  <c r="L84" i="4"/>
  <c r="L80" i="4" s="1"/>
  <c r="L79" i="4"/>
  <c r="N79" i="4" s="1"/>
  <c r="K80" i="4"/>
  <c r="G36" i="7" l="1"/>
  <c r="G38" i="10"/>
  <c r="G51" i="10"/>
  <c r="G65" i="10"/>
  <c r="G77" i="7"/>
  <c r="G63" i="7"/>
  <c r="G39" i="9"/>
  <c r="G25" i="9"/>
  <c r="G50" i="7"/>
  <c r="G12" i="9"/>
  <c r="O79" i="4"/>
  <c r="G24" i="7" s="1"/>
  <c r="N80" i="4"/>
  <c r="G13" i="9" l="1"/>
  <c r="G51" i="7"/>
  <c r="G52" i="7" s="1"/>
  <c r="G40" i="9"/>
  <c r="G26" i="9"/>
  <c r="G66" i="10"/>
  <c r="G52" i="10"/>
  <c r="G37" i="7"/>
  <c r="G39" i="10"/>
  <c r="G78" i="7"/>
  <c r="G64" i="7"/>
  <c r="O80" i="4"/>
  <c r="G25" i="7" s="1"/>
  <c r="N82" i="4"/>
  <c r="G38" i="7" l="1"/>
  <c r="G40" i="10"/>
  <c r="G41" i="10" s="1"/>
  <c r="G79" i="7"/>
  <c r="G65" i="7"/>
  <c r="G80" i="7"/>
  <c r="G66" i="7"/>
  <c r="G53" i="10"/>
  <c r="G67" i="10"/>
  <c r="G27" i="9"/>
  <c r="G41" i="9"/>
  <c r="G14" i="9"/>
  <c r="G68" i="10" l="1"/>
  <c r="G54" i="10"/>
  <c r="G42" i="9"/>
  <c r="G28" i="9"/>
  <c r="G69" i="10"/>
  <c r="G5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tc={5DD08D11-A9D4-504A-A6B0-E7DBBD220C00}</author>
    <author>tc={5A28E548-FD23-F849-83B7-1A00D20F6A69}</author>
    <author>tc={4B55A27D-9328-7D43-A904-B3963EF07F02}</author>
    <author>tc={AFEE4555-66C3-B942-85C9-846171F9ECAD}</author>
    <author>tc={6AEF66C0-F129-F54F-A1DD-53020072A5D6}</author>
    <author>tc={39335DA4-8FF3-AC47-A901-EFDE888E4630}</author>
  </authors>
  <commentList>
    <comment ref="B2" authorId="0" shapeId="0" xr:uid="{5DD08D11-A9D4-504A-A6B0-E7DBBD22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5" authorId="1" shapeId="0" xr:uid="{5A28E548-FD23-F849-83B7-1A00D20F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28" authorId="2" shapeId="0" xr:uid="{4B55A27D-9328-7D43-A904-B3963EF07F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1" authorId="3" shapeId="0" xr:uid="{AFEE4555-66C3-B942-85C9-846171F9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5" authorId="4" shapeId="0" xr:uid="{6AEF66C0-F129-F54F-A1DD-53020072A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69" authorId="5" shapeId="0" xr:uid="{39335DA4-8FF3-AC47-A901-EFDE888E463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tc={92D345DE-4C75-654A-906C-501B66CA959F}</author>
    <author>tc={1927232D-32E1-474B-954F-22319A607C65}</author>
    <author>tc={369A91C9-FC97-2E4E-BDB7-7F808BC5EE29}</author>
  </authors>
  <commentList>
    <comment ref="B30" authorId="0" shapeId="0" xr:uid="{92D345DE-4C75-654A-906C-501B66CA959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4" authorId="1" shapeId="0" xr:uid="{1927232D-32E1-474B-954F-22319A60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8" authorId="2" shapeId="0" xr:uid="{369A91C9-FC97-2E4E-BDB7-7F808BC5EE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<sst xmlns="http://schemas.openxmlformats.org/spreadsheetml/2006/main" count="252" uniqueCount="85">
  <si>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</si>
  <si>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</si>
  <si>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</si>
  <si>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</si>
  <si>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</si>
  <si>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</si>
  <si>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</si>
  <si>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</si>
  <si>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</si>
  <si>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</si>
  <si>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</si>
  <si>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</si>
  <si>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</si>
  <si>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</si>
  <si>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</si>
  <si>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</si>
  <si>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</si>
  <si>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</si>
  <si>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</si>
  <si>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</si>
  <si>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</si>
  <si>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</si>
  <si>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</si>
  <si>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</si>
  <si>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</si>
  <si>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</si>
  <si>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</si>
  <si>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</si>
  <si>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</si>
  <si>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</si>
  <si>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</si>
  <si>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</si>
  <si>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</si>
  <si>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</si>
  <si>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</si>
  <si>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</si>
  <si>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</si>
  <si>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</si>
  <si>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</si>
  <si>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</si>
  <si>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</si>
  <si>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</si>
  <si>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</si>
  <si>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</si>
  <si>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</si>
  <si>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</si>
  <si>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</si>
  <si>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</si>
  <si>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</si>
  <si>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</si>
  <si>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</si>
  <si>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</si>
  <si>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</si>
  <si>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</si>
  <si>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</si>
  <si>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</si>
  <si>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</si>
  <si>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</si>
  <si>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</si>
  <si>
    <t>Counts</t>
  </si>
  <si>
    <t>Model</t>
  </si>
  <si>
    <t>Actual</t>
  </si>
  <si>
    <t>M/A</t>
  </si>
  <si>
    <t>CL paid</t>
  </si>
  <si>
    <t>CL incurred</t>
  </si>
  <si>
    <t>Unadjusted</t>
  </si>
  <si>
    <t>Adjusted</t>
  </si>
  <si>
    <t>Separation</t>
  </si>
  <si>
    <t>PPCI</t>
  </si>
  <si>
    <t>all</t>
  </si>
  <si>
    <t>if using 3% for projections:</t>
  </si>
  <si>
    <t>Counts rectangle (actual)</t>
  </si>
  <si>
    <t>AvgClaim Am</t>
  </si>
  <si>
    <t>Earnt premium</t>
  </si>
  <si>
    <t>LR</t>
  </si>
  <si>
    <t xml:space="preserve">Ultimate from LR </t>
  </si>
  <si>
    <t>BF Outstanding</t>
  </si>
  <si>
    <t>Pi(k)</t>
  </si>
  <si>
    <t>Year k</t>
  </si>
  <si>
    <t>OFFSET</t>
  </si>
  <si>
    <t>Outstanding difference</t>
  </si>
  <si>
    <t>Payments rectangle (actual)</t>
  </si>
  <si>
    <t>Outstanding as per method</t>
  </si>
  <si>
    <t>(from diagonal)</t>
  </si>
  <si>
    <t>Note: the case estimates do not include IBNR claims, whereas outstanding losses do. So it's a question of tracking the ratio for smooth development, rather than looking for a match (especially for immature years). The match is better in mature years for methods using incurred as input (of course).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</si>
</sst>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00"/>
    <numFmt numFmtId="167" formatCode="0.0%"/>
    <numFmt numFmtId="168" formatCode="0.0000"/>
    <numFmt numFmtId="169" formatCode="0.0"/>
    <numFmt numFmtId="170" formatCode="_(* #,##0.0_);_(* \(#,##0.0\);_(* &quot;-&quot;_);_(@_)"/>
    <numFmt numFmtId="171" formatCode="_(* #,##0_);_(* \(#,##0\);_(* &quot;-&quot;??_);_(@_)"/>
    <numFmt numFmtId="172" formatCode="_(&quot;$&quot;* #,##0.000_);_(&quot;$&quot;* \(#,##0.000\);_(&quot;$&quot;* &quot;-&quot;?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6" fontId="2" fillId="0" borderId="0" xfId="1" applyNumberFormat="1" applyFont="1"/>
    <xf numFmtId="166" fontId="2" fillId="0" borderId="0" xfId="0" applyNumberFormat="1" applyFont="1"/>
    <xf numFmtId="167" fontId="2" fillId="0" borderId="0" xfId="2" applyNumberFormat="1" applyFont="1"/>
    <xf numFmtId="168" fontId="2" fillId="0" borderId="0" xfId="0" applyNumberFormat="1" applyFont="1"/>
    <xf numFmtId="9" fontId="2" fillId="0" borderId="0" xfId="2" applyFont="1"/>
    <xf numFmtId="165" fontId="3" fillId="0" borderId="0" xfId="1" applyNumberFormat="1" applyFont="1"/>
    <xf numFmtId="165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69" fontId="3" fillId="0" borderId="0" xfId="0" applyNumberFormat="1" applyFont="1"/>
    <xf numFmtId="41" fontId="5" fillId="0" borderId="0" xfId="0" applyNumberFormat="1" applyFont="1"/>
    <xf numFmtId="170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1" fontId="2" fillId="0" borderId="0" xfId="0" applyNumberFormat="1" applyFont="1"/>
    <xf numFmtId="167" fontId="2" fillId="0" borderId="0" xfId="2" applyNumberFormat="1" applyFont="1" applyBorder="1"/>
    <xf numFmtId="0" fontId="2" fillId="0" borderId="3" xfId="0" applyFont="1" applyBorder="1"/>
    <xf numFmtId="41" fontId="2" fillId="0" borderId="0" xfId="0" applyNumberFormat="1" applyFont="1"/>
    <xf numFmtId="10" fontId="2" fillId="0" borderId="0" xfId="2" applyNumberFormat="1" applyFont="1"/>
    <xf numFmtId="41" fontId="4" fillId="0" borderId="0" xfId="0" applyNumberFormat="1" applyFont="1"/>
    <xf numFmtId="165" fontId="4" fillId="0" borderId="0" xfId="1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  <xf numFmtId="0" fontId="4" fillId="0" borderId="0" xfId="0" applyFont="1" applyAlignment="1">
      <alignment horizontal="left"/>
    </xf>
    <xf numFmtId="169" fontId="6" fillId="0" borderId="0" xfId="0" applyNumberFormat="1" applyFont="1"/>
    <xf numFmtId="9" fontId="0" fillId="0" borderId="0" xfId="2" applyFont="1"/>
    <xf numFmtId="0" fontId="6" fillId="0" borderId="0" xfId="0" applyFont="1"/>
    <xf numFmtId="165" fontId="0" fillId="0" borderId="0" xfId="1" applyNumberFormat="1" applyFont="1"/>
    <xf numFmtId="167" fontId="0" fillId="0" borderId="0" xfId="2" applyNumberFormat="1" applyFont="1"/>
    <xf numFmtId="0" fontId="6" fillId="2" borderId="0" xfId="0" applyFont="1" applyFill="1"/>
    <xf numFmtId="0" fontId="0" fillId="0" borderId="2" xfId="0" applyBorder="1"/>
    <xf numFmtId="165" fontId="0" fillId="0" borderId="2" xfId="1" applyNumberFormat="1" applyFont="1" applyBorder="1"/>
    <xf numFmtId="167" fontId="0" fillId="0" borderId="2" xfId="2" applyNumberFormat="1" applyFont="1" applyBorder="1"/>
    <xf numFmtId="0" fontId="2" fillId="0" borderId="0" xfId="1" applyNumberFormat="1" applyFont="1"/>
    <xf numFmtId="166" fontId="0" fillId="0" borderId="0" xfId="0" applyNumberFormat="1"/>
    <xf numFmtId="168" fontId="0" fillId="0" borderId="0" xfId="0" applyNumberFormat="1"/>
    <xf numFmtId="172" fontId="6" fillId="0" borderId="0" xfId="0" applyNumberFormat="1" applyFont="1"/>
    <xf numFmtId="172" fontId="6" fillId="0" borderId="1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69" fontId="3" fillId="3" borderId="0" xfId="0" applyNumberFormat="1" applyFont="1" applyFill="1"/>
    <xf numFmtId="0" fontId="3" fillId="0" borderId="0" xfId="0" applyFont="1" applyAlignment="1">
      <alignment horizontal="center"/>
    </xf>
    <xf numFmtId="0" fontId="0" fillId="2" borderId="0" xfId="0" applyFill="1"/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0" fillId="0" borderId="6" xfId="0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247.87511978679794</c:v>
                </c:pt>
                <c:pt idx="1">
                  <c:v>248.21766630395049</c:v>
                </c:pt>
                <c:pt idx="2">
                  <c:v>234.77374318911194</c:v>
                </c:pt>
                <c:pt idx="3">
                  <c:v>261.05128386099295</c:v>
                </c:pt>
                <c:pt idx="4">
                  <c:v>261.1411686350865</c:v>
                </c:pt>
                <c:pt idx="5">
                  <c:v>267.58750547167944</c:v>
                </c:pt>
                <c:pt idx="6">
                  <c:v>289.60448857239396</c:v>
                </c:pt>
                <c:pt idx="7">
                  <c:v>280.04846891609856</c:v>
                </c:pt>
                <c:pt idx="8">
                  <c:v>271.04521382122567</c:v>
                </c:pt>
                <c:pt idx="9" formatCode="_(* #,##0_);_(* \(#,##0\);_(* &quot;-&quot;_);_(@_)">
                  <c:v>309.46576015631786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247.87511978679794</c:v>
                </c:pt>
                <c:pt idx="1">
                  <c:v>257.20268634402731</c:v>
                </c:pt>
                <c:pt idx="2">
                  <c:v>266.81574355788223</c:v>
                </c:pt>
                <c:pt idx="3">
                  <c:v>274.33488919187886</c:v>
                </c:pt>
                <c:pt idx="4">
                  <c:v>281.54790117764259</c:v>
                </c:pt>
                <c:pt idx="5">
                  <c:v>288.11314371631403</c:v>
                </c:pt>
                <c:pt idx="6">
                  <c:v>294.18146084587011</c:v>
                </c:pt>
                <c:pt idx="7">
                  <c:v>300.23005162961698</c:v>
                </c:pt>
                <c:pt idx="8">
                  <c:v>306.82536317448921</c:v>
                </c:pt>
                <c:pt idx="9">
                  <c:v>314.02361216392001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ultimate estimates / actual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Comparison'!$B$29:$B$38</c:f>
              <c:numCache>
                <c:formatCode>0.0%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8-BF4D-B56A-B6B4FE2356D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Comparison'!$C$29:$C$38</c:f>
              <c:numCache>
                <c:formatCode>0.0%</c:formatCode>
                <c:ptCount val="10"/>
                <c:pt idx="0">
                  <c:v>1</c:v>
                </c:pt>
                <c:pt idx="1">
                  <c:v>0.99648041833746104</c:v>
                </c:pt>
                <c:pt idx="2">
                  <c:v>0.99105480918853994</c:v>
                </c:pt>
                <c:pt idx="3">
                  <c:v>0.99631313432563307</c:v>
                </c:pt>
                <c:pt idx="4">
                  <c:v>0.99690201511821419</c:v>
                </c:pt>
                <c:pt idx="5">
                  <c:v>0.98661959958145307</c:v>
                </c:pt>
                <c:pt idx="6">
                  <c:v>1.0086661427344827</c:v>
                </c:pt>
                <c:pt idx="7">
                  <c:v>0.96905412851917871</c:v>
                </c:pt>
                <c:pt idx="8">
                  <c:v>1.0456959932005421</c:v>
                </c:pt>
                <c:pt idx="9">
                  <c:v>0.99026991156753374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8-BF4D-B56A-B6B4FE2356D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Comparison'!$D$29:$D$38</c:f>
              <c:numCache>
                <c:formatCode>0.0%</c:formatCode>
                <c:ptCount val="10"/>
                <c:pt idx="0">
                  <c:v>1</c:v>
                </c:pt>
                <c:pt idx="1">
                  <c:v>0.99647766375353031</c:v>
                </c:pt>
                <c:pt idx="2">
                  <c:v>0.99105020710280356</c:v>
                </c:pt>
                <c:pt idx="3">
                  <c:v>0.9962730673668081</c:v>
                </c:pt>
                <c:pt idx="4">
                  <c:v>0.99701726927690715</c:v>
                </c:pt>
                <c:pt idx="5">
                  <c:v>0.98734689085329785</c:v>
                </c:pt>
                <c:pt idx="6">
                  <c:v>1.0110918045883774</c:v>
                </c:pt>
                <c:pt idx="7">
                  <c:v>0.97364679492867079</c:v>
                </c:pt>
                <c:pt idx="8">
                  <c:v>1.055035294026287</c:v>
                </c:pt>
                <c:pt idx="9">
                  <c:v>1.0056915460657103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C8-BF4D-B56A-B6B4FE2356D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Comparison'!$E$29:$E$38</c:f>
              <c:numCache>
                <c:formatCode>0.0%</c:formatCode>
                <c:ptCount val="10"/>
                <c:pt idx="0">
                  <c:v>1</c:v>
                </c:pt>
                <c:pt idx="1">
                  <c:v>1.0006818648427049</c:v>
                </c:pt>
                <c:pt idx="2">
                  <c:v>1.0021273405003426</c:v>
                </c:pt>
                <c:pt idx="3">
                  <c:v>1.0031682577273564</c:v>
                </c:pt>
                <c:pt idx="4">
                  <c:v>1.0003208024957273</c:v>
                </c:pt>
                <c:pt idx="5">
                  <c:v>1.0046184276052004</c:v>
                </c:pt>
                <c:pt idx="6">
                  <c:v>1.00062553167097</c:v>
                </c:pt>
                <c:pt idx="7">
                  <c:v>0.99530964137249189</c:v>
                </c:pt>
                <c:pt idx="8">
                  <c:v>1.032309619509213</c:v>
                </c:pt>
                <c:pt idx="9">
                  <c:v>0.97196559334732946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C8-BF4D-B56A-B6B4FE2356D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Comparison'!$F$29:$F$38</c:f>
              <c:numCache>
                <c:formatCode>0.0%</c:formatCode>
                <c:ptCount val="10"/>
                <c:pt idx="0">
                  <c:v>1</c:v>
                </c:pt>
                <c:pt idx="1">
                  <c:v>1.0006844552526195</c:v>
                </c:pt>
                <c:pt idx="2">
                  <c:v>1.0021584699481412</c:v>
                </c:pt>
                <c:pt idx="3">
                  <c:v>1.0032480432644795</c:v>
                </c:pt>
                <c:pt idx="4">
                  <c:v>1.0004012459878535</c:v>
                </c:pt>
                <c:pt idx="5">
                  <c:v>1.0043266863135798</c:v>
                </c:pt>
                <c:pt idx="6">
                  <c:v>0.99918011188828126</c:v>
                </c:pt>
                <c:pt idx="7">
                  <c:v>0.99216859650335587</c:v>
                </c:pt>
                <c:pt idx="8">
                  <c:v>1.027171510089341</c:v>
                </c:pt>
                <c:pt idx="9">
                  <c:v>0.96792081173347877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C8-BF4D-B56A-B6B4FE2356D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Comparison'!$G$29:$G$38</c:f>
              <c:numCache>
                <c:formatCode>0.0%</c:formatCode>
                <c:ptCount val="10"/>
                <c:pt idx="0">
                  <c:v>1</c:v>
                </c:pt>
                <c:pt idx="1">
                  <c:v>0.99646026788631437</c:v>
                </c:pt>
                <c:pt idx="2">
                  <c:v>0.99128077183337349</c:v>
                </c:pt>
                <c:pt idx="3">
                  <c:v>0.99752813556932307</c:v>
                </c:pt>
                <c:pt idx="4">
                  <c:v>0.99824561900400077</c:v>
                </c:pt>
                <c:pt idx="5">
                  <c:v>0.98968012099477864</c:v>
                </c:pt>
                <c:pt idx="6">
                  <c:v>1.011610455031223</c:v>
                </c:pt>
                <c:pt idx="7">
                  <c:v>0.98193052451995699</c:v>
                </c:pt>
                <c:pt idx="8">
                  <c:v>1.0514635207830605</c:v>
                </c:pt>
                <c:pt idx="9">
                  <c:v>0.96109970262227851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C8-BF4D-B56A-B6B4FE2356D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Comparison'!$H$29:$H$38</c:f>
              <c:numCache>
                <c:formatCode>0.0%</c:formatCode>
                <c:ptCount val="10"/>
                <c:pt idx="0">
                  <c:v>1</c:v>
                </c:pt>
                <c:pt idx="1">
                  <c:v>1.0006954162698269</c:v>
                </c:pt>
                <c:pt idx="2">
                  <c:v>1.0022089606255173</c:v>
                </c:pt>
                <c:pt idx="3">
                  <c:v>1.0026346258615122</c:v>
                </c:pt>
                <c:pt idx="4">
                  <c:v>1.0009265050580765</c:v>
                </c:pt>
                <c:pt idx="5">
                  <c:v>1.0068676971649868</c:v>
                </c:pt>
                <c:pt idx="6">
                  <c:v>1.0009716814841969</c:v>
                </c:pt>
                <c:pt idx="7">
                  <c:v>1.0120148619634999</c:v>
                </c:pt>
                <c:pt idx="8">
                  <c:v>1.032116161844072</c:v>
                </c:pt>
                <c:pt idx="9">
                  <c:v>0.96140122945046536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C8-BF4D-B56A-B6B4FE23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65519"/>
        <c:axId val="1513537615"/>
      </c:scatterChart>
      <c:valAx>
        <c:axId val="15138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37615"/>
        <c:crosses val="autoZero"/>
        <c:crossBetween val="midCat"/>
      </c:valAx>
      <c:valAx>
        <c:axId val="15135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'LRcomb2 average claim size'!$B$58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size'!$B$60:$B$67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A-CC4A-9DF2-F178DFBC032D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size'!$C$60:$C$67</c:f>
              <c:numCache>
                <c:formatCode>0.0%</c:formatCode>
                <c:ptCount val="8"/>
                <c:pt idx="0">
                  <c:v>0.99941520838667042</c:v>
                </c:pt>
                <c:pt idx="1">
                  <c:v>0.99934920153969042</c:v>
                </c:pt>
                <c:pt idx="2">
                  <c:v>1.0005517135231821</c:v>
                </c:pt>
                <c:pt idx="3">
                  <c:v>0.99794529123243814</c:v>
                </c:pt>
                <c:pt idx="4">
                  <c:v>1.0013174626731733</c:v>
                </c:pt>
                <c:pt idx="5">
                  <c:v>0.99719794997935396</c:v>
                </c:pt>
                <c:pt idx="6">
                  <c:v>0.97550058327820399</c:v>
                </c:pt>
                <c:pt idx="7">
                  <c:v>1.0008529736075054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A-CC4A-9DF2-F178DFBC032D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size'!$D$60:$D$67</c:f>
              <c:numCache>
                <c:formatCode>0.0%</c:formatCode>
                <c:ptCount val="8"/>
                <c:pt idx="0">
                  <c:v>0.99941244569006094</c:v>
                </c:pt>
                <c:pt idx="1">
                  <c:v>0.99934456093791624</c:v>
                </c:pt>
                <c:pt idx="2">
                  <c:v>1.0005114761089327</c:v>
                </c:pt>
                <c:pt idx="3">
                  <c:v>0.99806066600670718</c:v>
                </c:pt>
                <c:pt idx="4">
                  <c:v>1.00205558854383</c:v>
                </c:pt>
                <c:pt idx="5">
                  <c:v>0.9995960328787058</c:v>
                </c:pt>
                <c:pt idx="6">
                  <c:v>0.98012380155818579</c:v>
                </c:pt>
                <c:pt idx="7">
                  <c:v>1.0097917732812547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A-CC4A-9DF2-F178DFBC032D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size'!$E$60:$E$67</c:f>
              <c:numCache>
                <c:formatCode>0.0%</c:formatCode>
                <c:ptCount val="8"/>
                <c:pt idx="0">
                  <c:v>1.0036290288063123</c:v>
                </c:pt>
                <c:pt idx="1">
                  <c:v>1.0105144017111456</c:v>
                </c:pt>
                <c:pt idx="2">
                  <c:v>1.0074360004302794</c:v>
                </c:pt>
                <c:pt idx="3">
                  <c:v>1.0013676564332044</c:v>
                </c:pt>
                <c:pt idx="4">
                  <c:v>1.0195844227208706</c:v>
                </c:pt>
                <c:pt idx="5">
                  <c:v>0.98924875794304823</c:v>
                </c:pt>
                <c:pt idx="6">
                  <c:v>1.0019307561126294</c:v>
                </c:pt>
                <c:pt idx="7">
                  <c:v>0.98804065339024816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2A-CC4A-9DF2-F178DFBC032D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size'!$F$60:$F$67</c:f>
              <c:numCache>
                <c:formatCode>0.0%</c:formatCode>
                <c:ptCount val="8"/>
                <c:pt idx="0">
                  <c:v>1.0036316268453878</c:v>
                </c:pt>
                <c:pt idx="1">
                  <c:v>1.0105457916892917</c:v>
                </c:pt>
                <c:pt idx="2">
                  <c:v>1.0075161253961487</c:v>
                </c:pt>
                <c:pt idx="3">
                  <c:v>1.0014481841109097</c:v>
                </c:pt>
                <c:pt idx="4">
                  <c:v>1.0192883353027749</c:v>
                </c:pt>
                <c:pt idx="5">
                  <c:v>0.98781977209422289</c:v>
                </c:pt>
                <c:pt idx="6">
                  <c:v>0.99876881601891387</c:v>
                </c:pt>
                <c:pt idx="7">
                  <c:v>0.98312288367033185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2A-CC4A-9DF2-F178DFBC032D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size'!$G$60:$G$67</c:f>
              <c:numCache>
                <c:formatCode>0.0%</c:formatCode>
                <c:ptCount val="8"/>
                <c:pt idx="0">
                  <c:v>0.99939499858930625</c:v>
                </c:pt>
                <c:pt idx="1">
                  <c:v>0.99957705532396024</c:v>
                </c:pt>
                <c:pt idx="2">
                  <c:v>1.0017718837030418</c:v>
                </c:pt>
                <c:pt idx="3">
                  <c:v>0.99929030122416074</c:v>
                </c:pt>
                <c:pt idx="4">
                  <c:v>1.0044235772662222</c:v>
                </c:pt>
                <c:pt idx="5">
                  <c:v>1.0001087864415048</c:v>
                </c:pt>
                <c:pt idx="6">
                  <c:v>0.98846263714043225</c:v>
                </c:pt>
                <c:pt idx="7">
                  <c:v>1.0063731698871707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2A-CC4A-9DF2-F178DFBC032D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size'!$H$60:$H$67</c:f>
              <c:numCache>
                <c:formatCode>0.0%</c:formatCode>
                <c:ptCount val="8"/>
                <c:pt idx="0">
                  <c:v>1.0036426201444981</c:v>
                </c:pt>
                <c:pt idx="1">
                  <c:v>1.0105967049361204</c:v>
                </c:pt>
                <c:pt idx="2">
                  <c:v>1.006900098353547</c:v>
                </c:pt>
                <c:pt idx="3">
                  <c:v>1.0019739928743157</c:v>
                </c:pt>
                <c:pt idx="4">
                  <c:v>1.0218672000845361</c:v>
                </c:pt>
                <c:pt idx="5">
                  <c:v>0.98959097215002045</c:v>
                </c:pt>
                <c:pt idx="6">
                  <c:v>1.0187471051180468</c:v>
                </c:pt>
                <c:pt idx="7">
                  <c:v>0.98785549185125165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2A-CC4A-9DF2-F178DFBC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.03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'LRcomb3 case reserves'!$B$31</c:f>
              <c:strCache>
                <c:ptCount val="1"/>
                <c:pt idx="0">
                  <c:v>(from diagonal)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reserves'!$B$33:$B$40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B-7048-981C-0A819DDC745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reserves'!$C$33:$C$40</c:f>
              <c:numCache>
                <c:formatCode>0.0%</c:formatCode>
                <c:ptCount val="8"/>
                <c:pt idx="0">
                  <c:v>0.226312869582346</c:v>
                </c:pt>
                <c:pt idx="1">
                  <c:v>0.23019191568998087</c:v>
                </c:pt>
                <c:pt idx="2">
                  <c:v>0.44442186813921336</c:v>
                </c:pt>
                <c:pt idx="3">
                  <c:v>0.57135790491578375</c:v>
                </c:pt>
                <c:pt idx="4">
                  <c:v>0.48288404581171823</c:v>
                </c:pt>
                <c:pt idx="5">
                  <c:v>0.59682418624642597</c:v>
                </c:pt>
                <c:pt idx="6">
                  <c:v>0.58606993838836874</c:v>
                </c:pt>
                <c:pt idx="7">
                  <c:v>0.93493451612544975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2B-7048-981C-0A819DDC745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reserves'!$D$33:$D$40</c:f>
              <c:numCache>
                <c:formatCode>0.0%</c:formatCode>
                <c:ptCount val="8"/>
                <c:pt idx="0">
                  <c:v>0.22584111546270183</c:v>
                </c:pt>
                <c:pt idx="1">
                  <c:v>0.22992463391375328</c:v>
                </c:pt>
                <c:pt idx="2">
                  <c:v>0.44307051931793945</c:v>
                </c:pt>
                <c:pt idx="3">
                  <c:v>0.57321163997572466</c:v>
                </c:pt>
                <c:pt idx="4">
                  <c:v>0.48836133825918432</c:v>
                </c:pt>
                <c:pt idx="5">
                  <c:v>0.60844079774624471</c:v>
                </c:pt>
                <c:pt idx="6">
                  <c:v>0.59820145325534768</c:v>
                </c:pt>
                <c:pt idx="7">
                  <c:v>0.95482047335197273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2B-7048-981C-0A819DDC745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reserves'!$E$33:$E$40</c:f>
              <c:numCache>
                <c:formatCode>0.0%</c:formatCode>
                <c:ptCount val="8"/>
                <c:pt idx="0">
                  <c:v>0.9458588144963721</c:v>
                </c:pt>
                <c:pt idx="1">
                  <c:v>0.87326681822938845</c:v>
                </c:pt>
                <c:pt idx="2">
                  <c:v>0.67562641174044813</c:v>
                </c:pt>
                <c:pt idx="3">
                  <c:v>0.62634530056424476</c:v>
                </c:pt>
                <c:pt idx="4">
                  <c:v>0.61843475103007728</c:v>
                </c:pt>
                <c:pt idx="5">
                  <c:v>0.55831731242310234</c:v>
                </c:pt>
                <c:pt idx="6">
                  <c:v>0.65542379867785405</c:v>
                </c:pt>
                <c:pt idx="7">
                  <c:v>0.90643122025664036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2B-7048-981C-0A819DDC745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reserves'!$F$33:$F$40</c:f>
              <c:numCache>
                <c:formatCode>0.0%</c:formatCode>
                <c:ptCount val="8"/>
                <c:pt idx="0">
                  <c:v>0.94630245193109996</c:v>
                </c:pt>
                <c:pt idx="1">
                  <c:v>0.87507476675041418</c:v>
                </c:pt>
                <c:pt idx="2">
                  <c:v>0.67831735946166227</c:v>
                </c:pt>
                <c:pt idx="3">
                  <c:v>0.6276391447377585</c:v>
                </c:pt>
                <c:pt idx="4">
                  <c:v>0.61623762254102721</c:v>
                </c:pt>
                <c:pt idx="5">
                  <c:v>0.55139512743565733</c:v>
                </c:pt>
                <c:pt idx="6">
                  <c:v>0.64712673785736519</c:v>
                </c:pt>
                <c:pt idx="7">
                  <c:v>0.89549076271541794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2B-7048-981C-0A819DDC745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reserves'!$G$33:$G$40</c:f>
              <c:numCache>
                <c:formatCode>0.0%</c:formatCode>
                <c:ptCount val="8"/>
                <c:pt idx="0">
                  <c:v>0.2228618735045122</c:v>
                </c:pt>
                <c:pt idx="1">
                  <c:v>0.24331546456168632</c:v>
                </c:pt>
                <c:pt idx="2">
                  <c:v>0.485400533519868</c:v>
                </c:pt>
                <c:pt idx="3">
                  <c:v>0.59296828026363535</c:v>
                </c:pt>
                <c:pt idx="4">
                  <c:v>0.50593309296994549</c:v>
                </c:pt>
                <c:pt idx="5">
                  <c:v>0.61092463970841859</c:v>
                </c:pt>
                <c:pt idx="6">
                  <c:v>0.62008290070448557</c:v>
                </c:pt>
                <c:pt idx="7">
                  <c:v>0.94721517920170295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2B-7048-981C-0A819DDC745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reserves'!$H$33:$H$40</c:f>
              <c:numCache>
                <c:formatCode>0.0%</c:formatCode>
                <c:ptCount val="8"/>
                <c:pt idx="0">
                  <c:v>0.94817965195587173</c:v>
                </c:pt>
                <c:pt idx="1">
                  <c:v>0.87800718450733195</c:v>
                </c:pt>
                <c:pt idx="2">
                  <c:v>0.65762846994372492</c:v>
                </c:pt>
                <c:pt idx="3">
                  <c:v>0.63608735315875387</c:v>
                </c:pt>
                <c:pt idx="4">
                  <c:v>0.6353741914565858</c:v>
                </c:pt>
                <c:pt idx="5">
                  <c:v>0.55997504055801772</c:v>
                </c:pt>
                <c:pt idx="6">
                  <c:v>0.69955058993295594</c:v>
                </c:pt>
                <c:pt idx="7">
                  <c:v>0.90601929532500836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2B-7048-981C-0A819DDC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26</xdr:row>
      <xdr:rowOff>50800</xdr:rowOff>
    </xdr:from>
    <xdr:to>
      <xdr:col>17</xdr:col>
      <xdr:colOff>228600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826BA-C9BD-5A5D-DCC9-ECC682F08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40</xdr:row>
      <xdr:rowOff>25400</xdr:rowOff>
    </xdr:from>
    <xdr:to>
      <xdr:col>19</xdr:col>
      <xdr:colOff>660400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870DF-8B57-9941-81EA-E572B928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16933</xdr:colOff>
      <xdr:row>15</xdr:row>
      <xdr:rowOff>88900</xdr:rowOff>
    </xdr:from>
    <xdr:to>
      <xdr:col>19</xdr:col>
      <xdr:colOff>607483</xdr:colOff>
      <xdr:row>44</xdr:row>
      <xdr:rowOff>27517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B3975-38AD-A059-4355-F488CF140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CA2F858E-BD0F-C842-A552-2AC0EF8CC078}" userId="S::b.avanzi@unimelb.edu.au::4c1a0c65-cf17-4469-a7d7-15c887ee25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17T22:03:39.57" personId="{CA2F858E-BD0F-C842-A552-2AC0EF8CC078}" id="{5DD08D11-A9D4-504A-A6B0-E7DBBD220C00}">
    <text>From rectangle</text>
  </threadedComment>
  <threadedComment ref="B15" dT="2023-08-17T22:03:39.57" personId="{CA2F858E-BD0F-C842-A552-2AC0EF8CC078}" id="{5A28E548-FD23-F849-83B7-1A00D20F6A69}">
    <text>From rectangle</text>
  </threadedComment>
  <threadedComment ref="B28" dT="2023-08-17T22:03:39.57" personId="{CA2F858E-BD0F-C842-A552-2AC0EF8CC078}" id="{4B55A27D-9328-7D43-A904-B3963EF07F02}">
    <text>From rectangle</text>
  </threadedComment>
  <threadedComment ref="B41" dT="2023-08-17T22:03:39.57" personId="{CA2F858E-BD0F-C842-A552-2AC0EF8CC078}" id="{AFEE4555-66C3-B942-85C9-846171F9ECAD}">
    <text>From rectangle</text>
  </threadedComment>
  <threadedComment ref="B55" dT="2023-08-17T22:03:39.57" personId="{CA2F858E-BD0F-C842-A552-2AC0EF8CC078}" id="{6AEF66C0-F129-F54F-A1DD-53020072A5D6}">
    <text>From rectangle</text>
  </threadedComment>
  <threadedComment ref="B69" dT="2023-08-17T22:03:39.57" personId="{CA2F858E-BD0F-C842-A552-2AC0EF8CC078}" id="{39335DA4-8FF3-AC47-A901-EFDE888E4630}">
    <text>From rectangle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3-08-17T22:03:39.57" personId="{CA2F858E-BD0F-C842-A552-2AC0EF8CC078}" id="{92D345DE-4C75-654A-906C-501B66CA959F}">
    <text>From rectangle</text>
  </threadedComment>
  <threadedComment ref="B44" dT="2023-08-17T22:03:39.57" personId="{CA2F858E-BD0F-C842-A552-2AC0EF8CC078}" id="{1927232D-32E1-474B-954F-22319A607C65}">
    <text>From rectangle</text>
  </threadedComment>
  <threadedComment ref="B58" dT="2023-08-17T22:03:39.57" personId="{CA2F858E-BD0F-C842-A552-2AC0EF8CC078}" id="{369A91C9-FC97-2E4E-BDB7-7F808BC5EE29}">
    <text>From rectangle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baseColWidth="10" defaultColWidth="11" defaultRowHeight="16" x14ac:dyDescent="0.2"/>
  <sheetData>
    <row r="1" spans="1:2" x14ac:dyDescent="0.2">
      <c r="B1" t="s">
        <v>5</v>
      </c>
    </row>
    <row r="2" spans="1:2" x14ac:dyDescent="0.2">
      <c r="A2" s="7">
        <v>40330</v>
      </c>
      <c r="B2">
        <v>1.296</v>
      </c>
    </row>
    <row r="3" spans="1:2" x14ac:dyDescent="0.2">
      <c r="A3" s="7">
        <v>40422</v>
      </c>
      <c r="B3">
        <v>1.282</v>
      </c>
    </row>
    <row r="4" spans="1:2" x14ac:dyDescent="0.2">
      <c r="A4" s="7">
        <v>40513</v>
      </c>
      <c r="B4">
        <v>1.2689999999999999</v>
      </c>
    </row>
    <row r="5" spans="1:2" x14ac:dyDescent="0.2">
      <c r="A5" s="7">
        <v>40603</v>
      </c>
      <c r="B5">
        <v>1.258</v>
      </c>
    </row>
    <row r="6" spans="1:2" x14ac:dyDescent="0.2">
      <c r="A6" s="7">
        <v>40695</v>
      </c>
      <c r="B6">
        <v>1.2490000000000001</v>
      </c>
    </row>
    <row r="7" spans="1:2" x14ac:dyDescent="0.2">
      <c r="A7" s="7">
        <v>40787</v>
      </c>
      <c r="B7">
        <v>1.2390000000000001</v>
      </c>
    </row>
    <row r="8" spans="1:2" x14ac:dyDescent="0.2">
      <c r="A8" s="7">
        <v>40878</v>
      </c>
      <c r="B8">
        <v>1.2270000000000001</v>
      </c>
    </row>
    <row r="9" spans="1:2" x14ac:dyDescent="0.2">
      <c r="A9" s="7">
        <v>40969</v>
      </c>
      <c r="B9">
        <v>1.2150000000000001</v>
      </c>
    </row>
    <row r="10" spans="1:2" x14ac:dyDescent="0.2">
      <c r="A10" s="7">
        <v>41061</v>
      </c>
      <c r="B10">
        <v>1.204</v>
      </c>
    </row>
    <row r="11" spans="1:2" x14ac:dyDescent="0.2">
      <c r="A11" s="7">
        <v>41153</v>
      </c>
      <c r="B11">
        <v>1.194</v>
      </c>
    </row>
    <row r="12" spans="1:2" x14ac:dyDescent="0.2">
      <c r="A12" s="7">
        <v>41244</v>
      </c>
      <c r="B12">
        <v>1.1859999999999999</v>
      </c>
    </row>
    <row r="13" spans="1:2" x14ac:dyDescent="0.2">
      <c r="A13" s="7">
        <v>41334</v>
      </c>
      <c r="B13">
        <v>1.1779999999999999</v>
      </c>
    </row>
    <row r="14" spans="1:2" x14ac:dyDescent="0.2">
      <c r="A14" s="7">
        <v>41426</v>
      </c>
      <c r="B14">
        <v>1.171</v>
      </c>
    </row>
    <row r="15" spans="1:2" x14ac:dyDescent="0.2">
      <c r="A15" s="7">
        <v>41518</v>
      </c>
      <c r="B15">
        <v>1.1639999999999999</v>
      </c>
    </row>
    <row r="16" spans="1:2" x14ac:dyDescent="0.2">
      <c r="A16" s="7">
        <v>41609</v>
      </c>
      <c r="B16">
        <v>1.1559999999999999</v>
      </c>
    </row>
    <row r="17" spans="1:2" x14ac:dyDescent="0.2">
      <c r="A17" s="7">
        <v>41699</v>
      </c>
      <c r="B17">
        <v>1.1459999999999999</v>
      </c>
    </row>
    <row r="18" spans="1:2" x14ac:dyDescent="0.2">
      <c r="A18" s="7">
        <v>41791</v>
      </c>
      <c r="B18">
        <v>1.141</v>
      </c>
    </row>
    <row r="19" spans="1:2" x14ac:dyDescent="0.2">
      <c r="A19" s="7">
        <v>41883</v>
      </c>
      <c r="B19">
        <v>1.1339999999999999</v>
      </c>
    </row>
    <row r="20" spans="1:2" x14ac:dyDescent="0.2">
      <c r="A20" s="7">
        <v>41974</v>
      </c>
      <c r="B20">
        <v>1.127</v>
      </c>
    </row>
    <row r="21" spans="1:2" x14ac:dyDescent="0.2">
      <c r="A21" s="7">
        <v>42064</v>
      </c>
      <c r="B21">
        <v>1.1200000000000001</v>
      </c>
    </row>
    <row r="22" spans="1:2" x14ac:dyDescent="0.2">
      <c r="A22" s="7">
        <v>42156</v>
      </c>
      <c r="B22">
        <v>1.115</v>
      </c>
    </row>
    <row r="23" spans="1:2" x14ac:dyDescent="0.2">
      <c r="A23" s="7">
        <v>42248</v>
      </c>
      <c r="B23">
        <v>1.1080000000000001</v>
      </c>
    </row>
    <row r="24" spans="1:2" x14ac:dyDescent="0.2">
      <c r="A24" s="7">
        <v>42339</v>
      </c>
      <c r="B24">
        <v>1.103</v>
      </c>
    </row>
    <row r="25" spans="1:2" x14ac:dyDescent="0.2">
      <c r="A25" s="7">
        <v>42430</v>
      </c>
      <c r="B25">
        <v>1.097</v>
      </c>
    </row>
    <row r="26" spans="1:2" x14ac:dyDescent="0.2">
      <c r="A26" s="7">
        <v>42522</v>
      </c>
      <c r="B26">
        <v>1.0920000000000001</v>
      </c>
    </row>
    <row r="27" spans="1:2" x14ac:dyDescent="0.2">
      <c r="A27" s="7">
        <v>42614</v>
      </c>
      <c r="B27">
        <v>1.087</v>
      </c>
    </row>
    <row r="28" spans="1:2" x14ac:dyDescent="0.2">
      <c r="A28" s="7">
        <v>42705</v>
      </c>
      <c r="B28">
        <v>1.0820000000000001</v>
      </c>
    </row>
    <row r="29" spans="1:2" x14ac:dyDescent="0.2">
      <c r="A29" s="7">
        <v>42795</v>
      </c>
      <c r="B29">
        <v>1.0760000000000001</v>
      </c>
    </row>
    <row r="30" spans="1:2" x14ac:dyDescent="0.2">
      <c r="A30" s="7">
        <v>42887</v>
      </c>
      <c r="B30">
        <v>1.07</v>
      </c>
    </row>
    <row r="31" spans="1:2" x14ac:dyDescent="0.2">
      <c r="A31" s="7">
        <v>42979</v>
      </c>
      <c r="B31">
        <v>1.0649999999999999</v>
      </c>
    </row>
    <row r="32" spans="1:2" x14ac:dyDescent="0.2">
      <c r="A32" s="7">
        <v>43070</v>
      </c>
      <c r="B32">
        <v>1.0580000000000001</v>
      </c>
    </row>
    <row r="33" spans="1:2" x14ac:dyDescent="0.2">
      <c r="A33" s="7">
        <v>43160</v>
      </c>
      <c r="B33">
        <v>1.0529999999999999</v>
      </c>
    </row>
    <row r="34" spans="1:2" x14ac:dyDescent="0.2">
      <c r="A34" s="7">
        <v>43252</v>
      </c>
      <c r="B34">
        <v>1.0469999999999999</v>
      </c>
    </row>
    <row r="35" spans="1:2" x14ac:dyDescent="0.2">
      <c r="A35" s="7">
        <v>43344</v>
      </c>
      <c r="B35">
        <v>1.0409999999999999</v>
      </c>
    </row>
    <row r="36" spans="1:2" x14ac:dyDescent="0.2">
      <c r="A36" s="7">
        <v>43435</v>
      </c>
      <c r="B36">
        <v>1.034</v>
      </c>
    </row>
    <row r="37" spans="1:2" x14ac:dyDescent="0.2">
      <c r="A37" s="7">
        <v>43525</v>
      </c>
      <c r="B37">
        <v>1.0289999999999999</v>
      </c>
    </row>
    <row r="38" spans="1:2" x14ac:dyDescent="0.2">
      <c r="A38" s="7">
        <v>43617</v>
      </c>
      <c r="B38">
        <v>1.0229999999999999</v>
      </c>
    </row>
    <row r="39" spans="1:2" x14ac:dyDescent="0.2">
      <c r="A39" s="7">
        <v>43709</v>
      </c>
      <c r="B39">
        <v>1.018</v>
      </c>
    </row>
    <row r="40" spans="1:2" x14ac:dyDescent="0.2">
      <c r="A40" s="7">
        <v>43800</v>
      </c>
      <c r="B40">
        <v>1.0129999999999999</v>
      </c>
    </row>
    <row r="41" spans="1:2" x14ac:dyDescent="0.2">
      <c r="A41" s="7">
        <v>43891</v>
      </c>
      <c r="B41">
        <v>1.008</v>
      </c>
    </row>
    <row r="42" spans="1:2" x14ac:dyDescent="0.2">
      <c r="A42" s="7">
        <v>43983</v>
      </c>
      <c r="B42">
        <v>1.006</v>
      </c>
    </row>
    <row r="43" spans="1:2" x14ac:dyDescent="0.2">
      <c r="A43" s="7">
        <v>44075</v>
      </c>
      <c r="B43">
        <v>1.0049999999999999</v>
      </c>
    </row>
    <row r="44" spans="1:2" x14ac:dyDescent="0.2">
      <c r="A44" s="7">
        <v>44166</v>
      </c>
      <c r="B44">
        <v>1</v>
      </c>
    </row>
    <row r="45" spans="1:2" x14ac:dyDescent="0.2">
      <c r="A45" s="7">
        <v>44256</v>
      </c>
    </row>
    <row r="46" spans="1:2" x14ac:dyDescent="0.2">
      <c r="A46" s="7">
        <v>44348</v>
      </c>
    </row>
    <row r="47" spans="1:2" x14ac:dyDescent="0.2">
      <c r="A47" s="7">
        <v>44440</v>
      </c>
    </row>
    <row r="48" spans="1:2" x14ac:dyDescent="0.2">
      <c r="A48" s="7">
        <v>44531</v>
      </c>
    </row>
    <row r="49" spans="1:1" x14ac:dyDescent="0.2">
      <c r="A49" s="7">
        <v>44621</v>
      </c>
    </row>
    <row r="50" spans="1:1" x14ac:dyDescent="0.2">
      <c r="A50" s="7">
        <v>44713</v>
      </c>
    </row>
    <row r="51" spans="1:1" x14ac:dyDescent="0.2">
      <c r="A51" s="7">
        <v>44805</v>
      </c>
    </row>
    <row r="52" spans="1:1" x14ac:dyDescent="0.2">
      <c r="A52" s="7">
        <v>44896</v>
      </c>
    </row>
    <row r="53" spans="1:1" x14ac:dyDescent="0.2">
      <c r="A53" s="7">
        <v>44986</v>
      </c>
    </row>
    <row r="54" spans="1:1" x14ac:dyDescent="0.2">
      <c r="A54" s="7">
        <v>45078</v>
      </c>
    </row>
    <row r="56" spans="1:1" x14ac:dyDescent="0.2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topLeftCell="A29" workbookViewId="0">
      <selection activeCell="B32" sqref="B32"/>
    </sheetView>
  </sheetViews>
  <sheetFormatPr baseColWidth="10" defaultColWidth="10.83203125" defaultRowHeight="16" x14ac:dyDescent="0.2"/>
  <cols>
    <col min="1" max="1" width="10.83203125" style="1"/>
    <col min="2" max="11" width="11.33203125" style="1" customWidth="1"/>
    <col min="12" max="16384" width="10.83203125" style="1"/>
  </cols>
  <sheetData>
    <row r="1" spans="1:11" x14ac:dyDescent="0.2">
      <c r="A1" s="6" t="s">
        <v>1</v>
      </c>
    </row>
    <row r="2" spans="1:11" x14ac:dyDescent="0.2">
      <c r="A2" s="6"/>
    </row>
    <row r="3" spans="1:11" s="4" customForma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x14ac:dyDescent="0.2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x14ac:dyDescent="0.2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x14ac:dyDescent="0.2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x14ac:dyDescent="0.2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x14ac:dyDescent="0.2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x14ac:dyDescent="0.2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x14ac:dyDescent="0.2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x14ac:dyDescent="0.2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2">
      <c r="A15" s="6" t="s">
        <v>0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x14ac:dyDescent="0.2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x14ac:dyDescent="0.2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x14ac:dyDescent="0.2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x14ac:dyDescent="0.2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x14ac:dyDescent="0.2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x14ac:dyDescent="0.2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x14ac:dyDescent="0.2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x14ac:dyDescent="0.2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6" t="s">
        <v>2</v>
      </c>
    </row>
    <row r="31" spans="1:11" x14ac:dyDescent="0.2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x14ac:dyDescent="0.2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x14ac:dyDescent="0.2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x14ac:dyDescent="0.2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x14ac:dyDescent="0.2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x14ac:dyDescent="0.2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x14ac:dyDescent="0.2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x14ac:dyDescent="0.2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2">
      <c r="A43" s="6" t="s">
        <v>3</v>
      </c>
    </row>
    <row r="45" spans="1:11" x14ac:dyDescent="0.2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x14ac:dyDescent="0.2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x14ac:dyDescent="0.2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x14ac:dyDescent="0.2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x14ac:dyDescent="0.2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x14ac:dyDescent="0.2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x14ac:dyDescent="0.2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x14ac:dyDescent="0.2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x14ac:dyDescent="0.2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x14ac:dyDescent="0.2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topLeftCell="A81" workbookViewId="0">
      <selection activeCell="G108" sqref="G108"/>
    </sheetView>
  </sheetViews>
  <sheetFormatPr baseColWidth="10" defaultColWidth="10.83203125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x14ac:dyDescent="0.2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x14ac:dyDescent="0.2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x14ac:dyDescent="0.2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x14ac:dyDescent="0.2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x14ac:dyDescent="0.2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x14ac:dyDescent="0.2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x14ac:dyDescent="0.2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29" spans="1:12" x14ac:dyDescent="0.2">
      <c r="B29" s="46" t="s">
        <v>79</v>
      </c>
      <c r="C29" s="47">
        <f ca="1">SUM(OFFSET($C$4:$L$12,0,1+C3,9-C3,1))/SUM(OFFSET($C$4:$L$12,0,C3,9-C3,1))</f>
        <v>2.3181888381445868</v>
      </c>
      <c r="D29" s="47">
        <f t="shared" ref="D29:K29" ca="1" si="2">SUM(OFFSET($C$4:$L$12,0,1+D3,9-D3,1))/SUM(OFFSET($C$4:$L$12,0,D3,9-D3,1))</f>
        <v>1.3291527165290391</v>
      </c>
      <c r="E29" s="47">
        <f t="shared" ca="1" si="2"/>
        <v>1.1367023841163972</v>
      </c>
      <c r="F29" s="47">
        <f t="shared" ca="1" si="2"/>
        <v>1.0668192948107127</v>
      </c>
      <c r="G29" s="47">
        <f t="shared" ca="1" si="2"/>
        <v>1.0313946328110117</v>
      </c>
      <c r="H29" s="47">
        <f t="shared" ca="1" si="2"/>
        <v>1.0232363198714178</v>
      </c>
      <c r="I29" s="47">
        <f t="shared" ca="1" si="2"/>
        <v>1.009350113356043</v>
      </c>
      <c r="J29" s="47">
        <f t="shared" ca="1" si="2"/>
        <v>1.0026838622321252</v>
      </c>
      <c r="K29" s="47">
        <f t="shared" ca="1" si="2"/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3">D28</f>
        <v>1.3291527165290391</v>
      </c>
      <c r="E30" s="9">
        <f t="shared" si="3"/>
        <v>1.1367023841163972</v>
      </c>
      <c r="F30" s="9">
        <f t="shared" si="3"/>
        <v>1.0668192948107127</v>
      </c>
      <c r="G30" s="9">
        <f t="shared" si="3"/>
        <v>1.0313946328110117</v>
      </c>
      <c r="H30" s="9">
        <f t="shared" si="3"/>
        <v>1.0232363198714178</v>
      </c>
      <c r="I30" s="9">
        <f t="shared" si="3"/>
        <v>1.009350113356043</v>
      </c>
      <c r="J30" s="9">
        <f t="shared" si="3"/>
        <v>1.0026838622321252</v>
      </c>
      <c r="K30" s="9">
        <f t="shared" si="3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4">1/E32-1/D32</f>
        <v>0.19094221055666716</v>
      </c>
      <c r="F33" s="10">
        <f t="shared" si="4"/>
        <v>0.10540360733962728</v>
      </c>
      <c r="G33" s="10">
        <f t="shared" si="4"/>
        <v>5.8563637593185391E-2</v>
      </c>
      <c r="H33" s="10">
        <f t="shared" si="4"/>
        <v>2.9354347174829765E-2</v>
      </c>
      <c r="I33" s="10">
        <f t="shared" si="4"/>
        <v>2.2408316597744782E-2</v>
      </c>
      <c r="J33" s="10">
        <f t="shared" si="4"/>
        <v>9.2264516158693244E-3</v>
      </c>
      <c r="K33" s="10">
        <f t="shared" si="4"/>
        <v>2.6731288159417277E-3</v>
      </c>
      <c r="L33" s="10">
        <f t="shared" si="4"/>
        <v>1.3261137886447782E-3</v>
      </c>
    </row>
    <row r="36" spans="1:12" x14ac:dyDescent="0.2">
      <c r="A36" s="6" t="s">
        <v>22</v>
      </c>
    </row>
    <row r="38" spans="1:12" x14ac:dyDescent="0.2">
      <c r="A38" s="4"/>
      <c r="B38" s="6" t="s">
        <v>26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x14ac:dyDescent="0.2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x14ac:dyDescent="0.2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x14ac:dyDescent="0.2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x14ac:dyDescent="0.2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x14ac:dyDescent="0.2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24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2.1990743034713178</v>
      </c>
      <c r="D69" s="8">
        <f t="shared" ref="D69:K69" si="5">E55/D55</f>
        <v>1.2797793785616649</v>
      </c>
      <c r="E69" s="8">
        <f t="shared" si="5"/>
        <v>1.13506447461418</v>
      </c>
      <c r="F69" s="8">
        <f t="shared" si="5"/>
        <v>1.080477414503485</v>
      </c>
      <c r="G69" s="8">
        <f t="shared" si="5"/>
        <v>1.0273167859259473</v>
      </c>
      <c r="H69" s="8">
        <f t="shared" si="5"/>
        <v>1.0206458154857807</v>
      </c>
      <c r="I69" s="8">
        <f t="shared" si="5"/>
        <v>1.0054258936867366</v>
      </c>
      <c r="J69" s="8">
        <f t="shared" si="5"/>
        <v>1.0020808119146678</v>
      </c>
      <c r="K69" s="8">
        <f t="shared" si="5"/>
        <v>1.0011063900061816</v>
      </c>
      <c r="L69" s="8"/>
    </row>
    <row r="70" spans="1:12" x14ac:dyDescent="0.2">
      <c r="A70" s="6">
        <v>2011</v>
      </c>
      <c r="C70" s="8">
        <f t="shared" ref="C70:J70" si="6">D56/C56</f>
        <v>2.1480629429223623</v>
      </c>
      <c r="D70" s="8">
        <f t="shared" si="6"/>
        <v>1.3517164558223127</v>
      </c>
      <c r="E70" s="8">
        <f t="shared" si="6"/>
        <v>1.1310246727418669</v>
      </c>
      <c r="F70" s="8">
        <f t="shared" si="6"/>
        <v>1.0597557590076663</v>
      </c>
      <c r="G70" s="8">
        <f t="shared" si="6"/>
        <v>1.0259903761246842</v>
      </c>
      <c r="H70" s="8">
        <f t="shared" si="6"/>
        <v>1.0137571936988383</v>
      </c>
      <c r="I70" s="8">
        <f t="shared" si="6"/>
        <v>1.0093101543943055</v>
      </c>
      <c r="J70" s="8">
        <f t="shared" si="6"/>
        <v>1.0025193344460268</v>
      </c>
      <c r="K70" s="3"/>
      <c r="L70" s="3"/>
    </row>
    <row r="71" spans="1:12" x14ac:dyDescent="0.2">
      <c r="A71" s="6">
        <v>2012</v>
      </c>
      <c r="C71" s="8">
        <f t="shared" ref="C71:I71" si="7">D57/C57</f>
        <v>2.3880973709459949</v>
      </c>
      <c r="D71" s="8">
        <f t="shared" si="7"/>
        <v>1.3302479190945389</v>
      </c>
      <c r="E71" s="8">
        <f t="shared" si="7"/>
        <v>1.1315191427380034</v>
      </c>
      <c r="F71" s="8">
        <f t="shared" si="7"/>
        <v>1.0491639479568842</v>
      </c>
      <c r="G71" s="8">
        <f t="shared" si="7"/>
        <v>1.032286689042365</v>
      </c>
      <c r="H71" s="8">
        <f t="shared" si="7"/>
        <v>1.021102350221559</v>
      </c>
      <c r="I71" s="8">
        <f t="shared" si="7"/>
        <v>1.0100909110187219</v>
      </c>
      <c r="J71" s="3"/>
      <c r="K71" s="3"/>
      <c r="L71" s="3"/>
    </row>
    <row r="72" spans="1:12" x14ac:dyDescent="0.2">
      <c r="A72" s="6">
        <v>2013</v>
      </c>
      <c r="C72" s="8">
        <f t="shared" ref="C72:H72" si="8">D58/C58</f>
        <v>2.3068201763422094</v>
      </c>
      <c r="D72" s="8">
        <f t="shared" si="8"/>
        <v>1.2904890321397671</v>
      </c>
      <c r="E72" s="8">
        <f t="shared" si="8"/>
        <v>1.1562901399486092</v>
      </c>
      <c r="F72" s="8">
        <f t="shared" si="8"/>
        <v>1.0788836915187729</v>
      </c>
      <c r="G72" s="8">
        <f t="shared" si="8"/>
        <v>1.031600737675894</v>
      </c>
      <c r="H72" s="8">
        <f t="shared" si="8"/>
        <v>1.0276370610307113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ref="C73:G73" si="9">D59/C59</f>
        <v>2.4576472541065484</v>
      </c>
      <c r="D73" s="8">
        <f t="shared" si="9"/>
        <v>1.350576107487399</v>
      </c>
      <c r="E73" s="8">
        <f t="shared" si="9"/>
        <v>1.124139794268443</v>
      </c>
      <c r="F73" s="8">
        <f t="shared" si="9"/>
        <v>1.0412010780147976</v>
      </c>
      <c r="G73" s="8">
        <f t="shared" si="9"/>
        <v>1.0268900559605756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ref="C74:F74" si="10">D60/C60</f>
        <v>2.3202509421513482</v>
      </c>
      <c r="D74" s="8">
        <f t="shared" si="10"/>
        <v>1.2970052082657499</v>
      </c>
      <c r="E74" s="8">
        <f t="shared" si="10"/>
        <v>1.1234486452020853</v>
      </c>
      <c r="F74" s="8">
        <f t="shared" si="10"/>
        <v>1.0640455736519452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ref="C75:E75" si="11">D61/C61</f>
        <v>2.2227494078248022</v>
      </c>
      <c r="D75" s="8">
        <f t="shared" si="11"/>
        <v>1.2775845178132847</v>
      </c>
      <c r="E75" s="8">
        <f t="shared" si="11"/>
        <v>1.1105933150263487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ref="C76:D76" si="12">D62/C62</f>
        <v>2.2296083761113632</v>
      </c>
      <c r="D76" s="8">
        <f t="shared" si="12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ref="C77" si="13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0" spans="1:12" x14ac:dyDescent="0.2">
      <c r="B80" s="46" t="s">
        <v>79</v>
      </c>
      <c r="C80" s="47">
        <f ca="1">SUM(OFFSET($C$55:$L$63,0,1+C54,9-C54,1))/SUM(OFFSET($C$55:$L$63,0,C54,9-C54,1))</f>
        <v>2.2825981241637812</v>
      </c>
      <c r="D80" s="47">
        <f t="shared" ref="D80:K80" ca="1" si="14">SUM(OFFSET($C$55:$L$63,0,1+D54,9-D54,1))/SUM(OFFSET($C$55:$L$63,0,D54,9-D54,1))</f>
        <v>1.3170483383959983</v>
      </c>
      <c r="E80" s="47">
        <f t="shared" ca="1" si="14"/>
        <v>1.1301798508039456</v>
      </c>
      <c r="F80" s="47">
        <f t="shared" ca="1" si="14"/>
        <v>1.0626094713780403</v>
      </c>
      <c r="G80" s="47">
        <f t="shared" ca="1" si="14"/>
        <v>1.0287527791480457</v>
      </c>
      <c r="H80" s="47">
        <f t="shared" ca="1" si="14"/>
        <v>1.0207792755763387</v>
      </c>
      <c r="I80" s="47">
        <f t="shared" ca="1" si="14"/>
        <v>1.0081702493098981</v>
      </c>
      <c r="J80" s="47">
        <f t="shared" ca="1" si="14"/>
        <v>1.0022946895953404</v>
      </c>
      <c r="K80" s="47">
        <f t="shared" ca="1" si="14"/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5">D79</f>
        <v>1.3170483383959983</v>
      </c>
      <c r="E81" s="9">
        <f t="shared" si="15"/>
        <v>1.1301798508039456</v>
      </c>
      <c r="F81" s="9">
        <f t="shared" si="15"/>
        <v>1.0626094713780403</v>
      </c>
      <c r="G81" s="9">
        <f t="shared" si="15"/>
        <v>1.0287527791480457</v>
      </c>
      <c r="H81" s="9">
        <f t="shared" si="15"/>
        <v>1.0207792755763387</v>
      </c>
      <c r="I81" s="9">
        <f t="shared" si="15"/>
        <v>1.0081702493098981</v>
      </c>
      <c r="J81" s="9">
        <f t="shared" si="15"/>
        <v>1.0022946895953404</v>
      </c>
      <c r="K81" s="9">
        <f t="shared" si="15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6">1/E83-1/D83</f>
        <v>0.18869053589212081</v>
      </c>
      <c r="F84" s="10">
        <f t="shared" ref="F84" si="17">1/F83-1/E83</f>
        <v>0.10203992263863915</v>
      </c>
      <c r="G84" s="10">
        <f t="shared" ref="G84" si="18">1/G83-1/F83</f>
        <v>5.5464352647357607E-2</v>
      </c>
      <c r="H84" s="10">
        <f t="shared" ref="H84" si="19">1/H83-1/G83</f>
        <v>2.7066208475340359E-2</v>
      </c>
      <c r="I84" s="10">
        <f t="shared" ref="I84" si="20">1/I83-1/H83</f>
        <v>2.0122828150284433E-2</v>
      </c>
      <c r="J84" s="10">
        <f t="shared" ref="J84" si="21">1/J83-1/I83</f>
        <v>8.0765478177540206E-3</v>
      </c>
      <c r="K84" s="10">
        <f t="shared" ref="K84" si="22">1/K83-1/J83</f>
        <v>2.2869058404896281E-3</v>
      </c>
      <c r="L84" s="10">
        <f t="shared" ref="L84" si="23">1/L83-1/K83</f>
        <v>1.1051672601698481E-3</v>
      </c>
    </row>
    <row r="87" spans="1:12" x14ac:dyDescent="0.2">
      <c r="A87" s="6" t="s">
        <v>25</v>
      </c>
      <c r="E87" s="1" t="s">
        <v>23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x14ac:dyDescent="0.2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x14ac:dyDescent="0.2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x14ac:dyDescent="0.2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4">$I58*$I83*K$84*E$101</f>
        <v>772.7314086136081</v>
      </c>
      <c r="L93" s="13">
        <f t="shared" si="24"/>
        <v>388.36638401462181</v>
      </c>
    </row>
    <row r="94" spans="1:12" x14ac:dyDescent="0.2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5">$H59*$H83*J$84*E$101</f>
        <v>2554.6971488982635</v>
      </c>
      <c r="K94" s="13">
        <f t="shared" si="25"/>
        <v>752.30730267714955</v>
      </c>
      <c r="L94" s="13">
        <f t="shared" si="25"/>
        <v>378.10145097209767</v>
      </c>
    </row>
    <row r="95" spans="1:12" x14ac:dyDescent="0.2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6">$G60*$G83*I$84*E$101</f>
        <v>6551.8319239438388</v>
      </c>
      <c r="J95" s="13">
        <f t="shared" si="26"/>
        <v>2734.845756755451</v>
      </c>
      <c r="K95" s="13">
        <f t="shared" si="26"/>
        <v>805.357470802374</v>
      </c>
      <c r="L95" s="13">
        <f t="shared" si="26"/>
        <v>404.76388728114551</v>
      </c>
    </row>
    <row r="96" spans="1:12" x14ac:dyDescent="0.2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7">$F61*$F83*H$84*E$101</f>
        <v>8993.711421749189</v>
      </c>
      <c r="I96" s="13">
        <f t="shared" si="27"/>
        <v>6953.9871430280455</v>
      </c>
      <c r="J96" s="13">
        <f t="shared" si="27"/>
        <v>2902.7121653014547</v>
      </c>
      <c r="K96" s="13">
        <f t="shared" si="27"/>
        <v>854.79077645968312</v>
      </c>
      <c r="L96" s="13">
        <f t="shared" si="27"/>
        <v>429.6085279337924</v>
      </c>
    </row>
    <row r="97" spans="1:13" x14ac:dyDescent="0.2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8">$E62*$E83*G$84*E$101</f>
        <v>15896.561539098397</v>
      </c>
      <c r="H97" s="13">
        <f t="shared" si="28"/>
        <v>8067.7049897194693</v>
      </c>
      <c r="I97" s="13">
        <f t="shared" si="28"/>
        <v>6237.9938760967007</v>
      </c>
      <c r="J97" s="13">
        <f t="shared" si="28"/>
        <v>2603.8444332437039</v>
      </c>
      <c r="K97" s="13">
        <f t="shared" si="28"/>
        <v>766.78019663085001</v>
      </c>
      <c r="L97" s="13">
        <f t="shared" si="28"/>
        <v>385.375369734</v>
      </c>
    </row>
    <row r="98" spans="1:13" x14ac:dyDescent="0.2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9">$D63*$D83*F$84*E$101</f>
        <v>35288.810984916185</v>
      </c>
      <c r="G98" s="13">
        <f t="shared" si="29"/>
        <v>19948.681326042788</v>
      </c>
      <c r="H98" s="13">
        <f t="shared" si="29"/>
        <v>10124.206764877972</v>
      </c>
      <c r="I98" s="13">
        <f t="shared" si="29"/>
        <v>7828.092360853866</v>
      </c>
      <c r="J98" s="13">
        <f t="shared" si="29"/>
        <v>3267.5785070634347</v>
      </c>
      <c r="K98" s="13">
        <f t="shared" si="29"/>
        <v>962.23662910292558</v>
      </c>
      <c r="L98" s="13">
        <f t="shared" si="29"/>
        <v>483.60964242620145</v>
      </c>
    </row>
    <row r="99" spans="1:13" x14ac:dyDescent="0.2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30">$C64*$C83*E$84*E$101</f>
        <v>59908.552037760797</v>
      </c>
      <c r="F99" s="13">
        <f t="shared" si="30"/>
        <v>33693.192644138937</v>
      </c>
      <c r="G99" s="13">
        <f t="shared" si="30"/>
        <v>19046.682054609137</v>
      </c>
      <c r="H99" s="13">
        <f t="shared" si="30"/>
        <v>9666.4307857789518</v>
      </c>
      <c r="I99" s="13">
        <f t="shared" si="30"/>
        <v>7474.1374557249956</v>
      </c>
      <c r="J99" s="13">
        <f t="shared" si="30"/>
        <v>3119.8317269855083</v>
      </c>
      <c r="K99" s="13">
        <f t="shared" si="30"/>
        <v>918.72815231631546</v>
      </c>
      <c r="L99" s="13">
        <f t="shared" si="30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31">E101*(1+$F87)</f>
        <v>1.1030199011803914</v>
      </c>
      <c r="G101" s="11">
        <f t="shared" si="31"/>
        <v>1.147140697227607</v>
      </c>
      <c r="H101" s="11">
        <f t="shared" si="31"/>
        <v>1.1930263251167113</v>
      </c>
      <c r="I101" s="11">
        <f t="shared" si="31"/>
        <v>1.2407473781213798</v>
      </c>
      <c r="J101" s="11">
        <f t="shared" si="31"/>
        <v>1.2903772732462351</v>
      </c>
      <c r="K101" s="11">
        <f t="shared" si="31"/>
        <v>1.3419923641760845</v>
      </c>
      <c r="L101" s="11">
        <f t="shared" si="31"/>
        <v>1.3956720587431279</v>
      </c>
    </row>
    <row r="107" spans="1:13" x14ac:dyDescent="0.2">
      <c r="C107" s="53" t="s">
        <v>15</v>
      </c>
      <c r="D107" s="53"/>
      <c r="E107" s="53"/>
      <c r="F107" s="53" t="s">
        <v>21</v>
      </c>
      <c r="G107" s="53"/>
    </row>
    <row r="108" spans="1:13" x14ac:dyDescent="0.2">
      <c r="B108" s="1" t="s">
        <v>13</v>
      </c>
      <c r="C108" s="1" t="s">
        <v>16</v>
      </c>
      <c r="D108" s="6" t="s">
        <v>18</v>
      </c>
      <c r="E108" s="6" t="s">
        <v>48</v>
      </c>
      <c r="F108" s="6" t="s">
        <v>18</v>
      </c>
      <c r="G108" s="6" t="s">
        <v>48</v>
      </c>
    </row>
    <row r="109" spans="1:13" x14ac:dyDescent="0.2">
      <c r="B109" s="1" t="s">
        <v>14</v>
      </c>
      <c r="C109" s="1" t="s">
        <v>17</v>
      </c>
      <c r="D109" s="6" t="s">
        <v>19</v>
      </c>
      <c r="E109" s="6" t="s">
        <v>20</v>
      </c>
      <c r="F109" s="6" t="s">
        <v>19</v>
      </c>
      <c r="G109" s="6" t="s">
        <v>20</v>
      </c>
    </row>
    <row r="110" spans="1:13" x14ac:dyDescent="0.2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2">F110-B110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3">B111*C111</f>
        <v>267592.85857950512</v>
      </c>
      <c r="E111" s="13">
        <f t="shared" ref="E111:E119" si="34">D111-B111</f>
        <v>354.85857950511854</v>
      </c>
      <c r="F111" s="13">
        <f t="shared" ref="F111:F119" si="35">SUM(C91:L91)</f>
        <v>267592.11886904552</v>
      </c>
      <c r="G111" s="13">
        <f t="shared" si="32"/>
        <v>354.11886904551648</v>
      </c>
    </row>
    <row r="112" spans="1:13" x14ac:dyDescent="0.2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3"/>
        <v>251820.08963114367</v>
      </c>
      <c r="E112" s="13">
        <f t="shared" si="34"/>
        <v>1007.0896311436663</v>
      </c>
      <c r="F112" s="13">
        <f t="shared" si="35"/>
        <v>251818.92027337267</v>
      </c>
      <c r="G112" s="13">
        <f t="shared" si="32"/>
        <v>1005.9202733726706</v>
      </c>
    </row>
    <row r="113" spans="1:8" x14ac:dyDescent="0.2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3"/>
        <v>287069.6960195133</v>
      </c>
      <c r="E113" s="13">
        <f t="shared" si="34"/>
        <v>3796.6960195132997</v>
      </c>
      <c r="F113" s="13">
        <f t="shared" si="35"/>
        <v>287058.15144653316</v>
      </c>
      <c r="G113" s="13">
        <f t="shared" si="32"/>
        <v>3785.1514465331566</v>
      </c>
    </row>
    <row r="114" spans="1:8" x14ac:dyDescent="0.2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3"/>
        <v>274278.6483214894</v>
      </c>
      <c r="E114" s="13">
        <f t="shared" si="34"/>
        <v>9773.648321489396</v>
      </c>
      <c r="F114" s="13">
        <f t="shared" si="35"/>
        <v>274310.35831342475</v>
      </c>
      <c r="G114" s="13">
        <f t="shared" si="32"/>
        <v>9805.3583134247456</v>
      </c>
    </row>
    <row r="115" spans="1:8" x14ac:dyDescent="0.2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3"/>
        <v>288630.6307595562</v>
      </c>
      <c r="E115" s="13">
        <f t="shared" si="34"/>
        <v>18757.630759556196</v>
      </c>
      <c r="F115" s="13">
        <f t="shared" si="35"/>
        <v>288843.39618467801</v>
      </c>
      <c r="G115" s="13">
        <f t="shared" si="32"/>
        <v>18970.396184678015</v>
      </c>
    </row>
    <row r="116" spans="1:8" x14ac:dyDescent="0.2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3"/>
        <v>300547.20721988013</v>
      </c>
      <c r="E116" s="13">
        <f t="shared" si="34"/>
        <v>37133.207219880132</v>
      </c>
      <c r="F116" s="13">
        <f t="shared" si="35"/>
        <v>301269.96955417586</v>
      </c>
      <c r="G116" s="13">
        <f t="shared" si="32"/>
        <v>37855.969554175856</v>
      </c>
    </row>
    <row r="117" spans="1:8" x14ac:dyDescent="0.2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3"/>
        <v>265640.99392619135</v>
      </c>
      <c r="E117" s="13">
        <f t="shared" si="34"/>
        <v>60819.993926191353</v>
      </c>
      <c r="F117" s="13">
        <f t="shared" si="35"/>
        <v>266899.95401302696</v>
      </c>
      <c r="G117" s="13">
        <f t="shared" si="32"/>
        <v>62078.95401302696</v>
      </c>
    </row>
    <row r="118" spans="1:8" x14ac:dyDescent="0.2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3"/>
        <v>327983.59396334324</v>
      </c>
      <c r="E118" s="13">
        <f t="shared" si="34"/>
        <v>137719.59396334324</v>
      </c>
      <c r="F118" s="13">
        <f t="shared" si="35"/>
        <v>330912.87500663899</v>
      </c>
      <c r="G118" s="13">
        <f t="shared" si="32"/>
        <v>140648.87500663899</v>
      </c>
    </row>
    <row r="119" spans="1:8" x14ac:dyDescent="0.2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3"/>
        <v>308860.23406835593</v>
      </c>
      <c r="E119" s="13">
        <f t="shared" si="34"/>
        <v>231571.23406835593</v>
      </c>
      <c r="F119" s="13">
        <f t="shared" si="35"/>
        <v>313670.16476016474</v>
      </c>
      <c r="G119" s="13">
        <f t="shared" si="32"/>
        <v>236381.16476016474</v>
      </c>
    </row>
    <row r="120" spans="1:8" x14ac:dyDescent="0.2">
      <c r="D120" s="13"/>
      <c r="E120" s="13"/>
      <c r="F120" s="13"/>
      <c r="G120" s="13"/>
    </row>
    <row r="121" spans="1:8" ht="17" thickBot="1" x14ac:dyDescent="0.25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7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topLeftCell="A103" workbookViewId="0">
      <selection activeCell="H108" sqref="H108"/>
    </sheetView>
  </sheetViews>
  <sheetFormatPr baseColWidth="10" defaultColWidth="10.83203125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45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x14ac:dyDescent="0.2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x14ac:dyDescent="0.2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x14ac:dyDescent="0.2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x14ac:dyDescent="0.2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x14ac:dyDescent="0.2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x14ac:dyDescent="0.2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x14ac:dyDescent="0.2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29" spans="1:12" x14ac:dyDescent="0.2">
      <c r="B29" s="46" t="s">
        <v>79</v>
      </c>
      <c r="C29" s="47">
        <f ca="1">SUM(OFFSET($C$4:$L$12,0,1+C3,9-C3,1))/SUM(OFFSET($C$4:$L$12,0,C3,9-C3,1))</f>
        <v>2.1410101345443966</v>
      </c>
      <c r="D29" s="47">
        <f t="shared" ref="D29:K29" ca="1" si="2">SUM(OFFSET($C$4:$L$12,0,1+D3,9-D3,1))/SUM(OFFSET($C$4:$L$12,0,D3,9-D3,1))</f>
        <v>1.0848802637887207</v>
      </c>
      <c r="E29" s="47">
        <f t="shared" ca="1" si="2"/>
        <v>0.96561458054480909</v>
      </c>
      <c r="F29" s="47">
        <f t="shared" ca="1" si="2"/>
        <v>0.96178475487275794</v>
      </c>
      <c r="G29" s="47">
        <f t="shared" ca="1" si="2"/>
        <v>0.97409800878311259</v>
      </c>
      <c r="H29" s="47">
        <f t="shared" ca="1" si="2"/>
        <v>0.98667252951623385</v>
      </c>
      <c r="I29" s="47">
        <f t="shared" ca="1" si="2"/>
        <v>0.99266066239545026</v>
      </c>
      <c r="J29" s="47">
        <f t="shared" ca="1" si="2"/>
        <v>0.99814248795937455</v>
      </c>
      <c r="K29" s="47">
        <f t="shared" ca="1" si="2"/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3">D28</f>
        <v>1.0848802637887207</v>
      </c>
      <c r="E30" s="9">
        <f t="shared" si="3"/>
        <v>0.96561458054480909</v>
      </c>
      <c r="F30" s="9">
        <f t="shared" si="3"/>
        <v>0.96178475487275794</v>
      </c>
      <c r="G30" s="9">
        <f t="shared" si="3"/>
        <v>0.97409800878311259</v>
      </c>
      <c r="H30" s="9">
        <f t="shared" si="3"/>
        <v>0.98667252951623385</v>
      </c>
      <c r="I30" s="9">
        <f t="shared" si="3"/>
        <v>0.99266066239545026</v>
      </c>
      <c r="J30" s="9">
        <f t="shared" si="3"/>
        <v>0.99814248795937455</v>
      </c>
      <c r="K30" s="9">
        <f t="shared" si="3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4">1/E32-1/D32</f>
        <v>8.8493493524379074E-2</v>
      </c>
      <c r="F33" s="10">
        <f t="shared" si="4"/>
        <v>-3.8892042789364201E-2</v>
      </c>
      <c r="G33" s="10">
        <f t="shared" si="4"/>
        <v>-4.1737544290854522E-2</v>
      </c>
      <c r="H33" s="10">
        <f t="shared" si="4"/>
        <v>-2.7208292255426425E-2</v>
      </c>
      <c r="I33" s="10">
        <f t="shared" si="4"/>
        <v>-1.3636989843762493E-2</v>
      </c>
      <c r="J33" s="10">
        <f t="shared" si="4"/>
        <v>-7.4097011122327139E-3</v>
      </c>
      <c r="K33" s="10">
        <f t="shared" si="4"/>
        <v>-1.8615567229915975E-3</v>
      </c>
      <c r="L33" s="10">
        <f t="shared" si="4"/>
        <v>-3.1591630422012074E-4</v>
      </c>
    </row>
    <row r="36" spans="1:12" x14ac:dyDescent="0.2">
      <c r="A36" s="6" t="s">
        <v>22</v>
      </c>
    </row>
    <row r="38" spans="1:12" x14ac:dyDescent="0.2">
      <c r="A38" s="4"/>
      <c r="B38" s="6" t="s">
        <v>26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x14ac:dyDescent="0.2">
      <c r="A40" s="6">
        <v>2011</v>
      </c>
      <c r="B40" s="11">
        <f>WPI!B6/WPI!B$40</f>
        <v>1.2329713721618956</v>
      </c>
      <c r="C40" s="3">
        <f t="shared" ref="C40:C48" si="5">C5*B40</f>
        <v>169204.36031589343</v>
      </c>
      <c r="D40" s="3">
        <f t="shared" ref="D40:D47" si="6">(D5-C5)*B41</f>
        <v>171785.7216189536</v>
      </c>
      <c r="E40" s="3">
        <f t="shared" ref="E40:E46" si="7">(E5-D5)*B42</f>
        <v>34390.177690029625</v>
      </c>
      <c r="F40" s="3">
        <f t="shared" ref="F40:F45" si="8">(F5-E5)*B43</f>
        <v>-19749.549851924974</v>
      </c>
      <c r="G40" s="3">
        <f t="shared" ref="G40:G44" si="9">(G5-F5)*B44</f>
        <v>-13641.964461994079</v>
      </c>
      <c r="H40" s="3">
        <f t="shared" ref="H40:H43" si="10">(H5-G5)*B45</f>
        <v>-7638.61006910168</v>
      </c>
      <c r="I40" s="3">
        <f t="shared" ref="I40:I42" si="11">(I5-H5)*B46</f>
        <v>-3528.9930898321822</v>
      </c>
      <c r="J40" s="3">
        <f t="shared" ref="J40:J41" si="12">(J5-I5)*B47</f>
        <v>-1861.4481737413623</v>
      </c>
      <c r="K40" s="3">
        <f>(K5-J5)*B48</f>
        <v>-560.47877591312931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 t="shared" si="5"/>
        <v>131964.58045409675</v>
      </c>
      <c r="D41" s="3">
        <f t="shared" si="6"/>
        <v>172377.44225074039</v>
      </c>
      <c r="E41" s="3">
        <f t="shared" si="7"/>
        <v>28718.733464955578</v>
      </c>
      <c r="F41" s="3">
        <f t="shared" si="8"/>
        <v>-9286.530108588353</v>
      </c>
      <c r="G41" s="3">
        <f t="shared" si="9"/>
        <v>-12146.748272458048</v>
      </c>
      <c r="H41" s="3">
        <f t="shared" si="10"/>
        <v>-5238.0355380059236</v>
      </c>
      <c r="I41" s="3">
        <f t="shared" si="11"/>
        <v>-4007.1263573543929</v>
      </c>
      <c r="J41" s="3">
        <f t="shared" si="12"/>
        <v>-1935.9239881539979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 t="shared" si="5"/>
        <v>155444.75913129322</v>
      </c>
      <c r="D42" s="3">
        <f t="shared" si="6"/>
        <v>182669.25666337612</v>
      </c>
      <c r="E42" s="3">
        <f t="shared" si="7"/>
        <v>27728.608094768017</v>
      </c>
      <c r="F42" s="3">
        <f t="shared" si="8"/>
        <v>-516.35538005923013</v>
      </c>
      <c r="G42" s="3">
        <f t="shared" si="9"/>
        <v>-17943.889437314909</v>
      </c>
      <c r="H42" s="3">
        <f t="shared" si="10"/>
        <v>-8455.5844027640669</v>
      </c>
      <c r="I42" s="3">
        <f t="shared" si="11"/>
        <v>-4419.19842053307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 t="shared" si="5"/>
        <v>143804.29615004937</v>
      </c>
      <c r="D43" s="3">
        <f t="shared" si="6"/>
        <v>177340.0345508391</v>
      </c>
      <c r="E43" s="3">
        <f t="shared" si="7"/>
        <v>26989.539980256668</v>
      </c>
      <c r="F43" s="3">
        <f t="shared" si="8"/>
        <v>-15418.351431391908</v>
      </c>
      <c r="G43" s="3">
        <f t="shared" si="9"/>
        <v>-11606.920039486673</v>
      </c>
      <c r="H43" s="3">
        <f t="shared" si="10"/>
        <v>-6451.0602171767023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 t="shared" si="5"/>
        <v>155493.51924975321</v>
      </c>
      <c r="D44" s="3">
        <f t="shared" si="6"/>
        <v>177329.80454096745</v>
      </c>
      <c r="E44" s="3">
        <f t="shared" si="7"/>
        <v>22605.202369200397</v>
      </c>
      <c r="F44" s="3">
        <f t="shared" si="8"/>
        <v>-10272.589338598224</v>
      </c>
      <c r="G44" s="3">
        <f t="shared" si="9"/>
        <v>-8598.0473840078957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 t="shared" si="5"/>
        <v>169855.04837117475</v>
      </c>
      <c r="D45" s="3">
        <f t="shared" si="6"/>
        <v>175045.87364264563</v>
      </c>
      <c r="E45" s="3">
        <f t="shared" si="7"/>
        <v>15199.587364264562</v>
      </c>
      <c r="F45" s="3">
        <f t="shared" si="8"/>
        <v>-12484.033563672259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 t="shared" si="5"/>
        <v>140249.22013820338</v>
      </c>
      <c r="D46" s="3">
        <f t="shared" si="6"/>
        <v>149081.22408687067</v>
      </c>
      <c r="E46" s="3">
        <f t="shared" si="7"/>
        <v>31890.737413622901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 t="shared" si="5"/>
        <v>163783.6673247779</v>
      </c>
      <c r="D47" s="3">
        <f t="shared" si="6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 t="shared" si="5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x14ac:dyDescent="0.2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x14ac:dyDescent="0.2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x14ac:dyDescent="0.2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x14ac:dyDescent="0.2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24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1.9978004498435158</v>
      </c>
      <c r="D69" s="8">
        <f t="shared" ref="D69:K69" si="13">E55/D55</f>
        <v>1.0784703528160946</v>
      </c>
      <c r="E69" s="8">
        <f t="shared" si="13"/>
        <v>0.96250079080062068</v>
      </c>
      <c r="F69" s="8">
        <f t="shared" si="13"/>
        <v>0.97392959729890438</v>
      </c>
      <c r="G69" s="8">
        <f t="shared" si="13"/>
        <v>0.96851849902889386</v>
      </c>
      <c r="H69" s="8">
        <f t="shared" si="13"/>
        <v>0.99019987948216848</v>
      </c>
      <c r="I69" s="8">
        <f t="shared" si="13"/>
        <v>0.99339632822139368</v>
      </c>
      <c r="J69" s="8">
        <f t="shared" si="13"/>
        <v>0.99864946501527541</v>
      </c>
      <c r="K69" s="8">
        <f t="shared" si="13"/>
        <v>0.99974859047149822</v>
      </c>
      <c r="L69" s="8"/>
    </row>
    <row r="70" spans="1:12" x14ac:dyDescent="0.2">
      <c r="A70" s="6">
        <v>2011</v>
      </c>
      <c r="C70" s="8">
        <f t="shared" ref="C70:J77" si="14">D56/C56</f>
        <v>2.0152558793298292</v>
      </c>
      <c r="D70" s="8">
        <f t="shared" si="14"/>
        <v>1.1008538943270512</v>
      </c>
      <c r="E70" s="8">
        <f t="shared" si="14"/>
        <v>0.94738788376442318</v>
      </c>
      <c r="F70" s="8">
        <f t="shared" si="14"/>
        <v>0.96164008313369898</v>
      </c>
      <c r="G70" s="8">
        <f t="shared" si="14"/>
        <v>0.97766414780066468</v>
      </c>
      <c r="H70" s="8">
        <f t="shared" si="14"/>
        <v>0.98944521710069155</v>
      </c>
      <c r="I70" s="8">
        <f t="shared" si="14"/>
        <v>0.99437324905647673</v>
      </c>
      <c r="J70" s="8">
        <f t="shared" si="14"/>
        <v>0.99829620836177535</v>
      </c>
      <c r="K70" s="3"/>
      <c r="L70" s="3"/>
    </row>
    <row r="71" spans="1:12" x14ac:dyDescent="0.2">
      <c r="A71" s="6">
        <v>2012</v>
      </c>
      <c r="C71" s="8">
        <f t="shared" si="14"/>
        <v>2.3062402173187757</v>
      </c>
      <c r="D71" s="8">
        <f t="shared" si="14"/>
        <v>1.0943633521579377</v>
      </c>
      <c r="E71" s="8">
        <f t="shared" si="14"/>
        <v>0.97211760936537928</v>
      </c>
      <c r="F71" s="8">
        <f t="shared" si="14"/>
        <v>0.96248389372981813</v>
      </c>
      <c r="G71" s="8">
        <f t="shared" si="14"/>
        <v>0.98319135534782065</v>
      </c>
      <c r="H71" s="8">
        <f t="shared" si="14"/>
        <v>0.98692146071379616</v>
      </c>
      <c r="I71" s="8">
        <f t="shared" si="14"/>
        <v>0.99359776056204108</v>
      </c>
      <c r="J71" s="3"/>
      <c r="K71" s="3"/>
      <c r="L71" s="3"/>
    </row>
    <row r="72" spans="1:12" x14ac:dyDescent="0.2">
      <c r="A72" s="6">
        <v>2013</v>
      </c>
      <c r="C72" s="8">
        <f t="shared" si="14"/>
        <v>2.1751393722389074</v>
      </c>
      <c r="D72" s="8">
        <f t="shared" si="14"/>
        <v>1.0820096381677566</v>
      </c>
      <c r="E72" s="8">
        <f t="shared" si="14"/>
        <v>0.99858858605766154</v>
      </c>
      <c r="F72" s="8">
        <f t="shared" si="14"/>
        <v>0.95088256447988151</v>
      </c>
      <c r="G72" s="8">
        <f t="shared" si="14"/>
        <v>0.97565914418183552</v>
      </c>
      <c r="H72" s="8">
        <f t="shared" si="14"/>
        <v>0.98696120079604499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si="14"/>
        <v>2.233204009188972</v>
      </c>
      <c r="D73" s="8">
        <f t="shared" si="14"/>
        <v>1.0840417762361014</v>
      </c>
      <c r="E73" s="8">
        <f t="shared" si="14"/>
        <v>0.955711429625549</v>
      </c>
      <c r="F73" s="8">
        <f t="shared" si="14"/>
        <v>0.96511458177346421</v>
      </c>
      <c r="G73" s="8">
        <f t="shared" si="14"/>
        <v>0.97991003594097947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si="14"/>
        <v>2.1404321247378859</v>
      </c>
      <c r="D74" s="8">
        <f t="shared" si="14"/>
        <v>1.0679195259266583</v>
      </c>
      <c r="E74" s="8">
        <f t="shared" si="14"/>
        <v>0.97109801666854334</v>
      </c>
      <c r="F74" s="8">
        <f t="shared" si="14"/>
        <v>0.97508938289403135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si="14"/>
        <v>2.0305603237657537</v>
      </c>
      <c r="D75" s="8">
        <f t="shared" si="14"/>
        <v>1.044069430941259</v>
      </c>
      <c r="E75" s="8">
        <f t="shared" si="14"/>
        <v>0.96533180809648689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si="14"/>
        <v>2.0629736403522534</v>
      </c>
      <c r="D76" s="8">
        <f t="shared" si="14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si="14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0" spans="1:12" x14ac:dyDescent="0.2">
      <c r="B80" s="46" t="s">
        <v>79</v>
      </c>
      <c r="C80" s="47">
        <f ca="1">SUM(OFFSET($C$55:$L$63,0,1+C54,9-C54,1))/SUM(OFFSET($C$55:$L$63,0,C54,9-C54,1))</f>
        <v>2.1108885101927282</v>
      </c>
      <c r="D80" s="47">
        <f t="shared" ref="D80:K80" ca="1" si="15">SUM(OFFSET($C$55:$L$63,0,1+D54,9-D54,1))/SUM(OFFSET($C$55:$L$63,0,D54,9-D54,1))</f>
        <v>1.0819923981491619</v>
      </c>
      <c r="E80" s="47">
        <f t="shared" ca="1" si="15"/>
        <v>0.96742851473361613</v>
      </c>
      <c r="F80" s="47">
        <f t="shared" ca="1" si="15"/>
        <v>0.96484851547566308</v>
      </c>
      <c r="G80" s="47">
        <f t="shared" ca="1" si="15"/>
        <v>0.97673036513632383</v>
      </c>
      <c r="H80" s="47">
        <f t="shared" ca="1" si="15"/>
        <v>0.98843136701299272</v>
      </c>
      <c r="I80" s="47">
        <f t="shared" ca="1" si="15"/>
        <v>0.99378769614566975</v>
      </c>
      <c r="J80" s="47">
        <f t="shared" ca="1" si="15"/>
        <v>0.99847727432318867</v>
      </c>
      <c r="K80" s="47">
        <f t="shared" ca="1" si="15"/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6">D79</f>
        <v>1.0819923981491619</v>
      </c>
      <c r="E81" s="9">
        <f t="shared" si="16"/>
        <v>0.96742851473361613</v>
      </c>
      <c r="F81" s="9">
        <f t="shared" si="16"/>
        <v>0.96484851547566308</v>
      </c>
      <c r="G81" s="9">
        <f t="shared" si="16"/>
        <v>0.97673036513632383</v>
      </c>
      <c r="H81" s="9">
        <f t="shared" si="16"/>
        <v>0.98843136701299272</v>
      </c>
      <c r="I81" s="9">
        <f t="shared" si="16"/>
        <v>0.99378769614566975</v>
      </c>
      <c r="J81" s="9">
        <f t="shared" si="16"/>
        <v>0.99847727432318867</v>
      </c>
      <c r="K81" s="9">
        <f t="shared" si="16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7">1/E83-1/D83</f>
        <v>8.4767144476432854E-2</v>
      </c>
      <c r="F84" s="10">
        <f t="shared" si="17"/>
        <v>-3.6434745214926512E-2</v>
      </c>
      <c r="G84" s="10">
        <f t="shared" si="17"/>
        <v>-3.804001932346246E-2</v>
      </c>
      <c r="H84" s="10">
        <f t="shared" si="17"/>
        <v>-2.4296614301063002E-2</v>
      </c>
      <c r="I84" s="10">
        <f t="shared" si="17"/>
        <v>-1.1798123115210224E-2</v>
      </c>
      <c r="J84" s="10">
        <f t="shared" si="17"/>
        <v>-6.2622454947505179E-3</v>
      </c>
      <c r="K84" s="10">
        <f t="shared" si="17"/>
        <v>-1.5254314144095282E-3</v>
      </c>
      <c r="L84" s="10">
        <f t="shared" si="17"/>
        <v>-2.514727511475634E-4</v>
      </c>
    </row>
    <row r="87" spans="1:12" x14ac:dyDescent="0.2">
      <c r="A87" s="6" t="s">
        <v>25</v>
      </c>
      <c r="E87" s="1" t="s">
        <v>23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 t="shared" ref="C90:C99" si="18">C4</f>
        <v>140518</v>
      </c>
      <c r="D90" s="3">
        <f t="shared" ref="D90:L90" si="19">D4-C4</f>
        <v>145485</v>
      </c>
      <c r="E90" s="3">
        <f t="shared" si="19"/>
        <v>23712</v>
      </c>
      <c r="F90" s="3">
        <f t="shared" si="19"/>
        <v>-12565</v>
      </c>
      <c r="G90" s="3">
        <f t="shared" si="19"/>
        <v>-8629</v>
      </c>
      <c r="H90" s="3">
        <f t="shared" si="19"/>
        <v>-10385</v>
      </c>
      <c r="I90" s="3">
        <f t="shared" si="19"/>
        <v>-3197</v>
      </c>
      <c r="J90" s="3">
        <f t="shared" si="19"/>
        <v>-2177</v>
      </c>
      <c r="K90" s="3">
        <f t="shared" si="19"/>
        <v>-452</v>
      </c>
      <c r="L90" s="3">
        <f t="shared" si="19"/>
        <v>-86</v>
      </c>
    </row>
    <row r="91" spans="1:12" x14ac:dyDescent="0.2">
      <c r="A91" s="6">
        <v>2011</v>
      </c>
      <c r="C91" s="3">
        <f t="shared" si="18"/>
        <v>137233</v>
      </c>
      <c r="D91" s="3">
        <f t="shared" ref="D91:K91" si="20">D5-C5</f>
        <v>144534</v>
      </c>
      <c r="E91" s="3">
        <f t="shared" si="20"/>
        <v>29750</v>
      </c>
      <c r="F91" s="3">
        <f t="shared" si="20"/>
        <v>-17534</v>
      </c>
      <c r="G91" s="3">
        <f t="shared" si="20"/>
        <v>-12394</v>
      </c>
      <c r="H91" s="3">
        <f t="shared" si="20"/>
        <v>-7086</v>
      </c>
      <c r="I91" s="3">
        <f t="shared" si="20"/>
        <v>-3341</v>
      </c>
      <c r="J91" s="3">
        <f t="shared" si="20"/>
        <v>-1801</v>
      </c>
      <c r="K91" s="3">
        <f t="shared" si="20"/>
        <v>-555</v>
      </c>
      <c r="L91" s="13">
        <f>$K56*$K83*L$84*D$101</f>
        <v>-84.197755372044057</v>
      </c>
    </row>
    <row r="92" spans="1:12" x14ac:dyDescent="0.2">
      <c r="A92" s="6">
        <v>2012</v>
      </c>
      <c r="C92" s="3">
        <f t="shared" si="18"/>
        <v>111030</v>
      </c>
      <c r="D92" s="3">
        <f t="shared" ref="D92:J92" si="21">D6-C6</f>
        <v>149119</v>
      </c>
      <c r="E92" s="3">
        <f t="shared" si="21"/>
        <v>25497</v>
      </c>
      <c r="F92" s="3">
        <f t="shared" si="21"/>
        <v>-8437</v>
      </c>
      <c r="G92" s="3">
        <f t="shared" si="21"/>
        <v>-11268</v>
      </c>
      <c r="H92" s="3">
        <f t="shared" si="21"/>
        <v>-4959</v>
      </c>
      <c r="I92" s="3">
        <f t="shared" si="21"/>
        <v>-3877</v>
      </c>
      <c r="J92" s="3">
        <f t="shared" si="21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x14ac:dyDescent="0.2">
      <c r="A93" s="6">
        <v>2013</v>
      </c>
      <c r="C93" s="3">
        <f t="shared" si="18"/>
        <v>134471</v>
      </c>
      <c r="D93" s="3">
        <f t="shared" ref="D93:I93" si="22">D7-C7</f>
        <v>162177</v>
      </c>
      <c r="E93" s="3">
        <f t="shared" si="22"/>
        <v>25192</v>
      </c>
      <c r="F93" s="3">
        <f t="shared" si="22"/>
        <v>-479</v>
      </c>
      <c r="G93" s="3">
        <f t="shared" si="22"/>
        <v>-16988</v>
      </c>
      <c r="H93" s="3">
        <f t="shared" si="22"/>
        <v>-8181</v>
      </c>
      <c r="I93" s="3">
        <f t="shared" si="22"/>
        <v>-4376</v>
      </c>
      <c r="J93" s="13">
        <f>$I58*$I83*J$84*D$101</f>
        <v>-2119.2165835970077</v>
      </c>
      <c r="K93" s="13">
        <f>$I58*$I83*K$84*E$101</f>
        <v>-536.87264981819635</v>
      </c>
      <c r="L93" s="13">
        <f>$I58*$I83*L$84*F$101</f>
        <v>-92.045564703832412</v>
      </c>
    </row>
    <row r="94" spans="1:12" x14ac:dyDescent="0.2">
      <c r="A94" s="6">
        <v>2014</v>
      </c>
      <c r="C94" s="3">
        <f t="shared" si="18"/>
        <v>127672</v>
      </c>
      <c r="D94" s="3">
        <f>D8-C8</f>
        <v>161117</v>
      </c>
      <c r="E94" s="3">
        <f>E8-D8</f>
        <v>25037</v>
      </c>
      <c r="F94" s="3">
        <f>F8-E8</f>
        <v>-14597</v>
      </c>
      <c r="G94" s="3">
        <f>G8-F8</f>
        <v>-11230</v>
      </c>
      <c r="H94" s="3">
        <f>H8-G8</f>
        <v>-6388</v>
      </c>
      <c r="I94" s="13">
        <f>$H59*$H83*I$84*D$101</f>
        <v>-3712.2469119035713</v>
      </c>
      <c r="J94" s="13">
        <f>$H59*$H83*J$84*E$101</f>
        <v>-2049.2142117316475</v>
      </c>
      <c r="K94" s="13">
        <f>$H59*$H83*K$84*F$101</f>
        <v>-519.13856866395918</v>
      </c>
      <c r="L94" s="13">
        <f>$H59*$H83*L$84*G$101</f>
        <v>-89.00509781676314</v>
      </c>
    </row>
    <row r="95" spans="1:12" x14ac:dyDescent="0.2">
      <c r="A95" s="6">
        <v>2015</v>
      </c>
      <c r="C95" s="3">
        <f t="shared" si="18"/>
        <v>141269</v>
      </c>
      <c r="D95" s="3">
        <f>D9-C9</f>
        <v>164501</v>
      </c>
      <c r="E95" s="3">
        <f>E9-D9</f>
        <v>21401</v>
      </c>
      <c r="F95" s="3">
        <f>F9-E9</f>
        <v>-9939</v>
      </c>
      <c r="G95" s="3">
        <f>G9-F9</f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>$G60*$G83*J$84*F$101</f>
        <v>-2226.470892842789</v>
      </c>
      <c r="K95" s="13">
        <f>$G60*$G83*K$84*G$101</f>
        <v>-564.04396664107026</v>
      </c>
      <c r="L95" s="13">
        <f>$G60*$G83*L$84*H$101</f>
        <v>-96.704023654116241</v>
      </c>
    </row>
    <row r="96" spans="1:12" x14ac:dyDescent="0.2">
      <c r="A96" s="6">
        <v>2016</v>
      </c>
      <c r="C96" s="3">
        <f t="shared" si="18"/>
        <v>157567</v>
      </c>
      <c r="D96" s="3">
        <f>D10-C10</f>
        <v>165721</v>
      </c>
      <c r="E96" s="3">
        <f>E10-D10</f>
        <v>14706</v>
      </c>
      <c r="F96" s="3">
        <f>F10-E10</f>
        <v>-12362</v>
      </c>
      <c r="G96" s="13">
        <f t="shared" ref="G96:L96" si="23">$F61*$F83*G$84*D$101</f>
        <v>-12461.223714596652</v>
      </c>
      <c r="H96" s="13">
        <f t="shared" si="23"/>
        <v>-8277.4975871559691</v>
      </c>
      <c r="I96" s="13">
        <f t="shared" si="23"/>
        <v>-4180.2241162235923</v>
      </c>
      <c r="J96" s="13">
        <f t="shared" si="23"/>
        <v>-2307.5444253777223</v>
      </c>
      <c r="K96" s="13">
        <f t="shared" si="23"/>
        <v>-584.58276507207972</v>
      </c>
      <c r="L96" s="13">
        <f t="shared" si="23"/>
        <v>-100.22535278228219</v>
      </c>
    </row>
    <row r="97" spans="1:13" x14ac:dyDescent="0.2">
      <c r="A97" s="6">
        <v>2017</v>
      </c>
      <c r="C97" s="3">
        <f t="shared" si="18"/>
        <v>132778</v>
      </c>
      <c r="D97" s="3">
        <f>D11-C11</f>
        <v>144240</v>
      </c>
      <c r="E97" s="3">
        <f>E11-D11</f>
        <v>31579</v>
      </c>
      <c r="F97" s="13">
        <f t="shared" ref="F97:L97" si="24">$E62*$E83*F$84*D$101</f>
        <v>-10669.852307280293</v>
      </c>
      <c r="G97" s="13">
        <f t="shared" si="24"/>
        <v>-11585.55222426527</v>
      </c>
      <c r="H97" s="13">
        <f t="shared" si="24"/>
        <v>-7695.8236830217566</v>
      </c>
      <c r="I97" s="13">
        <f t="shared" si="24"/>
        <v>-3886.4726223406192</v>
      </c>
      <c r="J97" s="13">
        <f t="shared" si="24"/>
        <v>-2145.3893343324135</v>
      </c>
      <c r="K97" s="13">
        <f t="shared" si="24"/>
        <v>-543.50313494610077</v>
      </c>
      <c r="L97" s="13">
        <f t="shared" si="24"/>
        <v>-93.182345927582574</v>
      </c>
    </row>
    <row r="98" spans="1:13" x14ac:dyDescent="0.2">
      <c r="A98" s="6">
        <v>2018</v>
      </c>
      <c r="C98" s="3">
        <f t="shared" si="18"/>
        <v>158465</v>
      </c>
      <c r="D98" s="3">
        <f>D12-C12</f>
        <v>179103</v>
      </c>
      <c r="E98" s="13">
        <f t="shared" ref="E98:L98" si="25">$D63*$D83*E$84*D$101</f>
        <v>28818.706233015349</v>
      </c>
      <c r="F98" s="13">
        <f t="shared" si="25"/>
        <v>-12882.376946038084</v>
      </c>
      <c r="G98" s="13">
        <f t="shared" si="25"/>
        <v>-13987.958463038773</v>
      </c>
      <c r="H98" s="13">
        <f t="shared" si="25"/>
        <v>-9291.647038758676</v>
      </c>
      <c r="I98" s="13">
        <f t="shared" si="25"/>
        <v>-4692.3803506902395</v>
      </c>
      <c r="J98" s="13">
        <f t="shared" si="25"/>
        <v>-2590.2621053172411</v>
      </c>
      <c r="K98" s="13">
        <f t="shared" si="25"/>
        <v>-656.20517080182151</v>
      </c>
      <c r="L98" s="13">
        <f t="shared" si="25"/>
        <v>-112.50484733853038</v>
      </c>
    </row>
    <row r="99" spans="1:13" x14ac:dyDescent="0.2">
      <c r="A99" s="6">
        <v>2019</v>
      </c>
      <c r="C99" s="3">
        <f t="shared" si="18"/>
        <v>147620</v>
      </c>
      <c r="D99" s="13">
        <f t="shared" ref="D99:L99" si="26">$C64*$C83*D$84*D$101</f>
        <v>168887.89935114357</v>
      </c>
      <c r="E99" s="13">
        <f t="shared" si="26"/>
        <v>27365.304393425649</v>
      </c>
      <c r="F99" s="13">
        <f t="shared" si="26"/>
        <v>-12232.685381112455</v>
      </c>
      <c r="G99" s="13">
        <f t="shared" si="26"/>
        <v>-13282.509564746651</v>
      </c>
      <c r="H99" s="13">
        <f t="shared" si="26"/>
        <v>-8823.0452635867205</v>
      </c>
      <c r="I99" s="13">
        <f t="shared" si="26"/>
        <v>-4455.7314817713868</v>
      </c>
      <c r="J99" s="13">
        <f t="shared" si="26"/>
        <v>-2459.6284926058329</v>
      </c>
      <c r="K99" s="13">
        <f t="shared" si="26"/>
        <v>-623.11104802336627</v>
      </c>
      <c r="L99" s="13">
        <f t="shared" si="26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7">E101*(1+$F87)</f>
        <v>1.1030199011803914</v>
      </c>
      <c r="G101" s="11">
        <f t="shared" si="27"/>
        <v>1.147140697227607</v>
      </c>
      <c r="H101" s="11">
        <f t="shared" si="27"/>
        <v>1.1930263251167113</v>
      </c>
      <c r="I101" s="11">
        <f t="shared" si="27"/>
        <v>1.2407473781213798</v>
      </c>
      <c r="J101" s="11">
        <f t="shared" si="27"/>
        <v>1.2903772732462351</v>
      </c>
      <c r="K101" s="11">
        <f t="shared" si="27"/>
        <v>1.3419923641760845</v>
      </c>
      <c r="L101" s="11">
        <f t="shared" si="27"/>
        <v>1.3956720587431279</v>
      </c>
    </row>
    <row r="107" spans="1:13" x14ac:dyDescent="0.2">
      <c r="C107" s="53" t="s">
        <v>15</v>
      </c>
      <c r="D107" s="53"/>
      <c r="E107" s="53"/>
      <c r="F107" s="53"/>
      <c r="G107" s="53" t="s">
        <v>21</v>
      </c>
      <c r="H107" s="53"/>
    </row>
    <row r="108" spans="1:13" x14ac:dyDescent="0.2">
      <c r="B108" s="1" t="s">
        <v>13</v>
      </c>
      <c r="C108" s="1" t="s">
        <v>46</v>
      </c>
      <c r="D108" s="1" t="s">
        <v>16</v>
      </c>
      <c r="E108" s="6" t="s">
        <v>18</v>
      </c>
      <c r="F108" s="6" t="s">
        <v>48</v>
      </c>
      <c r="G108" s="6" t="s">
        <v>18</v>
      </c>
      <c r="H108" s="6" t="s">
        <v>48</v>
      </c>
    </row>
    <row r="109" spans="1:13" x14ac:dyDescent="0.2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20</v>
      </c>
      <c r="G109" s="6" t="s">
        <v>19</v>
      </c>
      <c r="H109" s="6" t="s">
        <v>20</v>
      </c>
    </row>
    <row r="110" spans="1:13" x14ac:dyDescent="0.2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8">SUM(C90:L90)</f>
        <v>272224</v>
      </c>
      <c r="H110" s="13">
        <f>G110-B110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9">C111*D111</f>
        <v>268721.10662113031</v>
      </c>
      <c r="F111" s="13">
        <f t="shared" ref="F111:F119" si="30">E111-B111</f>
        <v>1483.1066211303114</v>
      </c>
      <c r="G111" s="13">
        <f t="shared" si="28"/>
        <v>268721.80224462796</v>
      </c>
      <c r="H111" s="13">
        <f t="shared" ref="H111:H119" si="31">G111-B111</f>
        <v>1483.8022446279647</v>
      </c>
    </row>
    <row r="112" spans="1:13" x14ac:dyDescent="0.2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9"/>
        <v>254633.54232975357</v>
      </c>
      <c r="F112" s="13">
        <f t="shared" si="30"/>
        <v>3820.5423297535744</v>
      </c>
      <c r="G112" s="13">
        <f t="shared" si="28"/>
        <v>254641.45210453306</v>
      </c>
      <c r="H112" s="13">
        <f t="shared" si="31"/>
        <v>3828.4521045330621</v>
      </c>
    </row>
    <row r="113" spans="1:8" x14ac:dyDescent="0.2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9"/>
        <v>289044.87643549865</v>
      </c>
      <c r="F113" s="13">
        <f t="shared" si="30"/>
        <v>5771.8764354986488</v>
      </c>
      <c r="G113" s="13">
        <f t="shared" si="28"/>
        <v>289067.86520188098</v>
      </c>
      <c r="H113" s="13">
        <f t="shared" si="31"/>
        <v>5794.8652018809807</v>
      </c>
    </row>
    <row r="114" spans="1:8" x14ac:dyDescent="0.2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9"/>
        <v>275219.26271145197</v>
      </c>
      <c r="F114" s="13">
        <f t="shared" si="30"/>
        <v>10714.262711451971</v>
      </c>
      <c r="G114" s="13">
        <f t="shared" si="28"/>
        <v>275241.3952098841</v>
      </c>
      <c r="H114" s="13">
        <f t="shared" si="31"/>
        <v>10736.395209884096</v>
      </c>
    </row>
    <row r="115" spans="1:8" x14ac:dyDescent="0.2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9"/>
        <v>293896.09790376335</v>
      </c>
      <c r="F115" s="13">
        <f t="shared" si="30"/>
        <v>24023.097903763351</v>
      </c>
      <c r="G115" s="13">
        <f t="shared" si="28"/>
        <v>293810.7504476062</v>
      </c>
      <c r="H115" s="13">
        <f t="shared" si="31"/>
        <v>23937.750447606202</v>
      </c>
    </row>
    <row r="116" spans="1:8" x14ac:dyDescent="0.2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9"/>
        <v>298151.38654434058</v>
      </c>
      <c r="F116" s="13">
        <f t="shared" si="30"/>
        <v>34737.386544340581</v>
      </c>
      <c r="G116" s="13">
        <f t="shared" si="28"/>
        <v>297720.70203879173</v>
      </c>
      <c r="H116" s="13">
        <f t="shared" si="31"/>
        <v>34306.702038791729</v>
      </c>
    </row>
    <row r="117" spans="1:8" x14ac:dyDescent="0.2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9"/>
        <v>272838.26013159298</v>
      </c>
      <c r="F117" s="13">
        <f t="shared" si="30"/>
        <v>68017.260131592979</v>
      </c>
      <c r="G117" s="13">
        <f t="shared" si="28"/>
        <v>271977.22434788593</v>
      </c>
      <c r="H117" s="13">
        <f t="shared" si="31"/>
        <v>67156.224347885931</v>
      </c>
    </row>
    <row r="118" spans="1:8" x14ac:dyDescent="0.2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9"/>
        <v>323784.94446868415</v>
      </c>
      <c r="F118" s="13">
        <f t="shared" si="30"/>
        <v>133520.94446868415</v>
      </c>
      <c r="G118" s="13">
        <f t="shared" si="28"/>
        <v>322173.37131103192</v>
      </c>
      <c r="H118" s="13">
        <f t="shared" si="31"/>
        <v>131909.37131103192</v>
      </c>
    </row>
    <row r="119" spans="1:8" x14ac:dyDescent="0.2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9"/>
        <v>303151.20873706532</v>
      </c>
      <c r="F119" s="13">
        <f t="shared" si="30"/>
        <v>225862.20873706532</v>
      </c>
      <c r="G119" s="13">
        <f t="shared" si="28"/>
        <v>301889.66157561337</v>
      </c>
      <c r="H119" s="13">
        <f t="shared" si="31"/>
        <v>224600.66157561337</v>
      </c>
    </row>
    <row r="120" spans="1:8" x14ac:dyDescent="0.2">
      <c r="E120" s="13"/>
      <c r="F120" s="13"/>
      <c r="G120" s="13"/>
      <c r="H120" s="13"/>
    </row>
    <row r="121" spans="1:8" ht="17" thickBot="1" x14ac:dyDescent="0.25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7" thickTop="1" x14ac:dyDescent="0.2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AA84"/>
  <sheetViews>
    <sheetView topLeftCell="D1" workbookViewId="0">
      <selection activeCell="G11" sqref="G11:G13"/>
    </sheetView>
  </sheetViews>
  <sheetFormatPr baseColWidth="10" defaultColWidth="10.83203125" defaultRowHeight="16" x14ac:dyDescent="0.2"/>
  <cols>
    <col min="1" max="4" width="10.83203125" style="1"/>
    <col min="5" max="5" width="10.5" style="1" customWidth="1"/>
    <col min="6" max="12" width="10.83203125" style="1"/>
    <col min="13" max="14" width="14" style="1" bestFit="1" customWidth="1"/>
    <col min="15" max="15" width="11.1640625" style="1" bestFit="1" customWidth="1"/>
    <col min="16" max="16384" width="10.83203125" style="1"/>
  </cols>
  <sheetData>
    <row r="1" spans="1:27" x14ac:dyDescent="0.2">
      <c r="A1" s="6" t="s">
        <v>30</v>
      </c>
    </row>
    <row r="2" spans="1:27" x14ac:dyDescent="0.2">
      <c r="A2" s="6"/>
      <c r="O2" s="48" t="s">
        <v>79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x14ac:dyDescent="0.2">
      <c r="A3" s="4"/>
      <c r="B3" s="6" t="s">
        <v>27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28</v>
      </c>
      <c r="O3" s="49"/>
      <c r="P3" s="50" t="s">
        <v>27</v>
      </c>
      <c r="Q3" s="51">
        <v>0</v>
      </c>
      <c r="R3" s="51">
        <v>1</v>
      </c>
      <c r="S3" s="51">
        <v>2</v>
      </c>
      <c r="T3" s="51">
        <v>3</v>
      </c>
      <c r="U3" s="51">
        <v>4</v>
      </c>
      <c r="V3" s="51">
        <v>5</v>
      </c>
      <c r="W3" s="51">
        <v>6</v>
      </c>
      <c r="X3" s="51">
        <v>7</v>
      </c>
      <c r="Y3" s="51">
        <v>8</v>
      </c>
      <c r="Z3" s="51">
        <v>9</v>
      </c>
      <c r="AA3" s="50" t="s">
        <v>28</v>
      </c>
    </row>
    <row r="4" spans="1:27" x14ac:dyDescent="0.2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  <c r="O4" s="50">
        <v>2010</v>
      </c>
      <c r="P4" s="48">
        <v>10742</v>
      </c>
      <c r="Q4" s="48">
        <v>291</v>
      </c>
      <c r="R4" s="48">
        <v>357</v>
      </c>
      <c r="S4" s="48">
        <v>188</v>
      </c>
      <c r="T4" s="48">
        <v>115</v>
      </c>
      <c r="U4" s="48">
        <v>78</v>
      </c>
      <c r="V4" s="48">
        <v>26</v>
      </c>
      <c r="W4" s="48">
        <v>24</v>
      </c>
      <c r="X4" s="48">
        <v>8</v>
      </c>
      <c r="Y4" s="48">
        <v>2</v>
      </c>
      <c r="Z4" s="48">
        <v>1</v>
      </c>
      <c r="AA4" s="52">
        <f>SUM(Q4:Z4)</f>
        <v>1090</v>
      </c>
    </row>
    <row r="5" spans="1:27" x14ac:dyDescent="0.2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  <c r="O5" s="50">
        <v>2011</v>
      </c>
      <c r="P5" s="48">
        <v>10320</v>
      </c>
      <c r="Q5" s="48">
        <v>281</v>
      </c>
      <c r="R5" s="48">
        <v>335</v>
      </c>
      <c r="S5" s="48">
        <v>203</v>
      </c>
      <c r="T5" s="48">
        <v>108</v>
      </c>
      <c r="U5" s="48">
        <v>48</v>
      </c>
      <c r="V5" s="48">
        <v>30</v>
      </c>
      <c r="W5" s="48">
        <v>16</v>
      </c>
      <c r="X5" s="48">
        <v>8</v>
      </c>
      <c r="Y5" s="48">
        <v>2</v>
      </c>
      <c r="Z5" s="52">
        <f t="shared" ref="Z5:Z12" ca="1" si="2">SUMPRODUCT(OFFSET($D$18:$L$26,0,L$17-1,9-K$17,1),OFFSET($B$18:$B$26,0,0,9-K$17))/SUM(OFFSET($B$18:$B$26,0,0,9-K$17))*$B19/10000</f>
        <v>0.96071495066095702</v>
      </c>
      <c r="AA5" s="52">
        <f t="shared" ref="AA5:AA12" ca="1" si="3">SUM(Q5:Z5)</f>
        <v>1031.960714950661</v>
      </c>
    </row>
    <row r="6" spans="1:27" x14ac:dyDescent="0.2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4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  <c r="O6" s="50">
        <v>2012</v>
      </c>
      <c r="P6" s="48">
        <v>9981</v>
      </c>
      <c r="Q6" s="48">
        <v>230</v>
      </c>
      <c r="R6" s="48">
        <v>338</v>
      </c>
      <c r="S6" s="48">
        <v>186</v>
      </c>
      <c r="T6" s="48">
        <v>112</v>
      </c>
      <c r="U6" s="48">
        <v>49</v>
      </c>
      <c r="V6" s="48">
        <v>29</v>
      </c>
      <c r="W6" s="48">
        <v>19</v>
      </c>
      <c r="X6" s="48">
        <v>11</v>
      </c>
      <c r="Y6" s="52">
        <f t="shared" ref="Y6:Y12" ca="1" si="5">SUMPRODUCT(OFFSET($D$18:$L$26,0,K$17-1,9-J$17,1),OFFSET($B$18:$B$26,0,0,9-J$17))/SUM(OFFSET($B$18:$B$26,0,0,9-J$17))*$B20/10000</f>
        <v>1.895546481815592</v>
      </c>
      <c r="Z6" s="52">
        <f t="shared" ca="1" si="2"/>
        <v>0.92915658164215242</v>
      </c>
      <c r="AA6" s="52">
        <f t="shared" ca="1" si="3"/>
        <v>976.82470306345772</v>
      </c>
    </row>
    <row r="7" spans="1:27" x14ac:dyDescent="0.2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6">SUMPRODUCT(J$18:J$20,$B$18:$B$20)/SUM($B$18:$B$20)*$B21/10000</f>
        <v>9.2690461617756004</v>
      </c>
      <c r="K7" s="17">
        <f t="shared" si="4"/>
        <v>2.0239293514386101</v>
      </c>
      <c r="L7" s="17">
        <f t="shared" si="0"/>
        <v>0.99208713461180409</v>
      </c>
      <c r="M7" s="17">
        <f t="shared" si="1"/>
        <v>1108.2850626478262</v>
      </c>
      <c r="O7" s="50">
        <v>2013</v>
      </c>
      <c r="P7" s="48">
        <v>10657</v>
      </c>
      <c r="Q7" s="48">
        <v>275</v>
      </c>
      <c r="R7" s="48">
        <v>365</v>
      </c>
      <c r="S7" s="48">
        <v>201</v>
      </c>
      <c r="T7" s="48">
        <v>124</v>
      </c>
      <c r="U7" s="48">
        <v>76</v>
      </c>
      <c r="V7" s="48">
        <v>31</v>
      </c>
      <c r="W7" s="48">
        <v>24</v>
      </c>
      <c r="X7" s="52">
        <f t="shared" ref="X7:X12" ca="1" si="7">SUMPRODUCT(OFFSET($D$18:$L$26,0,J$17-1,9-I$17,1),OFFSET($B$18:$B$26,0,0,9-I$17))/SUM(OFFSET($B$18:$B$26,0,0,9-I$17))*$B21/10000</f>
        <v>9.2690461617756004</v>
      </c>
      <c r="Y7" s="52">
        <f t="shared" ca="1" si="5"/>
        <v>2.0239293514386101</v>
      </c>
      <c r="Z7" s="52">
        <f t="shared" ca="1" si="2"/>
        <v>0.99208713461180409</v>
      </c>
      <c r="AA7" s="52">
        <f t="shared" ca="1" si="3"/>
        <v>1108.2850626478262</v>
      </c>
    </row>
    <row r="8" spans="1:27" x14ac:dyDescent="0.2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8">SUMPRODUCT(I$18:I$21,$B$18:$B$21)/SUM($B$18:$B$21)*$B22/10000</f>
        <v>20.232494004796163</v>
      </c>
      <c r="J8" s="17">
        <f t="shared" si="6"/>
        <v>8.8411236027445792</v>
      </c>
      <c r="K8" s="17">
        <f t="shared" si="4"/>
        <v>1.9304909315354668</v>
      </c>
      <c r="L8" s="17">
        <f t="shared" si="0"/>
        <v>0.94628560789424687</v>
      </c>
      <c r="M8" s="17">
        <f t="shared" si="1"/>
        <v>1002.9503941469704</v>
      </c>
      <c r="O8" s="50">
        <v>2014</v>
      </c>
      <c r="P8" s="48">
        <v>10165</v>
      </c>
      <c r="Q8" s="48">
        <v>244</v>
      </c>
      <c r="R8" s="48">
        <v>343</v>
      </c>
      <c r="S8" s="48">
        <v>214</v>
      </c>
      <c r="T8" s="48">
        <v>99</v>
      </c>
      <c r="U8" s="48">
        <v>43</v>
      </c>
      <c r="V8" s="48">
        <v>28</v>
      </c>
      <c r="W8" s="52">
        <f t="shared" ref="W8:W12" ca="1" si="9">SUMPRODUCT(OFFSET($D$18:$L$26,0,I$17-1,9-H$17,1),OFFSET($B$18:$B$26,0,0,9-H$17))/SUM(OFFSET($B$18:$B$26,0,0,9-H$17))*$B22/10000</f>
        <v>20.232494004796163</v>
      </c>
      <c r="X8" s="52">
        <f t="shared" ca="1" si="7"/>
        <v>8.8411236027445792</v>
      </c>
      <c r="Y8" s="52">
        <f t="shared" ca="1" si="5"/>
        <v>1.9304909315354668</v>
      </c>
      <c r="Z8" s="52">
        <f t="shared" ca="1" si="2"/>
        <v>0.94628560789424687</v>
      </c>
      <c r="AA8" s="52">
        <f t="shared" ca="1" si="3"/>
        <v>1002.9503941469704</v>
      </c>
    </row>
    <row r="9" spans="1:27" x14ac:dyDescent="0.2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8"/>
        <v>21.341151079136694</v>
      </c>
      <c r="J9" s="17">
        <f t="shared" si="6"/>
        <v>9.3255806462004305</v>
      </c>
      <c r="K9" s="17">
        <f t="shared" si="4"/>
        <v>2.0362738581331308</v>
      </c>
      <c r="L9" s="17">
        <f t="shared" si="0"/>
        <v>0.99813814932042455</v>
      </c>
      <c r="M9" s="17">
        <f t="shared" si="1"/>
        <v>1042.4701208850129</v>
      </c>
      <c r="O9" s="50">
        <v>2015</v>
      </c>
      <c r="P9" s="48">
        <v>10722</v>
      </c>
      <c r="Q9" s="48">
        <v>271</v>
      </c>
      <c r="R9" s="48">
        <v>348</v>
      </c>
      <c r="S9" s="48">
        <v>193</v>
      </c>
      <c r="T9" s="48">
        <v>102</v>
      </c>
      <c r="U9" s="48">
        <v>65</v>
      </c>
      <c r="V9" s="52">
        <f t="shared" ref="V9:V12" ca="1" si="10">SUMPRODUCT(OFFSET($D$18:$L$26,0,H$17-1,9-G$17,1),OFFSET($B$18:$B$26,0,0,9-G$17))/SUM(OFFSET($B$18:$B$26,0,0,9-G$17))*$B23/10000</f>
        <v>29.768977152222117</v>
      </c>
      <c r="W9" s="52">
        <f t="shared" ca="1" si="9"/>
        <v>21.341151079136694</v>
      </c>
      <c r="X9" s="52">
        <f t="shared" ca="1" si="7"/>
        <v>9.3255806462004305</v>
      </c>
      <c r="Y9" s="52">
        <f t="shared" ca="1" si="5"/>
        <v>2.0362738581331308</v>
      </c>
      <c r="Z9" s="52">
        <f t="shared" ca="1" si="2"/>
        <v>0.99813814932042455</v>
      </c>
      <c r="AA9" s="52">
        <f t="shared" ca="1" si="3"/>
        <v>1042.4701208850129</v>
      </c>
    </row>
    <row r="10" spans="1:27" x14ac:dyDescent="0.2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8"/>
        <v>20.634556354916068</v>
      </c>
      <c r="J10" s="17">
        <f t="shared" si="6"/>
        <v>9.0168153851109754</v>
      </c>
      <c r="K10" s="17">
        <f t="shared" si="4"/>
        <v>1.9688538600322856</v>
      </c>
      <c r="L10" s="17">
        <f t="shared" si="0"/>
        <v>0.96509029975795946</v>
      </c>
      <c r="M10" s="17">
        <f t="shared" si="1"/>
        <v>1040.8339296077293</v>
      </c>
      <c r="O10" s="50">
        <v>2016</v>
      </c>
      <c r="P10" s="48">
        <v>10367</v>
      </c>
      <c r="Q10" s="48">
        <v>286</v>
      </c>
      <c r="R10" s="48">
        <v>350</v>
      </c>
      <c r="S10" s="48">
        <v>186</v>
      </c>
      <c r="T10" s="48">
        <v>98</v>
      </c>
      <c r="U10" s="52">
        <f t="shared" ref="U10:U12" ca="1" si="11">SUMPRODUCT(OFFSET($D$18:$L$26,0,G$17-1,9-F$17,1),OFFSET($B$18:$B$26,0,0,9-F$17))/SUM(OFFSET($B$18:$B$26,0,0,9-F$17))*$B24/10000</f>
        <v>59.465272340901464</v>
      </c>
      <c r="V10" s="52">
        <f t="shared" ca="1" si="10"/>
        <v>28.783341367010511</v>
      </c>
      <c r="W10" s="52">
        <f t="shared" ca="1" si="9"/>
        <v>20.634556354916068</v>
      </c>
      <c r="X10" s="52">
        <f t="shared" ca="1" si="7"/>
        <v>9.0168153851109754</v>
      </c>
      <c r="Y10" s="52">
        <f t="shared" ca="1" si="5"/>
        <v>1.9688538600322856</v>
      </c>
      <c r="Z10" s="52">
        <f t="shared" ca="1" si="2"/>
        <v>0.96509029975795946</v>
      </c>
      <c r="AA10" s="52">
        <f t="shared" ca="1" si="3"/>
        <v>1040.8339296077293</v>
      </c>
    </row>
    <row r="11" spans="1:27" x14ac:dyDescent="0.2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 ca="1">U11</f>
        <v>56.155591416747882</v>
      </c>
      <c r="H11" s="17">
        <f>SUMPRODUCT(H$18:H$22,$B$18:$B$22)/SUM($B$18:$B$22)*$B25/10000</f>
        <v>27.181336161187698</v>
      </c>
      <c r="I11" s="17">
        <f t="shared" si="8"/>
        <v>19.486091127098323</v>
      </c>
      <c r="J11" s="17">
        <f t="shared" si="6"/>
        <v>8.5149631156782526</v>
      </c>
      <c r="K11" s="17">
        <f t="shared" si="4"/>
        <v>1.8592726236824615</v>
      </c>
      <c r="L11" s="17">
        <f t="shared" si="0"/>
        <v>0.91137590765220633</v>
      </c>
      <c r="M11" s="17">
        <f t="shared" ca="1" si="1"/>
        <v>927.82779585359572</v>
      </c>
      <c r="O11" s="50">
        <v>2017</v>
      </c>
      <c r="P11" s="48">
        <v>9790</v>
      </c>
      <c r="Q11" s="48">
        <v>236</v>
      </c>
      <c r="R11" s="48">
        <v>290</v>
      </c>
      <c r="S11" s="48">
        <v>186</v>
      </c>
      <c r="T11" s="52">
        <f t="shared" ref="T11:T12" ca="1" si="12">SUMPRODUCT(OFFSET($D$18:$L$26,0,F$17-1,9-E$17,1),OFFSET($B$18:$B$26,0,0,9-E$17))/SUM(OFFSET($B$18:$B$26,0,0,9-E$17))*$B25/10000</f>
        <v>101.71916550154891</v>
      </c>
      <c r="U11" s="52">
        <f t="shared" ca="1" si="11"/>
        <v>56.155591416747882</v>
      </c>
      <c r="V11" s="52">
        <f t="shared" ca="1" si="10"/>
        <v>27.181336161187698</v>
      </c>
      <c r="W11" s="52">
        <f t="shared" ca="1" si="9"/>
        <v>19.486091127098323</v>
      </c>
      <c r="X11" s="52">
        <f t="shared" ca="1" si="7"/>
        <v>8.5149631156782526</v>
      </c>
      <c r="Y11" s="52">
        <f t="shared" ca="1" si="5"/>
        <v>1.8592726236824615</v>
      </c>
      <c r="Z11" s="52">
        <f t="shared" ca="1" si="2"/>
        <v>0.91137590765220633</v>
      </c>
      <c r="AA11" s="52">
        <f t="shared" ca="1" si="3"/>
        <v>927.82779585359572</v>
      </c>
    </row>
    <row r="12" spans="1:27" x14ac:dyDescent="0.2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 t="shared" ref="G12:G13" ca="1" si="13">U12</f>
        <v>61.300797290172078</v>
      </c>
      <c r="H12" s="17">
        <f>SUMPRODUCT(H$18:H$22,$B$18:$B$22)/SUM($B$18:$B$22)*$B26/10000</f>
        <v>29.671801793116746</v>
      </c>
      <c r="I12" s="17">
        <f t="shared" si="8"/>
        <v>21.271486810551561</v>
      </c>
      <c r="J12" s="17">
        <f t="shared" si="6"/>
        <v>9.2951390007409067</v>
      </c>
      <c r="K12" s="17">
        <f t="shared" si="4"/>
        <v>2.0296268160668505</v>
      </c>
      <c r="L12" s="17">
        <f t="shared" si="0"/>
        <v>0.99487991063116732</v>
      </c>
      <c r="M12" s="17">
        <f t="shared" ca="1" si="1"/>
        <v>1065.7008983247872</v>
      </c>
      <c r="O12" s="50">
        <v>2018</v>
      </c>
      <c r="P12" s="48">
        <v>10687</v>
      </c>
      <c r="Q12" s="48">
        <v>275</v>
      </c>
      <c r="R12" s="48">
        <v>354</v>
      </c>
      <c r="S12" s="52">
        <f t="shared" ref="S12:Z13" ca="1" si="14">SUMPRODUCT(OFFSET($D$18:$L$26,0,E$17-1,9-D$17,1),OFFSET($B$18:$B$26,0,0,9-D$17))/SUM(OFFSET($B$18:$B$26,0,0,9-D$17))*$B26/10000</f>
        <v>201.09807357633181</v>
      </c>
      <c r="T12" s="52">
        <f t="shared" ca="1" si="12"/>
        <v>111.03909312717603</v>
      </c>
      <c r="U12" s="52">
        <f t="shared" ca="1" si="11"/>
        <v>61.300797290172078</v>
      </c>
      <c r="V12" s="52">
        <f t="shared" ca="1" si="10"/>
        <v>29.671801793116746</v>
      </c>
      <c r="W12" s="52">
        <f t="shared" ca="1" si="9"/>
        <v>21.271486810551561</v>
      </c>
      <c r="X12" s="52">
        <f t="shared" ca="1" si="7"/>
        <v>9.2951390007409067</v>
      </c>
      <c r="Y12" s="52">
        <f t="shared" ca="1" si="5"/>
        <v>2.0296268160668505</v>
      </c>
      <c r="Z12" s="52">
        <f t="shared" ca="1" si="2"/>
        <v>0.99487991063116732</v>
      </c>
      <c r="AA12" s="52">
        <f t="shared" ca="1" si="3"/>
        <v>1065.7008983247872</v>
      </c>
    </row>
    <row r="13" spans="1:27" x14ac:dyDescent="0.2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 t="shared" ca="1" si="13"/>
        <v>53.287583683512544</v>
      </c>
      <c r="H13" s="17">
        <f>SUMPRODUCT(H$18:H$22,$B$18:$B$22)/SUM($B$18:$B$22)*$B27/10000</f>
        <v>25.793116745396702</v>
      </c>
      <c r="I13" s="17">
        <f t="shared" si="8"/>
        <v>18.490887290167866</v>
      </c>
      <c r="J13" s="17">
        <f t="shared" si="6"/>
        <v>8.0800824662564814</v>
      </c>
      <c r="K13" s="17">
        <f t="shared" si="4"/>
        <v>1.7643148798784543</v>
      </c>
      <c r="L13" s="17">
        <f t="shared" si="0"/>
        <v>0.86482964066281898</v>
      </c>
      <c r="M13" s="17">
        <f t="shared" ca="1" si="1"/>
        <v>927.8650782392308</v>
      </c>
      <c r="O13" s="50">
        <v>2019</v>
      </c>
      <c r="P13" s="48">
        <v>9290</v>
      </c>
      <c r="Q13" s="48">
        <v>242</v>
      </c>
      <c r="R13" s="52">
        <f ca="1">SUMPRODUCT(OFFSET($D$18:$L$26,0,D$17-1,9-C$17,1),OFFSET($B$18:$B$26,0,0,9-C$17))/SUM(OFFSET($B$18:$B$26,0,0,9-C$17))*$B27/10000</f>
        <v>306.24953174000063</v>
      </c>
      <c r="S13" s="52">
        <f t="shared" ca="1" si="14"/>
        <v>174.81062070965871</v>
      </c>
      <c r="T13" s="52">
        <f t="shared" ca="1" si="14"/>
        <v>96.524111083696567</v>
      </c>
      <c r="U13" s="52">
        <f t="shared" ca="1" si="14"/>
        <v>53.287583683512544</v>
      </c>
      <c r="V13" s="52">
        <f t="shared" ca="1" si="14"/>
        <v>25.793116745396702</v>
      </c>
      <c r="W13" s="52">
        <f t="shared" ca="1" si="14"/>
        <v>18.490887290167866</v>
      </c>
      <c r="X13" s="52">
        <f t="shared" ca="1" si="14"/>
        <v>8.0800824662564814</v>
      </c>
      <c r="Y13" s="52">
        <f t="shared" ca="1" si="14"/>
        <v>1.7643148798784543</v>
      </c>
      <c r="Z13" s="52">
        <f t="shared" ca="1" si="14"/>
        <v>0.86482964066281898</v>
      </c>
      <c r="AA13" s="52">
        <f ca="1">SUM(Q13:Z13)</f>
        <v>927.8650782392308</v>
      </c>
    </row>
    <row r="15" spans="1:27" x14ac:dyDescent="0.2">
      <c r="A15" s="6" t="s">
        <v>29</v>
      </c>
    </row>
    <row r="16" spans="1:27" x14ac:dyDescent="0.2">
      <c r="A16" s="6"/>
    </row>
    <row r="17" spans="1:12" x14ac:dyDescent="0.2">
      <c r="A17" s="4"/>
      <c r="B17" s="6" t="s">
        <v>27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x14ac:dyDescent="0.2">
      <c r="A18" s="6">
        <v>2010</v>
      </c>
      <c r="B18" s="1">
        <v>10742</v>
      </c>
      <c r="C18" s="16">
        <f>C4/$B18*10000</f>
        <v>270.89927387823496</v>
      </c>
      <c r="D18" s="16">
        <f t="shared" ref="D18:L19" si="15">D4/$B18*10000</f>
        <v>332.34034630422639</v>
      </c>
      <c r="E18" s="16">
        <f t="shared" si="15"/>
        <v>175.01396388009681</v>
      </c>
      <c r="F18" s="16">
        <f t="shared" si="15"/>
        <v>107.05641407559114</v>
      </c>
      <c r="G18" s="16">
        <f t="shared" si="15"/>
        <v>72.612176503444431</v>
      </c>
      <c r="H18" s="16">
        <f t="shared" si="15"/>
        <v>24.204058834481476</v>
      </c>
      <c r="I18" s="16">
        <f t="shared" si="15"/>
        <v>22.342208154905975</v>
      </c>
      <c r="J18" s="16">
        <f t="shared" si="15"/>
        <v>7.4474027183019924</v>
      </c>
      <c r="K18" s="16">
        <f t="shared" si="15"/>
        <v>1.8618506795754981</v>
      </c>
      <c r="L18" s="16">
        <f t="shared" si="15"/>
        <v>0.93092533978774905</v>
      </c>
    </row>
    <row r="19" spans="1:12" x14ac:dyDescent="0.2">
      <c r="A19" s="6">
        <v>2011</v>
      </c>
      <c r="B19" s="1">
        <v>10320</v>
      </c>
      <c r="C19" s="16">
        <f t="shared" ref="C19:J27" si="16">C5/$B19*10000</f>
        <v>272.28682170542635</v>
      </c>
      <c r="D19" s="16">
        <f t="shared" si="16"/>
        <v>324.61240310077523</v>
      </c>
      <c r="E19" s="16">
        <f t="shared" si="16"/>
        <v>196.70542635658913</v>
      </c>
      <c r="F19" s="16">
        <f t="shared" si="16"/>
        <v>104.65116279069767</v>
      </c>
      <c r="G19" s="16">
        <f t="shared" si="16"/>
        <v>46.511627906976742</v>
      </c>
      <c r="H19" s="16">
        <f t="shared" si="16"/>
        <v>29.069767441860463</v>
      </c>
      <c r="I19" s="16">
        <f t="shared" si="16"/>
        <v>15.503875968992247</v>
      </c>
      <c r="J19" s="16">
        <f t="shared" si="16"/>
        <v>7.7519379844961236</v>
      </c>
      <c r="K19" s="16">
        <f t="shared" si="15"/>
        <v>1.9379844961240309</v>
      </c>
    </row>
    <row r="20" spans="1:12" x14ac:dyDescent="0.2">
      <c r="A20" s="6">
        <v>2012</v>
      </c>
      <c r="B20" s="1">
        <v>9981</v>
      </c>
      <c r="C20" s="16">
        <f t="shared" si="16"/>
        <v>230.43783188057307</v>
      </c>
      <c r="D20" s="16">
        <f t="shared" si="16"/>
        <v>338.64342250275519</v>
      </c>
      <c r="E20" s="16">
        <f t="shared" si="16"/>
        <v>186.35407273820258</v>
      </c>
      <c r="F20" s="16">
        <f t="shared" si="16"/>
        <v>112.21320508967037</v>
      </c>
      <c r="G20" s="16">
        <f t="shared" si="16"/>
        <v>49.093277226730791</v>
      </c>
      <c r="H20" s="16">
        <f t="shared" si="16"/>
        <v>29.055204889289652</v>
      </c>
      <c r="I20" s="16">
        <f t="shared" si="16"/>
        <v>19.03616872056908</v>
      </c>
      <c r="J20" s="16">
        <f t="shared" si="16"/>
        <v>11.020939785592626</v>
      </c>
    </row>
    <row r="21" spans="1:12" x14ac:dyDescent="0.2">
      <c r="A21" s="6">
        <v>2013</v>
      </c>
      <c r="B21" s="1">
        <v>10657</v>
      </c>
      <c r="C21" s="16">
        <f t="shared" si="16"/>
        <v>258.04635450877362</v>
      </c>
      <c r="D21" s="16">
        <f t="shared" si="16"/>
        <v>342.49788871164492</v>
      </c>
      <c r="E21" s="16">
        <f t="shared" si="16"/>
        <v>188.60842638641267</v>
      </c>
      <c r="F21" s="16">
        <f t="shared" si="16"/>
        <v>116.35544712395608</v>
      </c>
      <c r="G21" s="16">
        <f t="shared" si="16"/>
        <v>71.314628882424699</v>
      </c>
      <c r="H21" s="16">
        <f t="shared" si="16"/>
        <v>29.088861780989021</v>
      </c>
      <c r="I21" s="16">
        <f t="shared" si="16"/>
        <v>22.520409120765695</v>
      </c>
    </row>
    <row r="22" spans="1:12" x14ac:dyDescent="0.2">
      <c r="A22" s="6">
        <v>2014</v>
      </c>
      <c r="B22" s="1">
        <v>10165</v>
      </c>
      <c r="C22" s="16">
        <f t="shared" si="16"/>
        <v>240.03935071323167</v>
      </c>
      <c r="D22" s="16">
        <f t="shared" si="16"/>
        <v>337.43236596163302</v>
      </c>
      <c r="E22" s="16">
        <f t="shared" si="16"/>
        <v>210.52631578947367</v>
      </c>
      <c r="F22" s="16">
        <f t="shared" si="16"/>
        <v>97.393015248401369</v>
      </c>
      <c r="G22" s="16">
        <f t="shared" si="16"/>
        <v>42.302016724053125</v>
      </c>
      <c r="H22" s="16">
        <f t="shared" si="16"/>
        <v>27.545499262174129</v>
      </c>
    </row>
    <row r="23" spans="1:12" x14ac:dyDescent="0.2">
      <c r="A23" s="6">
        <v>2015</v>
      </c>
      <c r="B23" s="1">
        <v>10722</v>
      </c>
      <c r="C23" s="16">
        <f t="shared" si="16"/>
        <v>252.75135235963441</v>
      </c>
      <c r="D23" s="16">
        <f t="shared" si="16"/>
        <v>324.56631225517623</v>
      </c>
      <c r="E23" s="16">
        <f t="shared" si="16"/>
        <v>180.0037306472673</v>
      </c>
      <c r="F23" s="16">
        <f t="shared" si="16"/>
        <v>95.131505316172365</v>
      </c>
      <c r="G23" s="16">
        <f t="shared" si="16"/>
        <v>60.623018093639246</v>
      </c>
    </row>
    <row r="24" spans="1:12" x14ac:dyDescent="0.2">
      <c r="A24" s="6">
        <v>2016</v>
      </c>
      <c r="B24" s="1">
        <v>10367</v>
      </c>
      <c r="C24" s="16">
        <f t="shared" si="16"/>
        <v>275.87537378219349</v>
      </c>
      <c r="D24" s="16">
        <f t="shared" si="16"/>
        <v>337.60972316002704</v>
      </c>
      <c r="E24" s="16">
        <f t="shared" si="16"/>
        <v>179.41545287932865</v>
      </c>
      <c r="F24" s="16">
        <f t="shared" si="16"/>
        <v>94.530722484807569</v>
      </c>
    </row>
    <row r="25" spans="1:12" x14ac:dyDescent="0.2">
      <c r="A25" s="6">
        <v>2017</v>
      </c>
      <c r="B25" s="1">
        <v>9790</v>
      </c>
      <c r="C25" s="16">
        <f t="shared" si="16"/>
        <v>241.06230847803883</v>
      </c>
      <c r="D25" s="16">
        <f t="shared" si="16"/>
        <v>296.220633299285</v>
      </c>
      <c r="E25" s="16">
        <f t="shared" si="16"/>
        <v>189.98978549540348</v>
      </c>
    </row>
    <row r="26" spans="1:12" x14ac:dyDescent="0.2">
      <c r="A26" s="6">
        <v>2018</v>
      </c>
      <c r="B26" s="1">
        <v>10687</v>
      </c>
      <c r="C26" s="16">
        <f t="shared" si="16"/>
        <v>257.32197997567141</v>
      </c>
      <c r="D26" s="16">
        <f t="shared" si="16"/>
        <v>331.24356695050062</v>
      </c>
    </row>
    <row r="27" spans="1:12" x14ac:dyDescent="0.2">
      <c r="A27" s="6">
        <v>2019</v>
      </c>
      <c r="B27" s="1">
        <v>9290</v>
      </c>
      <c r="C27" s="16">
        <f t="shared" si="16"/>
        <v>260.49515608180843</v>
      </c>
    </row>
    <row r="29" spans="1:12" x14ac:dyDescent="0.2">
      <c r="A29" s="6" t="s">
        <v>49</v>
      </c>
    </row>
    <row r="30" spans="1:12" x14ac:dyDescent="0.2">
      <c r="A30" s="6"/>
    </row>
    <row r="31" spans="1:12" x14ac:dyDescent="0.2">
      <c r="A31" s="4"/>
      <c r="B31" s="1" t="s">
        <v>31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x14ac:dyDescent="0.2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x14ac:dyDescent="0.2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x14ac:dyDescent="0.2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x14ac:dyDescent="0.2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x14ac:dyDescent="0.2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x14ac:dyDescent="0.2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x14ac:dyDescent="0.2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x14ac:dyDescent="0.2">
      <c r="A39" s="6">
        <v>2017</v>
      </c>
      <c r="B39" s="18">
        <f ca="1">C39+D38+E37+F36+G35+H34+I33+J32</f>
        <v>279.0906688874187</v>
      </c>
      <c r="C39" s="2">
        <f ca="1">'LRamounts1 - case estimates'!B11/'LRamounts4 - separation method'!$M11</f>
        <v>70.416083988832355</v>
      </c>
      <c r="D39" s="2">
        <f ca="1">'LRamounts1 - case estimates'!C11/'LRamounts4 - separation method'!$M11</f>
        <v>88.486247520175354</v>
      </c>
      <c r="E39" s="2">
        <f ca="1">'LRamounts1 - case estimates'!D11/'LRamounts4 - separation method'!$M11</f>
        <v>61.850917009017088</v>
      </c>
      <c r="F39" s="3"/>
      <c r="G39" s="3"/>
      <c r="H39" s="3"/>
      <c r="I39" s="3"/>
      <c r="J39" s="3"/>
      <c r="K39" s="3"/>
      <c r="L39" s="3"/>
    </row>
    <row r="40" spans="1:12" x14ac:dyDescent="0.2">
      <c r="A40" s="6">
        <v>2018</v>
      </c>
      <c r="B40" s="18">
        <f ca="1">C40+D39+E38+F37+G36+H35+I34+J33+K32</f>
        <v>270.7551391278264</v>
      </c>
      <c r="C40" s="2">
        <f ca="1">'LRamounts1 - case estimates'!B12/'LRamounts4 - separation method'!$M12</f>
        <v>76.05323419301358</v>
      </c>
      <c r="D40" s="2">
        <f ca="1">'LRamounts1 - case estimates'!C12/'LRamounts4 - separation method'!$M12</f>
        <v>102.48091201919539</v>
      </c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6">
        <v>2019</v>
      </c>
      <c r="B41" s="18">
        <f ca="1">C41+D40+E39+F38+G37+H36+I35+J34+K33+L32</f>
        <v>309.46576015631786</v>
      </c>
      <c r="C41" s="2">
        <f ca="1">'LRamounts1 - case estimates'!B13/'LRamounts4 - separation method'!$M13</f>
        <v>83.297670978918589</v>
      </c>
      <c r="D41" s="13">
        <f ca="1">D84*D82</f>
        <v>105.90427829185968</v>
      </c>
      <c r="E41" s="3"/>
      <c r="F41" s="3"/>
      <c r="G41" s="3"/>
      <c r="H41" s="3"/>
      <c r="I41" s="3"/>
      <c r="J41" s="3"/>
      <c r="K41" s="3"/>
      <c r="L41" s="3"/>
    </row>
    <row r="42" spans="1:12" ht="17" thickBot="1" x14ac:dyDescent="0.25">
      <c r="A42" s="1" t="s">
        <v>32</v>
      </c>
      <c r="B42" s="18"/>
      <c r="C42" s="19">
        <f ca="1">SUM(C32:C41)</f>
        <v>698.24803885385552</v>
      </c>
      <c r="D42" s="19">
        <f ca="1">SUM(D32:D40)</f>
        <v>810.96992828547036</v>
      </c>
      <c r="E42" s="19">
        <f ca="1">SUM(E32:E39)</f>
        <v>412.48870435189644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7" thickTop="1" x14ac:dyDescent="0.2"/>
    <row r="50" spans="1:7" x14ac:dyDescent="0.2">
      <c r="A50" s="20" t="s">
        <v>33</v>
      </c>
      <c r="B50" s="20"/>
      <c r="C50" s="20"/>
      <c r="D50" s="20" t="s">
        <v>34</v>
      </c>
      <c r="E50" s="20"/>
      <c r="G50" s="1" t="s">
        <v>39</v>
      </c>
    </row>
    <row r="51" spans="1:7" x14ac:dyDescent="0.2">
      <c r="A51" s="21" t="s">
        <v>35</v>
      </c>
      <c r="B51" s="21" t="s">
        <v>36</v>
      </c>
      <c r="C51" s="21"/>
      <c r="D51" s="21" t="s">
        <v>37</v>
      </c>
      <c r="E51" s="21" t="s">
        <v>38</v>
      </c>
      <c r="G51" s="1" t="s">
        <v>40</v>
      </c>
    </row>
    <row r="53" spans="1:7" x14ac:dyDescent="0.2">
      <c r="A53" s="1">
        <f>A32</f>
        <v>2010</v>
      </c>
      <c r="B53" s="22">
        <f ca="1">B32/(1-SUM(E54:E$62))</f>
        <v>247.87511978679794</v>
      </c>
      <c r="D53" s="1">
        <v>0</v>
      </c>
      <c r="E53" s="23">
        <f ca="1">C42/SUM(B53:B$62)</f>
        <v>0.26143676614461964</v>
      </c>
      <c r="G53" s="16">
        <f ca="1">'LRamounts2 - CL on paid losses'!B$39/'LRamounts2 - CL on paid losses'!B39*B$53</f>
        <v>247.87511978679794</v>
      </c>
    </row>
    <row r="54" spans="1:7" x14ac:dyDescent="0.2">
      <c r="A54" s="1">
        <f t="shared" ref="A54:A62" si="17">A33</f>
        <v>2011</v>
      </c>
      <c r="B54" s="22">
        <f ca="1">B33/(1-SUM(E55:E$62))</f>
        <v>248.21766630395049</v>
      </c>
      <c r="D54" s="1">
        <v>1</v>
      </c>
      <c r="E54" s="23">
        <f ca="1">D42/SUM(B54:B$62)</f>
        <v>0.33470556504115367</v>
      </c>
      <c r="G54" s="16">
        <f ca="1">'LRamounts2 - CL on paid losses'!B$39/'LRamounts2 - CL on paid losses'!B40*B$53</f>
        <v>257.20268634402731</v>
      </c>
    </row>
    <row r="55" spans="1:7" x14ac:dyDescent="0.2">
      <c r="A55" s="1">
        <f t="shared" si="17"/>
        <v>2012</v>
      </c>
      <c r="B55" s="22">
        <f ca="1">B34/(1-SUM(E56:E$62))</f>
        <v>234.77374318911194</v>
      </c>
      <c r="D55" s="1">
        <f>D54+1</f>
        <v>2</v>
      </c>
      <c r="E55" s="23">
        <f ca="1">E42/SUM(B55:B$62)</f>
        <v>0.18967460334351435</v>
      </c>
      <c r="G55" s="16">
        <f ca="1">'LRamounts2 - CL on paid losses'!B$39/'LRamounts2 - CL on paid losses'!B41*B$53</f>
        <v>266.81574355788223</v>
      </c>
    </row>
    <row r="56" spans="1:7" x14ac:dyDescent="0.2">
      <c r="A56" s="1">
        <f t="shared" si="17"/>
        <v>2013</v>
      </c>
      <c r="B56" s="22">
        <f ca="1">B35/(1-SUM(E57:E$62))</f>
        <v>261.05128386099295</v>
      </c>
      <c r="D56" s="1">
        <f t="shared" ref="D56:D62" si="18">D55+1</f>
        <v>3</v>
      </c>
      <c r="E56" s="23">
        <f ca="1">F42/SUM(B56:B$62)</f>
        <v>0.10118652652438882</v>
      </c>
      <c r="G56" s="16">
        <f ca="1">'LRamounts2 - CL on paid losses'!B$39/'LRamounts2 - CL on paid losses'!B42*B$53</f>
        <v>274.33488919187886</v>
      </c>
    </row>
    <row r="57" spans="1:7" x14ac:dyDescent="0.2">
      <c r="A57" s="1">
        <f t="shared" si="17"/>
        <v>2014</v>
      </c>
      <c r="B57" s="22">
        <f ca="1">B36/(1-SUM(E58:E$62))</f>
        <v>261.1411686350865</v>
      </c>
      <c r="D57" s="1">
        <f t="shared" si="18"/>
        <v>4</v>
      </c>
      <c r="E57" s="23">
        <f ca="1">G42/SUM(B57:B$62)</f>
        <v>5.449861171764158E-2</v>
      </c>
      <c r="G57" s="16">
        <f ca="1">'LRamounts2 - CL on paid losses'!B$39/'LRamounts2 - CL on paid losses'!B43*B$53</f>
        <v>281.54790117764259</v>
      </c>
    </row>
    <row r="58" spans="1:7" x14ac:dyDescent="0.2">
      <c r="A58" s="1">
        <f t="shared" si="17"/>
        <v>2015</v>
      </c>
      <c r="B58" s="22">
        <f ca="1">B37/(1-SUM(E59:E$62))</f>
        <v>267.58750547167944</v>
      </c>
      <c r="D58" s="1">
        <f t="shared" si="18"/>
        <v>5</v>
      </c>
      <c r="E58" s="23">
        <f ca="1">H42/SUM(B58:B$62)</f>
        <v>2.6901417473534341E-2</v>
      </c>
      <c r="G58" s="16">
        <f ca="1">'LRamounts2 - CL on paid losses'!B$39/'LRamounts2 - CL on paid losses'!B44*B$53</f>
        <v>288.11314371631403</v>
      </c>
    </row>
    <row r="59" spans="1:7" x14ac:dyDescent="0.2">
      <c r="A59" s="1">
        <f t="shared" si="17"/>
        <v>2016</v>
      </c>
      <c r="B59" s="22">
        <f ca="1">B38/(1-SUM(E60:E$62))</f>
        <v>289.60448857239396</v>
      </c>
      <c r="D59" s="1">
        <f t="shared" si="18"/>
        <v>6</v>
      </c>
      <c r="E59" s="23">
        <f ca="1">I42/SUM(B59:B$62)</f>
        <v>1.9872610134403158E-2</v>
      </c>
      <c r="G59" s="16">
        <f ca="1">'LRamounts2 - CL on paid losses'!B$39/'LRamounts2 - CL on paid losses'!B45*B$53</f>
        <v>294.18146084587011</v>
      </c>
    </row>
    <row r="60" spans="1:7" x14ac:dyDescent="0.2">
      <c r="A60" s="1">
        <f t="shared" si="17"/>
        <v>2017</v>
      </c>
      <c r="B60" s="22">
        <f ca="1">B39/(1-SUM(E61:E$62))</f>
        <v>280.04846891609856</v>
      </c>
      <c r="D60" s="1">
        <f t="shared" si="18"/>
        <v>7</v>
      </c>
      <c r="E60" s="23">
        <f ca="1">J42/SUM(B60:B$62)</f>
        <v>8.3037772669714884E-3</v>
      </c>
      <c r="G60" s="16">
        <f ca="1">'LRamounts2 - CL on paid losses'!B$39/'LRamounts2 - CL on paid losses'!B46*B$53</f>
        <v>300.23005162961698</v>
      </c>
    </row>
    <row r="61" spans="1:7" x14ac:dyDescent="0.2">
      <c r="A61" s="1">
        <f t="shared" si="17"/>
        <v>2018</v>
      </c>
      <c r="B61" s="22">
        <f ca="1">B40/(1-SUM(E62:E$62))</f>
        <v>271.04521382122567</v>
      </c>
      <c r="D61" s="1">
        <f t="shared" si="18"/>
        <v>8</v>
      </c>
      <c r="E61" s="23">
        <f ca="1">K42/SUM(B61:B$62)</f>
        <v>2.3499145854461593E-3</v>
      </c>
      <c r="G61" s="16">
        <f ca="1">'LRamounts2 - CL on paid losses'!B$39/'LRamounts2 - CL on paid losses'!B47*B$53</f>
        <v>306.82536317448921</v>
      </c>
    </row>
    <row r="62" spans="1:7" x14ac:dyDescent="0.2">
      <c r="A62" s="1">
        <f t="shared" si="17"/>
        <v>2019</v>
      </c>
      <c r="B62" s="25">
        <f ca="1">B41</f>
        <v>309.46576015631786</v>
      </c>
      <c r="D62" s="1">
        <f t="shared" si="18"/>
        <v>9</v>
      </c>
      <c r="E62" s="23">
        <f ca="1">L42/B62</f>
        <v>1.0702077683268291E-3</v>
      </c>
      <c r="G62" s="16">
        <f ca="1">'LRamounts2 - CL on paid losses'!B$39/'LRamounts2 - CL on paid losses'!B48*B$53</f>
        <v>314.02361216392001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41</v>
      </c>
      <c r="B65" s="26">
        <f ca="1">(B62/B53)^(1/10)-1</f>
        <v>2.2440318111978552E-2</v>
      </c>
      <c r="C65" s="1" t="s">
        <v>42</v>
      </c>
    </row>
    <row r="66" spans="1:15" x14ac:dyDescent="0.2">
      <c r="B66" s="1" t="s">
        <v>44</v>
      </c>
    </row>
    <row r="68" spans="1:15" x14ac:dyDescent="0.2">
      <c r="A68" s="6" t="s">
        <v>1</v>
      </c>
    </row>
    <row r="69" spans="1:15" x14ac:dyDescent="0.2">
      <c r="A69" s="6"/>
    </row>
    <row r="70" spans="1:15" x14ac:dyDescent="0.2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47</v>
      </c>
      <c r="N70" s="1" t="s">
        <v>48</v>
      </c>
      <c r="O70" s="1" t="s">
        <v>18</v>
      </c>
    </row>
    <row r="71" spans="1:15" x14ac:dyDescent="0.2">
      <c r="A71" s="6">
        <v>2010</v>
      </c>
      <c r="B71" s="22">
        <f ca="1">B53</f>
        <v>247.87511978679794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x14ac:dyDescent="0.2">
      <c r="A72" s="6">
        <v>2011</v>
      </c>
      <c r="B72" s="22">
        <f t="shared" ref="B72:B80" ca="1" si="19">B54</f>
        <v>248.21766630395049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 ca="1">D$84*L$82*$M5</f>
        <v>349.44741765507513</v>
      </c>
      <c r="M72" s="3">
        <f>'LRamounts3 - CL on incurred'!B111</f>
        <v>267238</v>
      </c>
      <c r="N72" s="28">
        <f ca="1">L72</f>
        <v>349.44741765507513</v>
      </c>
      <c r="O72" s="13">
        <f t="shared" ref="O72:O80" ca="1" si="20">M72+N72</f>
        <v>267587.44741765509</v>
      </c>
    </row>
    <row r="73" spans="1:15" x14ac:dyDescent="0.2">
      <c r="A73" s="6">
        <v>2012</v>
      </c>
      <c r="B73" s="22">
        <f t="shared" ca="1" si="19"/>
        <v>234.77374318911194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 ca="1">D$84*K$82*$M6</f>
        <v>726.30541578060786</v>
      </c>
      <c r="L73" s="13">
        <f ca="1">E$84*L$82*$M6</f>
        <v>338.19974167676986</v>
      </c>
      <c r="M73" s="3">
        <f>'LRamounts3 - CL on incurred'!B112</f>
        <v>250813</v>
      </c>
      <c r="N73" s="28">
        <f ca="1">SUM(K73:L73)</f>
        <v>1064.5051574573777</v>
      </c>
      <c r="O73" s="13">
        <f t="shared" ca="1" si="20"/>
        <v>251877.50515745737</v>
      </c>
    </row>
    <row r="74" spans="1:15" x14ac:dyDescent="0.2">
      <c r="A74" s="6">
        <v>2013</v>
      </c>
      <c r="B74" s="22">
        <f t="shared" ca="1" si="19"/>
        <v>261.05128386099295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 ca="1">D$84*J$82*$M7</f>
        <v>2911.9086271254573</v>
      </c>
      <c r="K74" s="13">
        <f t="shared" ref="K74:L74" ca="1" si="21">E$84*K$82*$M7</f>
        <v>842.54303968786019</v>
      </c>
      <c r="L74" s="13">
        <f t="shared" ca="1" si="21"/>
        <v>392.32509104691542</v>
      </c>
      <c r="M74" s="3">
        <f>'LRamounts3 - CL on incurred'!B113</f>
        <v>283273</v>
      </c>
      <c r="N74" s="28">
        <f ca="1">SUM(J74:L74)</f>
        <v>4146.7767578602325</v>
      </c>
      <c r="O74" s="13">
        <f t="shared" ca="1" si="20"/>
        <v>287419.77675786021</v>
      </c>
    </row>
    <row r="75" spans="1:15" x14ac:dyDescent="0.2">
      <c r="A75" s="6">
        <v>2014</v>
      </c>
      <c r="B75" s="22">
        <f t="shared" ca="1" si="19"/>
        <v>261.1411686350865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 ca="1">D$84*I$82*$M8</f>
        <v>6306.4497206669539</v>
      </c>
      <c r="J75" s="13">
        <f t="shared" ref="J75:L75" ca="1" si="22">E$84*J$82*$M8</f>
        <v>2694.2859313489921</v>
      </c>
      <c r="K75" s="13">
        <f t="shared" ca="1" si="22"/>
        <v>779.57523709387101</v>
      </c>
      <c r="L75" s="13">
        <f t="shared" ca="1" si="22"/>
        <v>363.00451307992734</v>
      </c>
      <c r="M75" s="3">
        <f>'LRamounts3 - CL on incurred'!B114</f>
        <v>264505</v>
      </c>
      <c r="N75" s="28">
        <f ca="1">SUM(I75:L75)</f>
        <v>10143.315402189746</v>
      </c>
      <c r="O75" s="13">
        <f t="shared" ca="1" si="20"/>
        <v>274648.31540218974</v>
      </c>
    </row>
    <row r="76" spans="1:15" x14ac:dyDescent="0.2">
      <c r="A76" s="6">
        <v>2015</v>
      </c>
      <c r="B76" s="22">
        <f t="shared" ca="1" si="19"/>
        <v>267.58750547167944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 ca="1">D$84*H$82*$M9</f>
        <v>8873.3855484259602</v>
      </c>
      <c r="I76" s="13">
        <f t="shared" ref="I76:L76" ca="1" si="23">E$84*I$82*$M9</f>
        <v>6702.0407965147442</v>
      </c>
      <c r="J76" s="13">
        <f t="shared" ca="1" si="23"/>
        <v>2863.2931410205524</v>
      </c>
      <c r="K76" s="13">
        <f t="shared" ca="1" si="23"/>
        <v>828.47644465216183</v>
      </c>
      <c r="L76" s="13">
        <f t="shared" ca="1" si="23"/>
        <v>385.77506580411602</v>
      </c>
      <c r="M76" s="3">
        <f>'LRamounts3 - CL on incurred'!B115</f>
        <v>269873</v>
      </c>
      <c r="N76" s="28">
        <f ca="1">SUM(H76:L76)</f>
        <v>19652.970996417534</v>
      </c>
      <c r="O76" s="13">
        <f t="shared" ca="1" si="20"/>
        <v>289525.97099641751</v>
      </c>
    </row>
    <row r="77" spans="1:15" x14ac:dyDescent="0.2">
      <c r="A77" s="6">
        <v>2016</v>
      </c>
      <c r="B77" s="22">
        <f t="shared" ca="1" si="19"/>
        <v>289.60448857239396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 ca="1">D$84*G$82*$M10</f>
        <v>17948.057496638387</v>
      </c>
      <c r="H77" s="13">
        <f t="shared" ref="H77:L77" ca="1" si="24">E$84*H$82*$M10</f>
        <v>9058.2675433262993</v>
      </c>
      <c r="I77" s="13">
        <f t="shared" ca="1" si="24"/>
        <v>6841.6815982809767</v>
      </c>
      <c r="J77" s="13">
        <f t="shared" ca="1" si="24"/>
        <v>2922.9514692885309</v>
      </c>
      <c r="K77" s="13">
        <f t="shared" ca="1" si="24"/>
        <v>845.73821886216479</v>
      </c>
      <c r="L77" s="13">
        <f t="shared" ca="1" si="24"/>
        <v>393.81290698203333</v>
      </c>
      <c r="M77" s="3">
        <f>'LRamounts3 - CL on incurred'!B116</f>
        <v>263414</v>
      </c>
      <c r="N77" s="28">
        <f ca="1">SUM(G77:L77)</f>
        <v>38010.50923337839</v>
      </c>
      <c r="O77" s="13">
        <f t="shared" ca="1" si="20"/>
        <v>301424.5092333784</v>
      </c>
    </row>
    <row r="78" spans="1:15" x14ac:dyDescent="0.2">
      <c r="A78" s="6">
        <v>2017</v>
      </c>
      <c r="B78" s="22">
        <f t="shared" ca="1" si="19"/>
        <v>280.04846891609856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 ca="1">D$84*F$82*$M11</f>
        <v>29705.757990940059</v>
      </c>
      <c r="G78" s="13">
        <f t="shared" ref="G78:L78" ca="1" si="25">E$84*G$82*$M11</f>
        <v>16358.42008677691</v>
      </c>
      <c r="H78" s="13">
        <f t="shared" ca="1" si="25"/>
        <v>8255.987911778293</v>
      </c>
      <c r="I78" s="13">
        <f t="shared" ca="1" si="25"/>
        <v>6235.7222616215477</v>
      </c>
      <c r="J78" s="13">
        <f t="shared" ca="1" si="25"/>
        <v>2664.0692474290977</v>
      </c>
      <c r="K78" s="13">
        <f t="shared" ca="1" si="25"/>
        <v>770.8322234972228</v>
      </c>
      <c r="L78" s="13">
        <f t="shared" ca="1" si="25"/>
        <v>358.93338146557073</v>
      </c>
      <c r="M78" s="3">
        <f>'LRamounts3 - CL on incurred'!B117</f>
        <v>204821</v>
      </c>
      <c r="N78" s="28">
        <f ca="1">SUM(F78:L78)</f>
        <v>64349.723103508695</v>
      </c>
      <c r="O78" s="13">
        <f t="shared" ca="1" si="20"/>
        <v>269170.7231035087</v>
      </c>
    </row>
    <row r="79" spans="1:15" x14ac:dyDescent="0.2">
      <c r="A79" s="6">
        <v>2018</v>
      </c>
      <c r="B79" s="22">
        <f t="shared" ca="1" si="19"/>
        <v>271.04521382122567</v>
      </c>
      <c r="C79" s="3">
        <f>'LRamounts1 - case estimates'!B12</f>
        <v>81050</v>
      </c>
      <c r="D79" s="3">
        <f>'LRamounts1 - case estimates'!C12</f>
        <v>109214</v>
      </c>
      <c r="E79" s="13">
        <f ca="1">D$84*E$82*$M12</f>
        <v>63958.031425734509</v>
      </c>
      <c r="F79" s="13">
        <f t="shared" ref="F79:L79" ca="1" si="26">E$84*F$82*$M12</f>
        <v>34885.629032044599</v>
      </c>
      <c r="G79" s="13">
        <f t="shared" ca="1" si="26"/>
        <v>19210.880761625256</v>
      </c>
      <c r="H79" s="13">
        <f t="shared" ca="1" si="26"/>
        <v>9695.606207765637</v>
      </c>
      <c r="I79" s="13">
        <f t="shared" ca="1" si="26"/>
        <v>7323.0615300958816</v>
      </c>
      <c r="J79" s="13">
        <f t="shared" ca="1" si="26"/>
        <v>3128.6099991063938</v>
      </c>
      <c r="K79" s="13">
        <f t="shared" ca="1" si="26"/>
        <v>905.2442628486931</v>
      </c>
      <c r="L79" s="13">
        <f t="shared" ca="1" si="26"/>
        <v>421.52153790669848</v>
      </c>
      <c r="M79" s="3">
        <f>'LRamounts3 - CL on incurred'!B118</f>
        <v>190264</v>
      </c>
      <c r="N79" s="28">
        <f ca="1">SUM(E79:L79)</f>
        <v>139528.58475712765</v>
      </c>
      <c r="O79" s="13">
        <f t="shared" ca="1" si="20"/>
        <v>329792.58475712768</v>
      </c>
    </row>
    <row r="80" spans="1:15" x14ac:dyDescent="0.2">
      <c r="A80" s="6">
        <v>2019</v>
      </c>
      <c r="B80" s="22">
        <f t="shared" ca="1" si="19"/>
        <v>309.46576015631786</v>
      </c>
      <c r="C80" s="3">
        <f>'LRamounts1 - case estimates'!B13</f>
        <v>77289</v>
      </c>
      <c r="D80" s="13">
        <f ca="1">D$84*D$82*$M13</f>
        <v>98264.881463145663</v>
      </c>
      <c r="E80" s="13">
        <f t="shared" ref="E80:L80" ca="1" si="27">E$84*E$82*$M13</f>
        <v>56935.423135353347</v>
      </c>
      <c r="F80" s="13">
        <f t="shared" ca="1" si="27"/>
        <v>31055.177997289586</v>
      </c>
      <c r="G80" s="13">
        <f t="shared" ca="1" si="27"/>
        <v>17101.521116015054</v>
      </c>
      <c r="H80" s="13">
        <f t="shared" ca="1" si="27"/>
        <v>8631.0261539847797</v>
      </c>
      <c r="I80" s="13">
        <f t="shared" ca="1" si="27"/>
        <v>6518.9874917643911</v>
      </c>
      <c r="J80" s="13">
        <f t="shared" ca="1" si="27"/>
        <v>2785.0878170235101</v>
      </c>
      <c r="K80" s="13">
        <f t="shared" ca="1" si="27"/>
        <v>805.84821010302801</v>
      </c>
      <c r="L80" s="13">
        <f t="shared" ca="1" si="27"/>
        <v>375.23836469623097</v>
      </c>
      <c r="M80" s="3">
        <f>'LRamounts3 - CL on incurred'!B119</f>
        <v>77289</v>
      </c>
      <c r="N80" s="28">
        <f ca="1">SUM(D80:L80)</f>
        <v>222473.19174937558</v>
      </c>
      <c r="O80" s="13">
        <f t="shared" ca="1" si="20"/>
        <v>299762.19174937555</v>
      </c>
    </row>
    <row r="81" spans="2:14" x14ac:dyDescent="0.2">
      <c r="N81" s="27"/>
    </row>
    <row r="82" spans="2:14" ht="17" thickBot="1" x14ac:dyDescent="0.25">
      <c r="B82" s="1" t="s">
        <v>38</v>
      </c>
      <c r="C82" s="10" cm="1">
        <f t="array" aca="1" ref="C82:L82" ca="1">TRANSPOSE(E53:E62)</f>
        <v>0.26143676614461964</v>
      </c>
      <c r="D82" s="10">
        <f ca="1"/>
        <v>0.33470556504115367</v>
      </c>
      <c r="E82" s="10">
        <f ca="1"/>
        <v>0.18967460334351435</v>
      </c>
      <c r="F82" s="10">
        <f ca="1"/>
        <v>0.10118652652438882</v>
      </c>
      <c r="G82" s="10">
        <f ca="1"/>
        <v>5.449861171764158E-2</v>
      </c>
      <c r="H82" s="10">
        <f ca="1"/>
        <v>2.6901417473534341E-2</v>
      </c>
      <c r="I82" s="10">
        <f ca="1"/>
        <v>1.9872610134403158E-2</v>
      </c>
      <c r="J82" s="10">
        <f ca="1"/>
        <v>8.3037772669714884E-3</v>
      </c>
      <c r="K82" s="10">
        <f ca="1"/>
        <v>2.3499145854461593E-3</v>
      </c>
      <c r="L82" s="10">
        <f ca="1"/>
        <v>1.0702077683268291E-3</v>
      </c>
      <c r="N82" s="29">
        <f ca="1">SUM(N71:N80)</f>
        <v>499719.02457497024</v>
      </c>
    </row>
    <row r="83" spans="2:14" ht="17" thickTop="1" x14ac:dyDescent="0.2"/>
    <row r="84" spans="2:14" x14ac:dyDescent="0.2">
      <c r="B84" s="1" t="s">
        <v>43</v>
      </c>
      <c r="D84" s="16">
        <f ca="1">(1+B65)*B62</f>
        <v>316.41027025899086</v>
      </c>
      <c r="E84" s="16">
        <f t="shared" ref="E84:L84" ca="1" si="28">D84*(1+$B65)</f>
        <v>323.51061737749973</v>
      </c>
      <c r="F84" s="16">
        <f t="shared" ca="1" si="28"/>
        <v>330.77029854405339</v>
      </c>
      <c r="G84" s="16">
        <f t="shared" ca="1" si="28"/>
        <v>338.19288926537604</v>
      </c>
      <c r="H84" s="16">
        <f t="shared" ca="1" si="28"/>
        <v>345.7820452837002</v>
      </c>
      <c r="I84" s="16">
        <f t="shared" ca="1" si="28"/>
        <v>353.54150437727702</v>
      </c>
      <c r="J84" s="16">
        <f t="shared" ca="1" si="28"/>
        <v>361.47508820129059</v>
      </c>
      <c r="K84" s="16">
        <f t="shared" ca="1" si="28"/>
        <v>369.58670417008307</v>
      </c>
      <c r="L84" s="16">
        <f t="shared" ca="1" si="28"/>
        <v>377.88034738161747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workbookViewId="0">
      <selection activeCell="B18" sqref="B18"/>
    </sheetView>
  </sheetViews>
  <sheetFormatPr baseColWidth="10" defaultColWidth="10.83203125" defaultRowHeight="16" x14ac:dyDescent="0.2"/>
  <cols>
    <col min="1" max="3" width="11" style="1" bestFit="1" customWidth="1"/>
    <col min="4" max="4" width="12.33203125" style="1" customWidth="1"/>
    <col min="5" max="5" width="11.33203125" style="1" bestFit="1" customWidth="1"/>
    <col min="6" max="6" width="11.1640625" style="1" bestFit="1" customWidth="1"/>
    <col min="7" max="11" width="11" style="1" bestFit="1" customWidth="1"/>
    <col min="12" max="16384" width="10.83203125" style="1"/>
  </cols>
  <sheetData>
    <row r="1" spans="1:12" x14ac:dyDescent="0.2">
      <c r="A1" s="6" t="s">
        <v>50</v>
      </c>
    </row>
    <row r="3" spans="1:12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x14ac:dyDescent="0.2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x14ac:dyDescent="0.2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x14ac:dyDescent="0.2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x14ac:dyDescent="0.2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x14ac:dyDescent="0.2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x14ac:dyDescent="0.2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x14ac:dyDescent="0.2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x14ac:dyDescent="0.2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 ca="1">SUM('LRamounts4 - separation method'!$C11:'LRamounts4 - separation method'!G11)</f>
        <v>869.87475691829673</v>
      </c>
      <c r="G11" s="17">
        <f ca="1">SUM('LRamounts4 - separation method'!$C11:'LRamounts4 - separation method'!H11)</f>
        <v>897.05609307948441</v>
      </c>
      <c r="H11" s="17">
        <f ca="1">SUM('LRamounts4 - separation method'!$C11:'LRamounts4 - separation method'!I11)</f>
        <v>916.54218420658276</v>
      </c>
      <c r="I11" s="17">
        <f ca="1">SUM('LRamounts4 - separation method'!$C11:'LRamounts4 - separation method'!J11)</f>
        <v>925.05714732226102</v>
      </c>
      <c r="J11" s="17">
        <f ca="1">SUM('LRamounts4 - separation method'!$C11:'LRamounts4 - separation method'!K11)</f>
        <v>926.91641994594352</v>
      </c>
      <c r="K11" s="17">
        <f ca="1">SUM('LRamounts4 - separation method'!$C11:'LRamounts4 - separation method'!L11)</f>
        <v>927.82779585359572</v>
      </c>
    </row>
    <row r="12" spans="1:12" x14ac:dyDescent="0.2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 ca="1">SUM('LRamounts4 - separation method'!$C12:'LRamounts4 - separation method'!G12)</f>
        <v>1002.4379639936799</v>
      </c>
      <c r="G12" s="17">
        <f ca="1">SUM('LRamounts4 - separation method'!$C12:'LRamounts4 - separation method'!H12)</f>
        <v>1032.1097657867967</v>
      </c>
      <c r="H12" s="17">
        <f ca="1">SUM('LRamounts4 - separation method'!$C12:'LRamounts4 - separation method'!I12)</f>
        <v>1053.3812525973483</v>
      </c>
      <c r="I12" s="17">
        <f ca="1">SUM('LRamounts4 - separation method'!$C12:'LRamounts4 - separation method'!J12)</f>
        <v>1062.6763915980891</v>
      </c>
      <c r="J12" s="17">
        <f ca="1">SUM('LRamounts4 - separation method'!$C12:'LRamounts4 - separation method'!K12)</f>
        <v>1064.706018414156</v>
      </c>
      <c r="K12" s="17">
        <f ca="1">SUM('LRamounts4 - separation method'!$C12:'LRamounts4 - separation method'!L12)</f>
        <v>1065.7008983247872</v>
      </c>
    </row>
    <row r="13" spans="1:12" x14ac:dyDescent="0.2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 ca="1">SUM('LRamounts4 - separation method'!$C13:'LRamounts4 - separation method'!G13)</f>
        <v>872.87184721686845</v>
      </c>
      <c r="G13" s="17">
        <f ca="1">SUM('LRamounts4 - separation method'!$C13:'LRamounts4 - separation method'!H13)</f>
        <v>898.66496396226512</v>
      </c>
      <c r="H13" s="17">
        <f ca="1">SUM('LRamounts4 - separation method'!$C13:'LRamounts4 - separation method'!I13)</f>
        <v>917.15585125243297</v>
      </c>
      <c r="I13" s="17">
        <f ca="1">SUM('LRamounts4 - separation method'!$C13:'LRamounts4 - separation method'!J13)</f>
        <v>925.23593371868947</v>
      </c>
      <c r="J13" s="17">
        <f ca="1">SUM('LRamounts4 - separation method'!$C13:'LRamounts4 - separation method'!K13)</f>
        <v>927.00024859856796</v>
      </c>
      <c r="K13" s="17">
        <f ca="1">SUM('LRamounts4 - separation method'!$C13:'LRamounts4 - separation method'!L13)</f>
        <v>927.8650782392308</v>
      </c>
    </row>
    <row r="15" spans="1:12" x14ac:dyDescent="0.2">
      <c r="A15" s="31" t="s">
        <v>51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x14ac:dyDescent="0.2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x14ac:dyDescent="0.2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x14ac:dyDescent="0.2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x14ac:dyDescent="0.2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x14ac:dyDescent="0.2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x14ac:dyDescent="0.2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x14ac:dyDescent="0.2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x14ac:dyDescent="0.2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x14ac:dyDescent="0.2">
      <c r="A29" s="31" t="s">
        <v>52</v>
      </c>
    </row>
    <row r="31" spans="1:11" x14ac:dyDescent="0.2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x14ac:dyDescent="0.2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x14ac:dyDescent="0.2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x14ac:dyDescent="0.2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x14ac:dyDescent="0.2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x14ac:dyDescent="0.2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x14ac:dyDescent="0.2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x14ac:dyDescent="0.2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3" spans="1:11" x14ac:dyDescent="0.2">
      <c r="A43" s="46" t="s">
        <v>79</v>
      </c>
      <c r="B43" s="47">
        <f ca="1">SUM(OFFSET($B$18:$K$26,0,1+B17,9-B17,1))/SUM(OFFSET($B$18:$K$26,0,B17,9-B17,1))</f>
        <v>0.93598550469211805</v>
      </c>
      <c r="C43" s="47">
        <f t="shared" ref="C43:J43" ca="1" si="2">SUM(OFFSET($B$18:$K$26,0,1+C17,9-C17,1))/SUM(OFFSET($B$18:$K$26,0,C17,9-C17,1))</f>
        <v>0.82049215407874254</v>
      </c>
      <c r="D43" s="47">
        <f t="shared" ca="1" si="2"/>
        <v>0.85209597078331556</v>
      </c>
      <c r="E43" s="47">
        <f t="shared" ca="1" si="2"/>
        <v>0.90353325722233635</v>
      </c>
      <c r="F43" s="47">
        <f t="shared" ca="1" si="2"/>
        <v>0.94643399879966228</v>
      </c>
      <c r="G43" s="47">
        <f t="shared" ca="1" si="2"/>
        <v>0.96704728830725262</v>
      </c>
      <c r="H43" s="47">
        <f t="shared" ca="1" si="2"/>
        <v>0.98390033808008648</v>
      </c>
      <c r="I43" s="47">
        <f t="shared" ca="1" si="2"/>
        <v>0.99625119224811698</v>
      </c>
      <c r="J43" s="47">
        <f t="shared" ca="1" si="2"/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3">C42</f>
        <v>0.82049215407874254</v>
      </c>
      <c r="D44" s="9">
        <f t="shared" si="3"/>
        <v>0.85209597078331556</v>
      </c>
      <c r="E44" s="9">
        <f t="shared" si="3"/>
        <v>0.90353325722233635</v>
      </c>
      <c r="F44" s="9">
        <f t="shared" si="3"/>
        <v>0.94643399879966228</v>
      </c>
      <c r="G44" s="9">
        <f t="shared" si="3"/>
        <v>0.96704728830725262</v>
      </c>
      <c r="H44" s="9">
        <f t="shared" si="3"/>
        <v>0.98390033808008648</v>
      </c>
      <c r="I44" s="9">
        <f t="shared" si="3"/>
        <v>0.99625119224811698</v>
      </c>
      <c r="J44" s="9">
        <f t="shared" si="3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4">1/D46-1/C46</f>
        <v>-0.31714227504114634</v>
      </c>
      <c r="E47" s="10">
        <f t="shared" si="4"/>
        <v>-0.21440017701780922</v>
      </c>
      <c r="F47" s="10">
        <f t="shared" si="4"/>
        <v>-0.11915472282889628</v>
      </c>
      <c r="G47" s="10">
        <f t="shared" si="4"/>
        <v>-5.9781528570924669E-2</v>
      </c>
      <c r="H47" s="10">
        <f t="shared" si="4"/>
        <v>-3.4806413916926404E-2</v>
      </c>
      <c r="I47" s="10">
        <f t="shared" si="4"/>
        <v>-1.644495121943268E-2</v>
      </c>
      <c r="J47" s="10">
        <f t="shared" si="4"/>
        <v>-3.7675594362747145E-3</v>
      </c>
      <c r="K47" s="10">
        <f t="shared" si="4"/>
        <v>-1.2344800473826911E-3</v>
      </c>
    </row>
    <row r="50" spans="1:6" x14ac:dyDescent="0.2">
      <c r="A50" s="6" t="s">
        <v>53</v>
      </c>
      <c r="B50" s="6" t="s">
        <v>55</v>
      </c>
      <c r="C50" s="6" t="s">
        <v>57</v>
      </c>
      <c r="D50" s="6" t="s">
        <v>18</v>
      </c>
      <c r="E50" s="6" t="s">
        <v>47</v>
      </c>
      <c r="F50" s="6" t="s">
        <v>48</v>
      </c>
    </row>
    <row r="51" spans="1:6" x14ac:dyDescent="0.2">
      <c r="A51" s="6" t="s">
        <v>54</v>
      </c>
      <c r="B51" s="6" t="s">
        <v>56</v>
      </c>
      <c r="C51" s="6" t="s">
        <v>58</v>
      </c>
      <c r="D51" s="6"/>
      <c r="E51" s="6"/>
      <c r="F51" s="6"/>
    </row>
    <row r="52" spans="1:6" x14ac:dyDescent="0.2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x14ac:dyDescent="0.2">
      <c r="A53" s="1">
        <f t="shared" ref="A53:A60" si="5">A19</f>
        <v>2011</v>
      </c>
      <c r="B53" s="17">
        <f>J19*J46</f>
        <v>260.40210814334614</v>
      </c>
      <c r="C53" s="17">
        <f t="shared" ref="C53:C61" si="6">K5</f>
        <v>1031.960714950661</v>
      </c>
      <c r="D53" s="13">
        <f t="shared" ref="D53:D61" si="7">B53*C53</f>
        <v>268724.74569426681</v>
      </c>
      <c r="E53" s="3">
        <f>'LRamounts2 - CL on paid losses'!B111</f>
        <v>267238</v>
      </c>
      <c r="F53" s="28">
        <f t="shared" ref="F53:F61" si="8">D53-E53</f>
        <v>1486.7456942668068</v>
      </c>
    </row>
    <row r="54" spans="1:6" x14ac:dyDescent="0.2">
      <c r="A54" s="1">
        <f t="shared" si="5"/>
        <v>2012</v>
      </c>
      <c r="B54" s="17">
        <f>I20*I46</f>
        <v>260.69598837292756</v>
      </c>
      <c r="C54" s="17">
        <f t="shared" si="6"/>
        <v>976.82470306345772</v>
      </c>
      <c r="D54" s="13">
        <f t="shared" si="7"/>
        <v>254654.28143221958</v>
      </c>
      <c r="E54" s="3">
        <f>'LRamounts2 - CL on paid losses'!B112</f>
        <v>250813</v>
      </c>
      <c r="F54" s="28">
        <f t="shared" si="8"/>
        <v>3841.2814322195773</v>
      </c>
    </row>
    <row r="55" spans="1:6" x14ac:dyDescent="0.2">
      <c r="A55" s="1">
        <f t="shared" si="5"/>
        <v>2013</v>
      </c>
      <c r="B55" s="17">
        <f>H21*H46</f>
        <v>260.6649947338762</v>
      </c>
      <c r="C55" s="17">
        <f t="shared" si="6"/>
        <v>1108.2850626478262</v>
      </c>
      <c r="D55" s="13">
        <f t="shared" si="7"/>
        <v>288891.12001872924</v>
      </c>
      <c r="E55" s="3">
        <f>'LRamounts2 - CL on paid losses'!B113</f>
        <v>283273</v>
      </c>
      <c r="F55" s="28">
        <f t="shared" si="8"/>
        <v>5618.1200187292416</v>
      </c>
    </row>
    <row r="56" spans="1:6" x14ac:dyDescent="0.2">
      <c r="A56" s="1">
        <f t="shared" si="5"/>
        <v>2014</v>
      </c>
      <c r="B56" s="17">
        <f>G22*G46</f>
        <v>274.57580341982407</v>
      </c>
      <c r="C56" s="17">
        <f t="shared" si="6"/>
        <v>1002.9503941469704</v>
      </c>
      <c r="D56" s="13">
        <f t="shared" si="7"/>
        <v>275385.91026313364</v>
      </c>
      <c r="E56" s="3">
        <f>'LRamounts2 - CL on paid losses'!B114</f>
        <v>264505</v>
      </c>
      <c r="F56" s="28">
        <f t="shared" si="8"/>
        <v>10880.910263133643</v>
      </c>
    </row>
    <row r="57" spans="1:6" x14ac:dyDescent="0.2">
      <c r="A57" s="1">
        <f t="shared" si="5"/>
        <v>2015</v>
      </c>
      <c r="B57" s="17">
        <f>F23*F46</f>
        <v>282.55400760749586</v>
      </c>
      <c r="C57" s="17">
        <f t="shared" si="6"/>
        <v>1042.4701208850129</v>
      </c>
      <c r="D57" s="13">
        <f t="shared" si="7"/>
        <v>294554.11046713107</v>
      </c>
      <c r="E57" s="3">
        <f>'LRamounts2 - CL on paid losses'!B115</f>
        <v>269873</v>
      </c>
      <c r="F57" s="28">
        <f t="shared" si="8"/>
        <v>24681.110467131075</v>
      </c>
    </row>
    <row r="58" spans="1:6" x14ac:dyDescent="0.2">
      <c r="A58" s="1">
        <f t="shared" si="5"/>
        <v>2016</v>
      </c>
      <c r="B58" s="17">
        <f>E24*E46</f>
        <v>286.5534247003701</v>
      </c>
      <c r="C58" s="17">
        <f t="shared" si="6"/>
        <v>1040.8339296077293</v>
      </c>
      <c r="D58" s="13">
        <f t="shared" si="7"/>
        <v>298254.52707343874</v>
      </c>
      <c r="E58" s="3">
        <f>'LRamounts2 - CL on paid losses'!B116</f>
        <v>263414</v>
      </c>
      <c r="F58" s="28">
        <f t="shared" si="8"/>
        <v>34840.527073438745</v>
      </c>
    </row>
    <row r="59" spans="1:6" x14ac:dyDescent="0.2">
      <c r="A59" s="1">
        <f t="shared" si="5"/>
        <v>2017</v>
      </c>
      <c r="B59" s="17">
        <f>D25*D46</f>
        <v>298.99682167385384</v>
      </c>
      <c r="C59" s="17">
        <f t="shared" ca="1" si="6"/>
        <v>927.82779585359572</v>
      </c>
      <c r="D59" s="13">
        <f t="shared" ca="1" si="7"/>
        <v>277417.56202088244</v>
      </c>
      <c r="E59" s="3">
        <f>'LRamounts2 - CL on paid losses'!B117</f>
        <v>204821</v>
      </c>
      <c r="F59" s="28">
        <f t="shared" ca="1" si="8"/>
        <v>72596.56202088244</v>
      </c>
    </row>
    <row r="60" spans="1:6" x14ac:dyDescent="0.2">
      <c r="A60" s="1">
        <f t="shared" si="5"/>
        <v>2018</v>
      </c>
      <c r="B60" s="17">
        <f>C26*C46</f>
        <v>303.7665322300362</v>
      </c>
      <c r="C60" s="17">
        <f t="shared" ca="1" si="6"/>
        <v>1065.7008983247872</v>
      </c>
      <c r="D60" s="13">
        <f t="shared" ca="1" si="7"/>
        <v>323724.26627855503</v>
      </c>
      <c r="E60" s="3">
        <f>'LRamounts2 - CL on paid losses'!B118</f>
        <v>190264</v>
      </c>
      <c r="F60" s="28">
        <f t="shared" ca="1" si="8"/>
        <v>133460.26627855503</v>
      </c>
    </row>
    <row r="61" spans="1:6" x14ac:dyDescent="0.2">
      <c r="A61" s="1">
        <f>A27</f>
        <v>2019</v>
      </c>
      <c r="B61" s="17">
        <f>B27*B46</f>
        <v>323.16792979047881</v>
      </c>
      <c r="C61" s="17">
        <f t="shared" ca="1" si="6"/>
        <v>927.8650782392308</v>
      </c>
      <c r="D61" s="13">
        <f t="shared" ca="1" si="7"/>
        <v>299856.23645945289</v>
      </c>
      <c r="E61" s="3">
        <f>'LRamounts2 - CL on paid losses'!B119</f>
        <v>77289</v>
      </c>
      <c r="F61" s="28">
        <f t="shared" ca="1" si="8"/>
        <v>222567.23645945289</v>
      </c>
    </row>
    <row r="62" spans="1:6" x14ac:dyDescent="0.2">
      <c r="F62" s="27"/>
    </row>
    <row r="63" spans="1:6" ht="17" thickBot="1" x14ac:dyDescent="0.25">
      <c r="F63" s="29">
        <f ca="1">SUM(F52:F61)</f>
        <v>509972.75970780943</v>
      </c>
    </row>
    <row r="64" spans="1:6" ht="17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CDE-374F-8347-AD8D-76FB3C6D7305}">
  <dimension ref="A1:H83"/>
  <sheetViews>
    <sheetView workbookViewId="0">
      <selection activeCell="D16" sqref="D16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1" spans="1:8" x14ac:dyDescent="0.2">
      <c r="B1" s="37" t="s">
        <v>59</v>
      </c>
      <c r="C1" s="34"/>
      <c r="D1" s="34"/>
    </row>
    <row r="2" spans="1:8" x14ac:dyDescent="0.2">
      <c r="B2" s="34" t="s">
        <v>61</v>
      </c>
      <c r="C2" s="34" t="s">
        <v>60</v>
      </c>
      <c r="D2" s="34" t="s">
        <v>62</v>
      </c>
    </row>
    <row r="3" spans="1:8" x14ac:dyDescent="0.2">
      <c r="B3">
        <v>1090</v>
      </c>
      <c r="C3">
        <f>'LRamounts5 PPCI'!K4</f>
        <v>1090</v>
      </c>
      <c r="D3" s="33">
        <f t="shared" ref="D3:D12" si="0">C3/B3</f>
        <v>1</v>
      </c>
    </row>
    <row r="4" spans="1:8" x14ac:dyDescent="0.2">
      <c r="B4">
        <v>1035</v>
      </c>
      <c r="C4" s="32">
        <f>'LRamounts5 PPCI'!K5</f>
        <v>1031.960714950661</v>
      </c>
      <c r="D4" s="33">
        <f t="shared" si="0"/>
        <v>0.99706349270595263</v>
      </c>
    </row>
    <row r="5" spans="1:8" x14ac:dyDescent="0.2">
      <c r="B5">
        <v>985</v>
      </c>
      <c r="C5" s="32">
        <f>'LRamounts5 PPCI'!K6</f>
        <v>976.82470306345772</v>
      </c>
      <c r="D5" s="33">
        <f t="shared" si="0"/>
        <v>0.99170020615579468</v>
      </c>
    </row>
    <row r="6" spans="1:8" x14ac:dyDescent="0.2">
      <c r="B6">
        <v>1113</v>
      </c>
      <c r="C6" s="32">
        <f>'LRamounts5 PPCI'!K7</f>
        <v>1108.2850626478262</v>
      </c>
      <c r="D6" s="33">
        <f t="shared" si="0"/>
        <v>0.99576375799445305</v>
      </c>
    </row>
    <row r="7" spans="1:8" x14ac:dyDescent="0.2">
      <c r="B7">
        <v>1004</v>
      </c>
      <c r="C7" s="32">
        <f>'LRamounts5 PPCI'!K8</f>
        <v>1002.9503941469704</v>
      </c>
      <c r="D7" s="33">
        <f t="shared" si="0"/>
        <v>0.99895457584359604</v>
      </c>
    </row>
    <row r="8" spans="1:8" x14ac:dyDescent="0.2">
      <c r="B8">
        <v>1058</v>
      </c>
      <c r="C8" s="32">
        <f>'LRamounts5 PPCI'!K9</f>
        <v>1042.4701208850129</v>
      </c>
      <c r="D8" s="33">
        <f t="shared" si="0"/>
        <v>0.98532147531664738</v>
      </c>
    </row>
    <row r="9" spans="1:8" x14ac:dyDescent="0.2">
      <c r="B9">
        <v>1029</v>
      </c>
      <c r="C9" s="32">
        <f>'LRamounts5 PPCI'!K10</f>
        <v>1040.8339296077293</v>
      </c>
      <c r="D9" s="33">
        <f t="shared" si="0"/>
        <v>1.0115004175002229</v>
      </c>
    </row>
    <row r="10" spans="1:8" x14ac:dyDescent="0.2">
      <c r="B10">
        <v>934</v>
      </c>
      <c r="C10" s="32">
        <f ca="1">'LRamounts5 PPCI'!K11</f>
        <v>927.82779585359572</v>
      </c>
      <c r="D10" s="33">
        <f t="shared" ca="1" si="0"/>
        <v>0.99339164438286476</v>
      </c>
    </row>
    <row r="11" spans="1:8" x14ac:dyDescent="0.2">
      <c r="B11">
        <v>1020</v>
      </c>
      <c r="C11" s="32">
        <f ca="1">'LRamounts5 PPCI'!K12</f>
        <v>1065.7008983247872</v>
      </c>
      <c r="D11" s="33">
        <f t="shared" ca="1" si="0"/>
        <v>1.0448048022792031</v>
      </c>
    </row>
    <row r="12" spans="1:8" x14ac:dyDescent="0.2">
      <c r="B12">
        <v>968</v>
      </c>
      <c r="C12" s="32">
        <f ca="1">'LRamounts5 PPCI'!K13</f>
        <v>927.8650782392308</v>
      </c>
      <c r="D12" s="33">
        <f t="shared" ca="1" si="0"/>
        <v>0.95853830396614748</v>
      </c>
    </row>
    <row r="14" spans="1:8" s="34" customFormat="1" x14ac:dyDescent="0.2">
      <c r="B14" s="37" t="s">
        <v>18</v>
      </c>
      <c r="C14" s="34" t="s">
        <v>63</v>
      </c>
      <c r="E14" s="34" t="s">
        <v>64</v>
      </c>
      <c r="G14" s="34" t="s">
        <v>67</v>
      </c>
      <c r="H14" s="34" t="s">
        <v>68</v>
      </c>
    </row>
    <row r="15" spans="1:8" s="34" customFormat="1" x14ac:dyDescent="0.2">
      <c r="B15" s="34" t="s">
        <v>61</v>
      </c>
      <c r="C15" s="34" t="s">
        <v>65</v>
      </c>
      <c r="D15" s="34" t="s">
        <v>66</v>
      </c>
      <c r="E15" s="34" t="s">
        <v>65</v>
      </c>
      <c r="F15" s="34" t="s">
        <v>66</v>
      </c>
    </row>
    <row r="16" spans="1:8" x14ac:dyDescent="0.2">
      <c r="A16">
        <v>2010</v>
      </c>
      <c r="B16" s="35">
        <v>272224</v>
      </c>
      <c r="C16" s="35">
        <f>'LRamounts2 - CL on paid losses'!D110</f>
        <v>272224</v>
      </c>
      <c r="D16" s="35">
        <f>'LRamounts2 - CL on paid losses'!F110</f>
        <v>272224</v>
      </c>
      <c r="E16" s="35">
        <f>'LRamounts3 - CL on incurred'!E110</f>
        <v>272224</v>
      </c>
      <c r="F16" s="35">
        <f>'LRamounts3 - CL on incurred'!G110</f>
        <v>272224</v>
      </c>
      <c r="G16" s="35">
        <f>'LRamounts4 - separation method'!O71</f>
        <v>272224</v>
      </c>
      <c r="H16" s="35">
        <f>'LRamounts5 PPCI'!D52</f>
        <v>272224</v>
      </c>
    </row>
    <row r="17" spans="1:8" x14ac:dyDescent="0.2">
      <c r="A17">
        <v>2011</v>
      </c>
      <c r="B17" s="35">
        <v>268538</v>
      </c>
      <c r="C17" s="35">
        <f>'LRamounts2 - CL on paid losses'!D111</f>
        <v>267592.85857950512</v>
      </c>
      <c r="D17" s="35">
        <f>'LRamounts2 - CL on paid losses'!F111</f>
        <v>267592.11886904552</v>
      </c>
      <c r="E17" s="35">
        <f>'LRamounts3 - CL on incurred'!E111</f>
        <v>268721.10662113031</v>
      </c>
      <c r="F17" s="35">
        <f>'LRamounts3 - CL on incurred'!G111</f>
        <v>268721.80224462796</v>
      </c>
      <c r="G17" s="35">
        <f ca="1">'LRamounts4 - separation method'!O72</f>
        <v>267587.44741765509</v>
      </c>
      <c r="H17" s="35">
        <f>'LRamounts5 PPCI'!D53</f>
        <v>268724.74569426681</v>
      </c>
    </row>
    <row r="18" spans="1:8" x14ac:dyDescent="0.2">
      <c r="A18">
        <v>2012</v>
      </c>
      <c r="B18" s="35">
        <v>254093</v>
      </c>
      <c r="C18" s="35">
        <f>'LRamounts2 - CL on paid losses'!D112</f>
        <v>251820.08963114367</v>
      </c>
      <c r="D18" s="35">
        <f>'LRamounts2 - CL on paid losses'!F112</f>
        <v>251818.92027337267</v>
      </c>
      <c r="E18" s="35">
        <f>'LRamounts3 - CL on incurred'!E112</f>
        <v>254633.54232975357</v>
      </c>
      <c r="F18" s="35">
        <f>'LRamounts3 - CL on incurred'!G112</f>
        <v>254641.45210453306</v>
      </c>
      <c r="G18" s="35">
        <f ca="1">'LRamounts4 - separation method'!O73</f>
        <v>251877.50515745737</v>
      </c>
      <c r="H18" s="35">
        <f>'LRamounts5 PPCI'!D54</f>
        <v>254654.28143221958</v>
      </c>
    </row>
    <row r="19" spans="1:8" x14ac:dyDescent="0.2">
      <c r="A19">
        <v>2013</v>
      </c>
      <c r="B19" s="35">
        <v>288132</v>
      </c>
      <c r="C19" s="35">
        <f>'LRamounts2 - CL on paid losses'!D113</f>
        <v>287069.6960195133</v>
      </c>
      <c r="D19" s="35">
        <f>'LRamounts2 - CL on paid losses'!F113</f>
        <v>287058.15144653316</v>
      </c>
      <c r="E19" s="35">
        <f>'LRamounts3 - CL on incurred'!E113</f>
        <v>289044.87643549865</v>
      </c>
      <c r="F19" s="35">
        <f>'LRamounts3 - CL on incurred'!G113</f>
        <v>289067.86520188098</v>
      </c>
      <c r="G19" s="35">
        <f ca="1">'LRamounts4 - separation method'!O74</f>
        <v>287419.77675786021</v>
      </c>
      <c r="H19" s="35">
        <f>'LRamounts5 PPCI'!D55</f>
        <v>288891.12001872924</v>
      </c>
    </row>
    <row r="20" spans="1:8" x14ac:dyDescent="0.2">
      <c r="A20">
        <v>2014</v>
      </c>
      <c r="B20" s="35">
        <v>275131</v>
      </c>
      <c r="C20" s="35">
        <f>'LRamounts2 - CL on paid losses'!D114</f>
        <v>274278.6483214894</v>
      </c>
      <c r="D20" s="35">
        <f>'LRamounts2 - CL on paid losses'!F114</f>
        <v>274310.35831342475</v>
      </c>
      <c r="E20" s="35">
        <f>'LRamounts3 - CL on incurred'!E114</f>
        <v>275219.26271145197</v>
      </c>
      <c r="F20" s="35">
        <f>'LRamounts3 - CL on incurred'!G114</f>
        <v>275241.3952098841</v>
      </c>
      <c r="G20" s="35">
        <f ca="1">'LRamounts4 - separation method'!O75</f>
        <v>274648.31540218974</v>
      </c>
      <c r="H20" s="35">
        <f>'LRamounts5 PPCI'!D56</f>
        <v>275385.91026313364</v>
      </c>
    </row>
    <row r="21" spans="1:8" x14ac:dyDescent="0.2">
      <c r="A21">
        <v>2015</v>
      </c>
      <c r="B21" s="35">
        <v>292545</v>
      </c>
      <c r="C21" s="35">
        <f>'LRamounts2 - CL on paid losses'!D115</f>
        <v>288630.6307595562</v>
      </c>
      <c r="D21" s="35">
        <f>'LRamounts2 - CL on paid losses'!F115</f>
        <v>288843.39618467801</v>
      </c>
      <c r="E21" s="35">
        <f>'LRamounts3 - CL on incurred'!E115</f>
        <v>293896.09790376335</v>
      </c>
      <c r="F21" s="35">
        <f>'LRamounts3 - CL on incurred'!G115</f>
        <v>293810.7504476062</v>
      </c>
      <c r="G21" s="35">
        <f ca="1">'LRamounts4 - separation method'!O76</f>
        <v>289525.97099641751</v>
      </c>
      <c r="H21" s="35">
        <f>'LRamounts5 PPCI'!D57</f>
        <v>294554.11046713107</v>
      </c>
    </row>
    <row r="22" spans="1:8" x14ac:dyDescent="0.2">
      <c r="A22">
        <v>2016</v>
      </c>
      <c r="B22" s="35">
        <v>297965</v>
      </c>
      <c r="C22" s="35">
        <f>'LRamounts2 - CL on paid losses'!D116</f>
        <v>300547.20721988013</v>
      </c>
      <c r="D22" s="35">
        <f>'LRamounts2 - CL on paid losses'!F116</f>
        <v>301269.96955417586</v>
      </c>
      <c r="E22" s="35">
        <f>'LRamounts3 - CL on incurred'!E116</f>
        <v>298151.38654434058</v>
      </c>
      <c r="F22" s="35">
        <f>'LRamounts3 - CL on incurred'!G116</f>
        <v>297720.70203879173</v>
      </c>
      <c r="G22" s="35">
        <f ca="1">'LRamounts4 - separation method'!O77</f>
        <v>301424.5092333784</v>
      </c>
      <c r="H22" s="35">
        <f>'LRamounts5 PPCI'!D58</f>
        <v>298254.52707343874</v>
      </c>
    </row>
    <row r="23" spans="1:8" x14ac:dyDescent="0.2">
      <c r="A23">
        <v>2017</v>
      </c>
      <c r="B23" s="35">
        <v>274124</v>
      </c>
      <c r="C23" s="35">
        <f>'LRamounts2 - CL on paid losses'!D117</f>
        <v>265640.99392619135</v>
      </c>
      <c r="D23" s="35">
        <f>'LRamounts2 - CL on paid losses'!F117</f>
        <v>266899.95401302696</v>
      </c>
      <c r="E23" s="35">
        <f>'LRamounts3 - CL on incurred'!E117</f>
        <v>272838.26013159298</v>
      </c>
      <c r="F23" s="35">
        <f>'LRamounts3 - CL on incurred'!G117</f>
        <v>271977.22434788593</v>
      </c>
      <c r="G23" s="35">
        <f ca="1">'LRamounts4 - separation method'!O78</f>
        <v>269170.7231035087</v>
      </c>
      <c r="H23" s="35">
        <f ca="1">'LRamounts5 PPCI'!D59</f>
        <v>277417.56202088244</v>
      </c>
    </row>
    <row r="24" spans="1:8" x14ac:dyDescent="0.2">
      <c r="A24">
        <v>2018</v>
      </c>
      <c r="B24" s="35">
        <v>313651</v>
      </c>
      <c r="C24" s="35">
        <f>'LRamounts2 - CL on paid losses'!D118</f>
        <v>327983.59396334324</v>
      </c>
      <c r="D24" s="35">
        <f>'LRamounts2 - CL on paid losses'!F118</f>
        <v>330912.87500663899</v>
      </c>
      <c r="E24" s="35">
        <f>'LRamounts3 - CL on incurred'!E118</f>
        <v>323784.94446868415</v>
      </c>
      <c r="F24" s="35">
        <f>'LRamounts3 - CL on incurred'!G118</f>
        <v>322173.37131103192</v>
      </c>
      <c r="G24" s="35">
        <f ca="1">'LRamounts4 - separation method'!O79</f>
        <v>329792.58475712768</v>
      </c>
      <c r="H24" s="35">
        <f ca="1">'LRamounts5 PPCI'!D60</f>
        <v>323724.26627855503</v>
      </c>
    </row>
    <row r="25" spans="1:8" x14ac:dyDescent="0.2">
      <c r="A25">
        <v>2019</v>
      </c>
      <c r="B25" s="35">
        <v>311895</v>
      </c>
      <c r="C25" s="35">
        <f>'LRamounts2 - CL on paid losses'!D119</f>
        <v>308860.23406835593</v>
      </c>
      <c r="D25" s="35">
        <f>'LRamounts2 - CL on paid losses'!F119</f>
        <v>313670.16476016474</v>
      </c>
      <c r="E25" s="35">
        <f>'LRamounts3 - CL on incurred'!E119</f>
        <v>303151.20873706532</v>
      </c>
      <c r="F25" s="35">
        <f>'LRamounts3 - CL on incurred'!G119</f>
        <v>301889.66157561337</v>
      </c>
      <c r="G25" s="35">
        <f ca="1">'LRamounts4 - separation method'!O80</f>
        <v>299762.19174937555</v>
      </c>
      <c r="H25" s="35">
        <f ca="1">'LRamounts5 PPCI'!D61</f>
        <v>299856.23645945289</v>
      </c>
    </row>
    <row r="27" spans="1:8" s="34" customFormat="1" x14ac:dyDescent="0.2">
      <c r="B27" s="37" t="s">
        <v>18</v>
      </c>
      <c r="C27" s="34" t="s">
        <v>63</v>
      </c>
      <c r="E27" s="34" t="s">
        <v>64</v>
      </c>
      <c r="G27" s="34" t="s">
        <v>67</v>
      </c>
      <c r="H27" s="34" t="s">
        <v>68</v>
      </c>
    </row>
    <row r="28" spans="1:8" s="34" customFormat="1" x14ac:dyDescent="0.2">
      <c r="B28" s="34" t="s">
        <v>61</v>
      </c>
      <c r="C28" s="34" t="s">
        <v>65</v>
      </c>
      <c r="D28" s="34" t="s">
        <v>66</v>
      </c>
      <c r="E28" s="34" t="s">
        <v>65</v>
      </c>
      <c r="F28" s="34" t="s">
        <v>66</v>
      </c>
    </row>
    <row r="29" spans="1:8" x14ac:dyDescent="0.2">
      <c r="A29">
        <v>2010</v>
      </c>
      <c r="B29" s="36">
        <f>B16/$B16</f>
        <v>1</v>
      </c>
      <c r="C29" s="36">
        <f t="shared" ref="C29:H29" si="1">C16/$B16</f>
        <v>1</v>
      </c>
      <c r="D29" s="36">
        <f t="shared" si="1"/>
        <v>1</v>
      </c>
      <c r="E29" s="36">
        <f t="shared" si="1"/>
        <v>1</v>
      </c>
      <c r="F29" s="36">
        <f t="shared" si="1"/>
        <v>1</v>
      </c>
      <c r="G29" s="36">
        <f t="shared" si="1"/>
        <v>1</v>
      </c>
      <c r="H29" s="36">
        <f t="shared" si="1"/>
        <v>1</v>
      </c>
    </row>
    <row r="30" spans="1:8" x14ac:dyDescent="0.2">
      <c r="A30">
        <v>2011</v>
      </c>
      <c r="B30" s="36">
        <f t="shared" ref="B30:H38" si="2">B17/$B17</f>
        <v>1</v>
      </c>
      <c r="C30" s="36">
        <f t="shared" si="2"/>
        <v>0.99648041833746104</v>
      </c>
      <c r="D30" s="36">
        <f t="shared" si="2"/>
        <v>0.99647766375353031</v>
      </c>
      <c r="E30" s="36">
        <f t="shared" si="2"/>
        <v>1.0006818648427049</v>
      </c>
      <c r="F30" s="36">
        <f t="shared" si="2"/>
        <v>1.0006844552526195</v>
      </c>
      <c r="G30" s="36">
        <f t="shared" ca="1" si="2"/>
        <v>0.99646026788631437</v>
      </c>
      <c r="H30" s="36">
        <f t="shared" si="2"/>
        <v>1.0006954162698269</v>
      </c>
    </row>
    <row r="31" spans="1:8" x14ac:dyDescent="0.2">
      <c r="A31">
        <v>2012</v>
      </c>
      <c r="B31" s="36">
        <f t="shared" si="2"/>
        <v>1</v>
      </c>
      <c r="C31" s="36">
        <f t="shared" si="2"/>
        <v>0.99105480918853994</v>
      </c>
      <c r="D31" s="36">
        <f t="shared" si="2"/>
        <v>0.99105020710280356</v>
      </c>
      <c r="E31" s="36">
        <f t="shared" si="2"/>
        <v>1.0021273405003426</v>
      </c>
      <c r="F31" s="36">
        <f t="shared" si="2"/>
        <v>1.0021584699481412</v>
      </c>
      <c r="G31" s="36">
        <f t="shared" ca="1" si="2"/>
        <v>0.99128077183337349</v>
      </c>
      <c r="H31" s="36">
        <f t="shared" si="2"/>
        <v>1.0022089606255173</v>
      </c>
    </row>
    <row r="32" spans="1:8" x14ac:dyDescent="0.2">
      <c r="A32">
        <v>2013</v>
      </c>
      <c r="B32" s="36">
        <f t="shared" si="2"/>
        <v>1</v>
      </c>
      <c r="C32" s="36">
        <f t="shared" si="2"/>
        <v>0.99631313432563307</v>
      </c>
      <c r="D32" s="36">
        <f t="shared" si="2"/>
        <v>0.9962730673668081</v>
      </c>
      <c r="E32" s="36">
        <f t="shared" si="2"/>
        <v>1.0031682577273564</v>
      </c>
      <c r="F32" s="36">
        <f t="shared" si="2"/>
        <v>1.0032480432644795</v>
      </c>
      <c r="G32" s="36">
        <f t="shared" ca="1" si="2"/>
        <v>0.99752813556932307</v>
      </c>
      <c r="H32" s="36">
        <f t="shared" si="2"/>
        <v>1.0026346258615122</v>
      </c>
    </row>
    <row r="33" spans="1:8" x14ac:dyDescent="0.2">
      <c r="A33">
        <v>2014</v>
      </c>
      <c r="B33" s="36">
        <f t="shared" si="2"/>
        <v>1</v>
      </c>
      <c r="C33" s="36">
        <f t="shared" si="2"/>
        <v>0.99690201511821419</v>
      </c>
      <c r="D33" s="36">
        <f t="shared" si="2"/>
        <v>0.99701726927690715</v>
      </c>
      <c r="E33" s="36">
        <f t="shared" si="2"/>
        <v>1.0003208024957273</v>
      </c>
      <c r="F33" s="36">
        <f t="shared" si="2"/>
        <v>1.0004012459878535</v>
      </c>
      <c r="G33" s="36">
        <f t="shared" ca="1" si="2"/>
        <v>0.99824561900400077</v>
      </c>
      <c r="H33" s="36">
        <f t="shared" si="2"/>
        <v>1.0009265050580765</v>
      </c>
    </row>
    <row r="34" spans="1:8" x14ac:dyDescent="0.2">
      <c r="A34">
        <v>2015</v>
      </c>
      <c r="B34" s="36">
        <f t="shared" si="2"/>
        <v>1</v>
      </c>
      <c r="C34" s="36">
        <f t="shared" si="2"/>
        <v>0.98661959958145307</v>
      </c>
      <c r="D34" s="36">
        <f t="shared" si="2"/>
        <v>0.98734689085329785</v>
      </c>
      <c r="E34" s="36">
        <f t="shared" si="2"/>
        <v>1.0046184276052004</v>
      </c>
      <c r="F34" s="36">
        <f t="shared" si="2"/>
        <v>1.0043266863135798</v>
      </c>
      <c r="G34" s="36">
        <f t="shared" ca="1" si="2"/>
        <v>0.98968012099477864</v>
      </c>
      <c r="H34" s="36">
        <f t="shared" si="2"/>
        <v>1.0068676971649868</v>
      </c>
    </row>
    <row r="35" spans="1:8" x14ac:dyDescent="0.2">
      <c r="A35">
        <v>2016</v>
      </c>
      <c r="B35" s="36">
        <f t="shared" si="2"/>
        <v>1</v>
      </c>
      <c r="C35" s="36">
        <f t="shared" si="2"/>
        <v>1.0086661427344827</v>
      </c>
      <c r="D35" s="36">
        <f t="shared" si="2"/>
        <v>1.0110918045883774</v>
      </c>
      <c r="E35" s="36">
        <f t="shared" si="2"/>
        <v>1.00062553167097</v>
      </c>
      <c r="F35" s="36">
        <f t="shared" si="2"/>
        <v>0.99918011188828126</v>
      </c>
      <c r="G35" s="36">
        <f t="shared" ca="1" si="2"/>
        <v>1.011610455031223</v>
      </c>
      <c r="H35" s="36">
        <f t="shared" si="2"/>
        <v>1.0009716814841969</v>
      </c>
    </row>
    <row r="36" spans="1:8" x14ac:dyDescent="0.2">
      <c r="A36">
        <v>2017</v>
      </c>
      <c r="B36" s="36">
        <f t="shared" si="2"/>
        <v>1</v>
      </c>
      <c r="C36" s="36">
        <f t="shared" si="2"/>
        <v>0.96905412851917871</v>
      </c>
      <c r="D36" s="36">
        <f t="shared" si="2"/>
        <v>0.97364679492867079</v>
      </c>
      <c r="E36" s="36">
        <f t="shared" si="2"/>
        <v>0.99530964137249189</v>
      </c>
      <c r="F36" s="36">
        <f t="shared" si="2"/>
        <v>0.99216859650335587</v>
      </c>
      <c r="G36" s="36">
        <f t="shared" ca="1" si="2"/>
        <v>0.98193052451995699</v>
      </c>
      <c r="H36" s="36">
        <f t="shared" ca="1" si="2"/>
        <v>1.0120148619634999</v>
      </c>
    </row>
    <row r="37" spans="1:8" x14ac:dyDescent="0.2">
      <c r="A37">
        <v>2018</v>
      </c>
      <c r="B37" s="36">
        <f t="shared" si="2"/>
        <v>1</v>
      </c>
      <c r="C37" s="36">
        <f t="shared" si="2"/>
        <v>1.0456959932005421</v>
      </c>
      <c r="D37" s="36">
        <f t="shared" si="2"/>
        <v>1.055035294026287</v>
      </c>
      <c r="E37" s="36">
        <f t="shared" si="2"/>
        <v>1.032309619509213</v>
      </c>
      <c r="F37" s="36">
        <f t="shared" si="2"/>
        <v>1.027171510089341</v>
      </c>
      <c r="G37" s="36">
        <f t="shared" ca="1" si="2"/>
        <v>1.0514635207830605</v>
      </c>
      <c r="H37" s="36">
        <f t="shared" ca="1" si="2"/>
        <v>1.032116161844072</v>
      </c>
    </row>
    <row r="38" spans="1:8" x14ac:dyDescent="0.2">
      <c r="A38">
        <v>2019</v>
      </c>
      <c r="B38" s="36">
        <f t="shared" si="2"/>
        <v>1</v>
      </c>
      <c r="C38" s="36">
        <f t="shared" si="2"/>
        <v>0.99026991156753374</v>
      </c>
      <c r="D38" s="36">
        <f t="shared" si="2"/>
        <v>1.0056915460657103</v>
      </c>
      <c r="E38" s="36">
        <f t="shared" si="2"/>
        <v>0.97196559334732946</v>
      </c>
      <c r="F38" s="36">
        <f t="shared" si="2"/>
        <v>0.96792081173347877</v>
      </c>
      <c r="G38" s="36">
        <f t="shared" ca="1" si="2"/>
        <v>0.96109970262227851</v>
      </c>
      <c r="H38" s="36">
        <f t="shared" ca="1" si="2"/>
        <v>0.96140122945046536</v>
      </c>
    </row>
    <row r="40" spans="1:8" x14ac:dyDescent="0.2">
      <c r="B40" s="37" t="s">
        <v>48</v>
      </c>
      <c r="C40" s="34" t="s">
        <v>63</v>
      </c>
      <c r="D40" s="34"/>
      <c r="E40" s="34" t="s">
        <v>64</v>
      </c>
      <c r="F40" s="34"/>
      <c r="G40" s="34" t="s">
        <v>67</v>
      </c>
      <c r="H40" s="34" t="s">
        <v>68</v>
      </c>
    </row>
    <row r="41" spans="1:8" x14ac:dyDescent="0.2">
      <c r="B41" s="34" t="s">
        <v>61</v>
      </c>
      <c r="C41" s="34" t="s">
        <v>65</v>
      </c>
      <c r="D41" s="34" t="s">
        <v>66</v>
      </c>
      <c r="E41" s="34" t="s">
        <v>65</v>
      </c>
      <c r="F41" s="34" t="s">
        <v>66</v>
      </c>
      <c r="G41" s="34"/>
      <c r="H41" s="34"/>
    </row>
    <row r="42" spans="1:8" x14ac:dyDescent="0.2">
      <c r="A42">
        <v>2010</v>
      </c>
      <c r="B42" s="35">
        <v>0</v>
      </c>
      <c r="C42" s="35">
        <f>'LRamounts2 - CL on paid losses'!E110</f>
        <v>0</v>
      </c>
      <c r="D42" s="35">
        <f>'LRamounts2 - CL on paid losses'!G110</f>
        <v>0</v>
      </c>
      <c r="E42" s="35">
        <f>'LRamounts3 - CL on incurred'!F110</f>
        <v>0</v>
      </c>
      <c r="F42" s="35">
        <f>'LRamounts3 - CL on incurred'!H110</f>
        <v>0</v>
      </c>
      <c r="G42" s="35">
        <f>'LRamounts4 - separation method'!N71</f>
        <v>0</v>
      </c>
      <c r="H42" s="35">
        <f>'LRamounts5 PPCI'!F52</f>
        <v>0</v>
      </c>
    </row>
    <row r="43" spans="1:8" x14ac:dyDescent="0.2">
      <c r="A43">
        <v>2011</v>
      </c>
      <c r="B43" s="35">
        <v>1300</v>
      </c>
      <c r="C43" s="35">
        <f>'LRamounts2 - CL on paid losses'!E111</f>
        <v>354.85857950511854</v>
      </c>
      <c r="D43" s="35">
        <f>'LRamounts2 - CL on paid losses'!G111</f>
        <v>354.11886904551648</v>
      </c>
      <c r="E43" s="35">
        <f>'LRamounts3 - CL on incurred'!F111</f>
        <v>1483.1066211303114</v>
      </c>
      <c r="F43" s="35">
        <f>'LRamounts3 - CL on incurred'!H111</f>
        <v>1483.8022446279647</v>
      </c>
      <c r="G43" s="35">
        <f ca="1">'LRamounts4 - separation method'!N72</f>
        <v>349.44741765507513</v>
      </c>
      <c r="H43" s="35">
        <f>'LRamounts5 PPCI'!F53</f>
        <v>1486.7456942668068</v>
      </c>
    </row>
    <row r="44" spans="1:8" x14ac:dyDescent="0.2">
      <c r="A44">
        <v>2012</v>
      </c>
      <c r="B44" s="35">
        <v>3280</v>
      </c>
      <c r="C44" s="35">
        <f>'LRamounts2 - CL on paid losses'!E112</f>
        <v>1007.0896311436663</v>
      </c>
      <c r="D44" s="35">
        <f>'LRamounts2 - CL on paid losses'!G112</f>
        <v>1005.9202733726706</v>
      </c>
      <c r="E44" s="35">
        <f>'LRamounts3 - CL on incurred'!F112</f>
        <v>3820.5423297535744</v>
      </c>
      <c r="F44" s="35">
        <f>'LRamounts3 - CL on incurred'!H112</f>
        <v>3828.4521045330621</v>
      </c>
      <c r="G44" s="35">
        <f ca="1">'LRamounts4 - separation method'!N73</f>
        <v>1064.5051574573777</v>
      </c>
      <c r="H44" s="35">
        <f>'LRamounts5 PPCI'!F54</f>
        <v>3841.2814322195773</v>
      </c>
    </row>
    <row r="45" spans="1:8" x14ac:dyDescent="0.2">
      <c r="A45">
        <v>2013</v>
      </c>
      <c r="B45" s="35">
        <v>4859</v>
      </c>
      <c r="C45" s="35">
        <f>'LRamounts2 - CL on paid losses'!E113</f>
        <v>3796.6960195132997</v>
      </c>
      <c r="D45" s="35">
        <f>'LRamounts2 - CL on paid losses'!G113</f>
        <v>3785.1514465331566</v>
      </c>
      <c r="E45" s="35">
        <f>'LRamounts3 - CL on incurred'!F113</f>
        <v>5771.8764354986488</v>
      </c>
      <c r="F45" s="35">
        <f>'LRamounts3 - CL on incurred'!H113</f>
        <v>5794.8652018809807</v>
      </c>
      <c r="G45" s="35">
        <f ca="1">'LRamounts4 - separation method'!N74</f>
        <v>4146.7767578602325</v>
      </c>
      <c r="H45" s="35">
        <f>'LRamounts5 PPCI'!F55</f>
        <v>5618.1200187292416</v>
      </c>
    </row>
    <row r="46" spans="1:8" x14ac:dyDescent="0.2">
      <c r="A46">
        <v>2014</v>
      </c>
      <c r="B46" s="35">
        <v>10626</v>
      </c>
      <c r="C46" s="35">
        <f>'LRamounts2 - CL on paid losses'!E114</f>
        <v>9773.648321489396</v>
      </c>
      <c r="D46" s="35">
        <f>'LRamounts2 - CL on paid losses'!G114</f>
        <v>9805.3583134247456</v>
      </c>
      <c r="E46" s="35">
        <f>'LRamounts3 - CL on incurred'!F114</f>
        <v>10714.262711451971</v>
      </c>
      <c r="F46" s="35">
        <f>'LRamounts3 - CL on incurred'!H114</f>
        <v>10736.395209884096</v>
      </c>
      <c r="G46" s="35">
        <f ca="1">'LRamounts4 - separation method'!N75</f>
        <v>10143.315402189746</v>
      </c>
      <c r="H46" s="35">
        <f>'LRamounts5 PPCI'!F56</f>
        <v>10880.910263133643</v>
      </c>
    </row>
    <row r="47" spans="1:8" x14ac:dyDescent="0.2">
      <c r="A47">
        <v>2015</v>
      </c>
      <c r="B47" s="35">
        <v>22672</v>
      </c>
      <c r="C47" s="35">
        <f>'LRamounts2 - CL on paid losses'!E115</f>
        <v>18757.630759556196</v>
      </c>
      <c r="D47" s="35">
        <f>'LRamounts2 - CL on paid losses'!G115</f>
        <v>18970.396184678015</v>
      </c>
      <c r="E47" s="35">
        <f>'LRamounts3 - CL on incurred'!F115</f>
        <v>24023.097903763351</v>
      </c>
      <c r="F47" s="35">
        <f>'LRamounts3 - CL on incurred'!H115</f>
        <v>23937.750447606202</v>
      </c>
      <c r="G47" s="35">
        <f ca="1">'LRamounts4 - separation method'!N76</f>
        <v>19652.970996417534</v>
      </c>
      <c r="H47" s="35">
        <f>'LRamounts5 PPCI'!F57</f>
        <v>24681.110467131075</v>
      </c>
    </row>
    <row r="48" spans="1:8" x14ac:dyDescent="0.2">
      <c r="A48">
        <v>2016</v>
      </c>
      <c r="B48" s="35">
        <v>34551</v>
      </c>
      <c r="C48" s="35">
        <f>'LRamounts2 - CL on paid losses'!E116</f>
        <v>37133.207219880132</v>
      </c>
      <c r="D48" s="35">
        <f>'LRamounts2 - CL on paid losses'!G116</f>
        <v>37855.969554175856</v>
      </c>
      <c r="E48" s="35">
        <f>'LRamounts3 - CL on incurred'!F116</f>
        <v>34737.386544340581</v>
      </c>
      <c r="F48" s="35">
        <f>'LRamounts3 - CL on incurred'!H116</f>
        <v>34306.702038791729</v>
      </c>
      <c r="G48" s="35">
        <f ca="1">'LRamounts4 - separation method'!N77</f>
        <v>38010.50923337839</v>
      </c>
      <c r="H48" s="35">
        <f>'LRamounts5 PPCI'!F58</f>
        <v>34840.527073438745</v>
      </c>
    </row>
    <row r="49" spans="1:8" x14ac:dyDescent="0.2">
      <c r="A49">
        <v>2017</v>
      </c>
      <c r="B49" s="35">
        <v>69303</v>
      </c>
      <c r="C49" s="35">
        <f>'LRamounts2 - CL on paid losses'!E117</f>
        <v>60819.993926191353</v>
      </c>
      <c r="D49" s="35">
        <f>'LRamounts2 - CL on paid losses'!G117</f>
        <v>62078.95401302696</v>
      </c>
      <c r="E49" s="35">
        <f>'LRamounts3 - CL on incurred'!F117</f>
        <v>68017.260131592979</v>
      </c>
      <c r="F49" s="35">
        <f>'LRamounts3 - CL on incurred'!H117</f>
        <v>67156.224347885931</v>
      </c>
      <c r="G49" s="35">
        <f ca="1">'LRamounts4 - separation method'!N78</f>
        <v>64349.723103508695</v>
      </c>
      <c r="H49" s="35">
        <f ca="1">'LRamounts5 PPCI'!F59</f>
        <v>72596.56202088244</v>
      </c>
    </row>
    <row r="50" spans="1:8" x14ac:dyDescent="0.2">
      <c r="A50">
        <v>2018</v>
      </c>
      <c r="B50" s="35">
        <v>123387</v>
      </c>
      <c r="C50" s="35">
        <f>'LRamounts2 - CL on paid losses'!E118</f>
        <v>137719.59396334324</v>
      </c>
      <c r="D50" s="35">
        <f>'LRamounts2 - CL on paid losses'!G118</f>
        <v>140648.87500663899</v>
      </c>
      <c r="E50" s="35">
        <f>'LRamounts3 - CL on incurred'!F118</f>
        <v>133520.94446868415</v>
      </c>
      <c r="F50" s="35">
        <f>'LRamounts3 - CL on incurred'!H118</f>
        <v>131909.37131103192</v>
      </c>
      <c r="G50" s="35">
        <f ca="1">'LRamounts4 - separation method'!N79</f>
        <v>139528.58475712765</v>
      </c>
      <c r="H50" s="35">
        <f ca="1">'LRamounts5 PPCI'!F60</f>
        <v>133460.26627855503</v>
      </c>
    </row>
    <row r="51" spans="1:8" x14ac:dyDescent="0.2">
      <c r="A51">
        <v>2019</v>
      </c>
      <c r="B51" s="35">
        <v>234606</v>
      </c>
      <c r="C51" s="35">
        <f>'LRamounts2 - CL on paid losses'!E119</f>
        <v>231571.23406835593</v>
      </c>
      <c r="D51" s="35">
        <f>'LRamounts2 - CL on paid losses'!G119</f>
        <v>236381.16476016474</v>
      </c>
      <c r="E51" s="35">
        <f>'LRamounts3 - CL on incurred'!F119</f>
        <v>225862.20873706532</v>
      </c>
      <c r="F51" s="35">
        <f>'LRamounts3 - CL on incurred'!H119</f>
        <v>224600.66157561337</v>
      </c>
      <c r="G51" s="35">
        <f ca="1">'LRamounts4 - separation method'!N80</f>
        <v>222473.19174937558</v>
      </c>
      <c r="H51" s="35">
        <f ca="1">'LRamounts5 PPCI'!F61</f>
        <v>222567.23645945289</v>
      </c>
    </row>
    <row r="52" spans="1:8" x14ac:dyDescent="0.2">
      <c r="A52" s="38" t="s">
        <v>69</v>
      </c>
      <c r="B52" s="39">
        <f>SUM(B42:B51)</f>
        <v>504584</v>
      </c>
      <c r="C52" s="39">
        <f t="shared" ref="C52:H52" si="3">SUM(C42:C51)</f>
        <v>500933.95248897834</v>
      </c>
      <c r="D52" s="39">
        <f t="shared" si="3"/>
        <v>510885.90842106065</v>
      </c>
      <c r="E52" s="39">
        <f t="shared" si="3"/>
        <v>507950.68588328088</v>
      </c>
      <c r="F52" s="39">
        <f t="shared" si="3"/>
        <v>503754.22448185523</v>
      </c>
      <c r="G52" s="39">
        <f t="shared" ca="1" si="3"/>
        <v>499719.02457497024</v>
      </c>
      <c r="H52" s="39">
        <f t="shared" ca="1" si="3"/>
        <v>509972.75970780943</v>
      </c>
    </row>
    <row r="54" spans="1:8" x14ac:dyDescent="0.2">
      <c r="A54" s="37" t="s">
        <v>80</v>
      </c>
      <c r="B54" s="54"/>
      <c r="C54" s="34" t="s">
        <v>63</v>
      </c>
      <c r="D54" s="34"/>
      <c r="E54" s="34" t="s">
        <v>64</v>
      </c>
      <c r="F54" s="34"/>
      <c r="G54" s="34" t="s">
        <v>67</v>
      </c>
      <c r="H54" s="34" t="s">
        <v>68</v>
      </c>
    </row>
    <row r="55" spans="1:8" x14ac:dyDescent="0.2">
      <c r="B55" s="34" t="s">
        <v>61</v>
      </c>
      <c r="C55" s="34" t="s">
        <v>65</v>
      </c>
      <c r="D55" s="34" t="s">
        <v>66</v>
      </c>
      <c r="E55" s="34" t="s">
        <v>65</v>
      </c>
      <c r="F55" s="34" t="s">
        <v>66</v>
      </c>
      <c r="G55" s="34"/>
      <c r="H55" s="34"/>
    </row>
    <row r="56" spans="1:8" x14ac:dyDescent="0.2">
      <c r="A56">
        <v>2010</v>
      </c>
      <c r="B56" s="35">
        <f>B42-$B42</f>
        <v>0</v>
      </c>
      <c r="C56" s="35">
        <f>C42-$B42</f>
        <v>0</v>
      </c>
      <c r="D56" s="35">
        <f>D42-$B42</f>
        <v>0</v>
      </c>
      <c r="E56" s="35">
        <f t="shared" ref="E56:H56" si="4">E42-$B42</f>
        <v>0</v>
      </c>
      <c r="F56" s="35">
        <f t="shared" si="4"/>
        <v>0</v>
      </c>
      <c r="G56" s="35">
        <f t="shared" si="4"/>
        <v>0</v>
      </c>
      <c r="H56" s="35">
        <f t="shared" si="4"/>
        <v>0</v>
      </c>
    </row>
    <row r="57" spans="1:8" x14ac:dyDescent="0.2">
      <c r="A57">
        <v>2011</v>
      </c>
      <c r="B57" s="35">
        <f t="shared" ref="B57:B65" si="5">B43-$B43</f>
        <v>0</v>
      </c>
      <c r="C57" s="35">
        <f t="shared" ref="C57:H57" si="6">C43-$B43</f>
        <v>-945.14142049488146</v>
      </c>
      <c r="D57" s="35">
        <f t="shared" si="6"/>
        <v>-945.88113095448352</v>
      </c>
      <c r="E57" s="35">
        <f t="shared" si="6"/>
        <v>183.1066211303114</v>
      </c>
      <c r="F57" s="35">
        <f t="shared" si="6"/>
        <v>183.80224462796468</v>
      </c>
      <c r="G57" s="35">
        <f t="shared" ca="1" si="6"/>
        <v>-950.55258234492487</v>
      </c>
      <c r="H57" s="35">
        <f t="shared" si="6"/>
        <v>186.74569426680682</v>
      </c>
    </row>
    <row r="58" spans="1:8" x14ac:dyDescent="0.2">
      <c r="A58">
        <v>2012</v>
      </c>
      <c r="B58" s="35">
        <f t="shared" si="5"/>
        <v>0</v>
      </c>
      <c r="C58" s="35">
        <f t="shared" ref="C58:H58" si="7">C44-$B44</f>
        <v>-2272.9103688563337</v>
      </c>
      <c r="D58" s="35">
        <f t="shared" si="7"/>
        <v>-2274.0797266273294</v>
      </c>
      <c r="E58" s="35">
        <f t="shared" si="7"/>
        <v>540.54232975357445</v>
      </c>
      <c r="F58" s="35">
        <f t="shared" si="7"/>
        <v>548.45210453306208</v>
      </c>
      <c r="G58" s="35">
        <f t="shared" ca="1" si="7"/>
        <v>-2215.4948425426223</v>
      </c>
      <c r="H58" s="35">
        <f t="shared" si="7"/>
        <v>561.28143221957725</v>
      </c>
    </row>
    <row r="59" spans="1:8" x14ac:dyDescent="0.2">
      <c r="A59">
        <v>2013</v>
      </c>
      <c r="B59" s="35">
        <f t="shared" si="5"/>
        <v>0</v>
      </c>
      <c r="C59" s="35">
        <f t="shared" ref="C59:H59" si="8">C45-$B45</f>
        <v>-1062.3039804867003</v>
      </c>
      <c r="D59" s="35">
        <f t="shared" si="8"/>
        <v>-1073.8485534668434</v>
      </c>
      <c r="E59" s="35">
        <f t="shared" si="8"/>
        <v>912.87643549864879</v>
      </c>
      <c r="F59" s="35">
        <f t="shared" si="8"/>
        <v>935.86520188098075</v>
      </c>
      <c r="G59" s="35">
        <f t="shared" ca="1" si="8"/>
        <v>-712.22324213976754</v>
      </c>
      <c r="H59" s="35">
        <f t="shared" si="8"/>
        <v>759.12001872924156</v>
      </c>
    </row>
    <row r="60" spans="1:8" x14ac:dyDescent="0.2">
      <c r="A60">
        <v>2014</v>
      </c>
      <c r="B60" s="35">
        <f t="shared" si="5"/>
        <v>0</v>
      </c>
      <c r="C60" s="35">
        <f t="shared" ref="C60:H60" si="9">C46-$B46</f>
        <v>-852.35167851060396</v>
      </c>
      <c r="D60" s="35">
        <f t="shared" si="9"/>
        <v>-820.64168657525443</v>
      </c>
      <c r="E60" s="35">
        <f t="shared" si="9"/>
        <v>88.262711451970972</v>
      </c>
      <c r="F60" s="35">
        <f t="shared" si="9"/>
        <v>110.3952098840964</v>
      </c>
      <c r="G60" s="35">
        <f t="shared" ca="1" si="9"/>
        <v>-482.68459781025376</v>
      </c>
      <c r="H60" s="35">
        <f t="shared" si="9"/>
        <v>254.91026313364273</v>
      </c>
    </row>
    <row r="61" spans="1:8" x14ac:dyDescent="0.2">
      <c r="A61">
        <v>2015</v>
      </c>
      <c r="B61" s="35">
        <f t="shared" si="5"/>
        <v>0</v>
      </c>
      <c r="C61" s="35">
        <f t="shared" ref="C61:H61" si="10">C47-$B47</f>
        <v>-3914.3692404438043</v>
      </c>
      <c r="D61" s="35">
        <f t="shared" si="10"/>
        <v>-3701.6038153219852</v>
      </c>
      <c r="E61" s="35">
        <f t="shared" si="10"/>
        <v>1351.0979037633515</v>
      </c>
      <c r="F61" s="35">
        <f t="shared" si="10"/>
        <v>1265.7504476062022</v>
      </c>
      <c r="G61" s="35">
        <f t="shared" ca="1" si="10"/>
        <v>-3019.0290035824655</v>
      </c>
      <c r="H61" s="35">
        <f t="shared" si="10"/>
        <v>2009.110467131075</v>
      </c>
    </row>
    <row r="62" spans="1:8" x14ac:dyDescent="0.2">
      <c r="A62">
        <v>2016</v>
      </c>
      <c r="B62" s="35">
        <f t="shared" si="5"/>
        <v>0</v>
      </c>
      <c r="C62" s="35">
        <f t="shared" ref="C62:H62" si="11">C48-$B48</f>
        <v>2582.2072198801325</v>
      </c>
      <c r="D62" s="35">
        <f t="shared" si="11"/>
        <v>3304.9695541758556</v>
      </c>
      <c r="E62" s="35">
        <f t="shared" si="11"/>
        <v>186.38654434058117</v>
      </c>
      <c r="F62" s="35">
        <f t="shared" si="11"/>
        <v>-244.29796120827086</v>
      </c>
      <c r="G62" s="35">
        <f t="shared" ca="1" si="11"/>
        <v>3459.5092333783905</v>
      </c>
      <c r="H62" s="35">
        <f t="shared" si="11"/>
        <v>289.52707343874499</v>
      </c>
    </row>
    <row r="63" spans="1:8" x14ac:dyDescent="0.2">
      <c r="A63">
        <v>2017</v>
      </c>
      <c r="B63" s="35">
        <f t="shared" si="5"/>
        <v>0</v>
      </c>
      <c r="C63" s="35">
        <f t="shared" ref="C63:H63" si="12">C49-$B49</f>
        <v>-8483.0060738086468</v>
      </c>
      <c r="D63" s="35">
        <f t="shared" si="12"/>
        <v>-7224.0459869730403</v>
      </c>
      <c r="E63" s="35">
        <f t="shared" si="12"/>
        <v>-1285.7398684070213</v>
      </c>
      <c r="F63" s="35">
        <f t="shared" si="12"/>
        <v>-2146.7756521140691</v>
      </c>
      <c r="G63" s="35">
        <f t="shared" ca="1" si="12"/>
        <v>-4953.2768964913048</v>
      </c>
      <c r="H63" s="35">
        <f t="shared" ca="1" si="12"/>
        <v>3293.5620208824403</v>
      </c>
    </row>
    <row r="64" spans="1:8" x14ac:dyDescent="0.2">
      <c r="A64">
        <v>2018</v>
      </c>
      <c r="B64" s="35">
        <f t="shared" si="5"/>
        <v>0</v>
      </c>
      <c r="C64" s="35">
        <f t="shared" ref="C64:H64" si="13">C50-$B50</f>
        <v>14332.593963343243</v>
      </c>
      <c r="D64" s="35">
        <f t="shared" si="13"/>
        <v>17261.875006638991</v>
      </c>
      <c r="E64" s="35">
        <f t="shared" si="13"/>
        <v>10133.944468684145</v>
      </c>
      <c r="F64" s="35">
        <f t="shared" si="13"/>
        <v>8522.3713110319222</v>
      </c>
      <c r="G64" s="35">
        <f t="shared" ca="1" si="13"/>
        <v>16141.584757127654</v>
      </c>
      <c r="H64" s="35">
        <f t="shared" ca="1" si="13"/>
        <v>10073.266278555035</v>
      </c>
    </row>
    <row r="65" spans="1:8" x14ac:dyDescent="0.2">
      <c r="A65">
        <v>2019</v>
      </c>
      <c r="B65" s="35">
        <f t="shared" si="5"/>
        <v>0</v>
      </c>
      <c r="C65" s="35">
        <f t="shared" ref="B65:H66" si="14">C51-$B51</f>
        <v>-3034.7659316440695</v>
      </c>
      <c r="D65" s="35">
        <f t="shared" si="14"/>
        <v>1775.1647601647419</v>
      </c>
      <c r="E65" s="35">
        <f t="shared" si="14"/>
        <v>-8743.7912629346829</v>
      </c>
      <c r="F65" s="35">
        <f t="shared" si="14"/>
        <v>-10005.338424386631</v>
      </c>
      <c r="G65" s="35">
        <f t="shared" ca="1" si="14"/>
        <v>-12132.808250624425</v>
      </c>
      <c r="H65" s="35">
        <f t="shared" ca="1" si="14"/>
        <v>-12038.763540547108</v>
      </c>
    </row>
    <row r="66" spans="1:8" x14ac:dyDescent="0.2">
      <c r="A66" s="38" t="s">
        <v>69</v>
      </c>
      <c r="B66" s="39">
        <f t="shared" si="14"/>
        <v>0</v>
      </c>
      <c r="C66" s="39">
        <f t="shared" si="14"/>
        <v>-3650.0475110216648</v>
      </c>
      <c r="D66" s="39">
        <f t="shared" si="14"/>
        <v>6301.9084210606525</v>
      </c>
      <c r="E66" s="39">
        <f t="shared" si="14"/>
        <v>3366.6858832808794</v>
      </c>
      <c r="F66" s="39">
        <f t="shared" si="14"/>
        <v>-829.77551814477192</v>
      </c>
      <c r="G66" s="39">
        <f t="shared" ca="1" si="14"/>
        <v>-4864.9754250297556</v>
      </c>
      <c r="H66" s="39">
        <f t="shared" ca="1" si="14"/>
        <v>5388.7597078094259</v>
      </c>
    </row>
    <row r="68" spans="1:8" x14ac:dyDescent="0.2">
      <c r="B68" s="37" t="s">
        <v>48</v>
      </c>
      <c r="C68" s="34" t="s">
        <v>63</v>
      </c>
      <c r="D68" s="34"/>
      <c r="E68" s="34" t="s">
        <v>64</v>
      </c>
      <c r="F68" s="34"/>
      <c r="G68" s="34" t="s">
        <v>67</v>
      </c>
      <c r="H68" s="34" t="s">
        <v>68</v>
      </c>
    </row>
    <row r="69" spans="1:8" x14ac:dyDescent="0.2">
      <c r="B69" s="34" t="s">
        <v>61</v>
      </c>
      <c r="C69" s="34" t="s">
        <v>65</v>
      </c>
      <c r="D69" s="34" t="s">
        <v>66</v>
      </c>
      <c r="E69" s="34" t="s">
        <v>65</v>
      </c>
      <c r="F69" s="34" t="s">
        <v>66</v>
      </c>
      <c r="G69" s="34"/>
      <c r="H69" s="34"/>
    </row>
    <row r="70" spans="1:8" x14ac:dyDescent="0.2">
      <c r="A70">
        <v>2010</v>
      </c>
      <c r="B70" s="35"/>
      <c r="C70" s="35"/>
      <c r="D70" s="35"/>
      <c r="E70" s="35"/>
      <c r="F70" s="35"/>
      <c r="G70" s="35"/>
      <c r="H70" s="35"/>
    </row>
    <row r="71" spans="1:8" x14ac:dyDescent="0.2">
      <c r="A71">
        <v>2011</v>
      </c>
      <c r="B71" s="36">
        <f>B43/$B43</f>
        <v>1</v>
      </c>
      <c r="C71" s="36">
        <f t="shared" ref="C71:H71" si="15">C43/$B43</f>
        <v>0.2729681380808604</v>
      </c>
      <c r="D71" s="36">
        <f t="shared" si="15"/>
        <v>0.27239913003501265</v>
      </c>
      <c r="E71" s="36">
        <f t="shared" si="15"/>
        <v>1.1408512470233165</v>
      </c>
      <c r="F71" s="36">
        <f t="shared" si="15"/>
        <v>1.1413863420215113</v>
      </c>
      <c r="G71" s="36">
        <f t="shared" ca="1" si="15"/>
        <v>0.26880570588851932</v>
      </c>
      <c r="H71" s="36">
        <f t="shared" si="15"/>
        <v>1.1436505340513898</v>
      </c>
    </row>
    <row r="72" spans="1:8" x14ac:dyDescent="0.2">
      <c r="A72">
        <v>2012</v>
      </c>
      <c r="B72" s="36">
        <f t="shared" ref="B72:H72" si="16">B44/$B44</f>
        <v>1</v>
      </c>
      <c r="C72" s="36">
        <f t="shared" si="16"/>
        <v>0.3070395216901422</v>
      </c>
      <c r="D72" s="36">
        <f t="shared" si="16"/>
        <v>0.30668301017459471</v>
      </c>
      <c r="E72" s="36">
        <f t="shared" si="16"/>
        <v>1.1647994907785288</v>
      </c>
      <c r="F72" s="36">
        <f t="shared" si="16"/>
        <v>1.1672110074795921</v>
      </c>
      <c r="G72" s="36">
        <f t="shared" ca="1" si="16"/>
        <v>0.32454425532237124</v>
      </c>
      <c r="H72" s="36">
        <f t="shared" si="16"/>
        <v>1.1711223878718224</v>
      </c>
    </row>
    <row r="73" spans="1:8" x14ac:dyDescent="0.2">
      <c r="A73">
        <v>2013</v>
      </c>
      <c r="B73" s="36">
        <f t="shared" ref="B73:H73" si="17">B45/$B45</f>
        <v>1</v>
      </c>
      <c r="C73" s="36">
        <f t="shared" si="17"/>
        <v>0.78137394927213411</v>
      </c>
      <c r="D73" s="36">
        <f t="shared" si="17"/>
        <v>0.77899803386152633</v>
      </c>
      <c r="E73" s="36">
        <f t="shared" si="17"/>
        <v>1.1878733145706213</v>
      </c>
      <c r="F73" s="36">
        <f t="shared" si="17"/>
        <v>1.1926044869069727</v>
      </c>
      <c r="G73" s="36">
        <f t="shared" ca="1" si="17"/>
        <v>0.85342184767652451</v>
      </c>
      <c r="H73" s="36">
        <f t="shared" si="17"/>
        <v>1.1562296807427952</v>
      </c>
    </row>
    <row r="74" spans="1:8" x14ac:dyDescent="0.2">
      <c r="A74">
        <v>2014</v>
      </c>
      <c r="B74" s="36">
        <f t="shared" ref="B74:H74" si="18">B46/$B46</f>
        <v>1</v>
      </c>
      <c r="C74" s="36">
        <f t="shared" si="18"/>
        <v>0.91978621508464109</v>
      </c>
      <c r="D74" s="36">
        <f t="shared" si="18"/>
        <v>0.92277040404900679</v>
      </c>
      <c r="E74" s="36">
        <f t="shared" si="18"/>
        <v>1.0083062969557661</v>
      </c>
      <c r="F74" s="36">
        <f t="shared" si="18"/>
        <v>1.0103891595975998</v>
      </c>
      <c r="G74" s="36">
        <f t="shared" ca="1" si="18"/>
        <v>0.95457513666381955</v>
      </c>
      <c r="H74" s="36">
        <f t="shared" si="18"/>
        <v>1.0239892963611559</v>
      </c>
    </row>
    <row r="75" spans="1:8" x14ac:dyDescent="0.2">
      <c r="A75">
        <v>2015</v>
      </c>
      <c r="B75" s="36">
        <f t="shared" ref="B75:H75" si="19">B47/$B47</f>
        <v>1</v>
      </c>
      <c r="C75" s="36">
        <f t="shared" si="19"/>
        <v>0.82734786342432054</v>
      </c>
      <c r="D75" s="36">
        <f t="shared" si="19"/>
        <v>0.83673236523809169</v>
      </c>
      <c r="E75" s="36">
        <f t="shared" si="19"/>
        <v>1.0595932385216722</v>
      </c>
      <c r="F75" s="36">
        <f t="shared" si="19"/>
        <v>1.055828795324903</v>
      </c>
      <c r="G75" s="36">
        <f t="shared" ca="1" si="19"/>
        <v>0.86683887598877618</v>
      </c>
      <c r="H75" s="36">
        <f t="shared" si="19"/>
        <v>1.0886163755791758</v>
      </c>
    </row>
    <row r="76" spans="1:8" x14ac:dyDescent="0.2">
      <c r="A76">
        <v>2016</v>
      </c>
      <c r="B76" s="36">
        <f t="shared" ref="B76:H76" si="20">B48/$B48</f>
        <v>1</v>
      </c>
      <c r="C76" s="36">
        <f t="shared" si="20"/>
        <v>1.0747361066215197</v>
      </c>
      <c r="D76" s="36">
        <f t="shared" si="20"/>
        <v>1.09565481618986</v>
      </c>
      <c r="E76" s="36">
        <f t="shared" si="20"/>
        <v>1.0053945340030848</v>
      </c>
      <c r="F76" s="36">
        <f t="shared" si="20"/>
        <v>0.99292935193747589</v>
      </c>
      <c r="G76" s="36">
        <f t="shared" ca="1" si="20"/>
        <v>1.1001276152174579</v>
      </c>
      <c r="H76" s="36">
        <f t="shared" si="20"/>
        <v>1.0083797017000591</v>
      </c>
    </row>
    <row r="77" spans="1:8" x14ac:dyDescent="0.2">
      <c r="A77">
        <v>2017</v>
      </c>
      <c r="B77" s="36">
        <f t="shared" ref="B77:H77" si="21">B49/$B49</f>
        <v>1</v>
      </c>
      <c r="C77" s="36">
        <f t="shared" si="21"/>
        <v>0.87759539884552407</v>
      </c>
      <c r="D77" s="36">
        <f t="shared" si="21"/>
        <v>0.89576142465733022</v>
      </c>
      <c r="E77" s="36">
        <f t="shared" si="21"/>
        <v>0.98144755828164698</v>
      </c>
      <c r="F77" s="36">
        <f t="shared" si="21"/>
        <v>0.96902333734305779</v>
      </c>
      <c r="G77" s="36">
        <f t="shared" ca="1" si="21"/>
        <v>0.92852723696677919</v>
      </c>
      <c r="H77" s="36">
        <f t="shared" ca="1" si="21"/>
        <v>1.0475240901675604</v>
      </c>
    </row>
    <row r="78" spans="1:8" x14ac:dyDescent="0.2">
      <c r="A78">
        <v>2018</v>
      </c>
      <c r="B78" s="36">
        <f t="shared" ref="B78:H78" si="22">B50/$B50</f>
        <v>1</v>
      </c>
      <c r="C78" s="36">
        <f t="shared" si="22"/>
        <v>1.1161596761680181</v>
      </c>
      <c r="D78" s="36">
        <f t="shared" si="22"/>
        <v>1.1399002731782035</v>
      </c>
      <c r="E78" s="36">
        <f t="shared" si="22"/>
        <v>1.082131379064927</v>
      </c>
      <c r="F78" s="36">
        <f t="shared" si="22"/>
        <v>1.0690702530333984</v>
      </c>
      <c r="G78" s="36">
        <f t="shared" ca="1" si="22"/>
        <v>1.1308207895250526</v>
      </c>
      <c r="H78" s="36">
        <f t="shared" ca="1" si="22"/>
        <v>1.0816396077265436</v>
      </c>
    </row>
    <row r="79" spans="1:8" x14ac:dyDescent="0.2">
      <c r="A79">
        <v>2019</v>
      </c>
      <c r="B79" s="36">
        <f t="shared" ref="B79:H79" si="23">B51/$B51</f>
        <v>1</v>
      </c>
      <c r="C79" s="36">
        <f t="shared" si="23"/>
        <v>0.98706441467121864</v>
      </c>
      <c r="D79" s="36">
        <f t="shared" si="23"/>
        <v>1.0075665786900794</v>
      </c>
      <c r="E79" s="36">
        <f t="shared" si="23"/>
        <v>0.96272989069787351</v>
      </c>
      <c r="F79" s="36">
        <f t="shared" si="23"/>
        <v>0.957352589343893</v>
      </c>
      <c r="G79" s="36">
        <f t="shared" ca="1" si="23"/>
        <v>0.94828432243580973</v>
      </c>
      <c r="H79" s="36">
        <f t="shared" ca="1" si="23"/>
        <v>0.94868518477555086</v>
      </c>
    </row>
    <row r="80" spans="1:8" x14ac:dyDescent="0.2">
      <c r="A80" s="38" t="s">
        <v>69</v>
      </c>
      <c r="B80" s="40">
        <f t="shared" ref="B80:H80" si="24">B52/$B52</f>
        <v>1</v>
      </c>
      <c r="C80" s="40">
        <f t="shared" si="24"/>
        <v>0.99276622423417771</v>
      </c>
      <c r="D80" s="40">
        <f t="shared" si="24"/>
        <v>1.0124893148039982</v>
      </c>
      <c r="E80" s="40">
        <f t="shared" si="24"/>
        <v>1.0066722010275413</v>
      </c>
      <c r="F80" s="40">
        <f t="shared" si="24"/>
        <v>0.99835552550587259</v>
      </c>
      <c r="G80" s="40">
        <f t="shared" ca="1" si="24"/>
        <v>0.99035844294502051</v>
      </c>
      <c r="H80" s="40">
        <f t="shared" ca="1" si="24"/>
        <v>1.0106796087624843</v>
      </c>
    </row>
    <row r="82" spans="1:8" x14ac:dyDescent="0.2">
      <c r="A82" t="s">
        <v>70</v>
      </c>
    </row>
    <row r="83" spans="1:8" x14ac:dyDescent="0.2">
      <c r="A83" t="s">
        <v>69</v>
      </c>
      <c r="B83" s="36">
        <v>1</v>
      </c>
      <c r="C83" s="36">
        <v>0.99276622423417771</v>
      </c>
      <c r="D83" s="36">
        <v>0.99672297393193343</v>
      </c>
      <c r="E83" s="36">
        <v>1.0066722010275413</v>
      </c>
      <c r="F83" s="36">
        <v>1.004</v>
      </c>
      <c r="G83" s="36">
        <v>1.0012934642817424</v>
      </c>
      <c r="H83" s="36">
        <v>0.98569419102908395</v>
      </c>
    </row>
  </sheetData>
  <conditionalFormatting sqref="B29:H38">
    <cfRule type="colorScale" priority="3">
      <colorScale>
        <cfvo type="min"/>
        <cfvo type="num" val="1"/>
        <cfvo type="max"/>
        <color rgb="FFF8696B"/>
        <color rgb="FFFCFCFF"/>
        <color rgb="FF63BE7B"/>
      </colorScale>
    </cfRule>
  </conditionalFormatting>
  <conditionalFormatting sqref="B56:H6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71:H80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350-CB5E-114A-9EED-30186EA1CE83}">
  <dimension ref="A1:K72"/>
  <sheetViews>
    <sheetView workbookViewId="0">
      <selection activeCell="F32" sqref="F32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1" spans="1:11" x14ac:dyDescent="0.2">
      <c r="A1" s="6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6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41">
        <v>291</v>
      </c>
      <c r="C4" s="41">
        <v>357</v>
      </c>
      <c r="D4" s="41">
        <v>188</v>
      </c>
      <c r="E4" s="41">
        <v>115</v>
      </c>
      <c r="F4" s="41">
        <v>78</v>
      </c>
      <c r="G4" s="41">
        <v>26</v>
      </c>
      <c r="H4" s="41">
        <v>24</v>
      </c>
      <c r="I4" s="41">
        <v>8</v>
      </c>
      <c r="J4" s="41">
        <v>2</v>
      </c>
      <c r="K4" s="41">
        <v>1</v>
      </c>
    </row>
    <row r="5" spans="1:11" x14ac:dyDescent="0.2">
      <c r="A5" s="6">
        <v>2011</v>
      </c>
      <c r="B5" s="41">
        <v>281</v>
      </c>
      <c r="C5" s="41">
        <v>335</v>
      </c>
      <c r="D5" s="41">
        <v>203</v>
      </c>
      <c r="E5" s="41">
        <v>108</v>
      </c>
      <c r="F5" s="41">
        <v>48</v>
      </c>
      <c r="G5" s="41">
        <v>30</v>
      </c>
      <c r="H5" s="41">
        <v>16</v>
      </c>
      <c r="I5" s="41">
        <v>8</v>
      </c>
      <c r="J5" s="41">
        <v>2</v>
      </c>
      <c r="K5" s="41">
        <v>4</v>
      </c>
    </row>
    <row r="6" spans="1:11" x14ac:dyDescent="0.2">
      <c r="A6" s="6">
        <v>2012</v>
      </c>
      <c r="B6" s="41">
        <v>230</v>
      </c>
      <c r="C6" s="41">
        <v>338</v>
      </c>
      <c r="D6" s="41">
        <v>186</v>
      </c>
      <c r="E6" s="41">
        <v>112</v>
      </c>
      <c r="F6" s="41">
        <v>49</v>
      </c>
      <c r="G6" s="41">
        <v>29</v>
      </c>
      <c r="H6" s="41">
        <v>19</v>
      </c>
      <c r="I6" s="41">
        <v>11</v>
      </c>
      <c r="J6" s="41">
        <v>8</v>
      </c>
      <c r="K6" s="41">
        <v>3</v>
      </c>
    </row>
    <row r="7" spans="1:11" x14ac:dyDescent="0.2">
      <c r="A7" s="6">
        <v>2013</v>
      </c>
      <c r="B7" s="41">
        <v>275</v>
      </c>
      <c r="C7" s="41">
        <v>365</v>
      </c>
      <c r="D7" s="41">
        <v>201</v>
      </c>
      <c r="E7" s="41">
        <v>124</v>
      </c>
      <c r="F7" s="41">
        <v>76</v>
      </c>
      <c r="G7" s="41">
        <v>31</v>
      </c>
      <c r="H7" s="41">
        <v>24</v>
      </c>
      <c r="I7" s="41">
        <v>8</v>
      </c>
      <c r="J7" s="41">
        <v>7</v>
      </c>
      <c r="K7" s="41">
        <v>2</v>
      </c>
    </row>
    <row r="8" spans="1:11" x14ac:dyDescent="0.2">
      <c r="A8" s="6">
        <v>2014</v>
      </c>
      <c r="B8" s="41">
        <v>244</v>
      </c>
      <c r="C8" s="41">
        <v>343</v>
      </c>
      <c r="D8" s="41">
        <v>214</v>
      </c>
      <c r="E8" s="41">
        <v>99</v>
      </c>
      <c r="F8" s="41">
        <v>43</v>
      </c>
      <c r="G8" s="41">
        <v>28</v>
      </c>
      <c r="H8" s="41">
        <v>14</v>
      </c>
      <c r="I8" s="41">
        <v>10</v>
      </c>
      <c r="J8" s="41">
        <v>6</v>
      </c>
      <c r="K8" s="41">
        <v>3</v>
      </c>
    </row>
    <row r="9" spans="1:11" x14ac:dyDescent="0.2">
      <c r="A9" s="6">
        <v>2015</v>
      </c>
      <c r="B9" s="41">
        <v>271</v>
      </c>
      <c r="C9" s="41">
        <v>348</v>
      </c>
      <c r="D9" s="41">
        <v>193</v>
      </c>
      <c r="E9" s="41">
        <v>102</v>
      </c>
      <c r="F9" s="41">
        <v>65</v>
      </c>
      <c r="G9" s="41">
        <v>40</v>
      </c>
      <c r="H9" s="41">
        <v>25</v>
      </c>
      <c r="I9" s="41">
        <v>10</v>
      </c>
      <c r="J9" s="41">
        <v>3</v>
      </c>
      <c r="K9" s="41">
        <v>1</v>
      </c>
    </row>
    <row r="10" spans="1:11" x14ac:dyDescent="0.2">
      <c r="A10" s="6">
        <v>2016</v>
      </c>
      <c r="B10" s="41">
        <v>286</v>
      </c>
      <c r="C10" s="41">
        <v>350</v>
      </c>
      <c r="D10" s="41">
        <v>186</v>
      </c>
      <c r="E10" s="41">
        <v>98</v>
      </c>
      <c r="F10" s="41">
        <v>46</v>
      </c>
      <c r="G10" s="41">
        <v>28</v>
      </c>
      <c r="H10" s="41">
        <v>23</v>
      </c>
      <c r="I10" s="41">
        <v>7</v>
      </c>
      <c r="J10" s="41">
        <v>4</v>
      </c>
      <c r="K10" s="41">
        <v>1</v>
      </c>
    </row>
    <row r="11" spans="1:11" x14ac:dyDescent="0.2">
      <c r="A11" s="6">
        <v>2017</v>
      </c>
      <c r="B11" s="41">
        <v>236</v>
      </c>
      <c r="C11" s="41">
        <v>290</v>
      </c>
      <c r="D11" s="41">
        <v>186</v>
      </c>
      <c r="E11" s="41">
        <v>120</v>
      </c>
      <c r="F11" s="41">
        <v>46</v>
      </c>
      <c r="G11" s="41">
        <v>19</v>
      </c>
      <c r="H11" s="41">
        <v>20</v>
      </c>
      <c r="I11" s="41">
        <v>8</v>
      </c>
      <c r="J11" s="41">
        <v>8</v>
      </c>
      <c r="K11" s="41">
        <v>1</v>
      </c>
    </row>
    <row r="12" spans="1:11" x14ac:dyDescent="0.2">
      <c r="A12" s="6">
        <v>2018</v>
      </c>
      <c r="B12" s="41">
        <v>275</v>
      </c>
      <c r="C12" s="41">
        <v>354</v>
      </c>
      <c r="D12" s="41">
        <v>184</v>
      </c>
      <c r="E12" s="41">
        <v>93</v>
      </c>
      <c r="F12" s="41">
        <v>55</v>
      </c>
      <c r="G12" s="41">
        <v>27</v>
      </c>
      <c r="H12" s="41">
        <v>15</v>
      </c>
      <c r="I12" s="41">
        <v>7</v>
      </c>
      <c r="J12" s="41">
        <v>6</v>
      </c>
      <c r="K12" s="41">
        <v>4</v>
      </c>
    </row>
    <row r="13" spans="1:11" x14ac:dyDescent="0.2">
      <c r="A13" s="6">
        <v>2019</v>
      </c>
      <c r="B13" s="41">
        <v>242</v>
      </c>
      <c r="C13" s="41">
        <v>304</v>
      </c>
      <c r="D13" s="41">
        <v>206</v>
      </c>
      <c r="E13" s="41">
        <v>100</v>
      </c>
      <c r="F13" s="41">
        <v>55</v>
      </c>
      <c r="G13" s="41">
        <v>23</v>
      </c>
      <c r="H13" s="41">
        <v>16</v>
      </c>
      <c r="I13" s="41">
        <v>11</v>
      </c>
      <c r="J13" s="41">
        <v>7</v>
      </c>
      <c r="K13" s="41">
        <v>4</v>
      </c>
    </row>
    <row r="15" spans="1:11" x14ac:dyDescent="0.2">
      <c r="A15" s="6" t="s">
        <v>81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v>70636</v>
      </c>
      <c r="C18" s="3">
        <v>87885</v>
      </c>
      <c r="D18" s="3">
        <v>46780</v>
      </c>
      <c r="E18" s="3">
        <v>29716</v>
      </c>
      <c r="F18" s="3">
        <v>20626</v>
      </c>
      <c r="G18" s="3">
        <v>7741</v>
      </c>
      <c r="H18" s="3">
        <v>6137</v>
      </c>
      <c r="I18" s="3">
        <v>1680</v>
      </c>
      <c r="J18" s="3">
        <v>662</v>
      </c>
      <c r="K18" s="3">
        <v>361</v>
      </c>
    </row>
    <row r="19" spans="1:11" x14ac:dyDescent="0.2">
      <c r="A19" s="6">
        <v>2011</v>
      </c>
      <c r="B19" s="3">
        <v>69497</v>
      </c>
      <c r="C19" s="3">
        <v>82769</v>
      </c>
      <c r="D19" s="3">
        <v>56003</v>
      </c>
      <c r="E19" s="3">
        <v>28942</v>
      </c>
      <c r="F19" s="3">
        <v>15277</v>
      </c>
      <c r="G19" s="3">
        <v>7190</v>
      </c>
      <c r="H19" s="3">
        <v>3985</v>
      </c>
      <c r="I19" s="3">
        <v>2794</v>
      </c>
      <c r="J19" s="3">
        <v>781</v>
      </c>
      <c r="K19" s="3">
        <v>1300</v>
      </c>
    </row>
    <row r="20" spans="1:11" x14ac:dyDescent="0.2">
      <c r="A20" s="6">
        <v>2012</v>
      </c>
      <c r="B20" s="3">
        <v>59944</v>
      </c>
      <c r="C20" s="3">
        <v>85553</v>
      </c>
      <c r="D20" s="3">
        <v>49886</v>
      </c>
      <c r="E20" s="3">
        <v>27044</v>
      </c>
      <c r="F20" s="3">
        <v>11680</v>
      </c>
      <c r="G20" s="3">
        <v>8213</v>
      </c>
      <c r="H20" s="3">
        <v>5663</v>
      </c>
      <c r="I20" s="3">
        <v>2830</v>
      </c>
      <c r="J20" s="3">
        <v>2338</v>
      </c>
      <c r="K20" s="3">
        <v>942</v>
      </c>
    </row>
    <row r="21" spans="1:11" x14ac:dyDescent="0.2">
      <c r="A21" s="6">
        <v>2013</v>
      </c>
      <c r="B21" s="3">
        <v>69201</v>
      </c>
      <c r="C21" s="3">
        <v>92811</v>
      </c>
      <c r="D21" s="3">
        <v>48701</v>
      </c>
      <c r="E21" s="3">
        <v>34526</v>
      </c>
      <c r="F21" s="3">
        <v>20564</v>
      </c>
      <c r="G21" s="3">
        <v>9083</v>
      </c>
      <c r="H21" s="3">
        <v>8387</v>
      </c>
      <c r="I21" s="3">
        <v>1838</v>
      </c>
      <c r="J21" s="3">
        <v>2206</v>
      </c>
      <c r="K21" s="3">
        <v>815</v>
      </c>
    </row>
    <row r="22" spans="1:11" x14ac:dyDescent="0.2">
      <c r="A22" s="6">
        <v>2014</v>
      </c>
      <c r="B22" s="3">
        <v>64273</v>
      </c>
      <c r="C22" s="3">
        <v>95872</v>
      </c>
      <c r="D22" s="3">
        <v>57862</v>
      </c>
      <c r="E22" s="3">
        <v>28241</v>
      </c>
      <c r="F22" s="3">
        <v>10768</v>
      </c>
      <c r="G22" s="3">
        <v>7489</v>
      </c>
      <c r="H22" s="3">
        <v>4726</v>
      </c>
      <c r="I22" s="3">
        <v>3156</v>
      </c>
      <c r="J22" s="3">
        <v>1753</v>
      </c>
      <c r="K22" s="3">
        <v>991</v>
      </c>
    </row>
    <row r="23" spans="1:11" x14ac:dyDescent="0.2">
      <c r="A23" s="6">
        <v>2015</v>
      </c>
      <c r="B23" s="3">
        <v>72982</v>
      </c>
      <c r="C23" s="3">
        <v>98384</v>
      </c>
      <c r="D23" s="3">
        <v>52409</v>
      </c>
      <c r="E23" s="3">
        <v>28874</v>
      </c>
      <c r="F23" s="3">
        <v>17224</v>
      </c>
      <c r="G23" s="3">
        <v>11737</v>
      </c>
      <c r="H23" s="3">
        <v>7526</v>
      </c>
      <c r="I23" s="3">
        <v>2224</v>
      </c>
      <c r="J23" s="3">
        <v>1009</v>
      </c>
      <c r="K23" s="3">
        <v>176</v>
      </c>
    </row>
    <row r="24" spans="1:11" x14ac:dyDescent="0.2">
      <c r="A24" s="6">
        <v>2016</v>
      </c>
      <c r="B24" s="3">
        <v>81637</v>
      </c>
      <c r="C24" s="3">
        <v>101874</v>
      </c>
      <c r="D24" s="3">
        <v>52535</v>
      </c>
      <c r="E24" s="3">
        <v>27368</v>
      </c>
      <c r="F24" s="3">
        <v>14731</v>
      </c>
      <c r="G24" s="3">
        <v>9250</v>
      </c>
      <c r="H24" s="3">
        <v>6820</v>
      </c>
      <c r="I24" s="3">
        <v>2454</v>
      </c>
      <c r="J24" s="3">
        <v>952</v>
      </c>
      <c r="K24" s="3">
        <v>344</v>
      </c>
    </row>
    <row r="25" spans="1:11" x14ac:dyDescent="0.2">
      <c r="A25" s="6">
        <v>2017</v>
      </c>
      <c r="B25" s="3">
        <v>65334</v>
      </c>
      <c r="C25" s="3">
        <v>82100</v>
      </c>
      <c r="D25" s="3">
        <v>57387</v>
      </c>
      <c r="E25" s="3">
        <v>34788</v>
      </c>
      <c r="F25" s="3">
        <v>14376</v>
      </c>
      <c r="G25" s="3">
        <v>6369</v>
      </c>
      <c r="H25" s="3">
        <v>7101</v>
      </c>
      <c r="I25" s="3">
        <v>2749</v>
      </c>
      <c r="J25" s="3">
        <v>3072</v>
      </c>
      <c r="K25" s="3">
        <v>848</v>
      </c>
    </row>
    <row r="26" spans="1:11" x14ac:dyDescent="0.2">
      <c r="A26" s="6">
        <v>2018</v>
      </c>
      <c r="B26" s="3">
        <v>81050</v>
      </c>
      <c r="C26" s="3">
        <v>109214</v>
      </c>
      <c r="D26" s="3">
        <v>52782</v>
      </c>
      <c r="E26" s="3">
        <v>31168</v>
      </c>
      <c r="F26" s="3">
        <v>20836</v>
      </c>
      <c r="G26" s="3">
        <v>9589</v>
      </c>
      <c r="H26" s="3">
        <v>4977</v>
      </c>
      <c r="I26" s="3">
        <v>1763</v>
      </c>
      <c r="J26" s="3">
        <v>1455</v>
      </c>
      <c r="K26" s="3">
        <v>817</v>
      </c>
    </row>
    <row r="27" spans="1:11" x14ac:dyDescent="0.2">
      <c r="A27" s="6">
        <v>2019</v>
      </c>
      <c r="B27" s="3">
        <v>77289</v>
      </c>
      <c r="C27" s="3">
        <v>96446</v>
      </c>
      <c r="D27" s="3">
        <v>63709</v>
      </c>
      <c r="E27" s="3">
        <v>32764</v>
      </c>
      <c r="F27" s="3">
        <v>18650</v>
      </c>
      <c r="G27" s="3">
        <v>8094</v>
      </c>
      <c r="H27" s="3">
        <v>6881</v>
      </c>
      <c r="I27" s="3">
        <v>4189</v>
      </c>
      <c r="J27" s="3">
        <v>2130</v>
      </c>
      <c r="K27" s="3">
        <v>1743</v>
      </c>
    </row>
    <row r="28" spans="1:11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B29" s="37" t="s">
        <v>72</v>
      </c>
      <c r="C29" s="34" t="s">
        <v>63</v>
      </c>
      <c r="D29" s="34"/>
      <c r="E29" s="34" t="s">
        <v>64</v>
      </c>
      <c r="F29" s="34"/>
      <c r="G29" s="34" t="s">
        <v>67</v>
      </c>
      <c r="H29" s="34" t="s">
        <v>68</v>
      </c>
    </row>
    <row r="30" spans="1:11" x14ac:dyDescent="0.2">
      <c r="B30" s="34" t="s">
        <v>61</v>
      </c>
      <c r="C30" s="34" t="s">
        <v>65</v>
      </c>
      <c r="D30" s="34" t="s">
        <v>66</v>
      </c>
      <c r="E30" s="34" t="s">
        <v>65</v>
      </c>
      <c r="F30" s="34" t="s">
        <v>66</v>
      </c>
      <c r="G30" s="34"/>
      <c r="H30" s="34"/>
    </row>
    <row r="31" spans="1:11" x14ac:dyDescent="0.2">
      <c r="A31">
        <v>2010</v>
      </c>
      <c r="B31" s="35">
        <f>SUM(B18:K18)/SUM(B4:K4)</f>
        <v>249.74678899082568</v>
      </c>
      <c r="C31" s="35">
        <f>'LRcomb1 Comparison'!C16/'LRcomb1 Comparison'!$C3</f>
        <v>249.74678899082568</v>
      </c>
      <c r="D31" s="35">
        <f>'LRcomb1 Comparison'!D16/'LRcomb1 Comparison'!$C3</f>
        <v>249.74678899082568</v>
      </c>
      <c r="E31" s="35">
        <f>'LRcomb1 Comparison'!E16/'LRcomb1 Comparison'!$C3</f>
        <v>249.74678899082568</v>
      </c>
      <c r="F31" s="35">
        <f>'LRcomb1 Comparison'!F16/'LRcomb1 Comparison'!$C3</f>
        <v>249.74678899082568</v>
      </c>
      <c r="G31" s="35">
        <f>'LRcomb1 Comparison'!G16/'LRcomb1 Comparison'!$C3</f>
        <v>249.74678899082568</v>
      </c>
      <c r="H31" s="35">
        <f>'LRcomb1 Comparison'!H16/'LRcomb1 Comparison'!$C3</f>
        <v>249.74678899082568</v>
      </c>
    </row>
    <row r="32" spans="1:11" x14ac:dyDescent="0.2">
      <c r="A32">
        <v>2011</v>
      </c>
      <c r="B32" s="35">
        <f t="shared" ref="B32:B40" si="0">SUM(B19:K19)/SUM(B5:K5)</f>
        <v>259.45700483091787</v>
      </c>
      <c r="C32" s="35">
        <f>'LRcomb1 Comparison'!C17/'LRcomb1 Comparison'!$C4</f>
        <v>259.30527655047314</v>
      </c>
      <c r="D32" s="35">
        <f>'LRcomb1 Comparison'!D17/'LRcomb1 Comparison'!$C4</f>
        <v>259.30455974948558</v>
      </c>
      <c r="E32" s="35">
        <f>'LRcomb1 Comparison'!E17/'LRcomb1 Comparison'!$C4</f>
        <v>260.3985817754488</v>
      </c>
      <c r="F32" s="35">
        <f>'LRcomb1 Comparison'!F17/'LRcomb1 Comparison'!$C4</f>
        <v>260.39925585488572</v>
      </c>
      <c r="G32" s="35">
        <f ca="1">'LRcomb1 Comparison'!G17/'LRcomb1 Comparison'!$C4</f>
        <v>259.30003297698079</v>
      </c>
      <c r="H32" s="35">
        <f>'LRcomb1 Comparison'!H17/'LRcomb1 Comparison'!$C4</f>
        <v>260.40210814334614</v>
      </c>
    </row>
    <row r="33" spans="1:8" x14ac:dyDescent="0.2">
      <c r="A33">
        <v>2012</v>
      </c>
      <c r="B33" s="35">
        <f t="shared" si="0"/>
        <v>257.96243654822337</v>
      </c>
      <c r="C33" s="35">
        <f>'LRcomb1 Comparison'!C18/'LRcomb1 Comparison'!$C5</f>
        <v>257.79455499170007</v>
      </c>
      <c r="D33" s="35">
        <f>'LRcomb1 Comparison'!D18/'LRcomb1 Comparison'!$C5</f>
        <v>257.79335789075935</v>
      </c>
      <c r="E33" s="35">
        <f>'LRcomb1 Comparison'!E18/'LRcomb1 Comparison'!$C5</f>
        <v>260.6747572324773</v>
      </c>
      <c r="F33" s="35">
        <f>'LRcomb1 Comparison'!F18/'LRcomb1 Comparison'!$C5</f>
        <v>260.68285466772306</v>
      </c>
      <c r="G33" s="35">
        <f ca="1">'LRcomb1 Comparison'!G18/'LRcomb1 Comparison'!$C5</f>
        <v>257.85333270906705</v>
      </c>
      <c r="H33" s="35">
        <f>'LRcomb1 Comparison'!H18/'LRcomb1 Comparison'!$C5</f>
        <v>260.69598837292756</v>
      </c>
    </row>
    <row r="34" spans="1:8" x14ac:dyDescent="0.2">
      <c r="A34">
        <v>2013</v>
      </c>
      <c r="B34" s="35">
        <f t="shared" si="0"/>
        <v>258.87870619946091</v>
      </c>
      <c r="C34" s="35">
        <f>'LRcomb1 Comparison'!C19/'LRcomb1 Comparison'!$C6</f>
        <v>259.02153308253503</v>
      </c>
      <c r="D34" s="35">
        <f>'LRcomb1 Comparison'!D19/'LRcomb1 Comparison'!$C6</f>
        <v>259.01111647279333</v>
      </c>
      <c r="E34" s="35">
        <f>'LRcomb1 Comparison'!E19/'LRcomb1 Comparison'!$C6</f>
        <v>260.80372837015028</v>
      </c>
      <c r="F34" s="35">
        <f>'LRcomb1 Comparison'!F19/'LRcomb1 Comparison'!$C6</f>
        <v>260.82447101764876</v>
      </c>
      <c r="G34" s="35">
        <f ca="1">'LRcomb1 Comparison'!G19/'LRcomb1 Comparison'!$C6</f>
        <v>259.33740916004029</v>
      </c>
      <c r="H34" s="35">
        <f>'LRcomb1 Comparison'!H19/'LRcomb1 Comparison'!$C6</f>
        <v>260.6649947338762</v>
      </c>
    </row>
    <row r="35" spans="1:8" x14ac:dyDescent="0.2">
      <c r="A35">
        <v>2014</v>
      </c>
      <c r="B35" s="35">
        <f t="shared" si="0"/>
        <v>274.03486055776892</v>
      </c>
      <c r="C35" s="35">
        <f>'LRcomb1 Comparison'!C20/'LRcomb1 Comparison'!$C7</f>
        <v>273.47179872716328</v>
      </c>
      <c r="D35" s="35">
        <f>'LRcomb1 Comparison'!D20/'LRcomb1 Comparison'!$C7</f>
        <v>273.50341543734197</v>
      </c>
      <c r="E35" s="35">
        <f>'LRcomb1 Comparison'!E20/'LRcomb1 Comparison'!$C7</f>
        <v>274.409646097733</v>
      </c>
      <c r="F35" s="35">
        <f>'LRcomb1 Comparison'!F20/'LRcomb1 Comparison'!$C7</f>
        <v>274.43171348866406</v>
      </c>
      <c r="G35" s="35">
        <f ca="1">'LRcomb1 Comparison'!G20/'LRcomb1 Comparison'!$C7</f>
        <v>273.84037835269379</v>
      </c>
      <c r="H35" s="35">
        <f>'LRcomb1 Comparison'!H20/'LRcomb1 Comparison'!$C7</f>
        <v>274.57580341982407</v>
      </c>
    </row>
    <row r="36" spans="1:8" x14ac:dyDescent="0.2">
      <c r="A36">
        <v>2015</v>
      </c>
      <c r="B36" s="35">
        <f t="shared" si="0"/>
        <v>276.50756143667297</v>
      </c>
      <c r="C36" s="35">
        <f>'LRcomb1 Comparison'!C21/'LRcomb1 Comparison'!$C8</f>
        <v>276.87184982771595</v>
      </c>
      <c r="D36" s="35">
        <f>'LRcomb1 Comparison'!D21/'LRcomb1 Comparison'!$C8</f>
        <v>277.07594721224456</v>
      </c>
      <c r="E36" s="35">
        <f>'LRcomb1 Comparison'!E21/'LRcomb1 Comparison'!$C8</f>
        <v>281.92280240536587</v>
      </c>
      <c r="F36" s="35">
        <f>'LRcomb1 Comparison'!F21/'LRcomb1 Comparison'!$C8</f>
        <v>281.84093199541616</v>
      </c>
      <c r="G36" s="35">
        <f ca="1">'LRcomb1 Comparison'!G21/'LRcomb1 Comparison'!$C8</f>
        <v>277.73071399938277</v>
      </c>
      <c r="H36" s="35">
        <f>'LRcomb1 Comparison'!H21/'LRcomb1 Comparison'!$C8</f>
        <v>282.55400760749586</v>
      </c>
    </row>
    <row r="37" spans="1:8" x14ac:dyDescent="0.2">
      <c r="A37">
        <v>2016</v>
      </c>
      <c r="B37" s="35">
        <f t="shared" si="0"/>
        <v>289.56754130223516</v>
      </c>
      <c r="C37" s="35">
        <f>'LRcomb1 Comparison'!C22/'LRcomb1 Comparison'!$C9</f>
        <v>288.75615856715081</v>
      </c>
      <c r="D37" s="35">
        <f>'LRcomb1 Comparison'!D22/'LRcomb1 Comparison'!$C9</f>
        <v>289.45056553615507</v>
      </c>
      <c r="E37" s="35">
        <f>'LRcomb1 Comparison'!E22/'LRcomb1 Comparison'!$C9</f>
        <v>286.45433057385844</v>
      </c>
      <c r="F37" s="35">
        <f>'LRcomb1 Comparison'!F22/'LRcomb1 Comparison'!$C9</f>
        <v>286.0405426550584</v>
      </c>
      <c r="G37" s="35">
        <f ca="1">'LRcomb1 Comparison'!G22/'LRcomb1 Comparison'!$C9</f>
        <v>289.59904232462873</v>
      </c>
      <c r="H37" s="35">
        <f>'LRcomb1 Comparison'!H22/'LRcomb1 Comparison'!$C9</f>
        <v>286.5534247003701</v>
      </c>
    </row>
    <row r="38" spans="1:8" x14ac:dyDescent="0.2">
      <c r="A38">
        <v>2017</v>
      </c>
      <c r="B38" s="35">
        <f t="shared" si="0"/>
        <v>293.4946466809422</v>
      </c>
      <c r="C38" s="35">
        <f ca="1">'LRcomb1 Comparison'!C23/'LRcomb1 Comparison'!$C10</f>
        <v>286.3041990262895</v>
      </c>
      <c r="D38" s="35">
        <f ca="1">'LRcomb1 Comparison'!D23/'LRcomb1 Comparison'!$C10</f>
        <v>287.66108884190163</v>
      </c>
      <c r="E38" s="35">
        <f ca="1">'LRcomb1 Comparison'!E23/'LRcomb1 Comparison'!$C10</f>
        <v>294.0613132640454</v>
      </c>
      <c r="F38" s="35">
        <f ca="1">'LRcomb1 Comparison'!F23/'LRcomb1 Comparison'!$C10</f>
        <v>293.13330077341408</v>
      </c>
      <c r="G38" s="35">
        <f ca="1">'LRcomb1 Comparison'!G23/'LRcomb1 Comparison'!$C10</f>
        <v>290.10849244484353</v>
      </c>
      <c r="H38" s="35">
        <f ca="1">'LRcomb1 Comparison'!H23/'LRcomb1 Comparison'!$C10</f>
        <v>298.99682167385384</v>
      </c>
    </row>
    <row r="39" spans="1:8" x14ac:dyDescent="0.2">
      <c r="A39">
        <v>2018</v>
      </c>
      <c r="B39" s="35">
        <f t="shared" si="0"/>
        <v>307.50098039215686</v>
      </c>
      <c r="C39" s="35">
        <f ca="1">'LRcomb1 Comparison'!C24/'LRcomb1 Comparison'!$C11</f>
        <v>307.76327061271337</v>
      </c>
      <c r="D39" s="35">
        <f ca="1">'LRcomb1 Comparison'!D24/'LRcomb1 Comparison'!$C11</f>
        <v>310.51196027592039</v>
      </c>
      <c r="E39" s="35">
        <f ca="1">'LRcomb1 Comparison'!E24/'LRcomb1 Comparison'!$C11</f>
        <v>303.82346958480855</v>
      </c>
      <c r="F39" s="35">
        <f ca="1">'LRcomb1 Comparison'!F24/'LRcomb1 Comparison'!$C11</f>
        <v>302.31125057459144</v>
      </c>
      <c r="G39" s="35">
        <f ca="1">'LRcomb1 Comparison'!G24/'LRcomb1 Comparison'!$C11</f>
        <v>309.46073638066764</v>
      </c>
      <c r="H39" s="35">
        <f ca="1">'LRcomb1 Comparison'!H24/'LRcomb1 Comparison'!$C11</f>
        <v>303.7665322300362</v>
      </c>
    </row>
    <row r="40" spans="1:8" x14ac:dyDescent="0.2">
      <c r="A40">
        <v>2019</v>
      </c>
      <c r="B40" s="35">
        <f t="shared" si="0"/>
        <v>322.2055785123967</v>
      </c>
      <c r="C40" s="35">
        <f ca="1">'LRcomb1 Comparison'!C25/'LRcomb1 Comparison'!$C12</f>
        <v>332.87192428285647</v>
      </c>
      <c r="D40" s="35">
        <f ca="1">'LRcomb1 Comparison'!D25/'LRcomb1 Comparison'!$C12</f>
        <v>338.05579293425177</v>
      </c>
      <c r="E40" s="35">
        <f ca="1">'LRcomb1 Comparison'!E25/'LRcomb1 Comparison'!$C12</f>
        <v>326.7190627675547</v>
      </c>
      <c r="F40" s="35">
        <f ca="1">'LRcomb1 Comparison'!F25/'LRcomb1 Comparison'!$C12</f>
        <v>325.35943927159781</v>
      </c>
      <c r="G40" s="35">
        <f ca="1">'LRcomb1 Comparison'!G25/'LRcomb1 Comparison'!$C12</f>
        <v>323.06657377193375</v>
      </c>
      <c r="H40" s="35">
        <f ca="1">'LRcomb1 Comparison'!H25/'LRcomb1 Comparison'!$C12</f>
        <v>323.16792979047887</v>
      </c>
    </row>
    <row r="41" spans="1:8" x14ac:dyDescent="0.2">
      <c r="A41" s="38" t="s">
        <v>69</v>
      </c>
      <c r="B41" s="39">
        <f>AVERAGE(B31:B40)</f>
        <v>278.93561054516005</v>
      </c>
      <c r="C41" s="39">
        <f t="shared" ref="C41:H41" ca="1" si="1">AVERAGE(C31:C40)</f>
        <v>279.19073546594234</v>
      </c>
      <c r="D41" s="39">
        <f t="shared" ca="1" si="1"/>
        <v>280.21145933416796</v>
      </c>
      <c r="E41" s="39">
        <f t="shared" ca="1" si="1"/>
        <v>279.90144810622684</v>
      </c>
      <c r="F41" s="39">
        <f t="shared" ca="1" si="1"/>
        <v>279.47705492898251</v>
      </c>
      <c r="G41" s="39">
        <f t="shared" ca="1" si="1"/>
        <v>279.00435011110642</v>
      </c>
      <c r="H41" s="39">
        <f t="shared" ca="1" si="1"/>
        <v>280.11243996630344</v>
      </c>
    </row>
    <row r="43" spans="1:8" x14ac:dyDescent="0.2">
      <c r="B43" s="37" t="s">
        <v>72</v>
      </c>
      <c r="C43" s="34" t="s">
        <v>63</v>
      </c>
      <c r="D43" s="34"/>
      <c r="E43" s="34" t="s">
        <v>64</v>
      </c>
      <c r="F43" s="34"/>
      <c r="G43" s="34" t="s">
        <v>67</v>
      </c>
      <c r="H43" s="34" t="s">
        <v>68</v>
      </c>
    </row>
    <row r="44" spans="1:8" x14ac:dyDescent="0.2">
      <c r="B44" s="34" t="s">
        <v>61</v>
      </c>
      <c r="C44" s="34" t="s">
        <v>65</v>
      </c>
      <c r="D44" s="34" t="s">
        <v>66</v>
      </c>
      <c r="E44" s="34" t="s">
        <v>65</v>
      </c>
      <c r="F44" s="34" t="s">
        <v>66</v>
      </c>
      <c r="G44" s="34"/>
      <c r="H44" s="34"/>
    </row>
    <row r="45" spans="1:8" x14ac:dyDescent="0.2">
      <c r="A45">
        <v>2010</v>
      </c>
      <c r="B45" s="35">
        <f>B31-$B31</f>
        <v>0</v>
      </c>
      <c r="C45" s="35">
        <f>C31-$B31</f>
        <v>0</v>
      </c>
      <c r="D45" s="35">
        <f>D31-$B31</f>
        <v>0</v>
      </c>
      <c r="E45" s="35">
        <f t="shared" ref="E45:H45" si="2">E31-$B31</f>
        <v>0</v>
      </c>
      <c r="F45" s="35">
        <f t="shared" si="2"/>
        <v>0</v>
      </c>
      <c r="G45" s="35">
        <f t="shared" si="2"/>
        <v>0</v>
      </c>
      <c r="H45" s="35">
        <f t="shared" si="2"/>
        <v>0</v>
      </c>
    </row>
    <row r="46" spans="1:8" x14ac:dyDescent="0.2">
      <c r="A46">
        <v>2011</v>
      </c>
      <c r="B46" s="35">
        <f t="shared" ref="B46:H55" si="3">B32-$B32</f>
        <v>0</v>
      </c>
      <c r="C46" s="35">
        <f t="shared" si="3"/>
        <v>-0.15172828044472908</v>
      </c>
      <c r="D46" s="35">
        <f t="shared" si="3"/>
        <v>-0.15244508143229041</v>
      </c>
      <c r="E46" s="35">
        <f t="shared" si="3"/>
        <v>0.94157694453093654</v>
      </c>
      <c r="F46" s="35">
        <f t="shared" si="3"/>
        <v>0.94225102396785587</v>
      </c>
      <c r="G46" s="35">
        <f t="shared" ca="1" si="3"/>
        <v>-0.15697185393707969</v>
      </c>
      <c r="H46" s="35">
        <f t="shared" si="3"/>
        <v>0.94510331242827306</v>
      </c>
    </row>
    <row r="47" spans="1:8" x14ac:dyDescent="0.2">
      <c r="A47">
        <v>2012</v>
      </c>
      <c r="B47" s="35">
        <f t="shared" si="3"/>
        <v>0</v>
      </c>
      <c r="C47" s="35">
        <f t="shared" si="3"/>
        <v>-0.16788155652329806</v>
      </c>
      <c r="D47" s="35">
        <f t="shared" si="3"/>
        <v>-0.16907865746401285</v>
      </c>
      <c r="E47" s="35">
        <f t="shared" si="3"/>
        <v>2.7123206842539389</v>
      </c>
      <c r="F47" s="35">
        <f t="shared" si="3"/>
        <v>2.7204181194996977</v>
      </c>
      <c r="G47" s="35">
        <f t="shared" ca="1" si="3"/>
        <v>-0.10910383915631883</v>
      </c>
      <c r="H47" s="35">
        <f t="shared" si="3"/>
        <v>2.7335518247041932</v>
      </c>
    </row>
    <row r="48" spans="1:8" x14ac:dyDescent="0.2">
      <c r="A48">
        <v>2013</v>
      </c>
      <c r="B48" s="35">
        <f t="shared" si="3"/>
        <v>0</v>
      </c>
      <c r="C48" s="35">
        <f t="shared" si="3"/>
        <v>0.14282688307412172</v>
      </c>
      <c r="D48" s="35">
        <f t="shared" si="3"/>
        <v>0.13241027333242528</v>
      </c>
      <c r="E48" s="35">
        <f t="shared" si="3"/>
        <v>1.925022170689374</v>
      </c>
      <c r="F48" s="35">
        <f t="shared" si="3"/>
        <v>1.945764818187854</v>
      </c>
      <c r="G48" s="35">
        <f t="shared" ca="1" si="3"/>
        <v>0.45870296057938731</v>
      </c>
      <c r="H48" s="35">
        <f t="shared" si="3"/>
        <v>1.7862885344152915</v>
      </c>
    </row>
    <row r="49" spans="1:8" x14ac:dyDescent="0.2">
      <c r="A49">
        <v>2014</v>
      </c>
      <c r="B49" s="35">
        <f t="shared" si="3"/>
        <v>0</v>
      </c>
      <c r="C49" s="35">
        <f t="shared" si="3"/>
        <v>-0.56306183060564763</v>
      </c>
      <c r="D49" s="35">
        <f t="shared" si="3"/>
        <v>-0.53144512042695169</v>
      </c>
      <c r="E49" s="35">
        <f t="shared" si="3"/>
        <v>0.37478553996407982</v>
      </c>
      <c r="F49" s="35">
        <f t="shared" si="3"/>
        <v>0.39685293089513607</v>
      </c>
      <c r="G49" s="35">
        <f t="shared" ca="1" si="3"/>
        <v>-0.1944822050751327</v>
      </c>
      <c r="H49" s="35">
        <f t="shared" si="3"/>
        <v>0.54094286205514663</v>
      </c>
    </row>
    <row r="50" spans="1:8" x14ac:dyDescent="0.2">
      <c r="A50">
        <v>2015</v>
      </c>
      <c r="B50" s="35">
        <f t="shared" si="3"/>
        <v>0</v>
      </c>
      <c r="C50" s="35">
        <f t="shared" si="3"/>
        <v>0.36428839104297595</v>
      </c>
      <c r="D50" s="35">
        <f t="shared" si="3"/>
        <v>0.56838577557158487</v>
      </c>
      <c r="E50" s="35">
        <f t="shared" si="3"/>
        <v>5.4152409686928991</v>
      </c>
      <c r="F50" s="35">
        <f t="shared" si="3"/>
        <v>5.3333705587431837</v>
      </c>
      <c r="G50" s="35">
        <f t="shared" ca="1" si="3"/>
        <v>1.2231525627097994</v>
      </c>
      <c r="H50" s="35">
        <f t="shared" si="3"/>
        <v>6.0464461708228896</v>
      </c>
    </row>
    <row r="51" spans="1:8" x14ac:dyDescent="0.2">
      <c r="A51">
        <v>2016</v>
      </c>
      <c r="B51" s="35">
        <f t="shared" si="3"/>
        <v>0</v>
      </c>
      <c r="C51" s="35">
        <f t="shared" si="3"/>
        <v>-0.81138273508435077</v>
      </c>
      <c r="D51" s="35">
        <f t="shared" si="3"/>
        <v>-0.11697576608008831</v>
      </c>
      <c r="E51" s="35">
        <f t="shared" si="3"/>
        <v>-3.1132107283767141</v>
      </c>
      <c r="F51" s="35">
        <f t="shared" si="3"/>
        <v>-3.5269986471767538</v>
      </c>
      <c r="G51" s="35">
        <f t="shared" ca="1" si="3"/>
        <v>3.1501022393570111E-2</v>
      </c>
      <c r="H51" s="35">
        <f t="shared" si="3"/>
        <v>-3.0141166018650551</v>
      </c>
    </row>
    <row r="52" spans="1:8" x14ac:dyDescent="0.2">
      <c r="A52">
        <v>2017</v>
      </c>
      <c r="B52" s="35">
        <f t="shared" si="3"/>
        <v>0</v>
      </c>
      <c r="C52" s="35">
        <f t="shared" ca="1" si="3"/>
        <v>-7.1904476546527007</v>
      </c>
      <c r="D52" s="35">
        <f t="shared" ca="1" si="3"/>
        <v>-5.8335578390405658</v>
      </c>
      <c r="E52" s="35">
        <f t="shared" ca="1" si="3"/>
        <v>0.56666658310319917</v>
      </c>
      <c r="F52" s="35">
        <f t="shared" ca="1" si="3"/>
        <v>-0.36134590752811846</v>
      </c>
      <c r="G52" s="35">
        <f t="shared" ca="1" si="3"/>
        <v>-3.3861542360986618</v>
      </c>
      <c r="H52" s="35">
        <f t="shared" ca="1" si="3"/>
        <v>5.5021749929116481</v>
      </c>
    </row>
    <row r="53" spans="1:8" x14ac:dyDescent="0.2">
      <c r="A53">
        <v>2018</v>
      </c>
      <c r="B53" s="35">
        <f t="shared" si="3"/>
        <v>0</v>
      </c>
      <c r="C53" s="35">
        <f t="shared" ca="1" si="3"/>
        <v>0.2622902205565083</v>
      </c>
      <c r="D53" s="35">
        <f t="shared" ca="1" si="3"/>
        <v>3.0109798837635253</v>
      </c>
      <c r="E53" s="35">
        <f t="shared" ca="1" si="3"/>
        <v>-3.6775108073483125</v>
      </c>
      <c r="F53" s="35">
        <f t="shared" ca="1" si="3"/>
        <v>-5.1897298175654214</v>
      </c>
      <c r="G53" s="35">
        <f t="shared" ca="1" si="3"/>
        <v>1.9597559885107785</v>
      </c>
      <c r="H53" s="35">
        <f t="shared" ca="1" si="3"/>
        <v>-3.7344481621206569</v>
      </c>
    </row>
    <row r="54" spans="1:8" x14ac:dyDescent="0.2">
      <c r="A54">
        <v>2019</v>
      </c>
      <c r="B54" s="35">
        <f t="shared" si="3"/>
        <v>0</v>
      </c>
      <c r="C54" s="35">
        <f t="shared" ca="1" si="3"/>
        <v>10.66634577045977</v>
      </c>
      <c r="D54" s="35">
        <f t="shared" ca="1" si="3"/>
        <v>15.850214421855071</v>
      </c>
      <c r="E54" s="35">
        <f t="shared" ca="1" si="3"/>
        <v>4.513484255158005</v>
      </c>
      <c r="F54" s="35">
        <f t="shared" ca="1" si="3"/>
        <v>3.153860759201109</v>
      </c>
      <c r="G54" s="35">
        <f t="shared" ca="1" si="3"/>
        <v>0.8609952595370487</v>
      </c>
      <c r="H54" s="35">
        <f t="shared" ca="1" si="3"/>
        <v>0.96235127808216703</v>
      </c>
    </row>
    <row r="55" spans="1:8" x14ac:dyDescent="0.2">
      <c r="A55" s="38" t="s">
        <v>69</v>
      </c>
      <c r="B55" s="39">
        <f t="shared" si="3"/>
        <v>0</v>
      </c>
      <c r="C55" s="39">
        <f t="shared" ca="1" si="3"/>
        <v>0.25512492078229343</v>
      </c>
      <c r="D55" s="39">
        <f t="shared" ca="1" si="3"/>
        <v>1.2758487890079095</v>
      </c>
      <c r="E55" s="39">
        <f t="shared" ca="1" si="3"/>
        <v>0.96583756106679175</v>
      </c>
      <c r="F55" s="39">
        <f t="shared" ca="1" si="3"/>
        <v>0.54144438382246562</v>
      </c>
      <c r="G55" s="39">
        <f t="shared" ca="1" si="3"/>
        <v>6.8739565946373204E-2</v>
      </c>
      <c r="H55" s="39">
        <f t="shared" ca="1" si="3"/>
        <v>1.1768294211433954</v>
      </c>
    </row>
    <row r="57" spans="1:8" x14ac:dyDescent="0.2">
      <c r="B57" s="37" t="s">
        <v>72</v>
      </c>
      <c r="C57" s="34" t="s">
        <v>63</v>
      </c>
      <c r="D57" s="34"/>
      <c r="E57" s="34" t="s">
        <v>64</v>
      </c>
      <c r="F57" s="34"/>
      <c r="G57" s="34" t="s">
        <v>67</v>
      </c>
      <c r="H57" s="34" t="s">
        <v>68</v>
      </c>
    </row>
    <row r="58" spans="1:8" x14ac:dyDescent="0.2">
      <c r="B58" s="34" t="s">
        <v>61</v>
      </c>
      <c r="C58" s="34" t="s">
        <v>65</v>
      </c>
      <c r="D58" s="34" t="s">
        <v>66</v>
      </c>
      <c r="E58" s="34" t="s">
        <v>65</v>
      </c>
      <c r="F58" s="34" t="s">
        <v>66</v>
      </c>
      <c r="G58" s="34"/>
      <c r="H58" s="34"/>
    </row>
    <row r="59" spans="1:8" x14ac:dyDescent="0.2">
      <c r="A59">
        <v>2010</v>
      </c>
      <c r="B59" s="35"/>
      <c r="C59" s="35"/>
      <c r="D59" s="35"/>
      <c r="E59" s="35"/>
      <c r="F59" s="35"/>
      <c r="G59" s="35"/>
      <c r="H59" s="35"/>
    </row>
    <row r="60" spans="1:8" x14ac:dyDescent="0.2">
      <c r="A60">
        <v>2011</v>
      </c>
      <c r="B60" s="36">
        <f>B32/$B32</f>
        <v>1</v>
      </c>
      <c r="C60" s="36">
        <f t="shared" ref="C60:H60" si="4">C32/$B32</f>
        <v>0.99941520838667042</v>
      </c>
      <c r="D60" s="36">
        <f t="shared" si="4"/>
        <v>0.99941244569006094</v>
      </c>
      <c r="E60" s="36">
        <f t="shared" si="4"/>
        <v>1.0036290288063123</v>
      </c>
      <c r="F60" s="36">
        <f t="shared" si="4"/>
        <v>1.0036316268453878</v>
      </c>
      <c r="G60" s="36">
        <f t="shared" ca="1" si="4"/>
        <v>0.99939499858930625</v>
      </c>
      <c r="H60" s="36">
        <f t="shared" si="4"/>
        <v>1.0036426201444981</v>
      </c>
    </row>
    <row r="61" spans="1:8" x14ac:dyDescent="0.2">
      <c r="A61">
        <v>2012</v>
      </c>
      <c r="B61" s="36">
        <f t="shared" ref="B61:H69" si="5">B33/$B33</f>
        <v>1</v>
      </c>
      <c r="C61" s="36">
        <f t="shared" si="5"/>
        <v>0.99934920153969042</v>
      </c>
      <c r="D61" s="36">
        <f t="shared" si="5"/>
        <v>0.99934456093791624</v>
      </c>
      <c r="E61" s="36">
        <f t="shared" si="5"/>
        <v>1.0105144017111456</v>
      </c>
      <c r="F61" s="36">
        <f t="shared" si="5"/>
        <v>1.0105457916892917</v>
      </c>
      <c r="G61" s="36">
        <f t="shared" ca="1" si="5"/>
        <v>0.99957705532396024</v>
      </c>
      <c r="H61" s="36">
        <f t="shared" si="5"/>
        <v>1.0105967049361204</v>
      </c>
    </row>
    <row r="62" spans="1:8" x14ac:dyDescent="0.2">
      <c r="A62">
        <v>2013</v>
      </c>
      <c r="B62" s="36">
        <f t="shared" si="5"/>
        <v>1</v>
      </c>
      <c r="C62" s="36">
        <f t="shared" si="5"/>
        <v>1.0005517135231821</v>
      </c>
      <c r="D62" s="36">
        <f t="shared" si="5"/>
        <v>1.0005114761089327</v>
      </c>
      <c r="E62" s="36">
        <f t="shared" si="5"/>
        <v>1.0074360004302794</v>
      </c>
      <c r="F62" s="36">
        <f t="shared" si="5"/>
        <v>1.0075161253961487</v>
      </c>
      <c r="G62" s="36">
        <f t="shared" ca="1" si="5"/>
        <v>1.0017718837030418</v>
      </c>
      <c r="H62" s="36">
        <f t="shared" si="5"/>
        <v>1.006900098353547</v>
      </c>
    </row>
    <row r="63" spans="1:8" x14ac:dyDescent="0.2">
      <c r="A63">
        <v>2014</v>
      </c>
      <c r="B63" s="36">
        <f t="shared" si="5"/>
        <v>1</v>
      </c>
      <c r="C63" s="36">
        <f t="shared" si="5"/>
        <v>0.99794529123243814</v>
      </c>
      <c r="D63" s="36">
        <f t="shared" si="5"/>
        <v>0.99806066600670718</v>
      </c>
      <c r="E63" s="36">
        <f t="shared" si="5"/>
        <v>1.0013676564332044</v>
      </c>
      <c r="F63" s="36">
        <f t="shared" si="5"/>
        <v>1.0014481841109097</v>
      </c>
      <c r="G63" s="36">
        <f t="shared" ca="1" si="5"/>
        <v>0.99929030122416074</v>
      </c>
      <c r="H63" s="36">
        <f t="shared" si="5"/>
        <v>1.0019739928743157</v>
      </c>
    </row>
    <row r="64" spans="1:8" x14ac:dyDescent="0.2">
      <c r="A64">
        <v>2015</v>
      </c>
      <c r="B64" s="36">
        <f t="shared" si="5"/>
        <v>1</v>
      </c>
      <c r="C64" s="36">
        <f t="shared" si="5"/>
        <v>1.0013174626731733</v>
      </c>
      <c r="D64" s="36">
        <f t="shared" si="5"/>
        <v>1.00205558854383</v>
      </c>
      <c r="E64" s="36">
        <f t="shared" si="5"/>
        <v>1.0195844227208706</v>
      </c>
      <c r="F64" s="36">
        <f t="shared" si="5"/>
        <v>1.0192883353027749</v>
      </c>
      <c r="G64" s="36">
        <f t="shared" ca="1" si="5"/>
        <v>1.0044235772662222</v>
      </c>
      <c r="H64" s="36">
        <f t="shared" si="5"/>
        <v>1.0218672000845361</v>
      </c>
    </row>
    <row r="65" spans="1:8" x14ac:dyDescent="0.2">
      <c r="A65">
        <v>2016</v>
      </c>
      <c r="B65" s="36">
        <f t="shared" si="5"/>
        <v>1</v>
      </c>
      <c r="C65" s="36">
        <f t="shared" si="5"/>
        <v>0.99719794997935396</v>
      </c>
      <c r="D65" s="36">
        <f t="shared" si="5"/>
        <v>0.9995960328787058</v>
      </c>
      <c r="E65" s="36">
        <f t="shared" si="5"/>
        <v>0.98924875794304823</v>
      </c>
      <c r="F65" s="36">
        <f t="shared" si="5"/>
        <v>0.98781977209422289</v>
      </c>
      <c r="G65" s="36">
        <f t="shared" ca="1" si="5"/>
        <v>1.0001087864415048</v>
      </c>
      <c r="H65" s="36">
        <f t="shared" si="5"/>
        <v>0.98959097215002045</v>
      </c>
    </row>
    <row r="66" spans="1:8" x14ac:dyDescent="0.2">
      <c r="A66">
        <v>2017</v>
      </c>
      <c r="B66" s="36">
        <f t="shared" si="5"/>
        <v>1</v>
      </c>
      <c r="C66" s="36">
        <f t="shared" ca="1" si="5"/>
        <v>0.97550058327820399</v>
      </c>
      <c r="D66" s="36">
        <f t="shared" ca="1" si="5"/>
        <v>0.98012380155818579</v>
      </c>
      <c r="E66" s="36">
        <f t="shared" ca="1" si="5"/>
        <v>1.0019307561126294</v>
      </c>
      <c r="F66" s="36">
        <f t="shared" ca="1" si="5"/>
        <v>0.99876881601891387</v>
      </c>
      <c r="G66" s="36">
        <f t="shared" ca="1" si="5"/>
        <v>0.98846263714043225</v>
      </c>
      <c r="H66" s="36">
        <f t="shared" ca="1" si="5"/>
        <v>1.0187471051180468</v>
      </c>
    </row>
    <row r="67" spans="1:8" x14ac:dyDescent="0.2">
      <c r="A67">
        <v>2018</v>
      </c>
      <c r="B67" s="36">
        <f t="shared" si="5"/>
        <v>1</v>
      </c>
      <c r="C67" s="36">
        <f t="shared" ca="1" si="5"/>
        <v>1.0008529736075054</v>
      </c>
      <c r="D67" s="36">
        <f t="shared" ca="1" si="5"/>
        <v>1.0097917732812547</v>
      </c>
      <c r="E67" s="36">
        <f t="shared" ca="1" si="5"/>
        <v>0.98804065339024816</v>
      </c>
      <c r="F67" s="36">
        <f t="shared" ca="1" si="5"/>
        <v>0.98312288367033185</v>
      </c>
      <c r="G67" s="36">
        <f t="shared" ca="1" si="5"/>
        <v>1.0063731698871707</v>
      </c>
      <c r="H67" s="36">
        <f t="shared" ca="1" si="5"/>
        <v>0.98785549185125165</v>
      </c>
    </row>
    <row r="68" spans="1:8" x14ac:dyDescent="0.2">
      <c r="A68">
        <v>2019</v>
      </c>
      <c r="B68" s="36">
        <f t="shared" si="5"/>
        <v>1</v>
      </c>
      <c r="C68" s="36">
        <f t="shared" ca="1" si="5"/>
        <v>1.0331041623168216</v>
      </c>
      <c r="D68" s="36">
        <f t="shared" ca="1" si="5"/>
        <v>1.0491928615731438</v>
      </c>
      <c r="E68" s="36">
        <f t="shared" ca="1" si="5"/>
        <v>1.0140080884880904</v>
      </c>
      <c r="F68" s="36">
        <f t="shared" ca="1" si="5"/>
        <v>1.0097883493320081</v>
      </c>
      <c r="G68" s="36">
        <f t="shared" ca="1" si="5"/>
        <v>1.0026721922801964</v>
      </c>
      <c r="H68" s="36">
        <f t="shared" ca="1" si="5"/>
        <v>1.0029867616896184</v>
      </c>
    </row>
    <row r="69" spans="1:8" x14ac:dyDescent="0.2">
      <c r="A69" s="38" t="s">
        <v>69</v>
      </c>
      <c r="B69" s="40">
        <f t="shared" si="5"/>
        <v>1</v>
      </c>
      <c r="C69" s="40">
        <f t="shared" ca="1" si="5"/>
        <v>1.0009146373253801</v>
      </c>
      <c r="D69" s="40">
        <f t="shared" ca="1" si="5"/>
        <v>1.0045739903431992</v>
      </c>
      <c r="E69" s="40">
        <f t="shared" ca="1" si="5"/>
        <v>1.0034625824905581</v>
      </c>
      <c r="F69" s="40">
        <f t="shared" ca="1" si="5"/>
        <v>1.001941108855783</v>
      </c>
      <c r="G69" s="40">
        <f t="shared" ca="1" si="5"/>
        <v>1.0002464352465146</v>
      </c>
      <c r="H69" s="40">
        <f t="shared" ca="1" si="5"/>
        <v>1.0042190002877129</v>
      </c>
    </row>
    <row r="72" spans="1:8" x14ac:dyDescent="0.2">
      <c r="B72" s="36"/>
      <c r="C72" s="36"/>
      <c r="D72" s="36"/>
      <c r="E72" s="36"/>
      <c r="F72" s="36"/>
      <c r="G72" s="36"/>
      <c r="H72" s="36"/>
    </row>
  </sheetData>
  <conditionalFormatting sqref="B45:H55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60:H69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D49-A275-324D-9A44-485F76168570}">
  <dimension ref="A1:U45"/>
  <sheetViews>
    <sheetView tabSelected="1" topLeftCell="F1" zoomScale="120" zoomScaleNormal="120" workbookViewId="0">
      <selection activeCell="I15" sqref="I15:T15"/>
    </sheetView>
  </sheetViews>
  <sheetFormatPr baseColWidth="10" defaultColWidth="11" defaultRowHeight="16" x14ac:dyDescent="0.2"/>
  <cols>
    <col min="2" max="2" width="13.33203125" customWidth="1"/>
    <col min="3" max="8" width="12.5" bestFit="1" customWidth="1"/>
  </cols>
  <sheetData>
    <row r="1" spans="1:21" x14ac:dyDescent="0.2">
      <c r="C1" s="37" t="s">
        <v>82</v>
      </c>
    </row>
    <row r="2" spans="1:21" x14ac:dyDescent="0.2">
      <c r="B2" s="37" t="s">
        <v>3</v>
      </c>
      <c r="C2" s="34" t="s">
        <v>63</v>
      </c>
      <c r="D2" s="34"/>
      <c r="E2" s="34" t="s">
        <v>64</v>
      </c>
      <c r="F2" s="34"/>
      <c r="G2" s="34" t="s">
        <v>67</v>
      </c>
      <c r="H2" s="34" t="s">
        <v>68</v>
      </c>
    </row>
    <row r="3" spans="1:21" x14ac:dyDescent="0.2">
      <c r="B3" s="34" t="s">
        <v>83</v>
      </c>
      <c r="C3" s="34" t="s">
        <v>65</v>
      </c>
      <c r="D3" s="34" t="s">
        <v>66</v>
      </c>
      <c r="E3" s="34" t="s">
        <v>65</v>
      </c>
      <c r="F3" s="34" t="s">
        <v>66</v>
      </c>
      <c r="G3" s="34"/>
      <c r="H3" s="34"/>
    </row>
    <row r="4" spans="1:21" x14ac:dyDescent="0.2">
      <c r="A4">
        <v>2010</v>
      </c>
      <c r="B4" s="35">
        <f>'LRamounts1 - case estimates'!K46</f>
        <v>0</v>
      </c>
      <c r="C4" s="35">
        <f>'LRamounts2 - CL on paid losses'!E110</f>
        <v>0</v>
      </c>
      <c r="D4" s="35">
        <f>'LRamounts2 - CL on paid losses'!G110</f>
        <v>0</v>
      </c>
      <c r="E4" s="35">
        <f>'LRamounts3 - CL on incurred'!F110</f>
        <v>0</v>
      </c>
      <c r="F4" s="35">
        <f>'LRamounts3 - CL on incurred'!H110</f>
        <v>0</v>
      </c>
      <c r="G4" s="35">
        <f>'LRamounts4 - separation method'!N71</f>
        <v>0</v>
      </c>
      <c r="H4" s="35">
        <f>'LRamounts5 PPCI'!F52</f>
        <v>0</v>
      </c>
    </row>
    <row r="5" spans="1:21" x14ac:dyDescent="0.2">
      <c r="A5">
        <v>2011</v>
      </c>
      <c r="B5" s="35">
        <f>'LRamounts1 - case estimates'!J47</f>
        <v>1568</v>
      </c>
      <c r="C5" s="35">
        <f>'LRamounts2 - CL on paid losses'!E111</f>
        <v>354.85857950511854</v>
      </c>
      <c r="D5" s="35">
        <f>'LRamounts2 - CL on paid losses'!G111</f>
        <v>354.11886904551648</v>
      </c>
      <c r="E5" s="35">
        <f>'LRamounts3 - CL on incurred'!F111</f>
        <v>1483.1066211303114</v>
      </c>
      <c r="F5" s="35">
        <f>'LRamounts3 - CL on incurred'!H111</f>
        <v>1483.8022446279647</v>
      </c>
      <c r="G5" s="35">
        <f ca="1">'LRamounts4 - separation method'!N72</f>
        <v>349.44741765507513</v>
      </c>
      <c r="H5" s="35">
        <f>'LRamounts5 PPCI'!F53</f>
        <v>1486.7456942668068</v>
      </c>
    </row>
    <row r="6" spans="1:21" x14ac:dyDescent="0.2">
      <c r="A6">
        <v>2012</v>
      </c>
      <c r="B6" s="35">
        <f>'LRamounts1 - case estimates'!I48</f>
        <v>4375</v>
      </c>
      <c r="C6" s="35">
        <f>'LRamounts2 - CL on paid losses'!E112</f>
        <v>1007.0896311436663</v>
      </c>
      <c r="D6" s="35">
        <f>'LRamounts2 - CL on paid losses'!G112</f>
        <v>1005.9202733726706</v>
      </c>
      <c r="E6" s="35">
        <f>'LRamounts3 - CL on incurred'!F112</f>
        <v>3820.5423297535744</v>
      </c>
      <c r="F6" s="35">
        <f>'LRamounts3 - CL on incurred'!H112</f>
        <v>3828.4521045330621</v>
      </c>
      <c r="G6" s="35">
        <f ca="1">'LRamounts4 - separation method'!N73</f>
        <v>1064.5051574573777</v>
      </c>
      <c r="H6" s="35">
        <f>'LRamounts5 PPCI'!F54</f>
        <v>3841.2814322195773</v>
      </c>
    </row>
    <row r="7" spans="1:21" x14ac:dyDescent="0.2">
      <c r="A7">
        <v>2013</v>
      </c>
      <c r="B7" s="35">
        <f>'LRamounts1 - case estimates'!H49</f>
        <v>8543</v>
      </c>
      <c r="C7" s="35">
        <f>'LRamounts2 - CL on paid losses'!E113</f>
        <v>3796.6960195132997</v>
      </c>
      <c r="D7" s="35">
        <f>'LRamounts2 - CL on paid losses'!G113</f>
        <v>3785.1514465331566</v>
      </c>
      <c r="E7" s="35">
        <f>'LRamounts3 - CL on incurred'!F113</f>
        <v>5771.8764354986488</v>
      </c>
      <c r="F7" s="35">
        <f>'LRamounts3 - CL on incurred'!H113</f>
        <v>5794.8652018809807</v>
      </c>
      <c r="G7" s="35">
        <f ca="1">'LRamounts4 - separation method'!N74</f>
        <v>4146.7767578602325</v>
      </c>
      <c r="H7" s="35">
        <f>'LRamounts5 PPCI'!F55</f>
        <v>5618.1200187292416</v>
      </c>
    </row>
    <row r="8" spans="1:21" x14ac:dyDescent="0.2">
      <c r="A8">
        <v>2014</v>
      </c>
      <c r="B8" s="35">
        <f>'LRamounts1 - case estimates'!G50</f>
        <v>17106</v>
      </c>
      <c r="C8" s="35">
        <f>'LRamounts2 - CL on paid losses'!E114</f>
        <v>9773.648321489396</v>
      </c>
      <c r="D8" s="35">
        <f>'LRamounts2 - CL on paid losses'!G114</f>
        <v>9805.3583134247456</v>
      </c>
      <c r="E8" s="35">
        <f>'LRamounts3 - CL on incurred'!F114</f>
        <v>10714.262711451971</v>
      </c>
      <c r="F8" s="35">
        <f>'LRamounts3 - CL on incurred'!H114</f>
        <v>10736.395209884096</v>
      </c>
      <c r="G8" s="35">
        <f ca="1">'LRamounts4 - separation method'!N75</f>
        <v>10143.315402189746</v>
      </c>
      <c r="H8" s="35">
        <f>'LRamounts5 PPCI'!F56</f>
        <v>10880.910263133643</v>
      </c>
    </row>
    <row r="9" spans="1:21" x14ac:dyDescent="0.2">
      <c r="A9">
        <v>2015</v>
      </c>
      <c r="B9" s="35">
        <f>'LRamounts1 - case estimates'!F51</f>
        <v>38845</v>
      </c>
      <c r="C9" s="35">
        <f>'LRamounts2 - CL on paid losses'!E115</f>
        <v>18757.630759556196</v>
      </c>
      <c r="D9" s="35">
        <f>'LRamounts2 - CL on paid losses'!G115</f>
        <v>18970.396184678015</v>
      </c>
      <c r="E9" s="35">
        <f>'LRamounts3 - CL on incurred'!F115</f>
        <v>24023.097903763351</v>
      </c>
      <c r="F9" s="35">
        <f>'LRamounts3 - CL on incurred'!H115</f>
        <v>23937.750447606202</v>
      </c>
      <c r="G9" s="35">
        <f ca="1">'LRamounts4 - separation method'!N76</f>
        <v>19652.970996417534</v>
      </c>
      <c r="H9" s="35">
        <f>'LRamounts5 PPCI'!F57</f>
        <v>24681.110467131075</v>
      </c>
    </row>
    <row r="10" spans="1:21" x14ac:dyDescent="0.2">
      <c r="A10">
        <v>2016</v>
      </c>
      <c r="B10" s="35">
        <f>'LRamounts1 - case estimates'!E52</f>
        <v>62218</v>
      </c>
      <c r="C10" s="35">
        <f>'LRamounts2 - CL on paid losses'!E116</f>
        <v>37133.207219880132</v>
      </c>
      <c r="D10" s="35">
        <f>'LRamounts2 - CL on paid losses'!G116</f>
        <v>37855.969554175856</v>
      </c>
      <c r="E10" s="35">
        <f>'LRamounts3 - CL on incurred'!F116</f>
        <v>34737.386544340581</v>
      </c>
      <c r="F10" s="35">
        <f>'LRamounts3 - CL on incurred'!H116</f>
        <v>34306.702038791729</v>
      </c>
      <c r="G10" s="35">
        <f ca="1">'LRamounts4 - separation method'!N77</f>
        <v>38010.50923337839</v>
      </c>
      <c r="H10" s="35">
        <f>'LRamounts5 PPCI'!F58</f>
        <v>34840.527073438745</v>
      </c>
    </row>
    <row r="11" spans="1:21" x14ac:dyDescent="0.2">
      <c r="A11">
        <v>2017</v>
      </c>
      <c r="B11" s="35">
        <f>'LRamounts1 - case estimates'!D53</f>
        <v>103776</v>
      </c>
      <c r="C11" s="35">
        <f>'LRamounts2 - CL on paid losses'!E117</f>
        <v>60819.993926191353</v>
      </c>
      <c r="D11" s="35">
        <f>'LRamounts2 - CL on paid losses'!G117</f>
        <v>62078.95401302696</v>
      </c>
      <c r="E11" s="35">
        <f>'LRamounts3 - CL on incurred'!F117</f>
        <v>68017.260131592979</v>
      </c>
      <c r="F11" s="35">
        <f>'LRamounts3 - CL on incurred'!H117</f>
        <v>67156.224347885931</v>
      </c>
      <c r="G11" s="35">
        <f ca="1">'LRamounts4 - separation method'!N78</f>
        <v>64349.723103508695</v>
      </c>
      <c r="H11" s="35">
        <f ca="1">'LRamounts5 PPCI'!F59</f>
        <v>72596.56202088244</v>
      </c>
    </row>
    <row r="12" spans="1:21" x14ac:dyDescent="0.2">
      <c r="A12">
        <v>2018</v>
      </c>
      <c r="B12" s="35">
        <f>'LRamounts1 - case estimates'!C54</f>
        <v>147304</v>
      </c>
      <c r="C12" s="35">
        <f>'LRamounts2 - CL on paid losses'!E118</f>
        <v>137719.59396334324</v>
      </c>
      <c r="D12" s="35">
        <f>'LRamounts2 - CL on paid losses'!G118</f>
        <v>140648.87500663899</v>
      </c>
      <c r="E12" s="35">
        <f>'LRamounts3 - CL on incurred'!F118</f>
        <v>133520.94446868415</v>
      </c>
      <c r="F12" s="35">
        <f>'LRamounts3 - CL on incurred'!H118</f>
        <v>131909.37131103192</v>
      </c>
      <c r="G12" s="35">
        <f ca="1">'LRamounts4 - separation method'!N79</f>
        <v>139528.58475712765</v>
      </c>
      <c r="H12" s="35">
        <f ca="1">'LRamounts5 PPCI'!F60</f>
        <v>133460.26627855503</v>
      </c>
    </row>
    <row r="13" spans="1:21" x14ac:dyDescent="0.2">
      <c r="A13">
        <v>2019</v>
      </c>
      <c r="B13" s="35">
        <f>'LRamounts1 - case estimates'!B55</f>
        <v>70331</v>
      </c>
      <c r="C13" s="35">
        <f>'LRamounts2 - CL on paid losses'!E119</f>
        <v>231571.23406835593</v>
      </c>
      <c r="D13" s="35">
        <f>'LRamounts2 - CL on paid losses'!G119</f>
        <v>236381.16476016474</v>
      </c>
      <c r="E13" s="35">
        <f>'LRamounts3 - CL on incurred'!F119</f>
        <v>225862.20873706532</v>
      </c>
      <c r="F13" s="35">
        <f>'LRamounts3 - CL on incurred'!H119</f>
        <v>224600.66157561337</v>
      </c>
      <c r="G13" s="35">
        <f ca="1">'LRamounts4 - separation method'!N80</f>
        <v>222473.19174937558</v>
      </c>
      <c r="H13" s="35">
        <f ca="1">'LRamounts5 PPCI'!F61</f>
        <v>222567.23645945289</v>
      </c>
    </row>
    <row r="14" spans="1:21" x14ac:dyDescent="0.2">
      <c r="A14" s="38" t="s">
        <v>69</v>
      </c>
      <c r="B14" s="39">
        <f>SUM(B4:B13)</f>
        <v>454066</v>
      </c>
      <c r="C14" s="39">
        <f t="shared" ref="C14:H14" si="0">SUM(C4:C13)</f>
        <v>500933.95248897834</v>
      </c>
      <c r="D14" s="39">
        <f t="shared" si="0"/>
        <v>510885.90842106065</v>
      </c>
      <c r="E14" s="39">
        <f t="shared" si="0"/>
        <v>507950.68588328088</v>
      </c>
      <c r="F14" s="39">
        <f t="shared" si="0"/>
        <v>503754.22448185523</v>
      </c>
      <c r="G14" s="39">
        <f t="shared" ca="1" si="0"/>
        <v>499719.02457497024</v>
      </c>
      <c r="H14" s="39">
        <f t="shared" ca="1" si="0"/>
        <v>509972.75970780943</v>
      </c>
    </row>
    <row r="15" spans="1:21" ht="32" customHeight="1" x14ac:dyDescent="0.2">
      <c r="I15" s="55" t="s">
        <v>84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7"/>
    </row>
    <row r="16" spans="1:21" x14ac:dyDescent="0.2">
      <c r="B16" s="37" t="s">
        <v>3</v>
      </c>
      <c r="C16" s="34" t="s">
        <v>63</v>
      </c>
      <c r="D16" s="34"/>
      <c r="E16" s="34" t="s">
        <v>64</v>
      </c>
      <c r="F16" s="34"/>
      <c r="G16" s="34" t="s">
        <v>67</v>
      </c>
      <c r="H16" s="34" t="s">
        <v>68</v>
      </c>
    </row>
    <row r="17" spans="1:8" x14ac:dyDescent="0.2">
      <c r="B17" s="34" t="s">
        <v>83</v>
      </c>
      <c r="C17" s="34" t="s">
        <v>65</v>
      </c>
      <c r="D17" s="34" t="s">
        <v>66</v>
      </c>
      <c r="E17" s="34" t="s">
        <v>65</v>
      </c>
      <c r="F17" s="34" t="s">
        <v>66</v>
      </c>
      <c r="G17" s="34"/>
      <c r="H17" s="34"/>
    </row>
    <row r="18" spans="1:8" x14ac:dyDescent="0.2">
      <c r="A18">
        <v>2010</v>
      </c>
      <c r="B18" s="35">
        <f>B4-$B4</f>
        <v>0</v>
      </c>
      <c r="C18" s="35">
        <f>C4-$B4</f>
        <v>0</v>
      </c>
      <c r="D18" s="35">
        <f>D4-$B4</f>
        <v>0</v>
      </c>
      <c r="E18" s="35">
        <f t="shared" ref="E18:H18" si="1">E4-$B4</f>
        <v>0</v>
      </c>
      <c r="F18" s="35">
        <f t="shared" si="1"/>
        <v>0</v>
      </c>
      <c r="G18" s="35">
        <f t="shared" si="1"/>
        <v>0</v>
      </c>
      <c r="H18" s="35">
        <f t="shared" si="1"/>
        <v>0</v>
      </c>
    </row>
    <row r="19" spans="1:8" x14ac:dyDescent="0.2">
      <c r="A19">
        <v>2011</v>
      </c>
      <c r="B19" s="35">
        <f t="shared" ref="B19:H28" si="2">B5-$B5</f>
        <v>0</v>
      </c>
      <c r="C19" s="35">
        <f t="shared" si="2"/>
        <v>-1213.1414204948815</v>
      </c>
      <c r="D19" s="35">
        <f t="shared" si="2"/>
        <v>-1213.8811309544835</v>
      </c>
      <c r="E19" s="35">
        <f t="shared" si="2"/>
        <v>-84.893378869688604</v>
      </c>
      <c r="F19" s="35">
        <f t="shared" si="2"/>
        <v>-84.197755372035317</v>
      </c>
      <c r="G19" s="35">
        <f t="shared" ca="1" si="2"/>
        <v>-1218.5525823449248</v>
      </c>
      <c r="H19" s="35">
        <f t="shared" si="2"/>
        <v>-81.254305733193178</v>
      </c>
    </row>
    <row r="20" spans="1:8" x14ac:dyDescent="0.2">
      <c r="A20">
        <v>2012</v>
      </c>
      <c r="B20" s="35">
        <f t="shared" si="2"/>
        <v>0</v>
      </c>
      <c r="C20" s="35">
        <f t="shared" si="2"/>
        <v>-3367.9103688563337</v>
      </c>
      <c r="D20" s="35">
        <f t="shared" si="2"/>
        <v>-3369.0797266273294</v>
      </c>
      <c r="E20" s="35">
        <f t="shared" si="2"/>
        <v>-554.45767024642555</v>
      </c>
      <c r="F20" s="35">
        <f t="shared" si="2"/>
        <v>-546.54789546693792</v>
      </c>
      <c r="G20" s="35">
        <f t="shared" ca="1" si="2"/>
        <v>-3310.4948425426223</v>
      </c>
      <c r="H20" s="35">
        <f t="shared" si="2"/>
        <v>-533.71856778042275</v>
      </c>
    </row>
    <row r="21" spans="1:8" x14ac:dyDescent="0.2">
      <c r="A21">
        <v>2013</v>
      </c>
      <c r="B21" s="35">
        <f t="shared" si="2"/>
        <v>0</v>
      </c>
      <c r="C21" s="35">
        <f t="shared" si="2"/>
        <v>-4746.3039804867003</v>
      </c>
      <c r="D21" s="35">
        <f t="shared" si="2"/>
        <v>-4757.8485534668434</v>
      </c>
      <c r="E21" s="35">
        <f t="shared" si="2"/>
        <v>-2771.1235645013512</v>
      </c>
      <c r="F21" s="35">
        <f t="shared" si="2"/>
        <v>-2748.1347981190193</v>
      </c>
      <c r="G21" s="35">
        <f t="shared" ca="1" si="2"/>
        <v>-4396.2232421397675</v>
      </c>
      <c r="H21" s="35">
        <f t="shared" si="2"/>
        <v>-2924.8799812707584</v>
      </c>
    </row>
    <row r="22" spans="1:8" x14ac:dyDescent="0.2">
      <c r="A22">
        <v>2014</v>
      </c>
      <c r="B22" s="35">
        <f t="shared" si="2"/>
        <v>0</v>
      </c>
      <c r="C22" s="35">
        <f t="shared" si="2"/>
        <v>-7332.351678510604</v>
      </c>
      <c r="D22" s="35">
        <f t="shared" si="2"/>
        <v>-7300.6416865752544</v>
      </c>
      <c r="E22" s="35">
        <f t="shared" si="2"/>
        <v>-6391.737288548029</v>
      </c>
      <c r="F22" s="35">
        <f t="shared" si="2"/>
        <v>-6369.6047901159036</v>
      </c>
      <c r="G22" s="35">
        <f t="shared" ca="1" si="2"/>
        <v>-6962.6845978102538</v>
      </c>
      <c r="H22" s="35">
        <f t="shared" si="2"/>
        <v>-6225.0897368663573</v>
      </c>
    </row>
    <row r="23" spans="1:8" x14ac:dyDescent="0.2">
      <c r="A23">
        <v>2015</v>
      </c>
      <c r="B23" s="35">
        <f t="shared" si="2"/>
        <v>0</v>
      </c>
      <c r="C23" s="35">
        <f t="shared" si="2"/>
        <v>-20087.369240443804</v>
      </c>
      <c r="D23" s="35">
        <f t="shared" si="2"/>
        <v>-19874.603815321985</v>
      </c>
      <c r="E23" s="35">
        <f t="shared" si="2"/>
        <v>-14821.902096236649</v>
      </c>
      <c r="F23" s="35">
        <f t="shared" si="2"/>
        <v>-14907.249552393798</v>
      </c>
      <c r="G23" s="35">
        <f t="shared" ca="1" si="2"/>
        <v>-19192.029003582466</v>
      </c>
      <c r="H23" s="35">
        <f t="shared" si="2"/>
        <v>-14163.889532868925</v>
      </c>
    </row>
    <row r="24" spans="1:8" x14ac:dyDescent="0.2">
      <c r="A24">
        <v>2016</v>
      </c>
      <c r="B24" s="35">
        <f t="shared" si="2"/>
        <v>0</v>
      </c>
      <c r="C24" s="35">
        <f t="shared" si="2"/>
        <v>-25084.792780119868</v>
      </c>
      <c r="D24" s="35">
        <f t="shared" si="2"/>
        <v>-24362.030445824144</v>
      </c>
      <c r="E24" s="35">
        <f t="shared" si="2"/>
        <v>-27480.613455659419</v>
      </c>
      <c r="F24" s="35">
        <f t="shared" si="2"/>
        <v>-27911.297961208271</v>
      </c>
      <c r="G24" s="35">
        <f t="shared" ca="1" si="2"/>
        <v>-24207.49076662161</v>
      </c>
      <c r="H24" s="35">
        <f t="shared" si="2"/>
        <v>-27377.472926561255</v>
      </c>
    </row>
    <row r="25" spans="1:8" x14ac:dyDescent="0.2">
      <c r="A25">
        <v>2017</v>
      </c>
      <c r="B25" s="35">
        <f t="shared" si="2"/>
        <v>0</v>
      </c>
      <c r="C25" s="35">
        <f t="shared" si="2"/>
        <v>-42956.006073808647</v>
      </c>
      <c r="D25" s="35">
        <f t="shared" si="2"/>
        <v>-41697.04598697304</v>
      </c>
      <c r="E25" s="35">
        <f t="shared" si="2"/>
        <v>-35758.739868407021</v>
      </c>
      <c r="F25" s="35">
        <f t="shared" si="2"/>
        <v>-36619.775652114069</v>
      </c>
      <c r="G25" s="35">
        <f t="shared" ca="1" si="2"/>
        <v>-39426.276896491305</v>
      </c>
      <c r="H25" s="35">
        <f t="shared" ca="1" si="2"/>
        <v>-31179.43797911756</v>
      </c>
    </row>
    <row r="26" spans="1:8" x14ac:dyDescent="0.2">
      <c r="A26">
        <v>2018</v>
      </c>
      <c r="B26" s="35">
        <f t="shared" si="2"/>
        <v>0</v>
      </c>
      <c r="C26" s="35">
        <f t="shared" si="2"/>
        <v>-9584.4060366567574</v>
      </c>
      <c r="D26" s="35">
        <f t="shared" si="2"/>
        <v>-6655.1249933610088</v>
      </c>
      <c r="E26" s="35">
        <f t="shared" si="2"/>
        <v>-13783.055531315855</v>
      </c>
      <c r="F26" s="35">
        <f t="shared" si="2"/>
        <v>-15394.628688968078</v>
      </c>
      <c r="G26" s="35">
        <f t="shared" ca="1" si="2"/>
        <v>-7775.4152428723464</v>
      </c>
      <c r="H26" s="35">
        <f t="shared" ca="1" si="2"/>
        <v>-13843.733721444965</v>
      </c>
    </row>
    <row r="27" spans="1:8" x14ac:dyDescent="0.2">
      <c r="A27">
        <v>2019</v>
      </c>
      <c r="B27" s="35">
        <f t="shared" si="2"/>
        <v>0</v>
      </c>
      <c r="C27" s="35">
        <f t="shared" si="2"/>
        <v>161240.23406835593</v>
      </c>
      <c r="D27" s="35">
        <f t="shared" si="2"/>
        <v>166050.16476016474</v>
      </c>
      <c r="E27" s="35">
        <f t="shared" si="2"/>
        <v>155531.20873706532</v>
      </c>
      <c r="F27" s="35">
        <f t="shared" si="2"/>
        <v>154269.66157561337</v>
      </c>
      <c r="G27" s="35">
        <f t="shared" ca="1" si="2"/>
        <v>152142.19174937558</v>
      </c>
      <c r="H27" s="35">
        <f t="shared" ca="1" si="2"/>
        <v>152236.23645945289</v>
      </c>
    </row>
    <row r="28" spans="1:8" x14ac:dyDescent="0.2">
      <c r="A28" s="38" t="s">
        <v>69</v>
      </c>
      <c r="B28" s="39">
        <f t="shared" si="2"/>
        <v>0</v>
      </c>
      <c r="C28" s="39">
        <f t="shared" si="2"/>
        <v>46867.952488978335</v>
      </c>
      <c r="D28" s="39">
        <f t="shared" si="2"/>
        <v>56819.908421060652</v>
      </c>
      <c r="E28" s="39">
        <f t="shared" si="2"/>
        <v>53884.685883280879</v>
      </c>
      <c r="F28" s="39">
        <f t="shared" si="2"/>
        <v>49688.224481855228</v>
      </c>
      <c r="G28" s="39">
        <f t="shared" ca="1" si="2"/>
        <v>45653.024574970244</v>
      </c>
      <c r="H28" s="39">
        <f t="shared" ca="1" si="2"/>
        <v>55906.759707809426</v>
      </c>
    </row>
    <row r="30" spans="1:8" x14ac:dyDescent="0.2">
      <c r="B30" s="37" t="s">
        <v>3</v>
      </c>
      <c r="C30" s="34" t="s">
        <v>63</v>
      </c>
      <c r="D30" s="34"/>
      <c r="E30" s="34" t="s">
        <v>64</v>
      </c>
      <c r="F30" s="34"/>
      <c r="G30" s="34" t="s">
        <v>67</v>
      </c>
      <c r="H30" s="34" t="s">
        <v>68</v>
      </c>
    </row>
    <row r="31" spans="1:8" x14ac:dyDescent="0.2">
      <c r="B31" s="34" t="s">
        <v>83</v>
      </c>
      <c r="C31" s="34" t="s">
        <v>65</v>
      </c>
      <c r="D31" s="34" t="s">
        <v>66</v>
      </c>
      <c r="E31" s="34" t="s">
        <v>65</v>
      </c>
      <c r="F31" s="34" t="s">
        <v>66</v>
      </c>
      <c r="G31" s="34"/>
      <c r="H31" s="34"/>
    </row>
    <row r="32" spans="1:8" x14ac:dyDescent="0.2">
      <c r="A32">
        <v>2010</v>
      </c>
      <c r="B32" s="35"/>
      <c r="C32" s="35"/>
      <c r="D32" s="35"/>
      <c r="E32" s="35"/>
      <c r="F32" s="35"/>
      <c r="G32" s="35"/>
      <c r="H32" s="35"/>
    </row>
    <row r="33" spans="1:8" x14ac:dyDescent="0.2">
      <c r="A33">
        <v>2011</v>
      </c>
      <c r="B33" s="36">
        <f>B5/$B5</f>
        <v>1</v>
      </c>
      <c r="C33" s="36">
        <f t="shared" ref="C33:H33" si="3">C5/$B5</f>
        <v>0.226312869582346</v>
      </c>
      <c r="D33" s="36">
        <f t="shared" si="3"/>
        <v>0.22584111546270183</v>
      </c>
      <c r="E33" s="36">
        <f t="shared" si="3"/>
        <v>0.9458588144963721</v>
      </c>
      <c r="F33" s="36">
        <f t="shared" si="3"/>
        <v>0.94630245193109996</v>
      </c>
      <c r="G33" s="36">
        <f t="shared" ca="1" si="3"/>
        <v>0.2228618735045122</v>
      </c>
      <c r="H33" s="36">
        <f t="shared" si="3"/>
        <v>0.94817965195587173</v>
      </c>
    </row>
    <row r="34" spans="1:8" x14ac:dyDescent="0.2">
      <c r="A34">
        <v>2012</v>
      </c>
      <c r="B34" s="36">
        <f t="shared" ref="B34:H42" si="4">B6/$B6</f>
        <v>1</v>
      </c>
      <c r="C34" s="36">
        <f t="shared" si="4"/>
        <v>0.23019191568998087</v>
      </c>
      <c r="D34" s="36">
        <f t="shared" si="4"/>
        <v>0.22992463391375328</v>
      </c>
      <c r="E34" s="36">
        <f t="shared" si="4"/>
        <v>0.87326681822938845</v>
      </c>
      <c r="F34" s="36">
        <f t="shared" si="4"/>
        <v>0.87507476675041418</v>
      </c>
      <c r="G34" s="36">
        <f t="shared" ca="1" si="4"/>
        <v>0.24331546456168632</v>
      </c>
      <c r="H34" s="36">
        <f t="shared" si="4"/>
        <v>0.87800718450733195</v>
      </c>
    </row>
    <row r="35" spans="1:8" x14ac:dyDescent="0.2">
      <c r="A35">
        <v>2013</v>
      </c>
      <c r="B35" s="36">
        <f t="shared" si="4"/>
        <v>1</v>
      </c>
      <c r="C35" s="36">
        <f t="shared" si="4"/>
        <v>0.44442186813921336</v>
      </c>
      <c r="D35" s="36">
        <f t="shared" si="4"/>
        <v>0.44307051931793945</v>
      </c>
      <c r="E35" s="36">
        <f t="shared" si="4"/>
        <v>0.67562641174044813</v>
      </c>
      <c r="F35" s="36">
        <f t="shared" si="4"/>
        <v>0.67831735946166227</v>
      </c>
      <c r="G35" s="36">
        <f t="shared" ca="1" si="4"/>
        <v>0.485400533519868</v>
      </c>
      <c r="H35" s="36">
        <f t="shared" si="4"/>
        <v>0.65762846994372492</v>
      </c>
    </row>
    <row r="36" spans="1:8" x14ac:dyDescent="0.2">
      <c r="A36">
        <v>2014</v>
      </c>
      <c r="B36" s="36">
        <f t="shared" si="4"/>
        <v>1</v>
      </c>
      <c r="C36" s="36">
        <f t="shared" si="4"/>
        <v>0.57135790491578375</v>
      </c>
      <c r="D36" s="36">
        <f t="shared" si="4"/>
        <v>0.57321163997572466</v>
      </c>
      <c r="E36" s="36">
        <f t="shared" si="4"/>
        <v>0.62634530056424476</v>
      </c>
      <c r="F36" s="36">
        <f t="shared" si="4"/>
        <v>0.6276391447377585</v>
      </c>
      <c r="G36" s="36">
        <f t="shared" ca="1" si="4"/>
        <v>0.59296828026363535</v>
      </c>
      <c r="H36" s="36">
        <f t="shared" si="4"/>
        <v>0.63608735315875387</v>
      </c>
    </row>
    <row r="37" spans="1:8" x14ac:dyDescent="0.2">
      <c r="A37">
        <v>2015</v>
      </c>
      <c r="B37" s="36">
        <f t="shared" si="4"/>
        <v>1</v>
      </c>
      <c r="C37" s="36">
        <f t="shared" si="4"/>
        <v>0.48288404581171823</v>
      </c>
      <c r="D37" s="36">
        <f t="shared" si="4"/>
        <v>0.48836133825918432</v>
      </c>
      <c r="E37" s="36">
        <f t="shared" si="4"/>
        <v>0.61843475103007728</v>
      </c>
      <c r="F37" s="36">
        <f t="shared" si="4"/>
        <v>0.61623762254102721</v>
      </c>
      <c r="G37" s="36">
        <f t="shared" ca="1" si="4"/>
        <v>0.50593309296994549</v>
      </c>
      <c r="H37" s="36">
        <f t="shared" si="4"/>
        <v>0.6353741914565858</v>
      </c>
    </row>
    <row r="38" spans="1:8" x14ac:dyDescent="0.2">
      <c r="A38">
        <v>2016</v>
      </c>
      <c r="B38" s="36">
        <f t="shared" si="4"/>
        <v>1</v>
      </c>
      <c r="C38" s="36">
        <f t="shared" si="4"/>
        <v>0.59682418624642597</v>
      </c>
      <c r="D38" s="36">
        <f t="shared" si="4"/>
        <v>0.60844079774624471</v>
      </c>
      <c r="E38" s="36">
        <f t="shared" si="4"/>
        <v>0.55831731242310234</v>
      </c>
      <c r="F38" s="36">
        <f t="shared" si="4"/>
        <v>0.55139512743565733</v>
      </c>
      <c r="G38" s="36">
        <f t="shared" ca="1" si="4"/>
        <v>0.61092463970841859</v>
      </c>
      <c r="H38" s="36">
        <f t="shared" si="4"/>
        <v>0.55997504055801772</v>
      </c>
    </row>
    <row r="39" spans="1:8" x14ac:dyDescent="0.2">
      <c r="A39">
        <v>2017</v>
      </c>
      <c r="B39" s="36">
        <f t="shared" si="4"/>
        <v>1</v>
      </c>
      <c r="C39" s="36">
        <f t="shared" si="4"/>
        <v>0.58606993838836874</v>
      </c>
      <c r="D39" s="36">
        <f t="shared" si="4"/>
        <v>0.59820145325534768</v>
      </c>
      <c r="E39" s="36">
        <f t="shared" si="4"/>
        <v>0.65542379867785405</v>
      </c>
      <c r="F39" s="36">
        <f t="shared" si="4"/>
        <v>0.64712673785736519</v>
      </c>
      <c r="G39" s="36">
        <f t="shared" ca="1" si="4"/>
        <v>0.62008290070448557</v>
      </c>
      <c r="H39" s="36">
        <f t="shared" ca="1" si="4"/>
        <v>0.69955058993295594</v>
      </c>
    </row>
    <row r="40" spans="1:8" x14ac:dyDescent="0.2">
      <c r="A40">
        <v>2018</v>
      </c>
      <c r="B40" s="36">
        <f t="shared" si="4"/>
        <v>1</v>
      </c>
      <c r="C40" s="36">
        <f t="shared" si="4"/>
        <v>0.93493451612544975</v>
      </c>
      <c r="D40" s="36">
        <f t="shared" si="4"/>
        <v>0.95482047335197273</v>
      </c>
      <c r="E40" s="36">
        <f t="shared" si="4"/>
        <v>0.90643122025664036</v>
      </c>
      <c r="F40" s="36">
        <f t="shared" si="4"/>
        <v>0.89549076271541794</v>
      </c>
      <c r="G40" s="36">
        <f t="shared" ca="1" si="4"/>
        <v>0.94721517920170295</v>
      </c>
      <c r="H40" s="36">
        <f t="shared" ca="1" si="4"/>
        <v>0.90601929532500836</v>
      </c>
    </row>
    <row r="41" spans="1:8" x14ac:dyDescent="0.2">
      <c r="A41">
        <v>2019</v>
      </c>
      <c r="B41" s="36">
        <f t="shared" si="4"/>
        <v>1</v>
      </c>
      <c r="C41" s="36">
        <f t="shared" si="4"/>
        <v>3.2925912338564207</v>
      </c>
      <c r="D41" s="36">
        <f t="shared" si="4"/>
        <v>3.3609811428838596</v>
      </c>
      <c r="E41" s="36">
        <f t="shared" si="4"/>
        <v>3.2114175646168164</v>
      </c>
      <c r="F41" s="36">
        <f t="shared" si="4"/>
        <v>3.1934802800417081</v>
      </c>
      <c r="G41" s="36">
        <f t="shared" ca="1" si="4"/>
        <v>3.1632308903524131</v>
      </c>
      <c r="H41" s="36">
        <f t="shared" ca="1" si="4"/>
        <v>3.164568063292899</v>
      </c>
    </row>
    <row r="42" spans="1:8" x14ac:dyDescent="0.2">
      <c r="A42" s="38" t="s">
        <v>69</v>
      </c>
      <c r="B42" s="40">
        <f t="shared" si="4"/>
        <v>1</v>
      </c>
      <c r="C42" s="40">
        <f t="shared" si="4"/>
        <v>1.1032183702126526</v>
      </c>
      <c r="D42" s="40">
        <f t="shared" si="4"/>
        <v>1.1251357917594813</v>
      </c>
      <c r="E42" s="40">
        <f t="shared" si="4"/>
        <v>1.1186714836241447</v>
      </c>
      <c r="F42" s="40">
        <f t="shared" si="4"/>
        <v>1.1094295201179019</v>
      </c>
      <c r="G42" s="40">
        <f t="shared" ca="1" si="4"/>
        <v>1.1005427065117632</v>
      </c>
      <c r="H42" s="40">
        <f t="shared" ca="1" si="4"/>
        <v>1.123124743336452</v>
      </c>
    </row>
    <row r="45" spans="1:8" x14ac:dyDescent="0.2">
      <c r="B45" s="36"/>
      <c r="C45" s="36"/>
      <c r="D45" s="36"/>
      <c r="E45" s="36"/>
      <c r="F45" s="36"/>
      <c r="G45" s="36"/>
      <c r="H45" s="36"/>
    </row>
  </sheetData>
  <mergeCells count="1">
    <mergeCell ref="I15:T15"/>
  </mergeCells>
  <conditionalFormatting sqref="B18:H2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33:H42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BB22-D21B-2849-96AF-00EF58C58110}">
  <dimension ref="A1:F14"/>
  <sheetViews>
    <sheetView workbookViewId="0">
      <selection activeCell="K19" sqref="K19"/>
    </sheetView>
  </sheetViews>
  <sheetFormatPr baseColWidth="10" defaultColWidth="11" defaultRowHeight="16" x14ac:dyDescent="0.2"/>
  <cols>
    <col min="2" max="2" width="13.5" bestFit="1" customWidth="1"/>
    <col min="3" max="3" width="11.6640625" bestFit="1" customWidth="1"/>
    <col min="4" max="4" width="16" bestFit="1" customWidth="1"/>
    <col min="5" max="5" width="6.6640625" bestFit="1" customWidth="1"/>
    <col min="6" max="6" width="13.83203125" bestFit="1" customWidth="1"/>
  </cols>
  <sheetData>
    <row r="1" spans="1:6" x14ac:dyDescent="0.2">
      <c r="A1" t="s">
        <v>78</v>
      </c>
      <c r="B1" s="34" t="s">
        <v>73</v>
      </c>
      <c r="C1" s="34" t="s">
        <v>74</v>
      </c>
      <c r="D1" s="34" t="s">
        <v>75</v>
      </c>
      <c r="E1" s="34" t="s">
        <v>77</v>
      </c>
      <c r="F1" s="34" t="s">
        <v>76</v>
      </c>
    </row>
    <row r="2" spans="1:6" x14ac:dyDescent="0.2">
      <c r="A2" s="34">
        <f>'LRcomb3 case reserves'!A4</f>
        <v>2010</v>
      </c>
      <c r="B2" s="35">
        <v>362965</v>
      </c>
      <c r="C2" s="42">
        <f>D2/B2</f>
        <v>0.75000068877164461</v>
      </c>
      <c r="D2" s="35">
        <v>272224</v>
      </c>
      <c r="E2" s="43">
        <v>1</v>
      </c>
      <c r="F2" s="44">
        <f>D2*(1-1/E2)</f>
        <v>0</v>
      </c>
    </row>
    <row r="3" spans="1:6" x14ac:dyDescent="0.2">
      <c r="A3" s="34">
        <f>'LRcomb3 case reserves'!A5</f>
        <v>2011</v>
      </c>
      <c r="B3" s="35">
        <v>358051</v>
      </c>
      <c r="C3" s="42">
        <f>C2</f>
        <v>0.75000068877164461</v>
      </c>
      <c r="D3" s="35">
        <f t="shared" ref="D3:D11" si="0">B3*C3</f>
        <v>268538.49661537615</v>
      </c>
      <c r="E3" s="43">
        <f>'LRamounts2 - CL on paid losses'!K32</f>
        <v>1.0013278747015961</v>
      </c>
      <c r="F3" s="44">
        <f t="shared" ref="F3:F11" si="1">D3*(1-1/E3)</f>
        <v>356.11260314358941</v>
      </c>
    </row>
    <row r="4" spans="1:6" x14ac:dyDescent="0.2">
      <c r="A4" s="34">
        <f>'LRcomb3 case reserves'!A6</f>
        <v>2012</v>
      </c>
      <c r="B4" s="35">
        <v>338791</v>
      </c>
      <c r="C4" s="42">
        <f t="shared" ref="C4:C11" si="2">C3</f>
        <v>0.75000068877164461</v>
      </c>
      <c r="D4" s="35">
        <f t="shared" si="0"/>
        <v>254093.48334963425</v>
      </c>
      <c r="E4" s="43">
        <f>'LRamounts2 - CL on paid losses'!J32</f>
        <v>1.004015300766482</v>
      </c>
      <c r="F4" s="44">
        <f>D4*(1-1/E4)</f>
        <v>1016.1814841596492</v>
      </c>
    </row>
    <row r="5" spans="1:6" x14ac:dyDescent="0.2">
      <c r="A5" s="34">
        <f>'LRcomb3 case reserves'!A7</f>
        <v>2013</v>
      </c>
      <c r="B5" s="35">
        <v>384176</v>
      </c>
      <c r="C5" s="42">
        <f t="shared" si="2"/>
        <v>0.75000068877164461</v>
      </c>
      <c r="D5" s="35">
        <f t="shared" si="0"/>
        <v>288132.26460953534</v>
      </c>
      <c r="E5" s="43">
        <f>'LRamounts2 - CL on paid losses'!I32</f>
        <v>1.0134029576398502</v>
      </c>
      <c r="F5" s="44">
        <f t="shared" si="1"/>
        <v>3810.7492267731814</v>
      </c>
    </row>
    <row r="6" spans="1:6" x14ac:dyDescent="0.2">
      <c r="A6" s="34">
        <f>'LRcomb3 case reserves'!A8</f>
        <v>2014</v>
      </c>
      <c r="B6" s="35">
        <v>366841</v>
      </c>
      <c r="C6" s="42">
        <f t="shared" si="2"/>
        <v>0.75000068877164461</v>
      </c>
      <c r="D6" s="35">
        <f t="shared" si="0"/>
        <v>275131.00266967888</v>
      </c>
      <c r="E6" s="43">
        <f>'LRamounts2 - CL on paid losses'!H32</f>
        <v>1.0369507129222109</v>
      </c>
      <c r="F6" s="44">
        <f t="shared" si="1"/>
        <v>9804.0211255537197</v>
      </c>
    </row>
    <row r="7" spans="1:6" x14ac:dyDescent="0.2">
      <c r="A7" s="34">
        <f>'LRcomb3 case reserves'!A9</f>
        <v>2015</v>
      </c>
      <c r="B7" s="35">
        <v>390060</v>
      </c>
      <c r="C7" s="42">
        <f t="shared" si="2"/>
        <v>0.75000068877164461</v>
      </c>
      <c r="D7" s="35">
        <f t="shared" si="0"/>
        <v>292545.26866226771</v>
      </c>
      <c r="E7" s="43">
        <f>'LRamounts2 - CL on paid losses'!G32</f>
        <v>1.0695053997975204</v>
      </c>
      <c r="F7" s="44">
        <f t="shared" si="1"/>
        <v>19012.036648990706</v>
      </c>
    </row>
    <row r="8" spans="1:6" x14ac:dyDescent="0.2">
      <c r="A8" s="34">
        <f>'LRcomb3 case reserves'!A10</f>
        <v>2016</v>
      </c>
      <c r="B8" s="35">
        <v>397287</v>
      </c>
      <c r="C8" s="42">
        <f t="shared" si="2"/>
        <v>0.75000068877164461</v>
      </c>
      <c r="D8" s="35">
        <f t="shared" si="0"/>
        <v>297965.52364002034</v>
      </c>
      <c r="E8" s="43">
        <f>'LRamounts2 - CL on paid losses'!F32</f>
        <v>1.1409689964082399</v>
      </c>
      <c r="F8" s="44">
        <f t="shared" si="1"/>
        <v>36814.235061616266</v>
      </c>
    </row>
    <row r="9" spans="1:6" x14ac:dyDescent="0.2">
      <c r="A9" s="34">
        <f>'LRcomb3 case reserves'!A11</f>
        <v>2017</v>
      </c>
      <c r="B9" s="35">
        <v>365499</v>
      </c>
      <c r="C9" s="42">
        <f t="shared" si="2"/>
        <v>0.75000068877164461</v>
      </c>
      <c r="D9" s="35">
        <f t="shared" si="0"/>
        <v>274124.50174534734</v>
      </c>
      <c r="E9" s="43">
        <f>'LRamounts2 - CL on paid losses'!E32</f>
        <v>1.2969421784201394</v>
      </c>
      <c r="F9" s="44">
        <f t="shared" si="1"/>
        <v>62762.340573852314</v>
      </c>
    </row>
    <row r="10" spans="1:6" x14ac:dyDescent="0.2">
      <c r="A10" s="34">
        <f>'LRcomb3 case reserves'!A12</f>
        <v>2018</v>
      </c>
      <c r="B10" s="35">
        <v>418201</v>
      </c>
      <c r="C10" s="42">
        <f t="shared" si="2"/>
        <v>0.75000068877164461</v>
      </c>
      <c r="D10" s="35">
        <f t="shared" si="0"/>
        <v>313651.03804499056</v>
      </c>
      <c r="E10" s="43">
        <f>'LRamounts2 - CL on paid losses'!D32</f>
        <v>1.7238342196282179</v>
      </c>
      <c r="F10" s="44">
        <f t="shared" si="1"/>
        <v>131701.38507161115</v>
      </c>
    </row>
    <row r="11" spans="1:6" x14ac:dyDescent="0.2">
      <c r="A11" s="34">
        <f>'LRcomb3 case reserves'!A13</f>
        <v>2019</v>
      </c>
      <c r="B11" s="35">
        <v>415860</v>
      </c>
      <c r="C11" s="42">
        <f t="shared" si="2"/>
        <v>0.75000068877164461</v>
      </c>
      <c r="D11" s="35">
        <f t="shared" si="0"/>
        <v>311895.28643257613</v>
      </c>
      <c r="E11" s="43">
        <f>'LRamounts2 - CL on paid losses'!C32</f>
        <v>3.9961732467538189</v>
      </c>
      <c r="F11" s="44">
        <f t="shared" si="1"/>
        <v>233846.79674661579</v>
      </c>
    </row>
    <row r="12" spans="1:6" x14ac:dyDescent="0.2">
      <c r="F12" s="34"/>
    </row>
    <row r="13" spans="1:6" ht="17" thickBot="1" x14ac:dyDescent="0.25">
      <c r="F13" s="45">
        <f>SUM(F2:F11)</f>
        <v>499123.85854231636</v>
      </c>
    </row>
    <row r="1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  <vt:lpstr>LRcomb1 Comparison</vt:lpstr>
      <vt:lpstr>LRcomb2 average claim size</vt:lpstr>
      <vt:lpstr>LRcomb3 case reserves</vt:lpstr>
      <vt:lpstr>LRcomb4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2023-08-15T20:17:10Z</dcterms:created>
  <dcterms:modified xsi:type="dcterms:W3CDTF">2024-08-30T00:53:00Z</dcterms:modified>
</cp:coreProperties>
</file>