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xlfiles/"/>
    </mc:Choice>
  </mc:AlternateContent>
  <xr:revisionPtr revIDLastSave="0" documentId="13_ncr:1_{99A9B6EA-3D3F-9B42-8C09-D57075B84F74}" xr6:coauthVersionLast="47" xr6:coauthVersionMax="47" xr10:uidLastSave="{00000000-0000-0000-0000-000000000000}"/>
  <bookViews>
    <workbookView xWindow="-39480" yWindow="1720" windowWidth="29040" windowHeight="15840" activeTab="6" xr2:uid="{664FB022-1BC7-BB4C-9AD7-74455482708D}"/>
  </bookViews>
  <sheets>
    <sheet name="B.1 Exposure" sheetId="1" r:id="rId1"/>
    <sheet name="Counts data" sheetId="2" r:id="rId2"/>
    <sheet name="Table 2.1" sheetId="3" r:id="rId3"/>
    <sheet name="Table 2.2" sheetId="4" r:id="rId4"/>
    <sheet name="Table 2.3" sheetId="5" r:id="rId5"/>
    <sheet name="Table 2.4" sheetId="6" r:id="rId6"/>
    <sheet name="Table 2.5" sheetId="8" r:id="rId7"/>
    <sheet name="Table 2.6 and 2.7" sheetId="9" r:id="rId8"/>
    <sheet name="Table 2.8 and 2.9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8" l="1"/>
  <c r="R27" i="8" a="1"/>
  <c r="R27" i="8" s="1"/>
  <c r="O27" i="8" a="1"/>
  <c r="O27" i="8" s="1"/>
  <c r="R18" i="8" a="1"/>
  <c r="R18" i="8" s="1"/>
  <c r="O18" i="8" a="1"/>
  <c r="O18" i="8" s="1"/>
  <c r="D34" i="8"/>
  <c r="E34" i="8"/>
  <c r="F34" i="8"/>
  <c r="G34" i="8"/>
  <c r="H34" i="8"/>
  <c r="I34" i="8"/>
  <c r="J34" i="8"/>
  <c r="K34" i="8"/>
  <c r="L34" i="8"/>
  <c r="C34" i="8"/>
  <c r="D32" i="8"/>
  <c r="E32" i="8"/>
  <c r="F32" i="8"/>
  <c r="G32" i="8"/>
  <c r="H32" i="8"/>
  <c r="I32" i="8"/>
  <c r="J32" i="8"/>
  <c r="K32" i="8"/>
  <c r="L32" i="8"/>
  <c r="D30" i="8"/>
  <c r="E30" i="8"/>
  <c r="F30" i="8"/>
  <c r="G30" i="8"/>
  <c r="H30" i="8"/>
  <c r="I30" i="8"/>
  <c r="J30" i="8"/>
  <c r="K30" i="8"/>
  <c r="L30" i="8"/>
  <c r="C30" i="8"/>
  <c r="E34" i="5"/>
  <c r="F34" i="5"/>
  <c r="G34" i="5"/>
  <c r="H34" i="5"/>
  <c r="I34" i="5"/>
  <c r="J34" i="5"/>
  <c r="K34" i="5"/>
  <c r="L34" i="5"/>
  <c r="M34" i="5"/>
  <c r="D34" i="5"/>
  <c r="D32" i="5"/>
  <c r="E32" i="5"/>
  <c r="F32" i="5"/>
  <c r="G32" i="5"/>
  <c r="H32" i="5"/>
  <c r="I32" i="5"/>
  <c r="J32" i="5"/>
  <c r="K32" i="5"/>
  <c r="L32" i="5"/>
  <c r="M32" i="5"/>
  <c r="D30" i="5"/>
  <c r="C34" i="5"/>
  <c r="C33" i="5"/>
  <c r="C32" i="5"/>
  <c r="C30" i="5"/>
  <c r="E30" i="5"/>
  <c r="F30" i="5"/>
  <c r="G30" i="5"/>
  <c r="H30" i="5"/>
  <c r="I30" i="5"/>
  <c r="J30" i="5"/>
  <c r="K30" i="5"/>
  <c r="L30" i="5"/>
  <c r="M30" i="5"/>
  <c r="D29" i="5"/>
  <c r="C29" i="5"/>
  <c r="D34" i="3"/>
  <c r="E34" i="3"/>
  <c r="F34" i="3"/>
  <c r="G34" i="3"/>
  <c r="H34" i="3"/>
  <c r="I34" i="3"/>
  <c r="J34" i="3"/>
  <c r="K34" i="3"/>
  <c r="L34" i="3"/>
  <c r="M34" i="3"/>
  <c r="C34" i="3"/>
  <c r="D32" i="3"/>
  <c r="E32" i="3"/>
  <c r="F32" i="3"/>
  <c r="G32" i="3"/>
  <c r="H32" i="3"/>
  <c r="I32" i="3"/>
  <c r="J32" i="3"/>
  <c r="K32" i="3"/>
  <c r="L32" i="3"/>
  <c r="M32" i="3"/>
  <c r="C32" i="3"/>
  <c r="Q25" i="3" a="1"/>
  <c r="Q25" i="3" s="1"/>
  <c r="R17" i="3" a="1"/>
  <c r="R17" i="3" s="1"/>
  <c r="S17" i="3" a="1"/>
  <c r="S17" i="3" s="1"/>
  <c r="Q17" i="3" a="1"/>
  <c r="Q17" i="3" s="1"/>
  <c r="D30" i="3"/>
  <c r="E30" i="3"/>
  <c r="F30" i="3"/>
  <c r="G30" i="3"/>
  <c r="H30" i="3"/>
  <c r="I30" i="3"/>
  <c r="J30" i="3"/>
  <c r="K30" i="3"/>
  <c r="L30" i="3"/>
  <c r="M30" i="3"/>
  <c r="C30" i="3"/>
  <c r="C29" i="3"/>
  <c r="H50" i="9"/>
  <c r="N61" i="8"/>
  <c r="E61" i="8"/>
  <c r="F61" i="8"/>
  <c r="G61" i="8"/>
  <c r="H61" i="8"/>
  <c r="I61" i="8"/>
  <c r="J61" i="8"/>
  <c r="K61" i="8"/>
  <c r="L61" i="8"/>
  <c r="M61" i="8"/>
  <c r="D61" i="8"/>
  <c r="C61" i="8"/>
  <c r="D60" i="8"/>
  <c r="E60" i="8"/>
  <c r="F60" i="8"/>
  <c r="G60" i="8"/>
  <c r="H60" i="8"/>
  <c r="I60" i="8"/>
  <c r="J60" i="8"/>
  <c r="K60" i="8"/>
  <c r="L60" i="8"/>
  <c r="M60" i="8"/>
  <c r="C60" i="8"/>
  <c r="B48" i="8" a="1"/>
  <c r="B48" i="8" s="1"/>
  <c r="B47" i="8" a="1"/>
  <c r="B47" i="8" s="1"/>
  <c r="I45" i="8"/>
  <c r="C47" i="3" a="1"/>
  <c r="C47" i="3" s="1"/>
  <c r="H48" i="3"/>
  <c r="N22" i="4"/>
  <c r="N24" i="4"/>
  <c r="C24" i="4"/>
  <c r="B48" i="5" a="1"/>
  <c r="B48" i="5"/>
  <c r="B52" i="5"/>
  <c r="C7" i="5"/>
  <c r="B7" i="5"/>
  <c r="D42" i="10"/>
  <c r="H10" i="10"/>
  <c r="E11" i="10"/>
  <c r="E12" i="10"/>
  <c r="E13" i="10"/>
  <c r="H13" i="10" s="1"/>
  <c r="E14" i="10"/>
  <c r="E15" i="10"/>
  <c r="H15" i="10" s="1"/>
  <c r="E16" i="10"/>
  <c r="E1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H16" i="10"/>
  <c r="H14" i="10"/>
  <c r="H12" i="10"/>
  <c r="H11" i="10"/>
  <c r="D33" i="9"/>
  <c r="E33" i="9"/>
  <c r="F33" i="9"/>
  <c r="P33" i="9" s="1"/>
  <c r="G33" i="9"/>
  <c r="H33" i="9"/>
  <c r="I33" i="9"/>
  <c r="J33" i="9"/>
  <c r="K33" i="9"/>
  <c r="L33" i="9"/>
  <c r="M33" i="9"/>
  <c r="D34" i="9"/>
  <c r="E34" i="9"/>
  <c r="F34" i="9"/>
  <c r="G34" i="9"/>
  <c r="H34" i="9"/>
  <c r="I34" i="9"/>
  <c r="J34" i="9"/>
  <c r="K34" i="9"/>
  <c r="L34" i="9"/>
  <c r="M34" i="9"/>
  <c r="D35" i="9"/>
  <c r="E35" i="9"/>
  <c r="F35" i="9"/>
  <c r="G35" i="9"/>
  <c r="H35" i="9"/>
  <c r="I35" i="9"/>
  <c r="J35" i="9"/>
  <c r="K35" i="9"/>
  <c r="L35" i="9"/>
  <c r="M35" i="9"/>
  <c r="D36" i="9"/>
  <c r="E36" i="9"/>
  <c r="F36" i="9"/>
  <c r="G36" i="9"/>
  <c r="H36" i="9"/>
  <c r="I36" i="9"/>
  <c r="J36" i="9"/>
  <c r="K36" i="9"/>
  <c r="L36" i="9"/>
  <c r="M36" i="9"/>
  <c r="D37" i="9"/>
  <c r="E37" i="9"/>
  <c r="F37" i="9"/>
  <c r="G37" i="9"/>
  <c r="H37" i="9"/>
  <c r="I37" i="9"/>
  <c r="J37" i="9"/>
  <c r="K37" i="9"/>
  <c r="L37" i="9"/>
  <c r="M37" i="9"/>
  <c r="D38" i="9"/>
  <c r="E38" i="9"/>
  <c r="F38" i="9"/>
  <c r="G38" i="9"/>
  <c r="H38" i="9"/>
  <c r="I38" i="9"/>
  <c r="J38" i="9"/>
  <c r="K38" i="9"/>
  <c r="L38" i="9"/>
  <c r="M38" i="9"/>
  <c r="D39" i="9"/>
  <c r="E39" i="9"/>
  <c r="N39" i="9" s="1"/>
  <c r="F39" i="9"/>
  <c r="G39" i="9"/>
  <c r="H39" i="9"/>
  <c r="I39" i="9"/>
  <c r="J39" i="9"/>
  <c r="K39" i="9"/>
  <c r="L39" i="9"/>
  <c r="M39" i="9"/>
  <c r="C34" i="9"/>
  <c r="C35" i="9"/>
  <c r="C36" i="9"/>
  <c r="C37" i="9"/>
  <c r="C38" i="9"/>
  <c r="C39" i="9"/>
  <c r="C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33" i="9"/>
  <c r="N50" i="9"/>
  <c r="N38" i="9"/>
  <c r="N35" i="9"/>
  <c r="P34" i="9"/>
  <c r="N37" i="9" l="1"/>
  <c r="P36" i="9"/>
  <c r="O34" i="9"/>
  <c r="P39" i="9"/>
  <c r="O39" i="9" s="1"/>
  <c r="N36" i="9"/>
  <c r="P37" i="9"/>
  <c r="O37" i="9" s="1"/>
  <c r="N33" i="9"/>
  <c r="O33" i="9" s="1"/>
  <c r="P35" i="9"/>
  <c r="O35" i="9" s="1"/>
  <c r="P38" i="9"/>
  <c r="O38" i="9" s="1"/>
  <c r="N34" i="9"/>
  <c r="M8" i="9"/>
  <c r="M9" i="9"/>
  <c r="M10" i="9"/>
  <c r="M11" i="9"/>
  <c r="M12" i="9"/>
  <c r="M13" i="9"/>
  <c r="M7" i="9"/>
  <c r="H36" i="8"/>
  <c r="G36" i="8"/>
  <c r="J17" i="9"/>
  <c r="J43" i="9" s="1"/>
  <c r="C24" i="9"/>
  <c r="C50" i="9" s="1"/>
  <c r="C23" i="9"/>
  <c r="C49" i="9" s="1"/>
  <c r="N49" i="9" s="1"/>
  <c r="C22" i="9"/>
  <c r="C48" i="9" s="1"/>
  <c r="N48" i="9" s="1"/>
  <c r="D22" i="9"/>
  <c r="D48" i="9" s="1"/>
  <c r="C21" i="9"/>
  <c r="C47" i="9" s="1"/>
  <c r="N47" i="9" s="1"/>
  <c r="D21" i="9"/>
  <c r="D47" i="9" s="1"/>
  <c r="E21" i="9"/>
  <c r="E47" i="9" s="1"/>
  <c r="C20" i="9"/>
  <c r="C46" i="9" s="1"/>
  <c r="D20" i="9"/>
  <c r="E20" i="9"/>
  <c r="E46" i="9" s="1"/>
  <c r="F20" i="9"/>
  <c r="F46" i="9" s="1"/>
  <c r="C19" i="9"/>
  <c r="C45" i="9" s="1"/>
  <c r="D19" i="9"/>
  <c r="D45" i="9" s="1"/>
  <c r="E19" i="9"/>
  <c r="E45" i="9" s="1"/>
  <c r="F19" i="9"/>
  <c r="F45" i="9" s="1"/>
  <c r="G19" i="9"/>
  <c r="C18" i="9"/>
  <c r="C44" i="9" s="1"/>
  <c r="D18" i="9"/>
  <c r="E18" i="9"/>
  <c r="F18" i="9"/>
  <c r="F44" i="9" s="1"/>
  <c r="G18" i="9"/>
  <c r="G44" i="9" s="1"/>
  <c r="H18" i="9"/>
  <c r="H44" i="9" s="1"/>
  <c r="C17" i="9"/>
  <c r="C43" i="9" s="1"/>
  <c r="D17" i="9"/>
  <c r="D43" i="9" s="1"/>
  <c r="E17" i="9"/>
  <c r="F17" i="9"/>
  <c r="F43" i="9" s="1"/>
  <c r="G17" i="9"/>
  <c r="G43" i="9" s="1"/>
  <c r="H17" i="9"/>
  <c r="H43" i="9" s="1"/>
  <c r="I17" i="9"/>
  <c r="I43" i="9" s="1"/>
  <c r="C16" i="9"/>
  <c r="C42" i="9" s="1"/>
  <c r="D16" i="9"/>
  <c r="D42" i="9" s="1"/>
  <c r="E16" i="9"/>
  <c r="F16" i="9"/>
  <c r="F42" i="9" s="1"/>
  <c r="G16" i="9"/>
  <c r="G42" i="9" s="1"/>
  <c r="H16" i="9"/>
  <c r="I16" i="9"/>
  <c r="I42" i="9" s="1"/>
  <c r="J16" i="9"/>
  <c r="C15" i="9"/>
  <c r="C41" i="9" s="1"/>
  <c r="D15" i="9"/>
  <c r="D41" i="9" s="1"/>
  <c r="E15" i="9"/>
  <c r="E41" i="9" s="1"/>
  <c r="F15" i="9"/>
  <c r="G15" i="9"/>
  <c r="G41" i="9" s="1"/>
  <c r="H15" i="9"/>
  <c r="H41" i="9" s="1"/>
  <c r="I15" i="9"/>
  <c r="I41" i="9" s="1"/>
  <c r="J15" i="9"/>
  <c r="J41" i="9" s="1"/>
  <c r="K15" i="9"/>
  <c r="K41" i="9" s="1"/>
  <c r="C9" i="9"/>
  <c r="D9" i="9"/>
  <c r="E9" i="9"/>
  <c r="F9" i="9"/>
  <c r="G9" i="9"/>
  <c r="H9" i="9"/>
  <c r="I9" i="9"/>
  <c r="J9" i="9"/>
  <c r="K9" i="9"/>
  <c r="L9" i="9"/>
  <c r="C10" i="9"/>
  <c r="D10" i="9"/>
  <c r="E10" i="9"/>
  <c r="F10" i="9"/>
  <c r="G10" i="9"/>
  <c r="H10" i="9"/>
  <c r="I10" i="9"/>
  <c r="J10" i="9"/>
  <c r="K10" i="9"/>
  <c r="L10" i="9"/>
  <c r="C11" i="9"/>
  <c r="D11" i="9"/>
  <c r="E11" i="9"/>
  <c r="F11" i="9"/>
  <c r="G11" i="9"/>
  <c r="H11" i="9"/>
  <c r="I11" i="9"/>
  <c r="J11" i="9"/>
  <c r="K11" i="9"/>
  <c r="L11" i="9"/>
  <c r="C12" i="9"/>
  <c r="D12" i="9"/>
  <c r="E12" i="9"/>
  <c r="F12" i="9"/>
  <c r="G12" i="9"/>
  <c r="H12" i="9"/>
  <c r="I12" i="9"/>
  <c r="J12" i="9"/>
  <c r="K12" i="9"/>
  <c r="L12" i="9"/>
  <c r="C13" i="9"/>
  <c r="D13" i="9"/>
  <c r="E13" i="9"/>
  <c r="F13" i="9"/>
  <c r="G13" i="9"/>
  <c r="H13" i="9"/>
  <c r="I13" i="9"/>
  <c r="J13" i="9"/>
  <c r="K13" i="9"/>
  <c r="L13" i="9"/>
  <c r="C14" i="9"/>
  <c r="C40" i="9" s="1"/>
  <c r="D14" i="9"/>
  <c r="D40" i="9" s="1"/>
  <c r="E14" i="9"/>
  <c r="F14" i="9"/>
  <c r="F40" i="9" s="1"/>
  <c r="G14" i="9"/>
  <c r="G40" i="9" s="1"/>
  <c r="H14" i="9"/>
  <c r="I14" i="9"/>
  <c r="I40" i="9" s="1"/>
  <c r="J14" i="9"/>
  <c r="J40" i="9" s="1"/>
  <c r="K14" i="9"/>
  <c r="L14" i="9"/>
  <c r="L40" i="9" s="1"/>
  <c r="C8" i="9"/>
  <c r="D8" i="9"/>
  <c r="E8" i="9"/>
  <c r="F8" i="9"/>
  <c r="G8" i="9"/>
  <c r="H8" i="9"/>
  <c r="I8" i="9"/>
  <c r="J8" i="9"/>
  <c r="K8" i="9"/>
  <c r="L8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C7" i="9"/>
  <c r="D7" i="9"/>
  <c r="E7" i="9"/>
  <c r="F7" i="9"/>
  <c r="G7" i="9"/>
  <c r="H7" i="9"/>
  <c r="I7" i="9"/>
  <c r="J7" i="9"/>
  <c r="K7" i="9"/>
  <c r="L7" i="9"/>
  <c r="B7" i="9"/>
  <c r="J47" i="8" a="1"/>
  <c r="J47" i="8" s="1"/>
  <c r="J48" i="8" s="1"/>
  <c r="K47" i="8" a="1"/>
  <c r="K47" i="8" s="1"/>
  <c r="K48" i="8" s="1"/>
  <c r="L47" i="8" a="1"/>
  <c r="L47" i="8" s="1"/>
  <c r="L48" i="8" s="1"/>
  <c r="I47" i="8" a="1"/>
  <c r="I47" i="8" s="1"/>
  <c r="I48" i="8" s="1"/>
  <c r="C33" i="8"/>
  <c r="L33" i="8"/>
  <c r="K33" i="8"/>
  <c r="J33" i="8"/>
  <c r="I33" i="8"/>
  <c r="H33" i="8"/>
  <c r="G33" i="8"/>
  <c r="F33" i="8"/>
  <c r="E33" i="8"/>
  <c r="D33" i="8"/>
  <c r="L31" i="8"/>
  <c r="K31" i="8"/>
  <c r="J31" i="8"/>
  <c r="I31" i="8"/>
  <c r="H31" i="8"/>
  <c r="G31" i="8"/>
  <c r="F31" i="8"/>
  <c r="E31" i="8"/>
  <c r="D31" i="8"/>
  <c r="C31" i="8"/>
  <c r="C29" i="8"/>
  <c r="L29" i="8"/>
  <c r="K29" i="8"/>
  <c r="J29" i="8"/>
  <c r="I29" i="8"/>
  <c r="H29" i="8"/>
  <c r="G29" i="8"/>
  <c r="F29" i="8"/>
  <c r="E29" i="8"/>
  <c r="D29" i="8"/>
  <c r="G9" i="8"/>
  <c r="C7" i="8"/>
  <c r="C23" i="8"/>
  <c r="C22" i="8"/>
  <c r="D22" i="8"/>
  <c r="C21" i="8"/>
  <c r="D21" i="8"/>
  <c r="E21" i="8"/>
  <c r="C20" i="8"/>
  <c r="D20" i="8"/>
  <c r="E20" i="8"/>
  <c r="F20" i="8"/>
  <c r="C19" i="8"/>
  <c r="D19" i="8"/>
  <c r="E19" i="8"/>
  <c r="F19" i="8"/>
  <c r="G19" i="8"/>
  <c r="C18" i="8"/>
  <c r="D18" i="8"/>
  <c r="E18" i="8"/>
  <c r="F18" i="8"/>
  <c r="G18" i="8"/>
  <c r="H18" i="8"/>
  <c r="C17" i="8"/>
  <c r="D17" i="8"/>
  <c r="E17" i="8"/>
  <c r="F17" i="8"/>
  <c r="G17" i="8"/>
  <c r="H17" i="8"/>
  <c r="I17" i="8"/>
  <c r="C16" i="8"/>
  <c r="D16" i="8"/>
  <c r="E16" i="8"/>
  <c r="F16" i="8"/>
  <c r="G16" i="8"/>
  <c r="H16" i="8"/>
  <c r="I16" i="8"/>
  <c r="J16" i="8"/>
  <c r="C8" i="8"/>
  <c r="D8" i="8"/>
  <c r="E8" i="8"/>
  <c r="F8" i="8"/>
  <c r="G8" i="8"/>
  <c r="H8" i="8"/>
  <c r="I8" i="8"/>
  <c r="J8" i="8"/>
  <c r="K8" i="8"/>
  <c r="L8" i="8"/>
  <c r="C9" i="8"/>
  <c r="D9" i="8"/>
  <c r="E9" i="8"/>
  <c r="F9" i="8"/>
  <c r="H9" i="8"/>
  <c r="I9" i="8"/>
  <c r="J9" i="8"/>
  <c r="K9" i="8"/>
  <c r="L9" i="8"/>
  <c r="C10" i="8"/>
  <c r="D10" i="8"/>
  <c r="E10" i="8"/>
  <c r="F10" i="8"/>
  <c r="G10" i="8"/>
  <c r="H10" i="8"/>
  <c r="I10" i="8"/>
  <c r="J10" i="8"/>
  <c r="K10" i="8"/>
  <c r="L10" i="8"/>
  <c r="C11" i="8"/>
  <c r="D11" i="8"/>
  <c r="E11" i="8"/>
  <c r="F11" i="8"/>
  <c r="G11" i="8"/>
  <c r="H11" i="8"/>
  <c r="I11" i="8"/>
  <c r="J11" i="8"/>
  <c r="K11" i="8"/>
  <c r="L11" i="8"/>
  <c r="C12" i="8"/>
  <c r="D12" i="8"/>
  <c r="E12" i="8"/>
  <c r="F12" i="8"/>
  <c r="G12" i="8"/>
  <c r="H12" i="8"/>
  <c r="I12" i="8"/>
  <c r="J12" i="8"/>
  <c r="K12" i="8"/>
  <c r="L12" i="8"/>
  <c r="C13" i="8"/>
  <c r="D13" i="8"/>
  <c r="E13" i="8"/>
  <c r="F13" i="8"/>
  <c r="G13" i="8"/>
  <c r="H13" i="8"/>
  <c r="I13" i="8"/>
  <c r="J13" i="8"/>
  <c r="K13" i="8"/>
  <c r="L13" i="8"/>
  <c r="C14" i="8"/>
  <c r="D14" i="8"/>
  <c r="E14" i="8"/>
  <c r="F14" i="8"/>
  <c r="G14" i="8"/>
  <c r="H14" i="8"/>
  <c r="I14" i="8"/>
  <c r="J14" i="8"/>
  <c r="K14" i="8"/>
  <c r="L14" i="8"/>
  <c r="C15" i="8"/>
  <c r="D15" i="8"/>
  <c r="E15" i="8"/>
  <c r="F15" i="8"/>
  <c r="G15" i="8"/>
  <c r="H15" i="8"/>
  <c r="I15" i="8"/>
  <c r="J15" i="8"/>
  <c r="K15" i="8"/>
  <c r="D7" i="8"/>
  <c r="E7" i="8"/>
  <c r="F7" i="8"/>
  <c r="G7" i="8"/>
  <c r="H7" i="8"/>
  <c r="I7" i="8"/>
  <c r="J7" i="8"/>
  <c r="K7" i="8"/>
  <c r="L7" i="8"/>
  <c r="I18" i="9" l="1"/>
  <c r="F21" i="9"/>
  <c r="F47" i="9" s="1"/>
  <c r="E40" i="9"/>
  <c r="N40" i="9" s="1"/>
  <c r="H42" i="9"/>
  <c r="E44" i="9"/>
  <c r="H40" i="9"/>
  <c r="D44" i="9"/>
  <c r="N44" i="9" s="1"/>
  <c r="E42" i="9"/>
  <c r="N42" i="9" s="1"/>
  <c r="G45" i="9"/>
  <c r="N45" i="9" s="1"/>
  <c r="D24" i="9"/>
  <c r="J42" i="9"/>
  <c r="D23" i="9"/>
  <c r="E22" i="9"/>
  <c r="K40" i="9"/>
  <c r="F41" i="9"/>
  <c r="N41" i="9" s="1"/>
  <c r="E43" i="9"/>
  <c r="N43" i="9" s="1"/>
  <c r="D46" i="9"/>
  <c r="N46" i="9" s="1"/>
  <c r="O36" i="9"/>
  <c r="F36" i="8"/>
  <c r="F39" i="8" s="1"/>
  <c r="G39" i="8"/>
  <c r="D36" i="8"/>
  <c r="D39" i="8" s="1"/>
  <c r="K36" i="8"/>
  <c r="K45" i="8" s="1"/>
  <c r="I36" i="8"/>
  <c r="L36" i="8"/>
  <c r="L45" i="8" s="1"/>
  <c r="J36" i="8"/>
  <c r="J45" i="8" s="1"/>
  <c r="E36" i="8"/>
  <c r="E39" i="8" s="1"/>
  <c r="D50" i="9" l="1"/>
  <c r="E24" i="9"/>
  <c r="I44" i="9"/>
  <c r="J18" i="9"/>
  <c r="J44" i="9" s="1"/>
  <c r="E48" i="9"/>
  <c r="F22" i="9"/>
  <c r="F48" i="9" s="1"/>
  <c r="D49" i="9"/>
  <c r="E23" i="9"/>
  <c r="G21" i="9"/>
  <c r="G47" i="9" s="1"/>
  <c r="G20" i="9"/>
  <c r="G46" i="9" s="1"/>
  <c r="G22" i="9"/>
  <c r="G48" i="9" s="1"/>
  <c r="I39" i="8"/>
  <c r="J39" i="8"/>
  <c r="H39" i="8"/>
  <c r="H19" i="9" s="1"/>
  <c r="H45" i="9" s="1"/>
  <c r="C36" i="8"/>
  <c r="C39" i="8" s="1"/>
  <c r="E49" i="9" l="1"/>
  <c r="F23" i="9"/>
  <c r="E50" i="9"/>
  <c r="F24" i="9"/>
  <c r="I19" i="9"/>
  <c r="H22" i="9"/>
  <c r="H20" i="9"/>
  <c r="H21" i="9"/>
  <c r="L39" i="8"/>
  <c r="K39" i="8"/>
  <c r="B53" i="8"/>
  <c r="J19" i="9" l="1"/>
  <c r="J45" i="9" s="1"/>
  <c r="I45" i="9"/>
  <c r="I21" i="9"/>
  <c r="H47" i="9"/>
  <c r="I20" i="9"/>
  <c r="H46" i="9"/>
  <c r="I22" i="9"/>
  <c r="H48" i="9"/>
  <c r="F50" i="9"/>
  <c r="G24" i="9"/>
  <c r="F49" i="9"/>
  <c r="G23" i="9"/>
  <c r="K16" i="9"/>
  <c r="K17" i="9"/>
  <c r="K18" i="9"/>
  <c r="B55" i="8"/>
  <c r="L15" i="9"/>
  <c r="L41" i="9" s="1"/>
  <c r="K19" i="9"/>
  <c r="B52" i="8"/>
  <c r="B54" i="8" s="1"/>
  <c r="G50" i="9" l="1"/>
  <c r="H24" i="9"/>
  <c r="G49" i="9"/>
  <c r="H23" i="9"/>
  <c r="J22" i="9"/>
  <c r="I48" i="9"/>
  <c r="J20" i="9"/>
  <c r="I46" i="9"/>
  <c r="J21" i="9"/>
  <c r="I47" i="9"/>
  <c r="M39" i="8"/>
  <c r="L17" i="9"/>
  <c r="L43" i="9" s="1"/>
  <c r="K43" i="9"/>
  <c r="L19" i="9"/>
  <c r="L45" i="9" s="1"/>
  <c r="K45" i="9"/>
  <c r="K44" i="9"/>
  <c r="L18" i="9"/>
  <c r="L44" i="9" s="1"/>
  <c r="K42" i="9"/>
  <c r="L16" i="9"/>
  <c r="L42" i="9" s="1"/>
  <c r="J46" i="9" l="1"/>
  <c r="K20" i="9"/>
  <c r="I24" i="9"/>
  <c r="J47" i="9"/>
  <c r="K21" i="9"/>
  <c r="J48" i="9"/>
  <c r="K22" i="9"/>
  <c r="I23" i="9"/>
  <c r="H49" i="9"/>
  <c r="M14" i="9"/>
  <c r="M40" i="9" s="1"/>
  <c r="P40" i="9" s="1"/>
  <c r="M16" i="9"/>
  <c r="M42" i="9" s="1"/>
  <c r="P42" i="9" s="1"/>
  <c r="M18" i="9"/>
  <c r="M44" i="9" s="1"/>
  <c r="P44" i="9" s="1"/>
  <c r="M19" i="9"/>
  <c r="M45" i="9" s="1"/>
  <c r="P45" i="9" s="1"/>
  <c r="M15" i="9"/>
  <c r="M41" i="9" s="1"/>
  <c r="P41" i="9" s="1"/>
  <c r="M17" i="9"/>
  <c r="M43" i="9" s="1"/>
  <c r="P43" i="9"/>
  <c r="N7" i="6"/>
  <c r="G20" i="6"/>
  <c r="G21" i="6"/>
  <c r="G22" i="6"/>
  <c r="E23" i="6"/>
  <c r="F23" i="6"/>
  <c r="G23" i="6"/>
  <c r="H39" i="5"/>
  <c r="F21" i="6"/>
  <c r="E22" i="6"/>
  <c r="F22" i="6"/>
  <c r="D23" i="6"/>
  <c r="B24" i="6"/>
  <c r="C23" i="6"/>
  <c r="B23" i="6"/>
  <c r="D22" i="6"/>
  <c r="C22" i="6"/>
  <c r="B22" i="6"/>
  <c r="N22" i="6" s="1"/>
  <c r="E21" i="6"/>
  <c r="D21" i="6"/>
  <c r="C21" i="6"/>
  <c r="B21" i="6"/>
  <c r="N21" i="6" s="1"/>
  <c r="N20" i="6"/>
  <c r="F20" i="6"/>
  <c r="E20" i="6"/>
  <c r="D20" i="6"/>
  <c r="C20" i="6"/>
  <c r="B20" i="6"/>
  <c r="N19" i="6"/>
  <c r="G19" i="6"/>
  <c r="F19" i="6"/>
  <c r="E19" i="6"/>
  <c r="D19" i="6"/>
  <c r="C19" i="6"/>
  <c r="B19" i="6"/>
  <c r="N18" i="6"/>
  <c r="H18" i="6"/>
  <c r="G18" i="6"/>
  <c r="F18" i="6"/>
  <c r="E18" i="6"/>
  <c r="D18" i="6"/>
  <c r="C18" i="6"/>
  <c r="B18" i="6"/>
  <c r="N17" i="6"/>
  <c r="I17" i="6"/>
  <c r="H17" i="6"/>
  <c r="G17" i="6"/>
  <c r="F17" i="6"/>
  <c r="E17" i="6"/>
  <c r="D17" i="6"/>
  <c r="C17" i="6"/>
  <c r="B17" i="6"/>
  <c r="J16" i="6"/>
  <c r="I16" i="6"/>
  <c r="H16" i="6"/>
  <c r="G16" i="6"/>
  <c r="F16" i="6"/>
  <c r="E16" i="6"/>
  <c r="D16" i="6"/>
  <c r="C16" i="6"/>
  <c r="B16" i="6"/>
  <c r="K15" i="6"/>
  <c r="J15" i="6"/>
  <c r="I15" i="6"/>
  <c r="H15" i="6"/>
  <c r="G15" i="6"/>
  <c r="F15" i="6"/>
  <c r="E15" i="6"/>
  <c r="D15" i="6"/>
  <c r="C15" i="6"/>
  <c r="B15" i="6"/>
  <c r="L14" i="6"/>
  <c r="K14" i="6"/>
  <c r="J14" i="6"/>
  <c r="I14" i="6"/>
  <c r="H14" i="6"/>
  <c r="G14" i="6"/>
  <c r="F14" i="6"/>
  <c r="E14" i="6"/>
  <c r="D14" i="6"/>
  <c r="C14" i="6"/>
  <c r="B14" i="6"/>
  <c r="L13" i="6"/>
  <c r="K13" i="6"/>
  <c r="J13" i="6"/>
  <c r="I13" i="6"/>
  <c r="H13" i="6"/>
  <c r="G13" i="6"/>
  <c r="F13" i="6"/>
  <c r="E13" i="6"/>
  <c r="D13" i="6"/>
  <c r="C13" i="6"/>
  <c r="B13" i="6"/>
  <c r="L12" i="6"/>
  <c r="K12" i="6"/>
  <c r="J12" i="6"/>
  <c r="I12" i="6"/>
  <c r="H12" i="6"/>
  <c r="G12" i="6"/>
  <c r="F12" i="6"/>
  <c r="E12" i="6"/>
  <c r="D12" i="6"/>
  <c r="C12" i="6"/>
  <c r="B12" i="6"/>
  <c r="L11" i="6"/>
  <c r="K11" i="6"/>
  <c r="J11" i="6"/>
  <c r="I11" i="6"/>
  <c r="H11" i="6"/>
  <c r="G11" i="6"/>
  <c r="F11" i="6"/>
  <c r="E11" i="6"/>
  <c r="D11" i="6"/>
  <c r="C11" i="6"/>
  <c r="B11" i="6"/>
  <c r="L10" i="6"/>
  <c r="K10" i="6"/>
  <c r="J10" i="6"/>
  <c r="I10" i="6"/>
  <c r="H10" i="6"/>
  <c r="G10" i="6"/>
  <c r="F10" i="6"/>
  <c r="E10" i="6"/>
  <c r="D10" i="6"/>
  <c r="N10" i="6" s="1"/>
  <c r="C10" i="6"/>
  <c r="B10" i="6"/>
  <c r="L9" i="6"/>
  <c r="K9" i="6"/>
  <c r="J9" i="6"/>
  <c r="I9" i="6"/>
  <c r="H9" i="6"/>
  <c r="G9" i="6"/>
  <c r="F9" i="6"/>
  <c r="E9" i="6"/>
  <c r="D9" i="6"/>
  <c r="C9" i="6"/>
  <c r="N9" i="6" s="1"/>
  <c r="B9" i="6"/>
  <c r="L8" i="6"/>
  <c r="K8" i="6"/>
  <c r="J8" i="6"/>
  <c r="I8" i="6"/>
  <c r="H8" i="6"/>
  <c r="G8" i="6"/>
  <c r="F8" i="6"/>
  <c r="E8" i="6"/>
  <c r="D8" i="6"/>
  <c r="C8" i="6"/>
  <c r="B8" i="6"/>
  <c r="L7" i="6"/>
  <c r="K7" i="6"/>
  <c r="J7" i="6"/>
  <c r="I7" i="6"/>
  <c r="H7" i="6"/>
  <c r="G7" i="6"/>
  <c r="F7" i="6"/>
  <c r="E7" i="6"/>
  <c r="D7" i="6"/>
  <c r="C7" i="6"/>
  <c r="B7" i="6"/>
  <c r="H36" i="5"/>
  <c r="M33" i="5"/>
  <c r="L33" i="5"/>
  <c r="K33" i="5"/>
  <c r="J33" i="5"/>
  <c r="I33" i="5"/>
  <c r="H33" i="5"/>
  <c r="G33" i="5"/>
  <c r="F33" i="5"/>
  <c r="E33" i="5"/>
  <c r="D33" i="5"/>
  <c r="C31" i="5"/>
  <c r="M31" i="5"/>
  <c r="L31" i="5"/>
  <c r="K31" i="5"/>
  <c r="J31" i="5"/>
  <c r="I31" i="5"/>
  <c r="H31" i="5"/>
  <c r="G31" i="5"/>
  <c r="F31" i="5"/>
  <c r="E31" i="5"/>
  <c r="D31" i="5"/>
  <c r="H29" i="5"/>
  <c r="G29" i="5"/>
  <c r="F29" i="5"/>
  <c r="E29" i="5"/>
  <c r="C23" i="5"/>
  <c r="D23" i="5"/>
  <c r="B23" i="5"/>
  <c r="C22" i="5"/>
  <c r="D22" i="5"/>
  <c r="E22" i="5"/>
  <c r="C21" i="5"/>
  <c r="D21" i="5"/>
  <c r="E21" i="5"/>
  <c r="F21" i="5"/>
  <c r="C20" i="5"/>
  <c r="D20" i="5"/>
  <c r="E20" i="5"/>
  <c r="F20" i="5"/>
  <c r="G20" i="5"/>
  <c r="C19" i="5"/>
  <c r="D19" i="5"/>
  <c r="E19" i="5"/>
  <c r="F19" i="5"/>
  <c r="G19" i="5"/>
  <c r="H19" i="5"/>
  <c r="C18" i="5"/>
  <c r="D18" i="5"/>
  <c r="E18" i="5"/>
  <c r="F18" i="5"/>
  <c r="G18" i="5"/>
  <c r="G36" i="5" s="1"/>
  <c r="H18" i="5"/>
  <c r="I18" i="5"/>
  <c r="C17" i="5"/>
  <c r="D17" i="5"/>
  <c r="E17" i="5"/>
  <c r="F17" i="5"/>
  <c r="G17" i="5"/>
  <c r="H17" i="5"/>
  <c r="I17" i="5"/>
  <c r="J17" i="5"/>
  <c r="C16" i="5"/>
  <c r="D16" i="5"/>
  <c r="E16" i="5"/>
  <c r="F16" i="5"/>
  <c r="G16" i="5"/>
  <c r="H16" i="5"/>
  <c r="I16" i="5"/>
  <c r="J16" i="5"/>
  <c r="K16" i="5"/>
  <c r="C15" i="5"/>
  <c r="D15" i="5"/>
  <c r="E15" i="5"/>
  <c r="F15" i="5"/>
  <c r="G15" i="5"/>
  <c r="H15" i="5"/>
  <c r="I15" i="5"/>
  <c r="J15" i="5"/>
  <c r="K15" i="5"/>
  <c r="L15" i="5"/>
  <c r="C8" i="5"/>
  <c r="D8" i="5"/>
  <c r="E8" i="5"/>
  <c r="F8" i="5"/>
  <c r="G8" i="5"/>
  <c r="H8" i="5"/>
  <c r="I8" i="5"/>
  <c r="J8" i="5"/>
  <c r="K8" i="5"/>
  <c r="L8" i="5"/>
  <c r="M8" i="5"/>
  <c r="C9" i="5"/>
  <c r="D9" i="5"/>
  <c r="E9" i="5"/>
  <c r="F9" i="5"/>
  <c r="G9" i="5"/>
  <c r="H9" i="5"/>
  <c r="I9" i="5"/>
  <c r="J9" i="5"/>
  <c r="K9" i="5"/>
  <c r="L9" i="5"/>
  <c r="M9" i="5"/>
  <c r="C10" i="5"/>
  <c r="D10" i="5"/>
  <c r="E10" i="5"/>
  <c r="F10" i="5"/>
  <c r="G10" i="5"/>
  <c r="H10" i="5"/>
  <c r="I10" i="5"/>
  <c r="J10" i="5"/>
  <c r="K10" i="5"/>
  <c r="L10" i="5"/>
  <c r="M10" i="5"/>
  <c r="C11" i="5"/>
  <c r="D11" i="5"/>
  <c r="E11" i="5"/>
  <c r="F11" i="5"/>
  <c r="G11" i="5"/>
  <c r="H11" i="5"/>
  <c r="I11" i="5"/>
  <c r="J11" i="5"/>
  <c r="K11" i="5"/>
  <c r="L11" i="5"/>
  <c r="M11" i="5"/>
  <c r="C12" i="5"/>
  <c r="D12" i="5"/>
  <c r="E12" i="5"/>
  <c r="F12" i="5"/>
  <c r="G12" i="5"/>
  <c r="H12" i="5"/>
  <c r="I12" i="5"/>
  <c r="J12" i="5"/>
  <c r="K12" i="5"/>
  <c r="L12" i="5"/>
  <c r="M12" i="5"/>
  <c r="C13" i="5"/>
  <c r="D13" i="5"/>
  <c r="E13" i="5"/>
  <c r="F13" i="5"/>
  <c r="G13" i="5"/>
  <c r="H13" i="5"/>
  <c r="I13" i="5"/>
  <c r="J13" i="5"/>
  <c r="K13" i="5"/>
  <c r="L13" i="5"/>
  <c r="M13" i="5"/>
  <c r="C14" i="5"/>
  <c r="D14" i="5"/>
  <c r="E14" i="5"/>
  <c r="F14" i="5"/>
  <c r="G14" i="5"/>
  <c r="H14" i="5"/>
  <c r="I14" i="5"/>
  <c r="J14" i="5"/>
  <c r="K14" i="5"/>
  <c r="L14" i="5"/>
  <c r="M14" i="5"/>
  <c r="D7" i="5"/>
  <c r="E7" i="5"/>
  <c r="F7" i="5"/>
  <c r="G7" i="5"/>
  <c r="H7" i="5"/>
  <c r="I7" i="5"/>
  <c r="I29" i="5" s="1"/>
  <c r="J7" i="5"/>
  <c r="J29" i="5" s="1"/>
  <c r="K7" i="5"/>
  <c r="K29" i="5" s="1"/>
  <c r="L7" i="5"/>
  <c r="L29" i="5" s="1"/>
  <c r="M7" i="5"/>
  <c r="M29" i="5" s="1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7" i="3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4" i="4"/>
  <c r="B23" i="4"/>
  <c r="C23" i="4"/>
  <c r="N23" i="4" s="1"/>
  <c r="B22" i="4"/>
  <c r="C22" i="4"/>
  <c r="D22" i="4"/>
  <c r="B21" i="4"/>
  <c r="C21" i="4"/>
  <c r="D21" i="4"/>
  <c r="E21" i="4"/>
  <c r="B20" i="4"/>
  <c r="C20" i="4"/>
  <c r="D20" i="4"/>
  <c r="E20" i="4"/>
  <c r="F20" i="4"/>
  <c r="B19" i="4"/>
  <c r="C19" i="4"/>
  <c r="D19" i="4"/>
  <c r="E19" i="4"/>
  <c r="F19" i="4"/>
  <c r="G19" i="4"/>
  <c r="N19" i="4" s="1"/>
  <c r="B18" i="4"/>
  <c r="C18" i="4"/>
  <c r="D18" i="4"/>
  <c r="E18" i="4"/>
  <c r="F18" i="4"/>
  <c r="G18" i="4"/>
  <c r="H18" i="4"/>
  <c r="B17" i="4"/>
  <c r="C17" i="4"/>
  <c r="D17" i="4"/>
  <c r="E17" i="4"/>
  <c r="F17" i="4"/>
  <c r="G17" i="4"/>
  <c r="H17" i="4"/>
  <c r="I17" i="4"/>
  <c r="B16" i="4"/>
  <c r="C16" i="4"/>
  <c r="D16" i="4"/>
  <c r="E16" i="4"/>
  <c r="F16" i="4"/>
  <c r="G16" i="4"/>
  <c r="H16" i="4"/>
  <c r="I16" i="4"/>
  <c r="J16" i="4"/>
  <c r="B15" i="4"/>
  <c r="C15" i="4"/>
  <c r="N15" i="4" s="1"/>
  <c r="D15" i="4"/>
  <c r="E15" i="4"/>
  <c r="F15" i="4"/>
  <c r="G15" i="4"/>
  <c r="H15" i="4"/>
  <c r="I15" i="4"/>
  <c r="J15" i="4"/>
  <c r="K15" i="4"/>
  <c r="B8" i="4"/>
  <c r="C8" i="4"/>
  <c r="D8" i="4"/>
  <c r="E8" i="4"/>
  <c r="F8" i="4"/>
  <c r="G8" i="4"/>
  <c r="H8" i="4"/>
  <c r="I8" i="4"/>
  <c r="J8" i="4"/>
  <c r="K8" i="4"/>
  <c r="L8" i="4"/>
  <c r="B9" i="4"/>
  <c r="C9" i="4"/>
  <c r="D9" i="4"/>
  <c r="E9" i="4"/>
  <c r="F9" i="4"/>
  <c r="G9" i="4"/>
  <c r="H9" i="4"/>
  <c r="I9" i="4"/>
  <c r="J9" i="4"/>
  <c r="K9" i="4"/>
  <c r="L9" i="4"/>
  <c r="B10" i="4"/>
  <c r="C10" i="4"/>
  <c r="N10" i="4" s="1"/>
  <c r="D10" i="4"/>
  <c r="E10" i="4"/>
  <c r="F10" i="4"/>
  <c r="G10" i="4"/>
  <c r="H10" i="4"/>
  <c r="I10" i="4"/>
  <c r="J10" i="4"/>
  <c r="K10" i="4"/>
  <c r="L10" i="4"/>
  <c r="B11" i="4"/>
  <c r="C11" i="4"/>
  <c r="D11" i="4"/>
  <c r="E11" i="4"/>
  <c r="F11" i="4"/>
  <c r="N11" i="4" s="1"/>
  <c r="G11" i="4"/>
  <c r="H11" i="4"/>
  <c r="I11" i="4"/>
  <c r="J11" i="4"/>
  <c r="K11" i="4"/>
  <c r="L11" i="4"/>
  <c r="B12" i="4"/>
  <c r="C12" i="4"/>
  <c r="D12" i="4"/>
  <c r="E12" i="4"/>
  <c r="F12" i="4"/>
  <c r="G12" i="4"/>
  <c r="H12" i="4"/>
  <c r="I12" i="4"/>
  <c r="J12" i="4"/>
  <c r="K12" i="4"/>
  <c r="L12" i="4"/>
  <c r="B13" i="4"/>
  <c r="C13" i="4"/>
  <c r="D13" i="4"/>
  <c r="E13" i="4"/>
  <c r="F13" i="4"/>
  <c r="G13" i="4"/>
  <c r="H13" i="4"/>
  <c r="I13" i="4"/>
  <c r="J13" i="4"/>
  <c r="K13" i="4"/>
  <c r="L13" i="4"/>
  <c r="B14" i="4"/>
  <c r="C14" i="4"/>
  <c r="D14" i="4"/>
  <c r="E14" i="4"/>
  <c r="F14" i="4"/>
  <c r="G14" i="4"/>
  <c r="H14" i="4"/>
  <c r="I14" i="4"/>
  <c r="J14" i="4"/>
  <c r="K14" i="4"/>
  <c r="L14" i="4"/>
  <c r="C7" i="4"/>
  <c r="D7" i="4"/>
  <c r="E7" i="4"/>
  <c r="F7" i="4"/>
  <c r="G7" i="4"/>
  <c r="H7" i="4"/>
  <c r="I7" i="4"/>
  <c r="J7" i="4"/>
  <c r="K7" i="4"/>
  <c r="L7" i="4"/>
  <c r="B7" i="4"/>
  <c r="C8" i="3"/>
  <c r="D8" i="3"/>
  <c r="E8" i="3"/>
  <c r="F8" i="3"/>
  <c r="G8" i="3"/>
  <c r="H8" i="3"/>
  <c r="I8" i="3"/>
  <c r="J8" i="3"/>
  <c r="K8" i="3"/>
  <c r="L8" i="3"/>
  <c r="M8" i="3"/>
  <c r="C9" i="3"/>
  <c r="D9" i="3"/>
  <c r="E9" i="3"/>
  <c r="F9" i="3"/>
  <c r="G9" i="3"/>
  <c r="H9" i="3"/>
  <c r="I9" i="3"/>
  <c r="J9" i="3"/>
  <c r="K9" i="3"/>
  <c r="L9" i="3"/>
  <c r="M9" i="3"/>
  <c r="C10" i="3"/>
  <c r="D10" i="3"/>
  <c r="E10" i="3"/>
  <c r="F10" i="3"/>
  <c r="G10" i="3"/>
  <c r="H10" i="3"/>
  <c r="I10" i="3"/>
  <c r="J10" i="3"/>
  <c r="K10" i="3"/>
  <c r="L10" i="3"/>
  <c r="M10" i="3"/>
  <c r="C11" i="3"/>
  <c r="D11" i="3"/>
  <c r="E11" i="3"/>
  <c r="F11" i="3"/>
  <c r="G11" i="3"/>
  <c r="H11" i="3"/>
  <c r="I11" i="3"/>
  <c r="J11" i="3"/>
  <c r="K11" i="3"/>
  <c r="L11" i="3"/>
  <c r="M11" i="3"/>
  <c r="C12" i="3"/>
  <c r="D12" i="3"/>
  <c r="E12" i="3"/>
  <c r="F12" i="3"/>
  <c r="G12" i="3"/>
  <c r="H12" i="3"/>
  <c r="I12" i="3"/>
  <c r="J12" i="3"/>
  <c r="K12" i="3"/>
  <c r="L12" i="3"/>
  <c r="M12" i="3"/>
  <c r="C13" i="3"/>
  <c r="D13" i="3"/>
  <c r="E13" i="3"/>
  <c r="F13" i="3"/>
  <c r="G13" i="3"/>
  <c r="H13" i="3"/>
  <c r="I13" i="3"/>
  <c r="J13" i="3"/>
  <c r="K13" i="3"/>
  <c r="L13" i="3"/>
  <c r="M13" i="3"/>
  <c r="C14" i="3"/>
  <c r="D14" i="3"/>
  <c r="E14" i="3"/>
  <c r="F14" i="3"/>
  <c r="G14" i="3"/>
  <c r="H14" i="3"/>
  <c r="I14" i="3"/>
  <c r="J14" i="3"/>
  <c r="K14" i="3"/>
  <c r="L14" i="3"/>
  <c r="M14" i="3"/>
  <c r="C15" i="3"/>
  <c r="D15" i="3"/>
  <c r="E15" i="3"/>
  <c r="F15" i="3"/>
  <c r="G15" i="3"/>
  <c r="H15" i="3"/>
  <c r="I15" i="3"/>
  <c r="J15" i="3"/>
  <c r="K15" i="3"/>
  <c r="L15" i="3"/>
  <c r="C16" i="3"/>
  <c r="D16" i="3"/>
  <c r="E16" i="3"/>
  <c r="F16" i="3"/>
  <c r="G16" i="3"/>
  <c r="H16" i="3"/>
  <c r="I16" i="3"/>
  <c r="J16" i="3"/>
  <c r="K16" i="3"/>
  <c r="C17" i="3"/>
  <c r="D17" i="3"/>
  <c r="E17" i="3"/>
  <c r="F17" i="3"/>
  <c r="G17" i="3"/>
  <c r="H17" i="3"/>
  <c r="I17" i="3"/>
  <c r="J17" i="3"/>
  <c r="C18" i="3"/>
  <c r="D18" i="3"/>
  <c r="E18" i="3"/>
  <c r="F18" i="3"/>
  <c r="G18" i="3"/>
  <c r="H18" i="3"/>
  <c r="I18" i="3"/>
  <c r="C19" i="3"/>
  <c r="D19" i="3"/>
  <c r="E19" i="3"/>
  <c r="F19" i="3"/>
  <c r="G19" i="3"/>
  <c r="H19" i="3"/>
  <c r="C20" i="3"/>
  <c r="D20" i="3"/>
  <c r="E20" i="3"/>
  <c r="F20" i="3"/>
  <c r="G20" i="3"/>
  <c r="C21" i="3"/>
  <c r="D21" i="3"/>
  <c r="E21" i="3"/>
  <c r="F21" i="3"/>
  <c r="C22" i="3"/>
  <c r="D22" i="3"/>
  <c r="E22" i="3"/>
  <c r="C23" i="3"/>
  <c r="D23" i="3"/>
  <c r="C24" i="3"/>
  <c r="D7" i="3"/>
  <c r="E7" i="3"/>
  <c r="F7" i="3"/>
  <c r="G7" i="3"/>
  <c r="H7" i="3"/>
  <c r="I7" i="3"/>
  <c r="J7" i="3"/>
  <c r="K7" i="3"/>
  <c r="L7" i="3"/>
  <c r="M7" i="3"/>
  <c r="C7" i="3"/>
  <c r="J23" i="9" l="1"/>
  <c r="I49" i="9"/>
  <c r="L22" i="9"/>
  <c r="K48" i="9"/>
  <c r="L21" i="9"/>
  <c r="K47" i="9"/>
  <c r="J24" i="9"/>
  <c r="I50" i="9"/>
  <c r="L20" i="9"/>
  <c r="K46" i="9"/>
  <c r="E18" i="10"/>
  <c r="H18" i="10" s="1"/>
  <c r="O41" i="9"/>
  <c r="O44" i="9"/>
  <c r="E21" i="10"/>
  <c r="H21" i="10" s="1"/>
  <c r="O43" i="9"/>
  <c r="E20" i="10"/>
  <c r="H20" i="10" s="1"/>
  <c r="E19" i="10"/>
  <c r="H19" i="10" s="1"/>
  <c r="O42" i="9"/>
  <c r="O45" i="9"/>
  <c r="E22" i="10"/>
  <c r="H22" i="10" s="1"/>
  <c r="E17" i="10"/>
  <c r="H17" i="10" s="1"/>
  <c r="O40" i="9"/>
  <c r="N20" i="4"/>
  <c r="N21" i="4"/>
  <c r="N14" i="4"/>
  <c r="N16" i="4"/>
  <c r="N18" i="4"/>
  <c r="N13" i="4"/>
  <c r="N8" i="4"/>
  <c r="N9" i="4"/>
  <c r="N7" i="4"/>
  <c r="N12" i="4"/>
  <c r="N17" i="4"/>
  <c r="N16" i="6"/>
  <c r="N15" i="6"/>
  <c r="N14" i="6"/>
  <c r="N13" i="6"/>
  <c r="N12" i="6"/>
  <c r="N11" i="6"/>
  <c r="N8" i="6"/>
  <c r="N24" i="6"/>
  <c r="N23" i="6"/>
  <c r="M36" i="5"/>
  <c r="M45" i="5" s="1"/>
  <c r="C36" i="5"/>
  <c r="C39" i="5" s="1"/>
  <c r="D36" i="5"/>
  <c r="D39" i="5" s="1"/>
  <c r="K36" i="5"/>
  <c r="K45" i="5" s="1"/>
  <c r="F36" i="5"/>
  <c r="F39" i="5" s="1"/>
  <c r="I36" i="5"/>
  <c r="I39" i="5" s="1"/>
  <c r="J36" i="5"/>
  <c r="E36" i="5"/>
  <c r="E39" i="5" s="1"/>
  <c r="L36" i="5"/>
  <c r="L45" i="5" s="1"/>
  <c r="G39" i="5"/>
  <c r="D33" i="3"/>
  <c r="D36" i="3" s="1"/>
  <c r="D39" i="3" s="1"/>
  <c r="I31" i="3"/>
  <c r="L29" i="3"/>
  <c r="L36" i="3" s="1"/>
  <c r="J29" i="3"/>
  <c r="J36" i="3" s="1"/>
  <c r="I29" i="3"/>
  <c r="I36" i="3" s="1"/>
  <c r="K29" i="3"/>
  <c r="K36" i="3" s="1"/>
  <c r="H31" i="3"/>
  <c r="F33" i="3"/>
  <c r="F36" i="3" s="1"/>
  <c r="F39" i="3" s="1"/>
  <c r="I33" i="3"/>
  <c r="J33" i="3"/>
  <c r="G33" i="3"/>
  <c r="G36" i="3" s="1"/>
  <c r="G39" i="3" s="1"/>
  <c r="F31" i="3"/>
  <c r="J31" i="3"/>
  <c r="E31" i="3"/>
  <c r="G29" i="3"/>
  <c r="D31" i="3"/>
  <c r="M31" i="3"/>
  <c r="G31" i="3"/>
  <c r="E33" i="3"/>
  <c r="E36" i="3" s="1"/>
  <c r="E39" i="3" s="1"/>
  <c r="E29" i="3"/>
  <c r="F29" i="3"/>
  <c r="H33" i="3"/>
  <c r="H36" i="3" s="1"/>
  <c r="K31" i="3"/>
  <c r="H29" i="3"/>
  <c r="M33" i="3"/>
  <c r="K33" i="3"/>
  <c r="D29" i="3"/>
  <c r="L33" i="3"/>
  <c r="C31" i="3"/>
  <c r="L31" i="3"/>
  <c r="C33" i="3"/>
  <c r="C36" i="3" s="1"/>
  <c r="C39" i="3" s="1"/>
  <c r="M29" i="3"/>
  <c r="M36" i="3" s="1"/>
  <c r="C24" i="6" l="1"/>
  <c r="D24" i="6"/>
  <c r="E24" i="6"/>
  <c r="F24" i="6"/>
  <c r="G24" i="6"/>
  <c r="L46" i="9"/>
  <c r="M20" i="9"/>
  <c r="M46" i="9" s="1"/>
  <c r="P46" i="9" s="1"/>
  <c r="L48" i="9"/>
  <c r="M22" i="9"/>
  <c r="M48" i="9" s="1"/>
  <c r="P48" i="9" s="1"/>
  <c r="K24" i="9"/>
  <c r="J50" i="9"/>
  <c r="L47" i="9"/>
  <c r="M21" i="9"/>
  <c r="M47" i="9" s="1"/>
  <c r="P47" i="9" s="1"/>
  <c r="J49" i="9"/>
  <c r="K23" i="9"/>
  <c r="J39" i="5"/>
  <c r="J45" i="5"/>
  <c r="H19" i="6"/>
  <c r="H24" i="6"/>
  <c r="H20" i="6"/>
  <c r="H21" i="6"/>
  <c r="H22" i="6"/>
  <c r="H23" i="6"/>
  <c r="D23" i="4"/>
  <c r="D24" i="4"/>
  <c r="E23" i="4"/>
  <c r="E22" i="4"/>
  <c r="E24" i="4"/>
  <c r="F23" i="4"/>
  <c r="F24" i="4"/>
  <c r="F22" i="4"/>
  <c r="F21" i="4"/>
  <c r="G45" i="3" a="1"/>
  <c r="G45" i="3" s="1"/>
  <c r="O46" i="9" l="1"/>
  <c r="E23" i="10"/>
  <c r="H23" i="10" s="1"/>
  <c r="L23" i="9"/>
  <c r="K49" i="9"/>
  <c r="E24" i="10"/>
  <c r="H24" i="10" s="1"/>
  <c r="O47" i="9"/>
  <c r="K50" i="9"/>
  <c r="L24" i="9"/>
  <c r="O48" i="9"/>
  <c r="E25" i="10"/>
  <c r="H25" i="10" s="1"/>
  <c r="B47" i="5" a="1"/>
  <c r="B47" i="5" s="1"/>
  <c r="B53" i="5" s="1"/>
  <c r="K47" i="5" a="1"/>
  <c r="K47" i="5" s="1"/>
  <c r="K48" i="5" s="1"/>
  <c r="K39" i="5" s="1"/>
  <c r="J47" i="5" a="1"/>
  <c r="J47" i="5" s="1"/>
  <c r="J48" i="5" s="1"/>
  <c r="L47" i="5" a="1"/>
  <c r="L47" i="5" s="1"/>
  <c r="L48" i="5" s="1"/>
  <c r="L39" i="5" s="1"/>
  <c r="M47" i="5" a="1"/>
  <c r="M47" i="5" s="1"/>
  <c r="M48" i="5" s="1"/>
  <c r="M39" i="5" s="1"/>
  <c r="I19" i="6"/>
  <c r="I18" i="6"/>
  <c r="I20" i="6"/>
  <c r="I21" i="6"/>
  <c r="I22" i="6"/>
  <c r="I24" i="6"/>
  <c r="I23" i="6"/>
  <c r="M47" i="3" a="1"/>
  <c r="M47" i="3" s="1"/>
  <c r="M48" i="3" s="1"/>
  <c r="M39" i="3" s="1"/>
  <c r="G47" i="3" a="1"/>
  <c r="G47" i="3" s="1"/>
  <c r="G48" i="3" s="1"/>
  <c r="L47" i="3" a="1"/>
  <c r="L47" i="3" s="1"/>
  <c r="L48" i="3" s="1"/>
  <c r="L39" i="3" s="1"/>
  <c r="C53" i="3"/>
  <c r="C48" i="3" a="1"/>
  <c r="C48" i="3" s="1"/>
  <c r="K47" i="3" a="1"/>
  <c r="K47" i="3" s="1"/>
  <c r="K48" i="3" s="1"/>
  <c r="K39" i="3" s="1"/>
  <c r="H47" i="3" a="1"/>
  <c r="H47" i="3" s="1"/>
  <c r="H39" i="3" s="1"/>
  <c r="I47" i="3" a="1"/>
  <c r="I47" i="3" s="1"/>
  <c r="I48" i="3" s="1"/>
  <c r="I39" i="3" s="1"/>
  <c r="J47" i="3" a="1"/>
  <c r="J47" i="3" s="1"/>
  <c r="J48" i="3" s="1"/>
  <c r="J39" i="3" s="1"/>
  <c r="L50" i="9" l="1"/>
  <c r="M24" i="9"/>
  <c r="M50" i="9" s="1"/>
  <c r="P50" i="9" s="1"/>
  <c r="L49" i="9"/>
  <c r="M23" i="9"/>
  <c r="M49" i="9" s="1"/>
  <c r="P49" i="9" s="1"/>
  <c r="L21" i="6"/>
  <c r="L22" i="6"/>
  <c r="L23" i="6"/>
  <c r="L24" i="6"/>
  <c r="L15" i="6"/>
  <c r="L16" i="6"/>
  <c r="L17" i="6"/>
  <c r="L18" i="6"/>
  <c r="L19" i="6"/>
  <c r="L20" i="6"/>
  <c r="K23" i="6"/>
  <c r="K18" i="6"/>
  <c r="K16" i="6"/>
  <c r="K17" i="6"/>
  <c r="K19" i="6"/>
  <c r="K20" i="6"/>
  <c r="K21" i="6"/>
  <c r="K24" i="6"/>
  <c r="K22" i="6"/>
  <c r="J23" i="6"/>
  <c r="J17" i="6"/>
  <c r="J20" i="6"/>
  <c r="J24" i="6"/>
  <c r="J18" i="6"/>
  <c r="J19" i="6"/>
  <c r="J21" i="6"/>
  <c r="J22" i="6"/>
  <c r="B54" i="5"/>
  <c r="N39" i="5" s="1"/>
  <c r="M7" i="6" s="1"/>
  <c r="L22" i="4"/>
  <c r="L21" i="4"/>
  <c r="L23" i="4"/>
  <c r="L17" i="4"/>
  <c r="L24" i="4"/>
  <c r="L15" i="4"/>
  <c r="L19" i="4"/>
  <c r="L20" i="4"/>
  <c r="L18" i="4"/>
  <c r="L16" i="4"/>
  <c r="C52" i="3"/>
  <c r="I21" i="4"/>
  <c r="I18" i="4"/>
  <c r="I22" i="4"/>
  <c r="I20" i="4"/>
  <c r="I24" i="4"/>
  <c r="I23" i="4"/>
  <c r="I19" i="4"/>
  <c r="K24" i="4"/>
  <c r="K22" i="4"/>
  <c r="K17" i="4"/>
  <c r="K18" i="4"/>
  <c r="K21" i="4"/>
  <c r="K16" i="4"/>
  <c r="K20" i="4"/>
  <c r="K23" i="4"/>
  <c r="K19" i="4"/>
  <c r="J18" i="4"/>
  <c r="J21" i="4"/>
  <c r="J20" i="4"/>
  <c r="J22" i="4"/>
  <c r="J24" i="4"/>
  <c r="J23" i="4"/>
  <c r="J19" i="4"/>
  <c r="J17" i="4"/>
  <c r="G23" i="4"/>
  <c r="G24" i="4"/>
  <c r="G21" i="4"/>
  <c r="G22" i="4"/>
  <c r="G20" i="4"/>
  <c r="H21" i="4"/>
  <c r="H20" i="4"/>
  <c r="H23" i="4"/>
  <c r="H22" i="4"/>
  <c r="H24" i="4"/>
  <c r="H19" i="4"/>
  <c r="E27" i="10" l="1"/>
  <c r="H27" i="10" s="1"/>
  <c r="O50" i="9"/>
  <c r="O49" i="9"/>
  <c r="O52" i="9" s="1"/>
  <c r="E26" i="10"/>
  <c r="H26" i="10" s="1"/>
  <c r="C54" i="3"/>
  <c r="N39" i="3" s="1"/>
  <c r="M9" i="6"/>
  <c r="P9" i="6" s="1"/>
  <c r="M10" i="6"/>
  <c r="P10" i="6" s="1"/>
  <c r="M11" i="6"/>
  <c r="P11" i="6" s="1"/>
  <c r="M12" i="6"/>
  <c r="P12" i="6" s="1"/>
  <c r="M13" i="6"/>
  <c r="P13" i="6" s="1"/>
  <c r="M14" i="6"/>
  <c r="P14" i="6" s="1"/>
  <c r="M15" i="6"/>
  <c r="P15" i="6" s="1"/>
  <c r="M16" i="6"/>
  <c r="P16" i="6" s="1"/>
  <c r="M23" i="6"/>
  <c r="P23" i="6" s="1"/>
  <c r="M17" i="6"/>
  <c r="P17" i="6" s="1"/>
  <c r="M18" i="6"/>
  <c r="P18" i="6" s="1"/>
  <c r="M19" i="6"/>
  <c r="P19" i="6" s="1"/>
  <c r="M20" i="6"/>
  <c r="P20" i="6" s="1"/>
  <c r="M24" i="6"/>
  <c r="P24" i="6" s="1"/>
  <c r="M21" i="6"/>
  <c r="P21" i="6" s="1"/>
  <c r="M22" i="6"/>
  <c r="P22" i="6" s="1"/>
  <c r="P7" i="6"/>
  <c r="M8" i="6"/>
  <c r="P8" i="6" s="1"/>
  <c r="M9" i="4" l="1"/>
  <c r="P9" i="4" s="1"/>
  <c r="M10" i="4"/>
  <c r="P10" i="4" s="1"/>
  <c r="M24" i="4"/>
  <c r="P24" i="4" s="1"/>
  <c r="M13" i="4"/>
  <c r="P13" i="4" s="1"/>
  <c r="M16" i="4"/>
  <c r="P16" i="4" s="1"/>
  <c r="M15" i="4"/>
  <c r="P15" i="4" s="1"/>
  <c r="M12" i="4"/>
  <c r="P12" i="4" s="1"/>
  <c r="M17" i="4"/>
  <c r="P17" i="4" s="1"/>
  <c r="M23" i="4"/>
  <c r="P23" i="4" s="1"/>
  <c r="M18" i="4"/>
  <c r="P18" i="4" s="1"/>
  <c r="M20" i="4"/>
  <c r="P20" i="4" s="1"/>
  <c r="M22" i="4"/>
  <c r="P22" i="4" s="1"/>
  <c r="M8" i="4"/>
  <c r="P8" i="4" s="1"/>
  <c r="M19" i="4"/>
  <c r="P19" i="4" s="1"/>
  <c r="M14" i="4"/>
  <c r="P14" i="4" s="1"/>
  <c r="M21" i="4"/>
  <c r="P21" i="4" s="1"/>
  <c r="M7" i="4"/>
  <c r="P7" i="4" s="1"/>
  <c r="M11" i="4"/>
  <c r="P11" i="4" s="1"/>
  <c r="O21" i="6"/>
  <c r="D24" i="10"/>
  <c r="G24" i="10" s="1"/>
  <c r="O17" i="6"/>
  <c r="D20" i="10"/>
  <c r="G20" i="10" s="1"/>
  <c r="O14" i="6"/>
  <c r="D17" i="10"/>
  <c r="G17" i="10" s="1"/>
  <c r="O22" i="6"/>
  <c r="D25" i="10"/>
  <c r="G25" i="10" s="1"/>
  <c r="O20" i="6"/>
  <c r="D23" i="10"/>
  <c r="G23" i="10" s="1"/>
  <c r="O23" i="6"/>
  <c r="D26" i="10"/>
  <c r="G26" i="10" s="1"/>
  <c r="O11" i="6"/>
  <c r="D14" i="10"/>
  <c r="G14" i="10" s="1"/>
  <c r="O19" i="6"/>
  <c r="D22" i="10"/>
  <c r="G22" i="10" s="1"/>
  <c r="O16" i="6"/>
  <c r="D19" i="10"/>
  <c r="G19" i="10" s="1"/>
  <c r="O13" i="6"/>
  <c r="D16" i="10"/>
  <c r="G16" i="10" s="1"/>
  <c r="O10" i="6"/>
  <c r="D13" i="10"/>
  <c r="G13" i="10" s="1"/>
  <c r="O18" i="6"/>
  <c r="D21" i="10"/>
  <c r="G21" i="10" s="1"/>
  <c r="O15" i="6"/>
  <c r="D18" i="10"/>
  <c r="G18" i="10" s="1"/>
  <c r="O12" i="6"/>
  <c r="D15" i="10"/>
  <c r="G15" i="10" s="1"/>
  <c r="O8" i="6"/>
  <c r="D11" i="10"/>
  <c r="G11" i="10" s="1"/>
  <c r="O7" i="6"/>
  <c r="D10" i="10"/>
  <c r="G10" i="10" s="1"/>
  <c r="O9" i="6"/>
  <c r="D12" i="10"/>
  <c r="G12" i="10" s="1"/>
  <c r="O24" i="6"/>
  <c r="D27" i="10"/>
  <c r="G27" i="10" s="1"/>
  <c r="O26" i="6" l="1"/>
  <c r="O22" i="4"/>
  <c r="C25" i="10"/>
  <c r="F25" i="10" s="1"/>
  <c r="O19" i="4"/>
  <c r="C22" i="10"/>
  <c r="F22" i="10" s="1"/>
  <c r="O13" i="4"/>
  <c r="C16" i="10"/>
  <c r="F16" i="10" s="1"/>
  <c r="O14" i="4"/>
  <c r="C17" i="10"/>
  <c r="F17" i="10" s="1"/>
  <c r="O18" i="4"/>
  <c r="C21" i="10"/>
  <c r="F21" i="10" s="1"/>
  <c r="O24" i="4"/>
  <c r="C27" i="10"/>
  <c r="F27" i="10" s="1"/>
  <c r="O21" i="4"/>
  <c r="C24" i="10"/>
  <c r="F24" i="10" s="1"/>
  <c r="O20" i="4"/>
  <c r="C23" i="10"/>
  <c r="F23" i="10" s="1"/>
  <c r="O17" i="4"/>
  <c r="C20" i="10"/>
  <c r="F20" i="10" s="1"/>
  <c r="O12" i="4"/>
  <c r="C15" i="10"/>
  <c r="F15" i="10" s="1"/>
  <c r="O16" i="4"/>
  <c r="C19" i="10"/>
  <c r="F19" i="10" s="1"/>
  <c r="O10" i="4"/>
  <c r="C13" i="10"/>
  <c r="F13" i="10" s="1"/>
  <c r="O8" i="4"/>
  <c r="C11" i="10"/>
  <c r="F11" i="10" s="1"/>
  <c r="O23" i="4"/>
  <c r="C26" i="10"/>
  <c r="F26" i="10" s="1"/>
  <c r="O15" i="4"/>
  <c r="C18" i="10"/>
  <c r="F18" i="10" s="1"/>
  <c r="O11" i="4"/>
  <c r="C14" i="10"/>
  <c r="F14" i="10" s="1"/>
  <c r="O7" i="4"/>
  <c r="C10" i="10"/>
  <c r="F10" i="10" s="1"/>
  <c r="O9" i="4"/>
  <c r="C12" i="10"/>
  <c r="F12" i="10" s="1"/>
  <c r="O2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<sst xmlns="http://schemas.openxmlformats.org/spreadsheetml/2006/main" count="190" uniqueCount="88">
  <si>
    <t xml:space="preserve">Year </t>
  </si>
  <si>
    <t xml:space="preserve">EXPOSURE </t>
  </si>
  <si>
    <t xml:space="preserve">Vehicle Years of Exposure </t>
  </si>
  <si>
    <t>Period</t>
  </si>
  <si>
    <t>of origin</t>
  </si>
  <si>
    <t>Notified counts</t>
  </si>
  <si>
    <t>Table 2.1</t>
  </si>
  <si>
    <t>All</t>
  </si>
  <si>
    <t>Last 6</t>
  </si>
  <si>
    <t>Last 3</t>
  </si>
  <si>
    <t xml:space="preserve">Model </t>
  </si>
  <si>
    <t>(unsmoothed)</t>
  </si>
  <si>
    <t>(smoothed)</t>
  </si>
  <si>
    <t>log:</t>
  </si>
  <si>
    <t>forecast:</t>
  </si>
  <si>
    <t>log</t>
  </si>
  <si>
    <t>exp</t>
  </si>
  <si>
    <t>Negative exponential fit = loglinear fit:</t>
  </si>
  <si>
    <t>Weighted averages:</t>
  </si>
  <si>
    <t>Number of claims notified, per 100,000 vehicle years of exposure, in development year</t>
  </si>
  <si>
    <t xml:space="preserve">Number of Claims Notified Per Unit Exposure </t>
  </si>
  <si>
    <t>Development period</t>
  </si>
  <si>
    <t>Table 2.2</t>
  </si>
  <si>
    <t>Forecast Numbers of IBNR Claims</t>
  </si>
  <si>
    <t>Number of claims notified, actual and forecast (bold), in development year</t>
  </si>
  <si>
    <t>11 &amp; later</t>
  </si>
  <si>
    <t>slope</t>
  </si>
  <si>
    <t>intercept</t>
  </si>
  <si>
    <t>)</t>
  </si>
  <si>
    <t>exp(interc)</t>
  </si>
  <si>
    <t>sum from 11</t>
  </si>
  <si>
    <t>Smoothing of tail</t>
  </si>
  <si>
    <t>for 11 &amp; later:</t>
  </si>
  <si>
    <t>IBNR</t>
  </si>
  <si>
    <t>Total</t>
  </si>
  <si>
    <t>Number</t>
  </si>
  <si>
    <t>to 1995</t>
  </si>
  <si>
    <t>Normaliser</t>
  </si>
  <si>
    <t>1st 2 periods</t>
  </si>
  <si>
    <t>Exposure</t>
  </si>
  <si>
    <t>exp(slope)</t>
  </si>
  <si>
    <t>Table 2.3</t>
  </si>
  <si>
    <t>Normalised Claim Counts</t>
  </si>
  <si>
    <t>Table 2.4</t>
  </si>
  <si>
    <t>Table 2.5</t>
  </si>
  <si>
    <t>Age to age factors</t>
  </si>
  <si>
    <t>Table 2.6</t>
  </si>
  <si>
    <t>Forecast Cumulative Claim Counts</t>
  </si>
  <si>
    <t>Ultimate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</si>
  <si>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</si>
  <si>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Table 2.7</t>
  </si>
  <si>
    <t>Forecast Incremental Claim Counts</t>
  </si>
  <si>
    <t>Cumulative number of claims notified, actual and forecast (bold), in development year</t>
  </si>
  <si>
    <t>Number of claims notified, per 1,000 notified in development years 0 and 1, in development year</t>
  </si>
  <si>
    <t>(book eq.:</t>
  </si>
  <si>
    <t>Table 2.8</t>
  </si>
  <si>
    <t>Estimated ultimate claim frequencies</t>
  </si>
  <si>
    <t>Estimated number of claims incurred</t>
  </si>
  <si>
    <t>Table</t>
  </si>
  <si>
    <t>2.2</t>
  </si>
  <si>
    <t>2.4</t>
  </si>
  <si>
    <t>vehicle</t>
  </si>
  <si>
    <t>years</t>
  </si>
  <si>
    <t>Table 2.9</t>
  </si>
  <si>
    <t>Estimated notified claim frequencies</t>
  </si>
  <si>
    <t>Number of</t>
  </si>
  <si>
    <t>Notified</t>
  </si>
  <si>
    <t>claims</t>
  </si>
  <si>
    <t>claim</t>
  </si>
  <si>
    <t>notified</t>
  </si>
  <si>
    <t>frequency</t>
  </si>
  <si>
    <t>Estimated claim frequency</t>
  </si>
  <si>
    <t>2.7</t>
  </si>
  <si>
    <t>per vehicle</t>
  </si>
  <si>
    <t>year</t>
  </si>
  <si>
    <t xml:space="preserve"> </t>
  </si>
  <si>
    <t>log (y-1!):</t>
  </si>
  <si>
    <t>Implied proportions</t>
  </si>
  <si>
    <t>10 &amp; later</t>
  </si>
  <si>
    <t>Age to ultimate \pi</t>
  </si>
  <si>
    <t>\mu(j)</t>
  </si>
  <si>
    <t>OFFSET</t>
  </si>
  <si>
    <t>Direct reference</t>
  </si>
  <si>
    <t>Denominator</t>
  </si>
  <si>
    <t>Numerator</t>
  </si>
  <si>
    <t>Offset reference</t>
  </si>
  <si>
    <t>Try to change D5 for C5 above - you'll get v(1)</t>
  </si>
  <si>
    <t>Examples for the last 6 for Offset function, v(1)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</si>
</sst>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i/>
      <sz val="12"/>
      <color rgb="FF000000"/>
      <name val="Arial"/>
      <family val="2"/>
    </font>
    <font>
      <i/>
      <sz val="12"/>
      <name val="Arial"/>
      <family val="2"/>
    </font>
    <font>
      <i/>
      <sz val="12"/>
      <color rgb="FF000000"/>
      <name val="Arial"/>
      <family val="2"/>
    </font>
    <font>
      <b/>
      <u/>
      <sz val="12"/>
      <color theme="1"/>
      <name val="Arial"/>
      <family val="2"/>
    </font>
    <font>
      <u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 tint="0.499984740745262"/>
      <name val="Arial"/>
      <family val="2"/>
    </font>
    <font>
      <i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164" fontId="1" fillId="4" borderId="0" xfId="0" applyNumberFormat="1" applyFont="1" applyFill="1"/>
    <xf numFmtId="164" fontId="1" fillId="3" borderId="0" xfId="0" applyNumberFormat="1" applyFont="1" applyFill="1"/>
    <xf numFmtId="0" fontId="1" fillId="0" borderId="1" xfId="0" applyFont="1" applyBorder="1"/>
    <xf numFmtId="164" fontId="1" fillId="5" borderId="0" xfId="0" applyNumberFormat="1" applyFont="1" applyFill="1"/>
    <xf numFmtId="0" fontId="1" fillId="5" borderId="0" xfId="0" applyFont="1" applyFill="1"/>
    <xf numFmtId="0" fontId="4" fillId="6" borderId="0" xfId="0" applyFont="1" applyFill="1"/>
    <xf numFmtId="0" fontId="5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1" fillId="7" borderId="0" xfId="0" applyFont="1" applyFill="1"/>
    <xf numFmtId="164" fontId="1" fillId="7" borderId="0" xfId="0" applyNumberFormat="1" applyFont="1" applyFill="1"/>
    <xf numFmtId="0" fontId="2" fillId="0" borderId="2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64" fontId="2" fillId="0" borderId="3" xfId="0" applyNumberFormat="1" applyFont="1" applyBorder="1"/>
    <xf numFmtId="0" fontId="7" fillId="0" borderId="0" xfId="0" applyFont="1" applyAlignment="1">
      <alignment horizontal="center"/>
    </xf>
    <xf numFmtId="0" fontId="8" fillId="0" borderId="0" xfId="0" applyFont="1"/>
    <xf numFmtId="3" fontId="9" fillId="0" borderId="0" xfId="0" applyNumberFormat="1" applyFont="1"/>
    <xf numFmtId="0" fontId="9" fillId="0" borderId="0" xfId="0" applyFont="1"/>
    <xf numFmtId="0" fontId="9" fillId="6" borderId="0" xfId="0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5" fontId="1" fillId="0" borderId="0" xfId="0" applyNumberFormat="1" applyFont="1"/>
    <xf numFmtId="164" fontId="2" fillId="9" borderId="0" xfId="0" applyNumberFormat="1" applyFont="1" applyFill="1"/>
    <xf numFmtId="165" fontId="1" fillId="2" borderId="0" xfId="0" applyNumberFormat="1" applyFont="1" applyFill="1"/>
    <xf numFmtId="165" fontId="1" fillId="8" borderId="0" xfId="0" applyNumberFormat="1" applyFont="1" applyFill="1"/>
    <xf numFmtId="165" fontId="1" fillId="3" borderId="0" xfId="0" applyNumberFormat="1" applyFont="1" applyFill="1"/>
    <xf numFmtId="165" fontId="1" fillId="5" borderId="0" xfId="0" applyNumberFormat="1" applyFont="1" applyFill="1"/>
    <xf numFmtId="165" fontId="1" fillId="7" borderId="0" xfId="0" applyNumberFormat="1" applyFont="1" applyFill="1"/>
    <xf numFmtId="164" fontId="2" fillId="0" borderId="2" xfId="0" applyNumberFormat="1" applyFont="1" applyBorder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" fontId="3" fillId="0" borderId="0" xfId="0" applyNumberFormat="1" applyFont="1"/>
    <xf numFmtId="10" fontId="3" fillId="0" borderId="0" xfId="0" applyNumberFormat="1" applyFont="1"/>
    <xf numFmtId="1" fontId="3" fillId="0" borderId="4" xfId="0" applyNumberFormat="1" applyFont="1" applyBorder="1"/>
    <xf numFmtId="10" fontId="3" fillId="0" borderId="4" xfId="0" applyNumberFormat="1" applyFont="1" applyBorder="1"/>
    <xf numFmtId="0" fontId="3" fillId="0" borderId="0" xfId="0" applyFont="1" applyAlignment="1">
      <alignment horizontal="left"/>
    </xf>
    <xf numFmtId="164" fontId="3" fillId="0" borderId="0" xfId="0" applyNumberFormat="1" applyFont="1"/>
    <xf numFmtId="164" fontId="3" fillId="0" borderId="4" xfId="0" applyNumberFormat="1" applyFont="1" applyBorder="1"/>
    <xf numFmtId="10" fontId="1" fillId="0" borderId="0" xfId="1" applyNumberFormat="1" applyFont="1"/>
    <xf numFmtId="164" fontId="13" fillId="2" borderId="0" xfId="0" applyNumberFormat="1" applyFont="1" applyFill="1"/>
    <xf numFmtId="0" fontId="13" fillId="0" borderId="0" xfId="0" applyFont="1"/>
    <xf numFmtId="164" fontId="13" fillId="4" borderId="0" xfId="0" applyNumberFormat="1" applyFont="1" applyFill="1"/>
    <xf numFmtId="164" fontId="13" fillId="3" borderId="0" xfId="0" applyNumberFormat="1" applyFont="1" applyFill="1"/>
    <xf numFmtId="164" fontId="13" fillId="8" borderId="0" xfId="0" applyNumberFormat="1" applyFont="1" applyFill="1"/>
    <xf numFmtId="165" fontId="13" fillId="2" borderId="0" xfId="0" applyNumberFormat="1" applyFont="1" applyFill="1"/>
    <xf numFmtId="165" fontId="13" fillId="8" borderId="0" xfId="0" applyNumberFormat="1" applyFont="1" applyFill="1"/>
    <xf numFmtId="165" fontId="13" fillId="3" borderId="0" xfId="0" applyNumberFormat="1" applyFont="1" applyFill="1"/>
    <xf numFmtId="0" fontId="14" fillId="0" borderId="0" xfId="0" applyFont="1"/>
    <xf numFmtId="0" fontId="11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 weighted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'Table 2.3'!$A$31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2.3'!$C$31:$M$31</c:f>
              <c:numCache>
                <c:formatCode>0.0</c:formatCode>
                <c:ptCount val="11"/>
                <c:pt idx="0">
                  <c:v>766.83188764973147</c:v>
                </c:pt>
                <c:pt idx="1">
                  <c:v>233.16811235026847</c:v>
                </c:pt>
                <c:pt idx="2">
                  <c:v>39.824854045037533</c:v>
                </c:pt>
                <c:pt idx="3">
                  <c:v>18.939393939393938</c:v>
                </c:pt>
                <c:pt idx="4">
                  <c:v>14.040234702430846</c:v>
                </c:pt>
                <c:pt idx="5">
                  <c:v>8.7481774630285365</c:v>
                </c:pt>
                <c:pt idx="6">
                  <c:v>8.0955272212102809</c:v>
                </c:pt>
                <c:pt idx="7">
                  <c:v>2.180376610505451</c:v>
                </c:pt>
                <c:pt idx="8">
                  <c:v>0.39231071008238527</c:v>
                </c:pt>
                <c:pt idx="9">
                  <c:v>0</c:v>
                </c:pt>
                <c:pt idx="10">
                  <c:v>0.3996802557953637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E5-D446-B45D-4A153C80354F}"/>
            </c:ext>
          </c:extLst>
        </c:ser>
        <c:ser>
          <c:idx val="3"/>
          <c:order val="1"/>
          <c:tx>
            <c:strRef>
              <c:f>'Table 2.3'!$A$33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2.3'!$C$33:$M$33</c:f>
              <c:numCache>
                <c:formatCode>0.0</c:formatCode>
                <c:ptCount val="11"/>
                <c:pt idx="0">
                  <c:v>789.72907399919131</c:v>
                </c:pt>
                <c:pt idx="1">
                  <c:v>210.27092600080874</c:v>
                </c:pt>
                <c:pt idx="2">
                  <c:v>36.555645816409424</c:v>
                </c:pt>
                <c:pt idx="3">
                  <c:v>13.675922088686283</c:v>
                </c:pt>
                <c:pt idx="4">
                  <c:v>11.819333051920642</c:v>
                </c:pt>
                <c:pt idx="5">
                  <c:v>5.5698371893744643</c:v>
                </c:pt>
                <c:pt idx="6">
                  <c:v>9.4057289439931591</c:v>
                </c:pt>
                <c:pt idx="7">
                  <c:v>1.6645859342488556</c:v>
                </c:pt>
                <c:pt idx="8">
                  <c:v>0.81070125658694769</c:v>
                </c:pt>
                <c:pt idx="9">
                  <c:v>0</c:v>
                </c:pt>
                <c:pt idx="10">
                  <c:v>0.37850113550340653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E5-D446-B45D-4A153C80354F}"/>
            </c:ext>
          </c:extLst>
        </c:ser>
        <c:ser>
          <c:idx val="0"/>
          <c:order val="2"/>
          <c:tx>
            <c:strRef>
              <c:f>'Table 2.3'!$A$29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2.3'!$C$29:$M$29</c:f>
              <c:numCache>
                <c:formatCode>0.0</c:formatCode>
                <c:ptCount val="11"/>
                <c:pt idx="0">
                  <c:v>728.43019772318758</c:v>
                </c:pt>
                <c:pt idx="1">
                  <c:v>271.56980227681248</c:v>
                </c:pt>
                <c:pt idx="2">
                  <c:v>46.205410581757242</c:v>
                </c:pt>
                <c:pt idx="3">
                  <c:v>18.768128305749872</c:v>
                </c:pt>
                <c:pt idx="4">
                  <c:v>12.225388362901002</c:v>
                </c:pt>
                <c:pt idx="5">
                  <c:v>8.2431224550600852</c:v>
                </c:pt>
                <c:pt idx="6">
                  <c:v>6.6602212912235474</c:v>
                </c:pt>
                <c:pt idx="7">
                  <c:v>1.762632197414806</c:v>
                </c:pt>
                <c:pt idx="8">
                  <c:v>0.64641241111829351</c:v>
                </c:pt>
                <c:pt idx="9">
                  <c:v>0.14347202295552366</c:v>
                </c:pt>
                <c:pt idx="10">
                  <c:v>0.49123956115932538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E5-D446-B45D-4A153C803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690479"/>
        <c:axId val="1252692207"/>
      </c:scatterChart>
      <c:valAx>
        <c:axId val="125269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92207"/>
        <c:crosses val="autoZero"/>
        <c:crossBetween val="midCat"/>
      </c:valAx>
      <c:valAx>
        <c:axId val="125269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9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Estimated</a:t>
            </a:r>
            <a:r>
              <a:rPr lang="en-GB" baseline="0"/>
              <a:t> claim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Ultimate (Table 2.2)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2.9'!$F$10:$F$27</c:f>
              <c:numCache>
                <c:formatCode>0.00%</c:formatCode>
                <c:ptCount val="18"/>
                <c:pt idx="0">
                  <c:v>8.5423434669917534E-3</c:v>
                </c:pt>
                <c:pt idx="1">
                  <c:v>7.8243318447854329E-3</c:v>
                </c:pt>
                <c:pt idx="2">
                  <c:v>7.8738924782647008E-3</c:v>
                </c:pt>
                <c:pt idx="3">
                  <c:v>9.0334310430614691E-3</c:v>
                </c:pt>
                <c:pt idx="4">
                  <c:v>8.3720278658102002E-3</c:v>
                </c:pt>
                <c:pt idx="5">
                  <c:v>8.7040353658974692E-3</c:v>
                </c:pt>
                <c:pt idx="6">
                  <c:v>8.5929250019696913E-3</c:v>
                </c:pt>
                <c:pt idx="7">
                  <c:v>7.9982059855961806E-3</c:v>
                </c:pt>
                <c:pt idx="8">
                  <c:v>7.7569615072374193E-3</c:v>
                </c:pt>
                <c:pt idx="9">
                  <c:v>6.8099962424652445E-3</c:v>
                </c:pt>
                <c:pt idx="10">
                  <c:v>6.6636947394318625E-3</c:v>
                </c:pt>
                <c:pt idx="11">
                  <c:v>6.2535955853990433E-3</c:v>
                </c:pt>
                <c:pt idx="12">
                  <c:v>5.3362676676313907E-3</c:v>
                </c:pt>
                <c:pt idx="13">
                  <c:v>5.4165096731134729E-3</c:v>
                </c:pt>
                <c:pt idx="14">
                  <c:v>5.5170108030913193E-3</c:v>
                </c:pt>
                <c:pt idx="15">
                  <c:v>5.2136035154830684E-3</c:v>
                </c:pt>
                <c:pt idx="16">
                  <c:v>5.1362517755486259E-3</c:v>
                </c:pt>
                <c:pt idx="17">
                  <c:v>5.1759140124872814E-3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4D-B644-8C40-1110C61DB815}"/>
            </c:ext>
          </c:extLst>
        </c:ser>
        <c:ser>
          <c:idx val="1"/>
          <c:order val="1"/>
          <c:tx>
            <c:v>Ultimate (Table 2.4)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2.9'!$G$10:$G$27</c:f>
              <c:numCache>
                <c:formatCode>0.00%</c:formatCode>
                <c:ptCount val="18"/>
                <c:pt idx="0">
                  <c:v>8.5429658096026692E-3</c:v>
                </c:pt>
                <c:pt idx="1">
                  <c:v>7.824742280735493E-3</c:v>
                </c:pt>
                <c:pt idx="2">
                  <c:v>7.8742709663020532E-3</c:v>
                </c:pt>
                <c:pt idx="3">
                  <c:v>9.0341435897907489E-3</c:v>
                </c:pt>
                <c:pt idx="4">
                  <c:v>8.3726294047089499E-3</c:v>
                </c:pt>
                <c:pt idx="5">
                  <c:v>8.7047721910945893E-3</c:v>
                </c:pt>
                <c:pt idx="6">
                  <c:v>8.5935676912494898E-3</c:v>
                </c:pt>
                <c:pt idx="7">
                  <c:v>7.9986042809990481E-3</c:v>
                </c:pt>
                <c:pt idx="8">
                  <c:v>7.7572396534222295E-3</c:v>
                </c:pt>
                <c:pt idx="9">
                  <c:v>6.8089975242547575E-3</c:v>
                </c:pt>
                <c:pt idx="10">
                  <c:v>6.6605912411722562E-3</c:v>
                </c:pt>
                <c:pt idx="11">
                  <c:v>6.249068731923939E-3</c:v>
                </c:pt>
                <c:pt idx="12">
                  <c:v>5.3414347628565669E-3</c:v>
                </c:pt>
                <c:pt idx="13">
                  <c:v>5.4279575836408966E-3</c:v>
                </c:pt>
                <c:pt idx="14">
                  <c:v>5.5301146151752814E-3</c:v>
                </c:pt>
                <c:pt idx="15">
                  <c:v>5.209660249130537E-3</c:v>
                </c:pt>
                <c:pt idx="16">
                  <c:v>5.1222584133570996E-3</c:v>
                </c:pt>
                <c:pt idx="17">
                  <c:v>5.1343480987834618E-3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4D-B644-8C40-1110C61DB815}"/>
            </c:ext>
          </c:extLst>
        </c:ser>
        <c:ser>
          <c:idx val="2"/>
          <c:order val="2"/>
          <c:tx>
            <c:v>Ultimate (Table 2.7)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2.9'!$H$10:$H$27</c:f>
              <c:numCache>
                <c:formatCode>0.00%</c:formatCode>
                <c:ptCount val="18"/>
                <c:pt idx="0">
                  <c:v>8.5403184099073284E-3</c:v>
                </c:pt>
                <c:pt idx="1">
                  <c:v>7.8223067877010079E-3</c:v>
                </c:pt>
                <c:pt idx="2">
                  <c:v>7.8718674211802741E-3</c:v>
                </c:pt>
                <c:pt idx="3">
                  <c:v>9.0314059859770424E-3</c:v>
                </c:pt>
                <c:pt idx="4">
                  <c:v>8.3700028087257752E-3</c:v>
                </c:pt>
                <c:pt idx="5">
                  <c:v>8.7020103088130425E-3</c:v>
                </c:pt>
                <c:pt idx="6">
                  <c:v>8.5908999448852646E-3</c:v>
                </c:pt>
                <c:pt idx="7">
                  <c:v>7.9986615987888646E-3</c:v>
                </c:pt>
                <c:pt idx="8">
                  <c:v>7.7572933877163653E-3</c:v>
                </c:pt>
                <c:pt idx="9">
                  <c:v>6.809118637038431E-3</c:v>
                </c:pt>
                <c:pt idx="10">
                  <c:v>6.6605777431020894E-3</c:v>
                </c:pt>
                <c:pt idx="11">
                  <c:v>6.2486608184990381E-3</c:v>
                </c:pt>
                <c:pt idx="12">
                  <c:v>5.3399972243211268E-3</c:v>
                </c:pt>
                <c:pt idx="13">
                  <c:v>5.4252538992271724E-3</c:v>
                </c:pt>
                <c:pt idx="14">
                  <c:v>5.5260992899728969E-3</c:v>
                </c:pt>
                <c:pt idx="15">
                  <c:v>5.2109404130797881E-3</c:v>
                </c:pt>
                <c:pt idx="16">
                  <c:v>5.1206913161814327E-3</c:v>
                </c:pt>
                <c:pt idx="17">
                  <c:v>5.1327773029049267E-3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4D-B644-8C40-1110C61DB815}"/>
            </c:ext>
          </c:extLst>
        </c:ser>
        <c:ser>
          <c:idx val="3"/>
          <c:order val="3"/>
          <c:tx>
            <c:v>Notified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2.9'!$D$42:$D$59</c:f>
              <c:numCache>
                <c:formatCode>0.00%</c:formatCode>
                <c:ptCount val="18"/>
                <c:pt idx="0">
                  <c:v>8.5403184099073284E-3</c:v>
                </c:pt>
                <c:pt idx="1">
                  <c:v>7.8223067877010079E-3</c:v>
                </c:pt>
                <c:pt idx="2">
                  <c:v>7.8718674211802741E-3</c:v>
                </c:pt>
                <c:pt idx="3">
                  <c:v>9.0411171752092755E-3</c:v>
                </c:pt>
                <c:pt idx="4">
                  <c:v>8.3700028087257752E-3</c:v>
                </c:pt>
                <c:pt idx="5">
                  <c:v>8.7020103088130425E-3</c:v>
                </c:pt>
                <c:pt idx="6">
                  <c:v>8.5908999448852646E-3</c:v>
                </c:pt>
                <c:pt idx="7">
                  <c:v>7.9961809285117556E-3</c:v>
                </c:pt>
                <c:pt idx="8">
                  <c:v>7.7531953545708172E-3</c:v>
                </c:pt>
                <c:pt idx="9">
                  <c:v>6.8029920419331973E-3</c:v>
                </c:pt>
                <c:pt idx="10">
                  <c:v>6.6506684950291394E-3</c:v>
                </c:pt>
                <c:pt idx="11">
                  <c:v>6.2293696880303022E-3</c:v>
                </c:pt>
                <c:pt idx="12">
                  <c:v>5.2912129239020243E-3</c:v>
                </c:pt>
                <c:pt idx="13">
                  <c:v>5.3327179397621169E-3</c:v>
                </c:pt>
                <c:pt idx="14">
                  <c:v>5.3713934929404544E-3</c:v>
                </c:pt>
                <c:pt idx="15">
                  <c:v>4.9986768208415419E-3</c:v>
                </c:pt>
                <c:pt idx="16">
                  <c:v>4.7388714444033982E-3</c:v>
                </c:pt>
                <c:pt idx="17">
                  <c:v>3.751257523829011E-3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4D-B644-8C40-1110C61DB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992752"/>
        <c:axId val="1525606640"/>
      </c:scatterChart>
      <c:valAx>
        <c:axId val="157899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06640"/>
        <c:crosses val="autoZero"/>
        <c:crossBetween val="midCat"/>
      </c:valAx>
      <c:valAx>
        <c:axId val="1525606640"/>
        <c:scaling>
          <c:orientation val="minMax"/>
          <c:max val="9.1999999999999998E-3"/>
          <c:min val="3.5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99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215900</xdr:colOff>
      <xdr:row>7</xdr:row>
      <xdr:rowOff>12700</xdr:rowOff>
    </xdr:from>
    <xdr:to>
      <xdr:col>24</xdr:col>
      <xdr:colOff>177800</xdr:colOff>
      <xdr:row>35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1A9CDD-2AE4-6F46-8838-889C6009E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28</xdr:row>
      <xdr:rowOff>190500</xdr:rowOff>
    </xdr:from>
    <xdr:to>
      <xdr:col>11</xdr:col>
      <xdr:colOff>88900</xdr:colOff>
      <xdr:row>58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6779F-9CBA-025B-67CD-B08AB2345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CB11-490A-8A40-843A-FF90A529C668}">
  <dimension ref="A1:B26"/>
  <sheetViews>
    <sheetView workbookViewId="0">
      <selection activeCell="D8" sqref="D8"/>
    </sheetView>
  </sheetViews>
  <sheetFormatPr baseColWidth="10" defaultColWidth="10.83203125" defaultRowHeight="16" x14ac:dyDescent="0.2"/>
  <cols>
    <col min="1" max="16384" width="10.83203125" style="1"/>
  </cols>
  <sheetData>
    <row r="1" spans="1:2" ht="15.75" x14ac:dyDescent="0.25">
      <c r="A1" s="3" t="s">
        <v>1</v>
      </c>
    </row>
    <row r="3" spans="1:2" s="4" customFormat="1" ht="47.25" x14ac:dyDescent="0.25">
      <c r="A3" s="4" t="s">
        <v>0</v>
      </c>
      <c r="B3" s="4" t="s">
        <v>2</v>
      </c>
    </row>
    <row r="4" spans="1:2" ht="15" x14ac:dyDescent="0.2">
      <c r="A4" s="1">
        <v>1973</v>
      </c>
      <c r="B4" s="2">
        <v>68119</v>
      </c>
    </row>
    <row r="5" spans="1:2" ht="15" x14ac:dyDescent="0.2">
      <c r="A5" s="1">
        <v>1974</v>
      </c>
      <c r="B5" s="2">
        <v>65456</v>
      </c>
    </row>
    <row r="6" spans="1:2" ht="15" x14ac:dyDescent="0.2">
      <c r="A6" s="1">
        <v>1975</v>
      </c>
      <c r="B6" s="2">
        <v>60537</v>
      </c>
    </row>
    <row r="7" spans="1:2" ht="15" x14ac:dyDescent="0.2">
      <c r="A7" s="1">
        <v>1976</v>
      </c>
      <c r="B7" s="2">
        <v>63270</v>
      </c>
    </row>
    <row r="8" spans="1:2" ht="15" x14ac:dyDescent="0.2">
      <c r="A8" s="1">
        <v>1977</v>
      </c>
      <c r="B8" s="2">
        <v>67156</v>
      </c>
    </row>
    <row r="9" spans="1:2" ht="15" x14ac:dyDescent="0.2">
      <c r="A9" s="1">
        <v>1978</v>
      </c>
      <c r="B9" s="2">
        <v>71543</v>
      </c>
    </row>
    <row r="10" spans="1:2" ht="15" x14ac:dyDescent="0.2">
      <c r="A10" s="1">
        <v>1979</v>
      </c>
      <c r="B10" s="2">
        <v>75681</v>
      </c>
    </row>
    <row r="11" spans="1:2" ht="15" x14ac:dyDescent="0.2">
      <c r="A11" s="1">
        <v>1980</v>
      </c>
      <c r="B11" s="2">
        <v>98960</v>
      </c>
    </row>
    <row r="12" spans="1:2" ht="15" x14ac:dyDescent="0.2">
      <c r="A12" s="1">
        <v>1981</v>
      </c>
      <c r="B12" s="2">
        <v>102974</v>
      </c>
    </row>
    <row r="13" spans="1:2" ht="15" x14ac:dyDescent="0.2">
      <c r="A13" s="1">
        <v>1982</v>
      </c>
      <c r="B13" s="2">
        <v>106810</v>
      </c>
    </row>
    <row r="14" spans="1:2" ht="15" x14ac:dyDescent="0.2">
      <c r="A14" s="1">
        <v>1983</v>
      </c>
      <c r="B14" s="2">
        <v>110779</v>
      </c>
    </row>
    <row r="15" spans="1:2" ht="15" x14ac:dyDescent="0.2">
      <c r="A15" s="1">
        <v>1984</v>
      </c>
      <c r="B15" s="2">
        <v>114307</v>
      </c>
    </row>
    <row r="16" spans="1:2" ht="15" x14ac:dyDescent="0.2">
      <c r="A16" s="1">
        <v>1985</v>
      </c>
      <c r="B16" s="2">
        <v>117306</v>
      </c>
    </row>
    <row r="17" spans="1:2" ht="15" x14ac:dyDescent="0.2">
      <c r="A17" s="1">
        <v>1986</v>
      </c>
      <c r="B17" s="2">
        <v>123304</v>
      </c>
    </row>
    <row r="18" spans="1:2" ht="15" x14ac:dyDescent="0.2">
      <c r="A18" s="1">
        <v>1987</v>
      </c>
      <c r="B18" s="2">
        <v>125533</v>
      </c>
    </row>
    <row r="19" spans="1:2" ht="15" x14ac:dyDescent="0.2">
      <c r="A19" s="1">
        <v>1988</v>
      </c>
      <c r="B19" s="2">
        <v>131265</v>
      </c>
    </row>
    <row r="20" spans="1:2" ht="15" x14ac:dyDescent="0.2">
      <c r="A20" s="1">
        <v>1989</v>
      </c>
      <c r="B20" s="2">
        <v>139661</v>
      </c>
    </row>
    <row r="21" spans="1:2" ht="15" x14ac:dyDescent="0.2">
      <c r="A21" s="1">
        <v>1990</v>
      </c>
      <c r="B21" s="2">
        <v>152895</v>
      </c>
    </row>
    <row r="22" spans="1:2" ht="15" x14ac:dyDescent="0.2">
      <c r="A22" s="1">
        <v>1991</v>
      </c>
      <c r="B22" s="2">
        <v>160331</v>
      </c>
    </row>
    <row r="23" spans="1:2" ht="15" x14ac:dyDescent="0.2">
      <c r="A23" s="1">
        <v>1992</v>
      </c>
      <c r="B23" s="2">
        <v>162900</v>
      </c>
    </row>
    <row r="24" spans="1:2" ht="15" x14ac:dyDescent="0.2">
      <c r="A24" s="1">
        <v>1993</v>
      </c>
      <c r="B24" s="2">
        <v>170045</v>
      </c>
    </row>
    <row r="25" spans="1:2" ht="15" x14ac:dyDescent="0.2">
      <c r="A25" s="1">
        <v>1994</v>
      </c>
      <c r="B25" s="2">
        <v>173248</v>
      </c>
    </row>
    <row r="26" spans="1:2" ht="15" x14ac:dyDescent="0.2">
      <c r="A26" s="1">
        <v>1995</v>
      </c>
      <c r="B26" s="2">
        <v>175941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D052-653A-4648-936E-EB05816D6A1F}">
  <dimension ref="A1:Z30"/>
  <sheetViews>
    <sheetView workbookViewId="0">
      <selection activeCell="B28" sqref="B28"/>
    </sheetView>
  </sheetViews>
  <sheetFormatPr baseColWidth="10" defaultColWidth="10.83203125" defaultRowHeight="16" x14ac:dyDescent="0.2"/>
  <cols>
    <col min="1" max="1" width="10.83203125" style="1"/>
    <col min="2" max="13" width="8" style="1" customWidth="1"/>
    <col min="14" max="16384" width="10.83203125" style="1"/>
  </cols>
  <sheetData>
    <row r="1" spans="1:26" ht="15.75" x14ac:dyDescent="0.25">
      <c r="B1" s="8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6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26" s="3" customFormat="1" ht="15.75" x14ac:dyDescent="0.25">
      <c r="A3" s="7" t="s">
        <v>3</v>
      </c>
      <c r="B3" s="8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26" s="3" customFormat="1" ht="15.75" x14ac:dyDescent="0.25">
      <c r="A4" s="7" t="s">
        <v>4</v>
      </c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3" customFormat="1" ht="15.75" x14ac:dyDescent="0.25">
      <c r="A5" s="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5">
        <v>1971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5">
        <v>1</v>
      </c>
    </row>
    <row r="7" spans="1:26" x14ac:dyDescent="0.2">
      <c r="A7" s="5">
        <v>1972</v>
      </c>
      <c r="B7" s="6"/>
      <c r="C7" s="6"/>
      <c r="D7" s="6"/>
      <c r="E7" s="6"/>
      <c r="F7" s="6"/>
      <c r="G7" s="6"/>
      <c r="H7" s="5">
        <v>2</v>
      </c>
      <c r="I7" s="6"/>
      <c r="J7" s="6"/>
      <c r="K7" s="6"/>
      <c r="L7" s="5">
        <v>0</v>
      </c>
      <c r="M7" s="6"/>
    </row>
    <row r="8" spans="1:26" x14ac:dyDescent="0.2">
      <c r="A8" s="5">
        <v>1973</v>
      </c>
      <c r="B8" s="6"/>
      <c r="C8" s="6"/>
      <c r="D8" s="6"/>
      <c r="E8" s="6"/>
      <c r="F8" s="6"/>
      <c r="G8" s="5">
        <v>2</v>
      </c>
      <c r="H8" s="5">
        <v>2</v>
      </c>
      <c r="I8" s="6"/>
      <c r="J8" s="6"/>
      <c r="K8" s="5">
        <v>0</v>
      </c>
      <c r="L8" s="5">
        <v>0</v>
      </c>
      <c r="M8" s="6"/>
    </row>
    <row r="9" spans="1:26" x14ac:dyDescent="0.2">
      <c r="A9" s="5">
        <v>1974</v>
      </c>
      <c r="B9" s="6"/>
      <c r="C9" s="6"/>
      <c r="D9" s="6"/>
      <c r="E9" s="6"/>
      <c r="F9" s="5">
        <v>8</v>
      </c>
      <c r="G9" s="5">
        <v>3</v>
      </c>
      <c r="H9" s="5">
        <v>2</v>
      </c>
      <c r="I9" s="6"/>
      <c r="J9" s="5">
        <v>0</v>
      </c>
      <c r="K9" s="5">
        <v>0</v>
      </c>
      <c r="L9" s="5">
        <v>0</v>
      </c>
      <c r="M9" s="6"/>
    </row>
    <row r="10" spans="1:26" x14ac:dyDescent="0.2">
      <c r="A10" s="5">
        <v>1975</v>
      </c>
      <c r="B10" s="6"/>
      <c r="C10" s="6"/>
      <c r="D10" s="6"/>
      <c r="E10" s="5">
        <v>12</v>
      </c>
      <c r="F10" s="5">
        <v>7</v>
      </c>
      <c r="G10" s="5">
        <v>3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6"/>
    </row>
    <row r="11" spans="1:26" x14ac:dyDescent="0.2">
      <c r="A11" s="5">
        <v>1976</v>
      </c>
      <c r="B11" s="6"/>
      <c r="C11" s="6"/>
      <c r="D11" s="5">
        <v>16</v>
      </c>
      <c r="E11" s="5">
        <v>10</v>
      </c>
      <c r="F11" s="5">
        <v>2</v>
      </c>
      <c r="G11" s="5">
        <v>2</v>
      </c>
      <c r="H11" s="5">
        <v>4</v>
      </c>
      <c r="I11" s="5">
        <v>0</v>
      </c>
      <c r="J11" s="5">
        <v>0</v>
      </c>
      <c r="K11" s="5">
        <v>0</v>
      </c>
      <c r="L11" s="5">
        <v>0</v>
      </c>
      <c r="M11" s="6"/>
    </row>
    <row r="12" spans="1:26" x14ac:dyDescent="0.2">
      <c r="A12" s="5">
        <v>1977</v>
      </c>
      <c r="B12" s="6"/>
      <c r="C12" s="5">
        <v>144</v>
      </c>
      <c r="D12" s="5">
        <v>25</v>
      </c>
      <c r="E12" s="5">
        <v>9</v>
      </c>
      <c r="F12" s="5">
        <v>8</v>
      </c>
      <c r="G12" s="5">
        <v>2</v>
      </c>
      <c r="H12" s="5">
        <v>4</v>
      </c>
      <c r="I12" s="5">
        <v>2</v>
      </c>
      <c r="J12" s="5">
        <v>0</v>
      </c>
      <c r="K12" s="5">
        <v>0</v>
      </c>
      <c r="L12" s="5">
        <v>0</v>
      </c>
      <c r="M12" s="6"/>
    </row>
    <row r="13" spans="1:26" x14ac:dyDescent="0.2">
      <c r="A13" s="5">
        <v>1978</v>
      </c>
      <c r="B13" s="5">
        <v>368</v>
      </c>
      <c r="C13" s="5">
        <v>191</v>
      </c>
      <c r="D13" s="5">
        <v>28</v>
      </c>
      <c r="E13" s="5">
        <v>8</v>
      </c>
      <c r="F13" s="5">
        <v>6</v>
      </c>
      <c r="G13" s="5">
        <v>5</v>
      </c>
      <c r="H13" s="5">
        <v>3</v>
      </c>
      <c r="I13" s="5">
        <v>1</v>
      </c>
      <c r="J13" s="5">
        <v>0</v>
      </c>
      <c r="K13" s="5">
        <v>0</v>
      </c>
      <c r="L13" s="5">
        <v>1</v>
      </c>
      <c r="M13" s="6"/>
    </row>
    <row r="14" spans="1:26" x14ac:dyDescent="0.2">
      <c r="A14" s="5">
        <v>1979</v>
      </c>
      <c r="B14" s="5">
        <v>393</v>
      </c>
      <c r="C14" s="5">
        <v>151</v>
      </c>
      <c r="D14" s="5">
        <v>25</v>
      </c>
      <c r="E14" s="5">
        <v>6</v>
      </c>
      <c r="F14" s="5">
        <v>4</v>
      </c>
      <c r="G14" s="5">
        <v>5</v>
      </c>
      <c r="H14" s="5">
        <v>4</v>
      </c>
      <c r="I14" s="5">
        <v>1</v>
      </c>
      <c r="J14" s="5">
        <v>2</v>
      </c>
      <c r="K14" s="5">
        <v>1</v>
      </c>
      <c r="L14" s="5">
        <v>0</v>
      </c>
      <c r="M14" s="6"/>
    </row>
    <row r="15" spans="1:26" x14ac:dyDescent="0.2">
      <c r="A15" s="5">
        <v>1980</v>
      </c>
      <c r="B15" s="5">
        <v>517</v>
      </c>
      <c r="C15" s="5">
        <v>185</v>
      </c>
      <c r="D15" s="5">
        <v>29</v>
      </c>
      <c r="E15" s="5">
        <v>17</v>
      </c>
      <c r="F15" s="5">
        <v>11</v>
      </c>
      <c r="G15" s="5">
        <v>10</v>
      </c>
      <c r="H15" s="5">
        <v>8</v>
      </c>
      <c r="I15" s="5">
        <v>1</v>
      </c>
      <c r="J15" s="5">
        <v>0</v>
      </c>
      <c r="K15" s="5">
        <v>0</v>
      </c>
      <c r="L15" s="5">
        <v>1</v>
      </c>
      <c r="M15" s="6"/>
    </row>
    <row r="16" spans="1:26" x14ac:dyDescent="0.2">
      <c r="A16" s="5">
        <v>1981</v>
      </c>
      <c r="B16" s="5">
        <v>578</v>
      </c>
      <c r="C16" s="5">
        <v>254</v>
      </c>
      <c r="D16" s="5">
        <v>49</v>
      </c>
      <c r="E16" s="5">
        <v>22</v>
      </c>
      <c r="F16" s="5">
        <v>17</v>
      </c>
      <c r="G16" s="5">
        <v>6</v>
      </c>
      <c r="H16" s="5">
        <v>3</v>
      </c>
      <c r="I16" s="5">
        <v>0</v>
      </c>
      <c r="J16" s="5">
        <v>1</v>
      </c>
      <c r="K16" s="5">
        <v>0</v>
      </c>
      <c r="L16" s="5">
        <v>0</v>
      </c>
      <c r="M16" s="6"/>
    </row>
    <row r="17" spans="1:13" x14ac:dyDescent="0.2">
      <c r="A17" s="5">
        <v>1982</v>
      </c>
      <c r="B17" s="5">
        <v>622</v>
      </c>
      <c r="C17" s="5">
        <v>206</v>
      </c>
      <c r="D17" s="5">
        <v>39</v>
      </c>
      <c r="E17" s="5">
        <v>16</v>
      </c>
      <c r="F17" s="5">
        <v>3</v>
      </c>
      <c r="G17" s="5">
        <v>7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6"/>
    </row>
    <row r="18" spans="1:13" x14ac:dyDescent="0.2">
      <c r="A18" s="5">
        <v>1983</v>
      </c>
      <c r="B18" s="5">
        <v>660</v>
      </c>
      <c r="C18" s="5">
        <v>243</v>
      </c>
      <c r="D18" s="5">
        <v>28</v>
      </c>
      <c r="E18" s="5">
        <v>12</v>
      </c>
      <c r="F18" s="5">
        <v>12</v>
      </c>
      <c r="G18" s="5">
        <v>4</v>
      </c>
      <c r="H18" s="5">
        <v>4</v>
      </c>
      <c r="I18" s="5">
        <v>1</v>
      </c>
      <c r="J18" s="5">
        <v>0</v>
      </c>
      <c r="K18" s="5">
        <v>0</v>
      </c>
      <c r="L18" s="6"/>
      <c r="M18" s="6"/>
    </row>
    <row r="19" spans="1:13" x14ac:dyDescent="0.2">
      <c r="A19" s="5">
        <v>1984</v>
      </c>
      <c r="B19" s="5">
        <v>666</v>
      </c>
      <c r="C19" s="5">
        <v>234</v>
      </c>
      <c r="D19" s="5">
        <v>53</v>
      </c>
      <c r="E19" s="5">
        <v>10</v>
      </c>
      <c r="F19" s="5">
        <v>8</v>
      </c>
      <c r="G19" s="5">
        <v>4</v>
      </c>
      <c r="H19" s="5">
        <v>6</v>
      </c>
      <c r="I19" s="5">
        <v>1</v>
      </c>
      <c r="J19" s="5">
        <v>0</v>
      </c>
      <c r="K19" s="6"/>
      <c r="L19" s="6"/>
      <c r="M19" s="6"/>
    </row>
    <row r="20" spans="1:13" x14ac:dyDescent="0.2">
      <c r="A20" s="5">
        <v>1985</v>
      </c>
      <c r="B20" s="5">
        <v>573</v>
      </c>
      <c r="C20" s="5">
        <v>266</v>
      </c>
      <c r="D20" s="5">
        <v>62</v>
      </c>
      <c r="E20" s="5">
        <v>12</v>
      </c>
      <c r="F20" s="5">
        <v>5</v>
      </c>
      <c r="G20" s="5">
        <v>7</v>
      </c>
      <c r="H20" s="5">
        <v>6</v>
      </c>
      <c r="I20" s="5">
        <v>5</v>
      </c>
      <c r="J20" s="5">
        <v>1</v>
      </c>
      <c r="K20" s="6"/>
      <c r="L20" s="5">
        <v>1</v>
      </c>
      <c r="M20" s="16"/>
    </row>
    <row r="21" spans="1:13" x14ac:dyDescent="0.2">
      <c r="A21" s="5">
        <v>1986</v>
      </c>
      <c r="B21" s="5">
        <v>582</v>
      </c>
      <c r="C21" s="5">
        <v>281</v>
      </c>
      <c r="D21" s="5">
        <v>32</v>
      </c>
      <c r="E21" s="5">
        <v>27</v>
      </c>
      <c r="F21" s="5">
        <v>12</v>
      </c>
      <c r="G21" s="5">
        <v>13</v>
      </c>
      <c r="H21" s="5">
        <v>6</v>
      </c>
      <c r="I21" s="5">
        <v>2</v>
      </c>
      <c r="J21" s="5">
        <v>1</v>
      </c>
      <c r="K21" s="6"/>
      <c r="L21" s="16"/>
      <c r="M21" s="16"/>
    </row>
    <row r="22" spans="1:13" x14ac:dyDescent="0.2">
      <c r="A22" s="5">
        <v>1987</v>
      </c>
      <c r="B22" s="5">
        <v>545</v>
      </c>
      <c r="C22" s="5">
        <v>220</v>
      </c>
      <c r="D22" s="5">
        <v>43</v>
      </c>
      <c r="E22" s="5">
        <v>18</v>
      </c>
      <c r="F22" s="5">
        <v>12</v>
      </c>
      <c r="G22" s="5">
        <v>9</v>
      </c>
      <c r="H22" s="5">
        <v>5</v>
      </c>
      <c r="I22" s="5">
        <v>2</v>
      </c>
      <c r="J22" s="6"/>
      <c r="K22" s="16"/>
      <c r="L22" s="16"/>
      <c r="M22" s="16"/>
    </row>
    <row r="23" spans="1:13" x14ac:dyDescent="0.2">
      <c r="A23" s="5">
        <v>1988</v>
      </c>
      <c r="B23" s="5">
        <v>509</v>
      </c>
      <c r="C23" s="5">
        <v>266</v>
      </c>
      <c r="D23" s="5">
        <v>49</v>
      </c>
      <c r="E23" s="5">
        <v>22</v>
      </c>
      <c r="F23" s="5">
        <v>15</v>
      </c>
      <c r="G23" s="5">
        <v>4</v>
      </c>
      <c r="H23" s="5">
        <v>8</v>
      </c>
      <c r="I23" s="6"/>
      <c r="J23" s="16"/>
      <c r="K23" s="16"/>
      <c r="L23" s="16"/>
      <c r="M23" s="16"/>
    </row>
    <row r="24" spans="1:13" x14ac:dyDescent="0.2">
      <c r="A24" s="5">
        <v>1989</v>
      </c>
      <c r="B24" s="5">
        <v>589</v>
      </c>
      <c r="C24" s="5">
        <v>210</v>
      </c>
      <c r="D24" s="5">
        <v>29</v>
      </c>
      <c r="E24" s="5">
        <v>17</v>
      </c>
      <c r="F24" s="5">
        <v>12</v>
      </c>
      <c r="G24" s="5">
        <v>4</v>
      </c>
      <c r="H24" s="5">
        <v>9</v>
      </c>
      <c r="I24" s="16"/>
      <c r="J24" s="16"/>
      <c r="K24" s="16"/>
      <c r="L24" s="16"/>
      <c r="M24" s="16"/>
    </row>
    <row r="25" spans="1:13" x14ac:dyDescent="0.2">
      <c r="A25" s="5">
        <v>1990</v>
      </c>
      <c r="B25" s="5">
        <v>564</v>
      </c>
      <c r="C25" s="5">
        <v>196</v>
      </c>
      <c r="D25" s="5">
        <v>23</v>
      </c>
      <c r="E25" s="5">
        <v>12</v>
      </c>
      <c r="F25" s="5">
        <v>9</v>
      </c>
      <c r="G25" s="5">
        <v>5</v>
      </c>
      <c r="H25" s="16"/>
      <c r="I25" s="16"/>
      <c r="J25" s="16"/>
      <c r="K25" s="16"/>
      <c r="L25" s="16"/>
      <c r="M25" s="16"/>
    </row>
    <row r="26" spans="1:13" x14ac:dyDescent="0.2">
      <c r="A26" s="5">
        <v>1991</v>
      </c>
      <c r="B26" s="5">
        <v>607</v>
      </c>
      <c r="C26" s="5">
        <v>203</v>
      </c>
      <c r="D26" s="5">
        <v>29</v>
      </c>
      <c r="E26" s="5">
        <v>9</v>
      </c>
      <c r="F26" s="5">
        <v>7</v>
      </c>
      <c r="G26" s="16"/>
      <c r="H26" s="16"/>
      <c r="I26" s="16"/>
      <c r="J26" s="16"/>
      <c r="K26" s="16"/>
      <c r="L26" s="16"/>
      <c r="M26" s="16"/>
    </row>
    <row r="27" spans="1:13" x14ac:dyDescent="0.2">
      <c r="A27" s="5">
        <v>1992</v>
      </c>
      <c r="B27" s="5">
        <v>674</v>
      </c>
      <c r="C27" s="5">
        <v>169</v>
      </c>
      <c r="D27" s="5">
        <v>20</v>
      </c>
      <c r="E27" s="5">
        <v>12</v>
      </c>
      <c r="F27" s="16"/>
      <c r="G27" s="16"/>
      <c r="H27" s="16"/>
      <c r="I27" s="16"/>
      <c r="J27" s="16"/>
      <c r="K27" s="16"/>
      <c r="L27" s="16"/>
      <c r="M27" s="16"/>
    </row>
    <row r="28" spans="1:13" x14ac:dyDescent="0.2">
      <c r="A28" s="5">
        <v>1993</v>
      </c>
      <c r="B28" s="5">
        <v>619</v>
      </c>
      <c r="C28" s="5">
        <v>190</v>
      </c>
      <c r="D28" s="5">
        <v>41</v>
      </c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2">
      <c r="A29" s="5">
        <v>1994</v>
      </c>
      <c r="B29" s="5">
        <v>660</v>
      </c>
      <c r="C29" s="5">
        <v>161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2">
      <c r="A30" s="5">
        <v>1995</v>
      </c>
      <c r="B30" s="5">
        <v>660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7273-CD99-D446-9435-99E00B9EB402}">
  <dimension ref="A1:S56"/>
  <sheetViews>
    <sheetView workbookViewId="0">
      <selection activeCell="K31" sqref="K31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3" width="10.83203125" style="1"/>
    <col min="14" max="14" width="12.1640625" style="1" bestFit="1" customWidth="1"/>
    <col min="15" max="16384" width="10.83203125" style="1"/>
  </cols>
  <sheetData>
    <row r="1" spans="1:14" x14ac:dyDescent="0.2">
      <c r="A1" s="1" t="s">
        <v>6</v>
      </c>
    </row>
    <row r="2" spans="1:14" x14ac:dyDescent="0.2">
      <c r="A2" s="1" t="s">
        <v>20</v>
      </c>
    </row>
    <row r="4" spans="1:14" s="3" customFormat="1" ht="15.75" x14ac:dyDescent="0.25">
      <c r="A4" s="7" t="s">
        <v>3</v>
      </c>
      <c r="B4" s="26" t="s">
        <v>37</v>
      </c>
      <c r="C4" s="3" t="s">
        <v>19</v>
      </c>
    </row>
    <row r="5" spans="1:14" s="3" customFormat="1" ht="15.75" x14ac:dyDescent="0.25">
      <c r="A5" s="7" t="s">
        <v>4</v>
      </c>
      <c r="B5" s="26" t="s">
        <v>39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 t="s">
        <v>25</v>
      </c>
    </row>
    <row r="6" spans="1:14" x14ac:dyDescent="0.2">
      <c r="A6" s="6"/>
      <c r="B6" s="27"/>
    </row>
    <row r="7" spans="1:14" x14ac:dyDescent="0.2">
      <c r="A7" s="5">
        <v>1978</v>
      </c>
      <c r="B7" s="28">
        <f>'B.1 Exposure'!B9</f>
        <v>71543</v>
      </c>
      <c r="C7" s="9">
        <f>'Counts data'!B13/'B.1 Exposure'!$B9*100000</f>
        <v>514.37596969654612</v>
      </c>
      <c r="D7" s="9">
        <f>'Counts data'!C13/'B.1 Exposure'!$B9*100000</f>
        <v>266.9723103588052</v>
      </c>
      <c r="E7" s="9">
        <f>'Counts data'!D13/'B.1 Exposure'!$B9*100000</f>
        <v>39.13730204212851</v>
      </c>
      <c r="F7" s="9">
        <f>'Counts data'!E13/'B.1 Exposure'!$B9*100000</f>
        <v>11.182086297751002</v>
      </c>
      <c r="G7" s="9">
        <f>'Counts data'!F13/'B.1 Exposure'!$B9*100000</f>
        <v>8.3865647233132528</v>
      </c>
      <c r="H7" s="9">
        <f>'Counts data'!G13/'B.1 Exposure'!$B9*100000</f>
        <v>6.9888039360943761</v>
      </c>
      <c r="I7" s="9">
        <f>'Counts data'!H13/'B.1 Exposure'!$B9*100000</f>
        <v>4.1932823616566264</v>
      </c>
      <c r="J7" s="9">
        <f>'Counts data'!I13/'B.1 Exposure'!$B9*100000</f>
        <v>1.3977607872188753</v>
      </c>
      <c r="K7" s="9">
        <f>'Counts data'!J13/'B.1 Exposure'!$B9*100000</f>
        <v>0</v>
      </c>
      <c r="L7" s="9">
        <f>'Counts data'!K13/'B.1 Exposure'!$B9*100000</f>
        <v>0</v>
      </c>
      <c r="M7" s="9">
        <f>'Counts data'!L13/'B.1 Exposure'!$B9*100000</f>
        <v>1.3977607872188753</v>
      </c>
    </row>
    <row r="8" spans="1:14" x14ac:dyDescent="0.2">
      <c r="A8" s="5">
        <v>1979</v>
      </c>
      <c r="B8" s="28">
        <f>'B.1 Exposure'!B10</f>
        <v>75681</v>
      </c>
      <c r="C8" s="9">
        <f>'Counts data'!B14/'B.1 Exposure'!$B10*100000</f>
        <v>519.28489317001618</v>
      </c>
      <c r="D8" s="9">
        <f>'Counts data'!C14/'B.1 Exposure'!$B10*100000</f>
        <v>199.52167651061691</v>
      </c>
      <c r="E8" s="9">
        <f>'Counts data'!D14/'B.1 Exposure'!$B10*100000</f>
        <v>33.03339015076439</v>
      </c>
      <c r="F8" s="9">
        <f>'Counts data'!E14/'B.1 Exposure'!$B10*100000</f>
        <v>7.9280136361834543</v>
      </c>
      <c r="G8" s="9">
        <f>'Counts data'!F14/'B.1 Exposure'!$B10*100000</f>
        <v>5.2853424241223026</v>
      </c>
      <c r="H8" s="9">
        <f>'Counts data'!G14/'B.1 Exposure'!$B10*100000</f>
        <v>6.606678030152878</v>
      </c>
      <c r="I8" s="9">
        <f>'Counts data'!H14/'B.1 Exposure'!$B10*100000</f>
        <v>5.2853424241223026</v>
      </c>
      <c r="J8" s="9">
        <f>'Counts data'!I14/'B.1 Exposure'!$B10*100000</f>
        <v>1.3213356060305756</v>
      </c>
      <c r="K8" s="9">
        <f>'Counts data'!J14/'B.1 Exposure'!$B10*100000</f>
        <v>2.6426712120611513</v>
      </c>
      <c r="L8" s="9">
        <f>'Counts data'!K14/'B.1 Exposure'!$B10*100000</f>
        <v>1.3213356060305756</v>
      </c>
      <c r="M8" s="9">
        <f>'Counts data'!L14/'B.1 Exposure'!$B10*100000</f>
        <v>0</v>
      </c>
    </row>
    <row r="9" spans="1:14" x14ac:dyDescent="0.2">
      <c r="A9" s="5">
        <v>1980</v>
      </c>
      <c r="B9" s="28">
        <f>'B.1 Exposure'!B11</f>
        <v>98960</v>
      </c>
      <c r="C9" s="9">
        <f>'Counts data'!B15/'B.1 Exposure'!$B11*100000</f>
        <v>522.43330638641874</v>
      </c>
      <c r="D9" s="9">
        <f>'Counts data'!C15/'B.1 Exposure'!$B11*100000</f>
        <v>186.94421988682296</v>
      </c>
      <c r="E9" s="9">
        <f>'Counts data'!D15/'B.1 Exposure'!$B11*100000</f>
        <v>29.304769603880359</v>
      </c>
      <c r="F9" s="9">
        <f>'Counts data'!E15/'B.1 Exposure'!$B11*100000</f>
        <v>17.178658043654</v>
      </c>
      <c r="G9" s="9">
        <f>'Counts data'!F15/'B.1 Exposure'!$B11*100000</f>
        <v>11.115602263540824</v>
      </c>
      <c r="H9" s="9">
        <f>'Counts data'!G15/'B.1 Exposure'!$B11*100000</f>
        <v>10.105092966855295</v>
      </c>
      <c r="I9" s="9">
        <f>'Counts data'!H15/'B.1 Exposure'!$B11*100000</f>
        <v>8.0840743734842366</v>
      </c>
      <c r="J9" s="9">
        <f>'Counts data'!I15/'B.1 Exposure'!$B11*100000</f>
        <v>1.0105092966855296</v>
      </c>
      <c r="K9" s="9">
        <f>'Counts data'!J15/'B.1 Exposure'!$B11*100000</f>
        <v>0</v>
      </c>
      <c r="L9" s="9">
        <f>'Counts data'!K15/'B.1 Exposure'!$B11*100000</f>
        <v>0</v>
      </c>
      <c r="M9" s="9">
        <f>'Counts data'!L15/'B.1 Exposure'!$B11*100000</f>
        <v>1.0105092966855296</v>
      </c>
    </row>
    <row r="10" spans="1:14" x14ac:dyDescent="0.2">
      <c r="A10" s="5">
        <v>1981</v>
      </c>
      <c r="B10" s="28">
        <f>'B.1 Exposure'!B12</f>
        <v>102974</v>
      </c>
      <c r="C10" s="9">
        <f>'Counts data'!B16/'B.1 Exposure'!$B12*100000</f>
        <v>561.30673762308925</v>
      </c>
      <c r="D10" s="9">
        <f>'Counts data'!C16/'B.1 Exposure'!$B12*100000</f>
        <v>246.66420649872785</v>
      </c>
      <c r="E10" s="9">
        <f>'Counts data'!D16/'B.1 Exposure'!$B12*100000</f>
        <v>47.584827237943557</v>
      </c>
      <c r="F10" s="9">
        <f>'Counts data'!E16/'B.1 Exposure'!$B12*100000</f>
        <v>21.364616310913433</v>
      </c>
      <c r="G10" s="9">
        <f>'Counts data'!F16/'B.1 Exposure'!$B12*100000</f>
        <v>16.509021694796743</v>
      </c>
      <c r="H10" s="9">
        <f>'Counts data'!G16/'B.1 Exposure'!$B12*100000</f>
        <v>5.8267135393400276</v>
      </c>
      <c r="I10" s="9">
        <f>'Counts data'!H16/'B.1 Exposure'!$B12*100000</f>
        <v>2.9133567696700138</v>
      </c>
      <c r="J10" s="9">
        <f>'Counts data'!I16/'B.1 Exposure'!$B12*100000</f>
        <v>0</v>
      </c>
      <c r="K10" s="9">
        <f>'Counts data'!J16/'B.1 Exposure'!$B12*100000</f>
        <v>0.97111892322333793</v>
      </c>
      <c r="L10" s="9">
        <f>'Counts data'!K16/'B.1 Exposure'!$B12*100000</f>
        <v>0</v>
      </c>
      <c r="M10" s="9">
        <f>'Counts data'!L16/'B.1 Exposure'!$B12*100000</f>
        <v>0</v>
      </c>
    </row>
    <row r="11" spans="1:14" x14ac:dyDescent="0.2">
      <c r="A11" s="5">
        <v>1982</v>
      </c>
      <c r="B11" s="28">
        <f>'B.1 Exposure'!B13</f>
        <v>106810</v>
      </c>
      <c r="C11" s="9">
        <f>'Counts data'!B17/'B.1 Exposure'!$B13*100000</f>
        <v>582.34247729613332</v>
      </c>
      <c r="D11" s="9">
        <f>'Counts data'!C17/'B.1 Exposure'!$B13*100000</f>
        <v>192.8658365321599</v>
      </c>
      <c r="E11" s="9">
        <f>'Counts data'!D17/'B.1 Exposure'!$B13*100000</f>
        <v>36.51343507162251</v>
      </c>
      <c r="F11" s="9">
        <f>'Counts data'!E17/'B.1 Exposure'!$B13*100000</f>
        <v>14.979870798614362</v>
      </c>
      <c r="G11" s="9">
        <f>'Counts data'!F17/'B.1 Exposure'!$B13*100000</f>
        <v>2.8087257747401928</v>
      </c>
      <c r="H11" s="9">
        <f>'Counts data'!G17/'B.1 Exposure'!$B13*100000</f>
        <v>6.5536934743937829</v>
      </c>
      <c r="I11" s="9">
        <f>'Counts data'!H17/'B.1 Exposure'!$B13*100000</f>
        <v>0</v>
      </c>
      <c r="J11" s="9">
        <f>'Counts data'!I17/'B.1 Exposure'!$B13*100000</f>
        <v>0.93624192491339764</v>
      </c>
      <c r="K11" s="9">
        <f>'Counts data'!J17/'B.1 Exposure'!$B13*100000</f>
        <v>0</v>
      </c>
      <c r="L11" s="9">
        <f>'Counts data'!K17/'B.1 Exposure'!$B13*100000</f>
        <v>0</v>
      </c>
      <c r="M11" s="9">
        <f>'Counts data'!L17/'B.1 Exposure'!$B13*100000</f>
        <v>0</v>
      </c>
    </row>
    <row r="12" spans="1:14" x14ac:dyDescent="0.2">
      <c r="A12" s="5">
        <v>1983</v>
      </c>
      <c r="B12" s="28">
        <f>'B.1 Exposure'!B14</f>
        <v>110779</v>
      </c>
      <c r="C12" s="9">
        <f>'Counts data'!B18/'B.1 Exposure'!$B14*100000</f>
        <v>595.78078877765643</v>
      </c>
      <c r="D12" s="9">
        <f>'Counts data'!C18/'B.1 Exposure'!$B14*100000</f>
        <v>219.35565404995532</v>
      </c>
      <c r="E12" s="9">
        <f>'Counts data'!D18/'B.1 Exposure'!$B14*100000</f>
        <v>25.275548614809669</v>
      </c>
      <c r="F12" s="9">
        <f>'Counts data'!E18/'B.1 Exposure'!$B14*100000</f>
        <v>10.832377977775572</v>
      </c>
      <c r="G12" s="9">
        <f>'Counts data'!F18/'B.1 Exposure'!$B14*100000</f>
        <v>10.832377977775572</v>
      </c>
      <c r="H12" s="9">
        <f>'Counts data'!G18/'B.1 Exposure'!$B14*100000</f>
        <v>3.6107926592585238</v>
      </c>
      <c r="I12" s="9">
        <f>'Counts data'!H18/'B.1 Exposure'!$B14*100000</f>
        <v>3.6107926592585238</v>
      </c>
      <c r="J12" s="9">
        <f>'Counts data'!I18/'B.1 Exposure'!$B14*100000</f>
        <v>0.90269816481463094</v>
      </c>
      <c r="K12" s="9">
        <f>'Counts data'!J18/'B.1 Exposure'!$B14*100000</f>
        <v>0</v>
      </c>
      <c r="L12" s="9">
        <f>'Counts data'!K18/'B.1 Exposure'!$B14*100000</f>
        <v>0</v>
      </c>
      <c r="M12" s="9">
        <f>'Counts data'!L18/'B.1 Exposure'!$B14*100000</f>
        <v>0</v>
      </c>
    </row>
    <row r="13" spans="1:14" x14ac:dyDescent="0.2">
      <c r="A13" s="5">
        <v>1984</v>
      </c>
      <c r="B13" s="28">
        <f>'B.1 Exposure'!B15</f>
        <v>114307</v>
      </c>
      <c r="C13" s="9">
        <f>'Counts data'!B19/'B.1 Exposure'!$B15*100000</f>
        <v>582.6414830237868</v>
      </c>
      <c r="D13" s="9">
        <f>'Counts data'!C19/'B.1 Exposure'!$B15*100000</f>
        <v>204.71187241376293</v>
      </c>
      <c r="E13" s="9">
        <f>'Counts data'!D19/'B.1 Exposure'!$B15*100000</f>
        <v>46.366364264655708</v>
      </c>
      <c r="F13" s="9">
        <f>'Counts data'!E19/'B.1 Exposure'!$B15*100000</f>
        <v>8.7483706159727763</v>
      </c>
      <c r="G13" s="9">
        <f>'Counts data'!F19/'B.1 Exposure'!$B15*100000</f>
        <v>6.9986964927782198</v>
      </c>
      <c r="H13" s="9">
        <f>'Counts data'!G19/'B.1 Exposure'!$B15*100000</f>
        <v>3.4993482463891099</v>
      </c>
      <c r="I13" s="9">
        <f>'Counts data'!H19/'B.1 Exposure'!$B15*100000</f>
        <v>5.2490223695836651</v>
      </c>
      <c r="J13" s="9">
        <f>'Counts data'!I19/'B.1 Exposure'!$B15*100000</f>
        <v>0.87483706159727748</v>
      </c>
      <c r="K13" s="9">
        <f>'Counts data'!J19/'B.1 Exposure'!$B15*100000</f>
        <v>0</v>
      </c>
      <c r="L13" s="9">
        <f>'Counts data'!K19/'B.1 Exposure'!$B15*100000</f>
        <v>0</v>
      </c>
      <c r="M13" s="9">
        <f>'Counts data'!L19/'B.1 Exposure'!$B15*100000</f>
        <v>0</v>
      </c>
    </row>
    <row r="14" spans="1:14" x14ac:dyDescent="0.2">
      <c r="A14" s="5">
        <v>1985</v>
      </c>
      <c r="B14" s="28">
        <f>'B.1 Exposure'!B16</f>
        <v>117306</v>
      </c>
      <c r="C14" s="9">
        <f>'Counts data'!B20/'B.1 Exposure'!$B16*100000</f>
        <v>488.4660631169761</v>
      </c>
      <c r="D14" s="9">
        <f>'Counts data'!C20/'B.1 Exposure'!$B16*100000</f>
        <v>226.75736961451247</v>
      </c>
      <c r="E14" s="9">
        <f>'Counts data'!D20/'B.1 Exposure'!$B16*100000</f>
        <v>52.853221489096889</v>
      </c>
      <c r="F14" s="9">
        <f>'Counts data'!E20/'B.1 Exposure'!$B16*100000</f>
        <v>10.229655772083269</v>
      </c>
      <c r="G14" s="9">
        <f>'Counts data'!F20/'B.1 Exposure'!$B16*100000</f>
        <v>4.2623565717013623</v>
      </c>
      <c r="H14" s="9">
        <f>'Counts data'!G20/'B.1 Exposure'!$B16*100000</f>
        <v>5.9672992003819072</v>
      </c>
      <c r="I14" s="9">
        <f>'Counts data'!H20/'B.1 Exposure'!$B16*100000</f>
        <v>5.1148278860416347</v>
      </c>
      <c r="J14" s="9">
        <f>'Counts data'!I20/'B.1 Exposure'!$B16*100000</f>
        <v>4.2623565717013623</v>
      </c>
      <c r="K14" s="9">
        <f>'Counts data'!J20/'B.1 Exposure'!$B16*100000</f>
        <v>0.85247131434027246</v>
      </c>
      <c r="L14" s="9">
        <f>'Counts data'!K20/'B.1 Exposure'!$B16*100000</f>
        <v>0</v>
      </c>
      <c r="M14" s="9">
        <f>'Counts data'!L20/'B.1 Exposure'!$B16*100000</f>
        <v>0.85247131434027246</v>
      </c>
    </row>
    <row r="15" spans="1:14" x14ac:dyDescent="0.2">
      <c r="A15" s="5">
        <v>1986</v>
      </c>
      <c r="B15" s="28">
        <f>'B.1 Exposure'!B17</f>
        <v>123304</v>
      </c>
      <c r="C15" s="9">
        <f>'Counts data'!B21/'B.1 Exposure'!$B17*100000</f>
        <v>472.00415233893472</v>
      </c>
      <c r="D15" s="9">
        <f>'Counts data'!C21/'B.1 Exposure'!$B17*100000</f>
        <v>227.89203918769869</v>
      </c>
      <c r="E15" s="9">
        <f>'Counts data'!D21/'B.1 Exposure'!$B17*100000</f>
        <v>25.952118341659638</v>
      </c>
      <c r="F15" s="9">
        <f>'Counts data'!E21/'B.1 Exposure'!$B17*100000</f>
        <v>21.897099850775319</v>
      </c>
      <c r="G15" s="9">
        <f>'Counts data'!F21/'B.1 Exposure'!$B17*100000</f>
        <v>9.7320443781223638</v>
      </c>
      <c r="H15" s="9">
        <f>'Counts data'!G21/'B.1 Exposure'!$B17*100000</f>
        <v>10.543048076299229</v>
      </c>
      <c r="I15" s="9">
        <f>'Counts data'!H21/'B.1 Exposure'!$B17*100000</f>
        <v>4.8660221890611819</v>
      </c>
      <c r="J15" s="9">
        <f>'Counts data'!I21/'B.1 Exposure'!$B17*100000</f>
        <v>1.6220073963537274</v>
      </c>
      <c r="K15" s="9">
        <f>'Counts data'!J21/'B.1 Exposure'!$B17*100000</f>
        <v>0.81100369817686369</v>
      </c>
      <c r="L15" s="9">
        <f>'Counts data'!K21/'B.1 Exposure'!$B17*100000</f>
        <v>0</v>
      </c>
      <c r="M15" s="9"/>
    </row>
    <row r="16" spans="1:14" x14ac:dyDescent="0.2">
      <c r="A16" s="5">
        <v>1987</v>
      </c>
      <c r="B16" s="28">
        <f>'B.1 Exposure'!B18</f>
        <v>125533</v>
      </c>
      <c r="C16" s="9">
        <f>'Counts data'!B22/'B.1 Exposure'!$B18*100000</f>
        <v>434.14878956131059</v>
      </c>
      <c r="D16" s="9">
        <f>'Counts data'!C22/'B.1 Exposure'!$B18*100000</f>
        <v>175.2527223917217</v>
      </c>
      <c r="E16" s="9">
        <f>'Counts data'!D22/'B.1 Exposure'!$B18*100000</f>
        <v>34.253941194745607</v>
      </c>
      <c r="F16" s="9">
        <f>'Counts data'!E22/'B.1 Exposure'!$B18*100000</f>
        <v>14.33885910477723</v>
      </c>
      <c r="G16" s="9">
        <f>'Counts data'!F22/'B.1 Exposure'!$B18*100000</f>
        <v>9.5592394031848187</v>
      </c>
      <c r="H16" s="9">
        <f>'Counts data'!G22/'B.1 Exposure'!$B18*100000</f>
        <v>7.1694295523886149</v>
      </c>
      <c r="I16" s="9">
        <f>'Counts data'!H22/'B.1 Exposure'!$B18*100000</f>
        <v>3.9830164179936753</v>
      </c>
      <c r="J16" s="9">
        <f>'Counts data'!I22/'B.1 Exposure'!$B18*100000</f>
        <v>1.59320656719747</v>
      </c>
      <c r="K16" s="9">
        <f>'Counts data'!J22/'B.1 Exposure'!$B18*100000</f>
        <v>0</v>
      </c>
      <c r="L16" s="9"/>
      <c r="M16" s="9"/>
    </row>
    <row r="17" spans="1:19" x14ac:dyDescent="0.2">
      <c r="A17" s="5">
        <v>1988</v>
      </c>
      <c r="B17" s="28">
        <f>'B.1 Exposure'!B19</f>
        <v>131265</v>
      </c>
      <c r="C17" s="9">
        <f>'Counts data'!B23/'B.1 Exposure'!$B19*100000</f>
        <v>387.76520778577685</v>
      </c>
      <c r="D17" s="9">
        <f>'Counts data'!C23/'B.1 Exposure'!$B19*100000</f>
        <v>202.6435074086771</v>
      </c>
      <c r="E17" s="9">
        <f>'Counts data'!D23/'B.1 Exposure'!$B19*100000</f>
        <v>37.329067154229996</v>
      </c>
      <c r="F17" s="9">
        <f>'Counts data'!E23/'B.1 Exposure'!$B19*100000</f>
        <v>16.759989334552241</v>
      </c>
      <c r="G17" s="9">
        <f>'Counts data'!F23/'B.1 Exposure'!$B19*100000</f>
        <v>11.427265455376528</v>
      </c>
      <c r="H17" s="9">
        <f>'Counts data'!G23/'B.1 Exposure'!$B19*100000</f>
        <v>3.0472707881004077</v>
      </c>
      <c r="I17" s="9">
        <f>'Counts data'!H23/'B.1 Exposure'!$B19*100000</f>
        <v>6.0945415762008155</v>
      </c>
      <c r="J17" s="9">
        <f>'Counts data'!I23/'B.1 Exposure'!$B19*100000</f>
        <v>0</v>
      </c>
      <c r="K17" s="9"/>
      <c r="L17" s="9"/>
      <c r="M17" s="9"/>
      <c r="Q17" s="1" cm="1">
        <f t="array" aca="1" ref="Q17:Q22" ca="1">OFFSET($C$19:$C$24,-D5,D5)</f>
        <v>150.3640959179728</v>
      </c>
      <c r="R17" s="1" cm="1">
        <f t="array" aca="1" ref="R17:R22" ca="1">OFFSET($C$19:$C$24,-E5,E5)</f>
        <v>37.329067154229996</v>
      </c>
      <c r="S17" s="1" cm="1">
        <f t="array" aca="1" ref="S17:S22" ca="1">OFFSET($C$19:$C$24,-F5,F5)</f>
        <v>14.33885910477723</v>
      </c>
    </row>
    <row r="18" spans="1:19" x14ac:dyDescent="0.2">
      <c r="A18" s="5">
        <v>1989</v>
      </c>
      <c r="B18" s="28">
        <f>'B.1 Exposure'!B20</f>
        <v>139661</v>
      </c>
      <c r="C18" s="9">
        <f>'Counts data'!B24/'B.1 Exposure'!$B20*100000</f>
        <v>421.73548807469513</v>
      </c>
      <c r="D18" s="9">
        <f>'Counts data'!C24/'B.1 Exposure'!$B20*100000</f>
        <v>150.3640959179728</v>
      </c>
      <c r="E18" s="9">
        <f>'Counts data'!D24/'B.1 Exposure'!$B20*100000</f>
        <v>20.764565626767673</v>
      </c>
      <c r="F18" s="9">
        <f>'Counts data'!E24/'B.1 Exposure'!$B20*100000</f>
        <v>12.172331574312084</v>
      </c>
      <c r="G18" s="9">
        <f>'Counts data'!F24/'B.1 Exposure'!$B20*100000</f>
        <v>8.5922340524555896</v>
      </c>
      <c r="H18" s="9">
        <f>'Counts data'!G24/'B.1 Exposure'!$B20*100000</f>
        <v>2.8640780174851961</v>
      </c>
      <c r="I18" s="9">
        <f>'Counts data'!H24/'B.1 Exposure'!$B20*100000</f>
        <v>6.4441755393416917</v>
      </c>
      <c r="J18" s="9"/>
      <c r="K18" s="9"/>
      <c r="L18" s="9"/>
      <c r="M18" s="9"/>
      <c r="Q18" s="1">
        <f ca="1"/>
        <v>128.19255044311456</v>
      </c>
      <c r="R18" s="1">
        <f ca="1"/>
        <v>20.764565626767673</v>
      </c>
      <c r="S18" s="1">
        <f ca="1"/>
        <v>16.759989334552241</v>
      </c>
    </row>
    <row r="19" spans="1:19" x14ac:dyDescent="0.2">
      <c r="A19" s="5">
        <v>1990</v>
      </c>
      <c r="B19" s="28">
        <f>'B.1 Exposure'!B21</f>
        <v>152895</v>
      </c>
      <c r="C19" s="9">
        <f>'Counts data'!B25/'B.1 Exposure'!$B21*100000</f>
        <v>368.88060433630926</v>
      </c>
      <c r="D19" s="9">
        <f>'Counts data'!C25/'B.1 Exposure'!$B21*100000</f>
        <v>128.19255044311456</v>
      </c>
      <c r="E19" s="9">
        <f>'Counts data'!D25/'B.1 Exposure'!$B21*100000</f>
        <v>15.043003368324669</v>
      </c>
      <c r="F19" s="9">
        <f>'Counts data'!E25/'B.1 Exposure'!$B21*100000</f>
        <v>7.8485234965172177</v>
      </c>
      <c r="G19" s="9">
        <f>'Counts data'!F25/'B.1 Exposure'!$B21*100000</f>
        <v>5.8863926223879135</v>
      </c>
      <c r="H19" s="9">
        <f>'Counts data'!G25/'B.1 Exposure'!$B21*100000</f>
        <v>3.2702181235488408</v>
      </c>
      <c r="I19" s="9"/>
      <c r="J19" s="9"/>
      <c r="K19" s="9"/>
      <c r="L19" s="9"/>
      <c r="M19" s="9"/>
      <c r="Q19" s="1">
        <f ca="1"/>
        <v>126.61306921306547</v>
      </c>
      <c r="R19" s="1">
        <f ca="1"/>
        <v>15.043003368324669</v>
      </c>
      <c r="S19" s="1">
        <f ca="1"/>
        <v>12.172331574312084</v>
      </c>
    </row>
    <row r="20" spans="1:19" x14ac:dyDescent="0.2">
      <c r="A20" s="5">
        <v>1991</v>
      </c>
      <c r="B20" s="28">
        <f>'B.1 Exposure'!B22</f>
        <v>160331</v>
      </c>
      <c r="C20" s="9">
        <f>'Counts data'!B26/'B.1 Exposure'!$B22*100000</f>
        <v>378.59178823808247</v>
      </c>
      <c r="D20" s="9">
        <f>'Counts data'!C26/'B.1 Exposure'!$B22*100000</f>
        <v>126.61306921306547</v>
      </c>
      <c r="E20" s="9">
        <f>'Counts data'!D26/'B.1 Exposure'!$B22*100000</f>
        <v>18.08758131615221</v>
      </c>
      <c r="F20" s="9">
        <f>'Counts data'!E26/'B.1 Exposure'!$B22*100000</f>
        <v>5.613387305012755</v>
      </c>
      <c r="G20" s="9">
        <f>'Counts data'!F26/'B.1 Exposure'!$B22*100000</f>
        <v>4.3659679038988095</v>
      </c>
      <c r="H20" s="9"/>
      <c r="I20" s="9"/>
      <c r="J20" s="9"/>
      <c r="K20" s="9"/>
      <c r="L20" s="9"/>
      <c r="M20" s="9"/>
      <c r="Q20" s="1">
        <f ca="1"/>
        <v>103.74462860650705</v>
      </c>
      <c r="R20" s="1">
        <f ca="1"/>
        <v>18.08758131615221</v>
      </c>
      <c r="S20" s="1">
        <f ca="1"/>
        <v>7.8485234965172177</v>
      </c>
    </row>
    <row r="21" spans="1:19" x14ac:dyDescent="0.2">
      <c r="A21" s="5">
        <v>1992</v>
      </c>
      <c r="B21" s="28">
        <f>'B.1 Exposure'!B23</f>
        <v>162900</v>
      </c>
      <c r="C21" s="9">
        <f>'Counts data'!B27/'B.1 Exposure'!$B23*100000</f>
        <v>413.75076734192754</v>
      </c>
      <c r="D21" s="9">
        <f>'Counts data'!C27/'B.1 Exposure'!$B23*100000</f>
        <v>103.74462860650705</v>
      </c>
      <c r="E21" s="9">
        <f>'Counts data'!D27/'B.1 Exposure'!$B23*100000</f>
        <v>12.277470841006753</v>
      </c>
      <c r="F21" s="9">
        <f>'Counts data'!E27/'B.1 Exposure'!$B23*100000</f>
        <v>7.3664825046040514</v>
      </c>
      <c r="G21" s="9"/>
      <c r="H21" s="9"/>
      <c r="I21" s="9"/>
      <c r="J21" s="9"/>
      <c r="K21" s="9"/>
      <c r="L21" s="9"/>
      <c r="M21" s="9"/>
      <c r="Q21" s="1">
        <f ca="1"/>
        <v>111.735128936458</v>
      </c>
      <c r="R21" s="1">
        <f ca="1"/>
        <v>12.277470841006753</v>
      </c>
      <c r="S21" s="1">
        <f ca="1"/>
        <v>5.613387305012755</v>
      </c>
    </row>
    <row r="22" spans="1:19" x14ac:dyDescent="0.2">
      <c r="A22" s="5">
        <v>1993</v>
      </c>
      <c r="B22" s="28">
        <f>'B.1 Exposure'!B24</f>
        <v>170045</v>
      </c>
      <c r="C22" s="9">
        <f>'Counts data'!B28/'B.1 Exposure'!$B24*100000</f>
        <v>364.02128848246053</v>
      </c>
      <c r="D22" s="9">
        <f>'Counts data'!C28/'B.1 Exposure'!$B24*100000</f>
        <v>111.735128936458</v>
      </c>
      <c r="E22" s="9">
        <f>'Counts data'!D28/'B.1 Exposure'!$B24*100000</f>
        <v>24.111264665235673</v>
      </c>
      <c r="F22" s="9"/>
      <c r="G22" s="9"/>
      <c r="H22" s="9"/>
      <c r="I22" s="9"/>
      <c r="J22" s="9"/>
      <c r="K22" s="9"/>
      <c r="L22" s="9"/>
      <c r="M22" s="9"/>
      <c r="Q22" s="1">
        <f ca="1"/>
        <v>92.930365718507574</v>
      </c>
      <c r="R22" s="1">
        <f ca="1"/>
        <v>24.111264665235673</v>
      </c>
      <c r="S22" s="1">
        <f ca="1"/>
        <v>7.3664825046040514</v>
      </c>
    </row>
    <row r="23" spans="1:19" x14ac:dyDescent="0.2">
      <c r="A23" s="5">
        <v>1994</v>
      </c>
      <c r="B23" s="28">
        <f>'B.1 Exposure'!B25</f>
        <v>173248</v>
      </c>
      <c r="C23" s="9">
        <f>'Counts data'!B29/'B.1 Exposure'!$B25*100000</f>
        <v>380.95677872183228</v>
      </c>
      <c r="D23" s="9">
        <f>'Counts data'!C29/'B.1 Exposure'!$B25*100000</f>
        <v>92.930365718507574</v>
      </c>
      <c r="E23" s="9"/>
      <c r="F23" s="9"/>
      <c r="G23" s="9"/>
      <c r="H23" s="9"/>
      <c r="I23" s="9"/>
      <c r="J23" s="9"/>
      <c r="K23" s="9"/>
      <c r="L23" s="9"/>
      <c r="M23" s="9"/>
    </row>
    <row r="24" spans="1:19" x14ac:dyDescent="0.2">
      <c r="A24" s="5">
        <v>1995</v>
      </c>
      <c r="B24" s="28">
        <f>'B.1 Exposure'!B26</f>
        <v>175941</v>
      </c>
      <c r="C24" s="9">
        <f>'Counts data'!B30/'B.1 Exposure'!$B26*100000</f>
        <v>375.12575238290111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9" ht="15" x14ac:dyDescent="0.2">
      <c r="Q25" s="1" cm="1">
        <f t="array" aca="1" ref="Q25:Q30" ca="1">OFFSET($B$19:$B$24,D5,0)</f>
        <v>160331</v>
      </c>
    </row>
    <row r="26" spans="1:19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Q26" s="1">
        <f ca="1"/>
        <v>162900</v>
      </c>
    </row>
    <row r="27" spans="1:19" ht="15.75" x14ac:dyDescent="0.25">
      <c r="A27" s="3" t="s">
        <v>18</v>
      </c>
      <c r="B27" s="3"/>
      <c r="Q27" s="1">
        <f ca="1"/>
        <v>170045</v>
      </c>
    </row>
    <row r="28" spans="1:19" ht="15" x14ac:dyDescent="0.2">
      <c r="Q28" s="1">
        <f ca="1"/>
        <v>173248</v>
      </c>
    </row>
    <row r="29" spans="1:19" x14ac:dyDescent="0.2">
      <c r="A29" s="1" t="s">
        <v>7</v>
      </c>
      <c r="C29" s="10">
        <f>SUMPRODUCT(C7:C24,'B.1 Exposure'!$B9:$B26)/SUM('B.1 Exposure'!$B9:$B26)</f>
        <v>448.93349119055551</v>
      </c>
      <c r="D29" s="10">
        <f>SUMPRODUCT(D7:D24,'B.1 Exposure'!$B9:$B26)/SUM('B.1 Exposure'!$B9:$B25)</f>
        <v>169.63409373944467</v>
      </c>
      <c r="E29" s="10">
        <f>SUMPRODUCT(E7:E24,'B.1 Exposure'!$B9:$B26)/SUM('B.1 Exposure'!$B9:$B24)</f>
        <v>29.47623930022695</v>
      </c>
      <c r="F29" s="10">
        <f>SUMPRODUCT(F7:F24,'B.1 Exposure'!$B9:$B26)/SUM('B.1 Exposure'!$B9:$B23)</f>
        <v>12.261397386873282</v>
      </c>
      <c r="G29" s="10">
        <f>SUMPRODUCT(G7:G24,'B.1 Exposure'!$B9:$B26)/SUM('B.1 Exposure'!$B9:$B22)</f>
        <v>8.1527619166714178</v>
      </c>
      <c r="H29" s="10">
        <f>SUMPRODUCT(H7:H24,'B.1 Exposure'!$B9:$B26)/SUM('B.1 Exposure'!$B9:$B21)</f>
        <v>5.6423510793205791</v>
      </c>
      <c r="I29" s="10">
        <f>SUMPRODUCT(I7:I24,'B.1 Exposure'!$B9:$B26)/SUM('B.1 Exposure'!$B9:$B20)</f>
        <v>4.7036581563329065</v>
      </c>
      <c r="J29" s="10">
        <f>SUMPRODUCT(J7:J24,'B.1 Exposure'!$B9:$B26)/SUM('B.1 Exposure'!$B9:$B19)</f>
        <v>1.2728454544991692</v>
      </c>
      <c r="K29" s="10">
        <f>SUMPRODUCT(K7:K24,'B.1 Exposure'!$B9:$B26)/SUM('B.1 Exposure'!$B9:$B18)</f>
        <v>0.47746508059133097</v>
      </c>
      <c r="L29" s="10">
        <f>SUMPRODUCT(L7:L24,'B.1 Exposure'!$B9:$B26)/SUM('B.1 Exposure'!$B9:$B17)</f>
        <v>0.10849940976321089</v>
      </c>
      <c r="M29" s="10">
        <f>SUMPRODUCT(M7:M24,'B.1 Exposure'!$B9:$B26)/SUM('B.1 Exposure'!$B9:$B16)</f>
        <v>0.37577032917480835</v>
      </c>
      <c r="Q29" s="1">
        <f ca="1"/>
        <v>175941</v>
      </c>
    </row>
    <row r="30" spans="1:19" ht="15" x14ac:dyDescent="0.2">
      <c r="B30" s="53" t="s">
        <v>81</v>
      </c>
      <c r="C30" s="52">
        <f ca="1">SUMPRODUCT(OFFSET($C$7:$C$24,0,C5,18-C5),OFFSET('Table 2.1'!$B$7:$B$24,0,0,18-'Table 2.1'!C5))/SUM(OFFSET('Table 2.1'!$B$7:$B$24,0,0,18-'Table 2.1'!C5))</f>
        <v>448.93349119055551</v>
      </c>
      <c r="D30" s="52">
        <f ca="1">SUMPRODUCT(OFFSET($C$7:$C$24,0,D5,18-D5),OFFSET('Table 2.1'!$B$7:$B$24,0,0,18-'Table 2.1'!D5))/SUM(OFFSET('Table 2.1'!$B$7:$B$24,0,0,18-'Table 2.1'!D5))</f>
        <v>169.63409373944467</v>
      </c>
      <c r="E30" s="52">
        <f ca="1">SUMPRODUCT(OFFSET($C$7:$C$24,0,E5,18-E5),OFFSET('Table 2.1'!$B$7:$B$24,0,0,18-'Table 2.1'!E5))/SUM(OFFSET('Table 2.1'!$B$7:$B$24,0,0,18-'Table 2.1'!E5))</f>
        <v>29.47623930022695</v>
      </c>
      <c r="F30" s="52">
        <f ca="1">SUMPRODUCT(OFFSET($C$7:$C$24,0,F5,18-F5),OFFSET('Table 2.1'!$B$7:$B$24,0,0,18-'Table 2.1'!F5))/SUM(OFFSET('Table 2.1'!$B$7:$B$24,0,0,18-'Table 2.1'!F5))</f>
        <v>12.261397386873282</v>
      </c>
      <c r="G30" s="52">
        <f ca="1">SUMPRODUCT(OFFSET($C$7:$C$24,0,G5,18-G5),OFFSET('Table 2.1'!$B$7:$B$24,0,0,18-'Table 2.1'!G5))/SUM(OFFSET('Table 2.1'!$B$7:$B$24,0,0,18-'Table 2.1'!G5))</f>
        <v>8.1527619166714178</v>
      </c>
      <c r="H30" s="52">
        <f ca="1">SUMPRODUCT(OFFSET($C$7:$C$24,0,H5,18-H5),OFFSET('Table 2.1'!$B$7:$B$24,0,0,18-'Table 2.1'!H5))/SUM(OFFSET('Table 2.1'!$B$7:$B$24,0,0,18-'Table 2.1'!H5))</f>
        <v>5.6423510793205791</v>
      </c>
      <c r="I30" s="52">
        <f ca="1">SUMPRODUCT(OFFSET($C$7:$C$24,0,I5,18-I5),OFFSET('Table 2.1'!$B$7:$B$24,0,0,18-'Table 2.1'!I5))/SUM(OFFSET('Table 2.1'!$B$7:$B$24,0,0,18-'Table 2.1'!I5))</f>
        <v>4.7036581563329065</v>
      </c>
      <c r="J30" s="52">
        <f ca="1">SUMPRODUCT(OFFSET($C$7:$C$24,0,J5,18-J5),OFFSET('Table 2.1'!$B$7:$B$24,0,0,18-'Table 2.1'!J5))/SUM(OFFSET('Table 2.1'!$B$7:$B$24,0,0,18-'Table 2.1'!J5))</f>
        <v>1.2728454544991692</v>
      </c>
      <c r="K30" s="52">
        <f ca="1">SUMPRODUCT(OFFSET($C$7:$C$24,0,K5,18-K5),OFFSET('Table 2.1'!$B$7:$B$24,0,0,18-'Table 2.1'!K5))/SUM(OFFSET('Table 2.1'!$B$7:$B$24,0,0,18-'Table 2.1'!K5))</f>
        <v>0.47746508059133097</v>
      </c>
      <c r="L30" s="52">
        <f ca="1">SUMPRODUCT(OFFSET($C$7:$C$24,0,L5,18-L5),OFFSET('Table 2.1'!$B$7:$B$24,0,0,18-'Table 2.1'!L5))/SUM(OFFSET('Table 2.1'!$B$7:$B$24,0,0,18-'Table 2.1'!L5))</f>
        <v>0.10849940976321089</v>
      </c>
      <c r="M30" s="52">
        <f ca="1">SUMPRODUCT(OFFSET($C$7:$C$24,0,M5,18-M5),OFFSET('Table 2.1'!$B$7:$B$24,0,0,18-'Table 2.1'!M5))/SUM(OFFSET('Table 2.1'!$B$7:$B$24,0,0,18-'Table 2.1'!M5))</f>
        <v>0.37577032917480835</v>
      </c>
      <c r="Q30" s="1">
        <f ca="1"/>
        <v>0</v>
      </c>
    </row>
    <row r="31" spans="1:19" x14ac:dyDescent="0.2">
      <c r="A31" s="1" t="s">
        <v>8</v>
      </c>
      <c r="C31" s="11">
        <f>SUMPRODUCT(C19:C24,'B.1 Exposure'!$B21:$B26)/SUM('B.1 Exposure'!$B21:$B26)</f>
        <v>380.16396077800999</v>
      </c>
      <c r="D31" s="11">
        <f>SUMPRODUCT(D18:D23,'B.1 Exposure'!$B20:$B25)/SUM('B.1 Exposure'!$B20:$B25)</f>
        <v>117.71697877132252</v>
      </c>
      <c r="E31" s="11">
        <f>SUMPRODUCT(E17:E22,'B.1 Exposure'!$B19:$B24)/SUM('B.1 Exposure'!$B19:$B24)</f>
        <v>20.826586500664597</v>
      </c>
      <c r="F31" s="11">
        <f>SUMPRODUCT(F16:F21,'B.1 Exposure'!$B18:$B23)/SUM('B.1 Exposure'!$B18:$B23)</f>
        <v>10.314181426451292</v>
      </c>
      <c r="G31" s="11">
        <f>SUMPRODUCT(G15:G20,'B.1 Exposure'!$B17:$B22)/SUM('B.1 Exposure'!$B17:$B22)</f>
        <v>8.0433235012707254</v>
      </c>
      <c r="H31" s="11">
        <f>SUMPRODUCT(H14:H19,'B.1 Exposure'!$B16:$B21)/SUM('B.1 Exposure'!$B16:$B21)</f>
        <v>5.3166979761103041</v>
      </c>
      <c r="I31" s="11">
        <f>SUMPRODUCT(I13:I18,'B.1 Exposure'!$B15:$B20)/SUM('B.1 Exposure'!$B15:$B20)</f>
        <v>5.3235663635782879</v>
      </c>
      <c r="J31" s="11">
        <f>SUMPRODUCT(J12:J17,'B.1 Exposure'!$B14:$B19)/SUM('B.1 Exposure'!$B14:$B19)</f>
        <v>1.5225039931127455</v>
      </c>
      <c r="K31" s="11">
        <f>SUMPRODUCT(K11:K16,'B.1 Exposure'!$B13:$B18)/SUM('B.1 Exposure'!$B13:$B18)</f>
        <v>0.28651694246310022</v>
      </c>
      <c r="L31" s="11">
        <f>SUMPRODUCT(L10:L15,'B.1 Exposure'!$B12:$B17)/SUM('B.1 Exposure'!$B12:$B17)</f>
        <v>0</v>
      </c>
      <c r="M31" s="11">
        <f>SUMPRODUCT(M9:M14,'B.1 Exposure'!$B11:$B16)/SUM('B.1 Exposure'!$B11:$B16)</f>
        <v>0.3071554943974838</v>
      </c>
    </row>
    <row r="32" spans="1:19" ht="15" x14ac:dyDescent="0.2">
      <c r="B32" s="53" t="s">
        <v>81</v>
      </c>
      <c r="C32" s="54">
        <f ca="1">SUMPRODUCT(OFFSET($C$19:$C$24,-C5,C5),OFFSET($B$19:$B$24,-C5,0))/SUM(OFFSET($B$19:$B$24,-C5,0))</f>
        <v>380.16396077800999</v>
      </c>
      <c r="D32" s="54">
        <f t="shared" ref="D32:M32" ca="1" si="0">SUMPRODUCT(OFFSET($C$19:$C$24,-D5,D5),OFFSET($B$19:$B$24,-D5,0))/SUM(OFFSET($B$19:$B$24,-D5,0))</f>
        <v>117.71697877132252</v>
      </c>
      <c r="E32" s="54">
        <f t="shared" ca="1" si="0"/>
        <v>20.826586500664597</v>
      </c>
      <c r="F32" s="54">
        <f t="shared" ca="1" si="0"/>
        <v>10.314181426451292</v>
      </c>
      <c r="G32" s="54">
        <f t="shared" ca="1" si="0"/>
        <v>8.0433235012707254</v>
      </c>
      <c r="H32" s="54">
        <f t="shared" ca="1" si="0"/>
        <v>5.3166979761103041</v>
      </c>
      <c r="I32" s="54">
        <f t="shared" ca="1" si="0"/>
        <v>5.3235663635782879</v>
      </c>
      <c r="J32" s="54">
        <f t="shared" ca="1" si="0"/>
        <v>1.5225039931127455</v>
      </c>
      <c r="K32" s="54">
        <f t="shared" ca="1" si="0"/>
        <v>0.28651694246310022</v>
      </c>
      <c r="L32" s="54">
        <f t="shared" ca="1" si="0"/>
        <v>0</v>
      </c>
      <c r="M32" s="54">
        <f t="shared" ca="1" si="0"/>
        <v>0.3071554943974838</v>
      </c>
    </row>
    <row r="33" spans="1:14" x14ac:dyDescent="0.2">
      <c r="A33" s="1" t="s">
        <v>9</v>
      </c>
      <c r="C33" s="12">
        <f>SUMPRODUCT(C22:C24,'B.1 Exposure'!$B24:$B26)/SUM('B.1 Exposure'!$B24:$B26)</f>
        <v>373.43471344326451</v>
      </c>
      <c r="D33" s="12">
        <f>SUMPRODUCT(D21:D23,'B.1 Exposure'!$B23:$B25)/SUM('B.1 Exposure'!$B23:$B25)</f>
        <v>102.72761575130434</v>
      </c>
      <c r="E33" s="12">
        <f>SUMPRODUCT(E20:E22,'B.1 Exposure'!$B22:$B24)/SUM('B.1 Exposure'!$B22:$B24)</f>
        <v>18.245363650370177</v>
      </c>
      <c r="F33" s="12">
        <f>SUMPRODUCT(F19:F21,'B.1 Exposure'!$B21:$B23)/SUM('B.1 Exposure'!$B21:$B23)</f>
        <v>6.9309384490660033</v>
      </c>
      <c r="G33" s="12">
        <f>SUMPRODUCT(G18:G20,'B.1 Exposure'!$B20:$B22)/SUM('B.1 Exposure'!$B20:$B22)</f>
        <v>6.1825576799510698</v>
      </c>
      <c r="H33" s="12">
        <f>SUMPRODUCT(H17:H19,'B.1 Exposure'!$B19:$B21)/SUM('B.1 Exposure'!$B19:$B21)</f>
        <v>3.0673326711040745</v>
      </c>
      <c r="I33" s="12">
        <f>SUMPRODUCT(I16:I18,'B.1 Exposure'!$B18:$B20)/SUM('B.1 Exposure'!$B18:$B20)</f>
        <v>5.5491236168178801</v>
      </c>
      <c r="J33" s="12">
        <f>SUMPRODUCT(J15:J17,'B.1 Exposure'!$B17:$B19)/SUM('B.1 Exposure'!$B17:$B19)</f>
        <v>1.0523491062925214</v>
      </c>
      <c r="K33" s="12">
        <f>SUMPRODUCT(K14:K16,'B.1 Exposure'!$B16:$B18)/SUM('B.1 Exposure'!$B16:$B18)</f>
        <v>0.5462346678756661</v>
      </c>
      <c r="L33" s="12">
        <f>SUMPRODUCT(L13:L15,'B.1 Exposure'!$B15:$B17)/SUM('B.1 Exposure'!$B15:$B17)</f>
        <v>0</v>
      </c>
      <c r="M33" s="12">
        <f>SUMPRODUCT(M12:M14,'B.1 Exposure'!$B14:$B16)/SUM('B.1 Exposure'!$B14:$B16)</f>
        <v>0.29206289866585666</v>
      </c>
    </row>
    <row r="34" spans="1:14" ht="15" x14ac:dyDescent="0.2">
      <c r="B34" s="53" t="s">
        <v>81</v>
      </c>
      <c r="C34" s="55">
        <f ca="1">SUMPRODUCT(OFFSET($C$22:$C$24,-C5,C5),OFFSET($B$22:$B$24,-C5,0))/SUM(OFFSET($B$22:$B$24,-C5,0))</f>
        <v>373.43471344326451</v>
      </c>
      <c r="D34" s="55">
        <f t="shared" ref="D34:M34" ca="1" si="1">SUMPRODUCT(OFFSET($C$22:$C$24,-D5,D5),OFFSET($B$22:$B$24,-D5,0))/SUM(OFFSET($B$22:$B$24,-D5,0))</f>
        <v>102.72761575130434</v>
      </c>
      <c r="E34" s="55">
        <f t="shared" ca="1" si="1"/>
        <v>18.245363650370177</v>
      </c>
      <c r="F34" s="55">
        <f t="shared" ca="1" si="1"/>
        <v>6.9309384490660033</v>
      </c>
      <c r="G34" s="55">
        <f t="shared" ca="1" si="1"/>
        <v>6.1825576799510698</v>
      </c>
      <c r="H34" s="55">
        <f t="shared" ca="1" si="1"/>
        <v>3.0673326711040745</v>
      </c>
      <c r="I34" s="55">
        <f t="shared" ca="1" si="1"/>
        <v>5.5491236168178801</v>
      </c>
      <c r="J34" s="55">
        <f t="shared" ca="1" si="1"/>
        <v>1.0523491062925214</v>
      </c>
      <c r="K34" s="55">
        <f t="shared" ca="1" si="1"/>
        <v>0.5462346678756661</v>
      </c>
      <c r="L34" s="55">
        <f t="shared" ca="1" si="1"/>
        <v>0</v>
      </c>
      <c r="M34" s="55">
        <f t="shared" ca="1" si="1"/>
        <v>0.29206289866585666</v>
      </c>
    </row>
    <row r="35" spans="1:1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x14ac:dyDescent="0.2">
      <c r="A36" s="1" t="s">
        <v>10</v>
      </c>
      <c r="C36" s="12">
        <f>C33</f>
        <v>373.43471344326451</v>
      </c>
      <c r="D36" s="12">
        <f t="shared" ref="D36:H36" si="2">D33</f>
        <v>102.72761575130434</v>
      </c>
      <c r="E36" s="12">
        <f t="shared" si="2"/>
        <v>18.245363650370177</v>
      </c>
      <c r="F36" s="12">
        <f t="shared" si="2"/>
        <v>6.9309384490660033</v>
      </c>
      <c r="G36" s="12">
        <f t="shared" si="2"/>
        <v>6.1825576799510698</v>
      </c>
      <c r="H36" s="12">
        <f t="shared" si="2"/>
        <v>3.0673326711040745</v>
      </c>
      <c r="I36" s="10">
        <f>I29</f>
        <v>4.7036581563329065</v>
      </c>
      <c r="J36" s="10">
        <f t="shared" ref="J36:M36" si="3">J29</f>
        <v>1.2728454544991692</v>
      </c>
      <c r="K36" s="10">
        <f t="shared" si="3"/>
        <v>0.47746508059133097</v>
      </c>
      <c r="L36" s="10">
        <f t="shared" si="3"/>
        <v>0.10849940976321089</v>
      </c>
      <c r="M36" s="10">
        <f t="shared" si="3"/>
        <v>0.37577032917480835</v>
      </c>
    </row>
    <row r="37" spans="1:14" x14ac:dyDescent="0.2">
      <c r="A37" s="1" t="s">
        <v>11</v>
      </c>
    </row>
    <row r="39" spans="1:14" ht="15.75" x14ac:dyDescent="0.25">
      <c r="A39" s="3" t="s">
        <v>10</v>
      </c>
      <c r="B39" s="3"/>
      <c r="C39" s="12">
        <f>C36</f>
        <v>373.43471344326451</v>
      </c>
      <c r="D39" s="12">
        <f t="shared" ref="D39:G39" si="4">D36</f>
        <v>102.72761575130434</v>
      </c>
      <c r="E39" s="12">
        <f t="shared" si="4"/>
        <v>18.245363650370177</v>
      </c>
      <c r="F39" s="12">
        <f t="shared" si="4"/>
        <v>6.9309384490660033</v>
      </c>
      <c r="G39" s="12">
        <f t="shared" si="4"/>
        <v>6.1825576799510698</v>
      </c>
      <c r="H39" s="14">
        <f>H48</f>
        <v>3.8736989621988922</v>
      </c>
      <c r="I39" s="14">
        <f t="shared" ref="I39:M39" si="5">I48</f>
        <v>2.0828846360624942</v>
      </c>
      <c r="J39" s="14">
        <f t="shared" si="5"/>
        <v>1.1199652966018057</v>
      </c>
      <c r="K39" s="14">
        <f t="shared" si="5"/>
        <v>0.60220438706752089</v>
      </c>
      <c r="L39" s="14">
        <f t="shared" si="5"/>
        <v>0.32380478654447603</v>
      </c>
      <c r="M39" s="14">
        <f t="shared" si="5"/>
        <v>0.17410955821774451</v>
      </c>
      <c r="N39" s="21">
        <f>C54</f>
        <v>0.20250570844257756</v>
      </c>
    </row>
    <row r="40" spans="1:14" ht="15.75" x14ac:dyDescent="0.25">
      <c r="A40" s="3" t="s">
        <v>12</v>
      </c>
      <c r="B40" s="3"/>
    </row>
    <row r="42" spans="1:14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4" x14ac:dyDescent="0.2">
      <c r="A43" s="3" t="s">
        <v>31</v>
      </c>
      <c r="B43" s="3"/>
    </row>
    <row r="44" spans="1:14" x14ac:dyDescent="0.2">
      <c r="G44" s="1" t="s">
        <v>13</v>
      </c>
    </row>
    <row r="45" spans="1:14" x14ac:dyDescent="0.2">
      <c r="A45" s="1" t="s">
        <v>17</v>
      </c>
      <c r="G45" s="1" cm="1">
        <f t="array" ref="G45:M45">LN(G36:M36)</f>
        <v>1.8217320499212397</v>
      </c>
      <c r="H45" s="1">
        <v>1.1208083471677546</v>
      </c>
      <c r="I45" s="1">
        <v>1.5483405371080754</v>
      </c>
      <c r="J45" s="1">
        <v>0.24125490961242391</v>
      </c>
      <c r="K45" s="1">
        <v>-0.73926425138711838</v>
      </c>
      <c r="L45" s="1">
        <v>-2.2210105459868261</v>
      </c>
      <c r="M45" s="1">
        <v>-0.97877714888559542</v>
      </c>
    </row>
    <row r="46" spans="1:14" x14ac:dyDescent="0.2">
      <c r="G46" s="1" t="s">
        <v>14</v>
      </c>
    </row>
    <row r="47" spans="1:14" x14ac:dyDescent="0.2">
      <c r="A47" s="1" t="s">
        <v>26</v>
      </c>
      <c r="C47" s="1" cm="1">
        <f t="array" ref="C47">SLOPE(_xlfn.ANCHORARRAY(G45),G5:M5-5)</f>
        <v>-0.62045607754374499</v>
      </c>
      <c r="F47" s="1" t="s">
        <v>15</v>
      </c>
      <c r="G47" s="1" cm="1">
        <f t="array" ref="G47">_xlfn.FORECAST.LINEAR(G5-5,$G$45:$M$45,$G$5:$M$5-5)</f>
        <v>1.9746659322812286</v>
      </c>
      <c r="H47" s="1" cm="1">
        <f t="array" ref="H47">_xlfn.FORECAST.LINEAR(H5-5,$G$45:$M$45,$G$5:$M$5-5)</f>
        <v>1.3542098547374835</v>
      </c>
      <c r="I47" s="1" cm="1">
        <f t="array" ref="I47">_xlfn.FORECAST.LINEAR(I5-5,$G$45:$M$45,$G$5:$M$5-5)</f>
        <v>0.73375377719373847</v>
      </c>
      <c r="J47" s="1" cm="1">
        <f t="array" ref="J47">_xlfn.FORECAST.LINEAR(J5-5,$G$45:$M$45,$G$5:$M$5-5)</f>
        <v>0.11329769964999348</v>
      </c>
      <c r="K47" s="1" cm="1">
        <f t="array" ref="K47">_xlfn.FORECAST.LINEAR(K5-5,$G$45:$M$45,$G$5:$M$5-5)</f>
        <v>-0.5071583778937514</v>
      </c>
      <c r="L47" s="1" cm="1">
        <f t="array" ref="L47">_xlfn.FORECAST.LINEAR(L5-5,$G$45:$M$45,$G$5:$M$5-5)</f>
        <v>-1.1276144554374965</v>
      </c>
      <c r="M47" s="1" cm="1">
        <f t="array" ref="M47">_xlfn.FORECAST.LINEAR(M5-5,$G$45:$M$45,$G$5:$M$5-5)</f>
        <v>-1.7480705329812416</v>
      </c>
    </row>
    <row r="48" spans="1:14" x14ac:dyDescent="0.2">
      <c r="A48" s="1" t="s">
        <v>27</v>
      </c>
      <c r="C48" s="1" cm="1">
        <f t="array" ref="C48">INTERCEPT(_xlfn.ANCHORARRAY(G45),G5:M5-5)</f>
        <v>1.3542098547374835</v>
      </c>
      <c r="F48" s="1" t="s">
        <v>16</v>
      </c>
      <c r="G48" s="1">
        <f t="shared" ref="G48:M48" si="6">EXP(G47)</f>
        <v>7.2042125569217337</v>
      </c>
      <c r="H48" s="15">
        <f>EXP(H47)</f>
        <v>3.8736989621988922</v>
      </c>
      <c r="I48" s="15">
        <f t="shared" si="6"/>
        <v>2.0828846360624942</v>
      </c>
      <c r="J48" s="15">
        <f t="shared" si="6"/>
        <v>1.1199652966018057</v>
      </c>
      <c r="K48" s="15">
        <f t="shared" si="6"/>
        <v>0.60220438706752089</v>
      </c>
      <c r="L48" s="15">
        <f t="shared" si="6"/>
        <v>0.32380478654447603</v>
      </c>
      <c r="M48" s="15">
        <f t="shared" si="6"/>
        <v>0.17410955821774451</v>
      </c>
    </row>
    <row r="51" spans="1:9" x14ac:dyDescent="0.2">
      <c r="A51" s="3" t="s">
        <v>32</v>
      </c>
      <c r="B51" s="3"/>
    </row>
    <row r="52" spans="1:9" x14ac:dyDescent="0.2">
      <c r="A52" s="1" t="s">
        <v>29</v>
      </c>
      <c r="C52" s="1">
        <f>EXP(C48)</f>
        <v>3.8736989621988922</v>
      </c>
    </row>
    <row r="53" spans="1:9" x14ac:dyDescent="0.2">
      <c r="A53" s="1" t="s">
        <v>40</v>
      </c>
      <c r="C53" s="1">
        <f>EXP(C47)</f>
        <v>0.53769914915643102</v>
      </c>
    </row>
    <row r="54" spans="1:9" x14ac:dyDescent="0.2">
      <c r="A54" s="1" t="s">
        <v>30</v>
      </c>
      <c r="C54" s="20">
        <f>C52*C53^(11-5)/(1-C53)</f>
        <v>0.20250570844257756</v>
      </c>
    </row>
    <row r="56" spans="1:9" x14ac:dyDescent="0.2">
      <c r="I5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0B14-29DD-164E-8437-4BB4341D5FD8}">
  <dimension ref="A1:P27"/>
  <sheetViews>
    <sheetView workbookViewId="0">
      <selection activeCell="O25" sqref="O25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22</v>
      </c>
    </row>
    <row r="2" spans="1:16" ht="15" x14ac:dyDescent="0.2">
      <c r="A2" s="1" t="s">
        <v>23</v>
      </c>
    </row>
    <row r="4" spans="1:16" ht="15.75" x14ac:dyDescent="0.25">
      <c r="A4" s="7" t="s">
        <v>3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N4" s="22"/>
      <c r="O4" s="3" t="s">
        <v>35</v>
      </c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25</v>
      </c>
      <c r="N5" s="22" t="s">
        <v>36</v>
      </c>
      <c r="O5" s="3" t="s">
        <v>33</v>
      </c>
      <c r="P5" s="3" t="s">
        <v>34</v>
      </c>
    </row>
    <row r="6" spans="1:16" ht="15" x14ac:dyDescent="0.2">
      <c r="A6" s="6"/>
      <c r="N6" s="23"/>
    </row>
    <row r="7" spans="1:16" ht="15.75" x14ac:dyDescent="0.25">
      <c r="A7" s="5">
        <v>1978</v>
      </c>
      <c r="B7" s="9">
        <f>'Counts data'!B13</f>
        <v>368</v>
      </c>
      <c r="C7" s="9">
        <f>'Counts data'!C13</f>
        <v>191</v>
      </c>
      <c r="D7" s="9">
        <f>'Counts data'!D13</f>
        <v>28</v>
      </c>
      <c r="E7" s="9">
        <f>'Counts data'!E13</f>
        <v>8</v>
      </c>
      <c r="F7" s="9">
        <f>'Counts data'!F13</f>
        <v>6</v>
      </c>
      <c r="G7" s="9">
        <f>'Counts data'!G13</f>
        <v>5</v>
      </c>
      <c r="H7" s="9">
        <f>'Counts data'!H13</f>
        <v>3</v>
      </c>
      <c r="I7" s="9">
        <f>'Counts data'!I13</f>
        <v>1</v>
      </c>
      <c r="J7" s="9">
        <f>'Counts data'!J13</f>
        <v>0</v>
      </c>
      <c r="K7" s="9">
        <f>'Counts data'!K13</f>
        <v>0</v>
      </c>
      <c r="L7" s="9">
        <f>'Counts data'!L13</f>
        <v>1</v>
      </c>
      <c r="M7" s="18">
        <f>'B.1 Exposure'!$B9*'Table 2.1'!N$39/100000</f>
        <v>0.14487865899107327</v>
      </c>
      <c r="N7" s="24">
        <f>SUM(B7:L7)</f>
        <v>611</v>
      </c>
      <c r="O7" s="18">
        <f>P7-N7</f>
        <v>0.1448786589910469</v>
      </c>
      <c r="P7" s="18">
        <f>SUM(B7:M7)</f>
        <v>611.14487865899105</v>
      </c>
    </row>
    <row r="8" spans="1:16" ht="15.75" x14ac:dyDescent="0.25">
      <c r="A8" s="5">
        <v>1979</v>
      </c>
      <c r="B8" s="9">
        <f>'Counts data'!B14</f>
        <v>393</v>
      </c>
      <c r="C8" s="9">
        <f>'Counts data'!C14</f>
        <v>151</v>
      </c>
      <c r="D8" s="9">
        <f>'Counts data'!D14</f>
        <v>25</v>
      </c>
      <c r="E8" s="9">
        <f>'Counts data'!E14</f>
        <v>6</v>
      </c>
      <c r="F8" s="9">
        <f>'Counts data'!F14</f>
        <v>4</v>
      </c>
      <c r="G8" s="9">
        <f>'Counts data'!G14</f>
        <v>5</v>
      </c>
      <c r="H8" s="9">
        <f>'Counts data'!H14</f>
        <v>4</v>
      </c>
      <c r="I8" s="9">
        <f>'Counts data'!I14</f>
        <v>1</v>
      </c>
      <c r="J8" s="9">
        <f>'Counts data'!J14</f>
        <v>2</v>
      </c>
      <c r="K8" s="9">
        <f>'Counts data'!K14</f>
        <v>1</v>
      </c>
      <c r="L8" s="9">
        <f>'Counts data'!L14</f>
        <v>0</v>
      </c>
      <c r="M8" s="18">
        <f>'B.1 Exposure'!$B10*'Table 2.1'!N$39/100000</f>
        <v>0.15325834520642714</v>
      </c>
      <c r="N8" s="24">
        <f t="shared" ref="N8:N14" si="0">SUM(B8:L8)</f>
        <v>592</v>
      </c>
      <c r="O8" s="18">
        <f t="shared" ref="O8:O24" si="1">P8-N8</f>
        <v>0.15325834520638182</v>
      </c>
      <c r="P8" s="18">
        <f t="shared" ref="P8:P23" si="2">SUM(B8:M8)</f>
        <v>592.15325834520638</v>
      </c>
    </row>
    <row r="9" spans="1:16" ht="15.75" x14ac:dyDescent="0.25">
      <c r="A9" s="5">
        <v>1980</v>
      </c>
      <c r="B9" s="9">
        <f>'Counts data'!B15</f>
        <v>517</v>
      </c>
      <c r="C9" s="9">
        <f>'Counts data'!C15</f>
        <v>185</v>
      </c>
      <c r="D9" s="9">
        <f>'Counts data'!D15</f>
        <v>29</v>
      </c>
      <c r="E9" s="9">
        <f>'Counts data'!E15</f>
        <v>17</v>
      </c>
      <c r="F9" s="9">
        <f>'Counts data'!F15</f>
        <v>11</v>
      </c>
      <c r="G9" s="9">
        <f>'Counts data'!G15</f>
        <v>10</v>
      </c>
      <c r="H9" s="9">
        <f>'Counts data'!H15</f>
        <v>8</v>
      </c>
      <c r="I9" s="9">
        <f>'Counts data'!I15</f>
        <v>1</v>
      </c>
      <c r="J9" s="9">
        <f>'Counts data'!J15</f>
        <v>0</v>
      </c>
      <c r="K9" s="9">
        <f>'Counts data'!K15</f>
        <v>0</v>
      </c>
      <c r="L9" s="9">
        <f>'Counts data'!L15</f>
        <v>1</v>
      </c>
      <c r="M9" s="18">
        <f>'B.1 Exposure'!$B11*'Table 2.1'!N$39/100000</f>
        <v>0.20039964907477475</v>
      </c>
      <c r="N9" s="24">
        <f t="shared" si="0"/>
        <v>779</v>
      </c>
      <c r="O9" s="18">
        <f t="shared" si="1"/>
        <v>0.20039964907482499</v>
      </c>
      <c r="P9" s="18">
        <f t="shared" si="2"/>
        <v>779.20039964907482</v>
      </c>
    </row>
    <row r="10" spans="1:16" ht="15.75" x14ac:dyDescent="0.25">
      <c r="A10" s="5">
        <v>1981</v>
      </c>
      <c r="B10" s="9">
        <f>'Counts data'!B16</f>
        <v>578</v>
      </c>
      <c r="C10" s="9">
        <f>'Counts data'!C16</f>
        <v>254</v>
      </c>
      <c r="D10" s="9">
        <f>'Counts data'!D16</f>
        <v>49</v>
      </c>
      <c r="E10" s="9">
        <f>'Counts data'!E16</f>
        <v>22</v>
      </c>
      <c r="F10" s="9">
        <f>'Counts data'!F16</f>
        <v>17</v>
      </c>
      <c r="G10" s="9">
        <f>'Counts data'!G16</f>
        <v>6</v>
      </c>
      <c r="H10" s="9">
        <f>'Counts data'!H16</f>
        <v>3</v>
      </c>
      <c r="I10" s="9">
        <f>'Counts data'!I16</f>
        <v>0</v>
      </c>
      <c r="J10" s="9">
        <f>'Counts data'!J16</f>
        <v>1</v>
      </c>
      <c r="K10" s="9">
        <f>'Counts data'!K16</f>
        <v>0</v>
      </c>
      <c r="L10" s="9">
        <f>'Counts data'!L16</f>
        <v>0</v>
      </c>
      <c r="M10" s="18">
        <f>'B.1 Exposure'!$B12*'Table 2.1'!N$39/100000</f>
        <v>0.20852822821165981</v>
      </c>
      <c r="N10" s="24">
        <f t="shared" si="0"/>
        <v>930</v>
      </c>
      <c r="O10" s="18">
        <f t="shared" si="1"/>
        <v>0.20852822821166228</v>
      </c>
      <c r="P10" s="18">
        <f t="shared" si="2"/>
        <v>930.20852822821166</v>
      </c>
    </row>
    <row r="11" spans="1:16" ht="15.75" x14ac:dyDescent="0.25">
      <c r="A11" s="5">
        <v>1982</v>
      </c>
      <c r="B11" s="9">
        <f>'Counts data'!B17</f>
        <v>622</v>
      </c>
      <c r="C11" s="9">
        <f>'Counts data'!C17</f>
        <v>206</v>
      </c>
      <c r="D11" s="9">
        <f>'Counts data'!D17</f>
        <v>39</v>
      </c>
      <c r="E11" s="9">
        <f>'Counts data'!E17</f>
        <v>16</v>
      </c>
      <c r="F11" s="9">
        <f>'Counts data'!F17</f>
        <v>3</v>
      </c>
      <c r="G11" s="9">
        <f>'Counts data'!G17</f>
        <v>7</v>
      </c>
      <c r="H11" s="9">
        <f>'Counts data'!H17</f>
        <v>0</v>
      </c>
      <c r="I11" s="9">
        <f>'Counts data'!I17</f>
        <v>1</v>
      </c>
      <c r="J11" s="9">
        <f>'Counts data'!J17</f>
        <v>0</v>
      </c>
      <c r="K11" s="9">
        <f>'Counts data'!K17</f>
        <v>0</v>
      </c>
      <c r="L11" s="9">
        <f>'Counts data'!L17</f>
        <v>0</v>
      </c>
      <c r="M11" s="18">
        <f>'B.1 Exposure'!$B13*'Table 2.1'!N$39/100000</f>
        <v>0.21629634718751709</v>
      </c>
      <c r="N11" s="24">
        <f t="shared" si="0"/>
        <v>894</v>
      </c>
      <c r="O11" s="18">
        <f t="shared" si="1"/>
        <v>0.21629634718749458</v>
      </c>
      <c r="P11" s="18">
        <f t="shared" si="2"/>
        <v>894.21629634718749</v>
      </c>
    </row>
    <row r="12" spans="1:16" ht="15.75" x14ac:dyDescent="0.25">
      <c r="A12" s="5">
        <v>1983</v>
      </c>
      <c r="B12" s="9">
        <f>'Counts data'!B18</f>
        <v>660</v>
      </c>
      <c r="C12" s="9">
        <f>'Counts data'!C18</f>
        <v>243</v>
      </c>
      <c r="D12" s="9">
        <f>'Counts data'!D18</f>
        <v>28</v>
      </c>
      <c r="E12" s="9">
        <f>'Counts data'!E18</f>
        <v>12</v>
      </c>
      <c r="F12" s="9">
        <f>'Counts data'!F18</f>
        <v>12</v>
      </c>
      <c r="G12" s="9">
        <f>'Counts data'!G18</f>
        <v>4</v>
      </c>
      <c r="H12" s="9">
        <f>'Counts data'!H18</f>
        <v>4</v>
      </c>
      <c r="I12" s="9">
        <f>'Counts data'!I18</f>
        <v>1</v>
      </c>
      <c r="J12" s="9">
        <f>'Counts data'!J18</f>
        <v>0</v>
      </c>
      <c r="K12" s="9">
        <f>'Counts data'!K18</f>
        <v>0</v>
      </c>
      <c r="L12" s="9">
        <f>'Counts data'!L18</f>
        <v>0</v>
      </c>
      <c r="M12" s="18">
        <f>'B.1 Exposure'!$B14*'Table 2.1'!N$39/100000</f>
        <v>0.22433379875560297</v>
      </c>
      <c r="N12" s="24">
        <f t="shared" si="0"/>
        <v>964</v>
      </c>
      <c r="O12" s="18">
        <f t="shared" si="1"/>
        <v>0.22433379875565151</v>
      </c>
      <c r="P12" s="18">
        <f t="shared" si="2"/>
        <v>964.22433379875565</v>
      </c>
    </row>
    <row r="13" spans="1:16" ht="15.75" x14ac:dyDescent="0.25">
      <c r="A13" s="5">
        <v>1984</v>
      </c>
      <c r="B13" s="9">
        <f>'Counts data'!B19</f>
        <v>666</v>
      </c>
      <c r="C13" s="9">
        <f>'Counts data'!C19</f>
        <v>234</v>
      </c>
      <c r="D13" s="9">
        <f>'Counts data'!D19</f>
        <v>53</v>
      </c>
      <c r="E13" s="9">
        <f>'Counts data'!E19</f>
        <v>10</v>
      </c>
      <c r="F13" s="9">
        <f>'Counts data'!F19</f>
        <v>8</v>
      </c>
      <c r="G13" s="9">
        <f>'Counts data'!G19</f>
        <v>4</v>
      </c>
      <c r="H13" s="9">
        <f>'Counts data'!H19</f>
        <v>6</v>
      </c>
      <c r="I13" s="9">
        <f>'Counts data'!I19</f>
        <v>1</v>
      </c>
      <c r="J13" s="9">
        <f>'Counts data'!J19</f>
        <v>0</v>
      </c>
      <c r="K13" s="9">
        <f>'Counts data'!K19</f>
        <v>0</v>
      </c>
      <c r="L13" s="9">
        <f>'Counts data'!L19</f>
        <v>0</v>
      </c>
      <c r="M13" s="18">
        <f>'B.1 Exposure'!$B15*'Table 2.1'!N$39/100000</f>
        <v>0.23147820014945716</v>
      </c>
      <c r="N13" s="24">
        <f t="shared" si="0"/>
        <v>982</v>
      </c>
      <c r="O13" s="18">
        <f t="shared" si="1"/>
        <v>0.23147820014946774</v>
      </c>
      <c r="P13" s="18">
        <f t="shared" si="2"/>
        <v>982.23147820014947</v>
      </c>
    </row>
    <row r="14" spans="1:16" ht="15.75" x14ac:dyDescent="0.25">
      <c r="A14" s="5">
        <v>1985</v>
      </c>
      <c r="B14" s="9">
        <f>'Counts data'!B20</f>
        <v>573</v>
      </c>
      <c r="C14" s="9">
        <f>'Counts data'!C20</f>
        <v>266</v>
      </c>
      <c r="D14" s="9">
        <f>'Counts data'!D20</f>
        <v>62</v>
      </c>
      <c r="E14" s="9">
        <f>'Counts data'!E20</f>
        <v>12</v>
      </c>
      <c r="F14" s="9">
        <f>'Counts data'!F20</f>
        <v>5</v>
      </c>
      <c r="G14" s="9">
        <f>'Counts data'!G20</f>
        <v>7</v>
      </c>
      <c r="H14" s="9">
        <f>'Counts data'!H20</f>
        <v>6</v>
      </c>
      <c r="I14" s="9">
        <f>'Counts data'!I20</f>
        <v>5</v>
      </c>
      <c r="J14" s="9">
        <f>'Counts data'!J20</f>
        <v>1</v>
      </c>
      <c r="K14" s="9">
        <f>'Counts data'!K20</f>
        <v>0</v>
      </c>
      <c r="L14" s="9">
        <f>'Counts data'!L20</f>
        <v>1</v>
      </c>
      <c r="M14" s="18">
        <f>'B.1 Exposure'!$B16*'Table 2.1'!N$39/100000</f>
        <v>0.23755134634565006</v>
      </c>
      <c r="N14" s="24">
        <f t="shared" si="0"/>
        <v>938</v>
      </c>
      <c r="O14" s="18">
        <f t="shared" si="1"/>
        <v>0.23755134634564001</v>
      </c>
      <c r="P14" s="18">
        <f t="shared" si="2"/>
        <v>938.23755134634564</v>
      </c>
    </row>
    <row r="15" spans="1:16" ht="15.75" x14ac:dyDescent="0.25">
      <c r="A15" s="5">
        <v>1986</v>
      </c>
      <c r="B15" s="9">
        <f>'Counts data'!B21</f>
        <v>582</v>
      </c>
      <c r="C15" s="9">
        <f>'Counts data'!C21</f>
        <v>281</v>
      </c>
      <c r="D15" s="9">
        <f>'Counts data'!D21</f>
        <v>32</v>
      </c>
      <c r="E15" s="9">
        <f>'Counts data'!E21</f>
        <v>27</v>
      </c>
      <c r="F15" s="9">
        <f>'Counts data'!F21</f>
        <v>12</v>
      </c>
      <c r="G15" s="9">
        <f>'Counts data'!G21</f>
        <v>13</v>
      </c>
      <c r="H15" s="9">
        <f>'Counts data'!H21</f>
        <v>6</v>
      </c>
      <c r="I15" s="9">
        <f>'Counts data'!I21</f>
        <v>2</v>
      </c>
      <c r="J15" s="9">
        <f>'Counts data'!J21</f>
        <v>1</v>
      </c>
      <c r="K15" s="9">
        <f>'Counts data'!K21</f>
        <v>0</v>
      </c>
      <c r="L15" s="18">
        <f>'B.1 Exposure'!$B17*'Table 2.1'!M$39/100000</f>
        <v>0.21468404966480767</v>
      </c>
      <c r="M15" s="18">
        <f>'B.1 Exposure'!$B17*'Table 2.1'!N$39/100000</f>
        <v>0.24969763873803585</v>
      </c>
      <c r="N15" s="24">
        <f>SUM(B15:K15)</f>
        <v>956</v>
      </c>
      <c r="O15" s="18">
        <f t="shared" si="1"/>
        <v>0.46438168840279559</v>
      </c>
      <c r="P15" s="18">
        <f t="shared" si="2"/>
        <v>956.4643816884028</v>
      </c>
    </row>
    <row r="16" spans="1:16" ht="15.75" x14ac:dyDescent="0.25">
      <c r="A16" s="5">
        <v>1987</v>
      </c>
      <c r="B16" s="9">
        <f>'Counts data'!B22</f>
        <v>545</v>
      </c>
      <c r="C16" s="9">
        <f>'Counts data'!C22</f>
        <v>220</v>
      </c>
      <c r="D16" s="9">
        <f>'Counts data'!D22</f>
        <v>43</v>
      </c>
      <c r="E16" s="9">
        <f>'Counts data'!E22</f>
        <v>18</v>
      </c>
      <c r="F16" s="9">
        <f>'Counts data'!F22</f>
        <v>12</v>
      </c>
      <c r="G16" s="9">
        <f>'Counts data'!G22</f>
        <v>9</v>
      </c>
      <c r="H16" s="9">
        <f>'Counts data'!H22</f>
        <v>5</v>
      </c>
      <c r="I16" s="9">
        <f>'Counts data'!I22</f>
        <v>2</v>
      </c>
      <c r="J16" s="9">
        <f>'Counts data'!J22</f>
        <v>0</v>
      </c>
      <c r="K16" s="18">
        <f>'B.1 Exposure'!$B18*'Table 2.1'!L$39/100000</f>
        <v>0.40648186269287712</v>
      </c>
      <c r="L16" s="18">
        <f>'B.1 Exposure'!$B18*'Table 2.1'!M$39/100000</f>
        <v>0.21856495171748125</v>
      </c>
      <c r="M16" s="18">
        <f>'B.1 Exposure'!$B18*'Table 2.1'!N$39/100000</f>
        <v>0.25421149097922091</v>
      </c>
      <c r="N16" s="24">
        <f>SUM(B16:J16)</f>
        <v>854</v>
      </c>
      <c r="O16" s="18">
        <f t="shared" si="1"/>
        <v>0.87925830538949867</v>
      </c>
      <c r="P16" s="18">
        <f t="shared" si="2"/>
        <v>854.8792583053895</v>
      </c>
    </row>
    <row r="17" spans="1:16" ht="15.75" x14ac:dyDescent="0.25">
      <c r="A17" s="5">
        <v>1988</v>
      </c>
      <c r="B17" s="9">
        <f>'Counts data'!B23</f>
        <v>509</v>
      </c>
      <c r="C17" s="9">
        <f>'Counts data'!C23</f>
        <v>266</v>
      </c>
      <c r="D17" s="9">
        <f>'Counts data'!D23</f>
        <v>49</v>
      </c>
      <c r="E17" s="9">
        <f>'Counts data'!E23</f>
        <v>22</v>
      </c>
      <c r="F17" s="9">
        <f>'Counts data'!F23</f>
        <v>15</v>
      </c>
      <c r="G17" s="9">
        <f>'Counts data'!G23</f>
        <v>4</v>
      </c>
      <c r="H17" s="9">
        <f>'Counts data'!H23</f>
        <v>8</v>
      </c>
      <c r="I17" s="9">
        <f>'Counts data'!I23</f>
        <v>0</v>
      </c>
      <c r="J17" s="18">
        <f>'B.1 Exposure'!$B19*'Table 2.1'!K$39/100000</f>
        <v>0.79048358868418134</v>
      </c>
      <c r="K17" s="18">
        <f>'B.1 Exposure'!$B19*'Table 2.1'!L$39/100000</f>
        <v>0.42504235305760646</v>
      </c>
      <c r="L17" s="18">
        <f>'B.1 Exposure'!$B19*'Table 2.1'!M$39/100000</f>
        <v>0.22854491159452234</v>
      </c>
      <c r="M17" s="18">
        <f>'B.1 Exposure'!$B19*'Table 2.1'!N$39/100000</f>
        <v>0.26581911818714943</v>
      </c>
      <c r="N17" s="24">
        <f>SUM(B17:I17)</f>
        <v>873</v>
      </c>
      <c r="O17" s="18">
        <f t="shared" si="1"/>
        <v>1.7098899715234666</v>
      </c>
      <c r="P17" s="18">
        <f t="shared" si="2"/>
        <v>874.70988997152347</v>
      </c>
    </row>
    <row r="18" spans="1:16" ht="15.75" x14ac:dyDescent="0.25">
      <c r="A18" s="5">
        <v>1989</v>
      </c>
      <c r="B18" s="9">
        <f>'Counts data'!B24</f>
        <v>589</v>
      </c>
      <c r="C18" s="9">
        <f>'Counts data'!C24</f>
        <v>210</v>
      </c>
      <c r="D18" s="9">
        <f>'Counts data'!D24</f>
        <v>29</v>
      </c>
      <c r="E18" s="9">
        <f>'Counts data'!E24</f>
        <v>17</v>
      </c>
      <c r="F18" s="9">
        <f>'Counts data'!F24</f>
        <v>12</v>
      </c>
      <c r="G18" s="9">
        <f>'Counts data'!G24</f>
        <v>4</v>
      </c>
      <c r="H18" s="9">
        <f>'Counts data'!H24</f>
        <v>9</v>
      </c>
      <c r="I18" s="18">
        <f>'B.1 Exposure'!$B20*'Table 2.1'!J$39/100000</f>
        <v>1.5641547328870478</v>
      </c>
      <c r="J18" s="18">
        <f>'B.1 Exposure'!$B20*'Table 2.1'!K$39/100000</f>
        <v>0.84104466902237041</v>
      </c>
      <c r="K18" s="18">
        <f>'B.1 Exposure'!$B20*'Table 2.1'!L$39/100000</f>
        <v>0.45222900293588064</v>
      </c>
      <c r="L18" s="18">
        <f>'B.1 Exposure'!$B20*'Table 2.1'!M$39/100000</f>
        <v>0.24316315010248418</v>
      </c>
      <c r="M18" s="18">
        <f>'B.1 Exposure'!$B20*'Table 2.1'!N$39/100000</f>
        <v>0.28282149746798829</v>
      </c>
      <c r="N18" s="24">
        <f>SUM(B18:H18)</f>
        <v>870</v>
      </c>
      <c r="O18" s="18">
        <f t="shared" si="1"/>
        <v>3.3834130524157899</v>
      </c>
      <c r="P18" s="18">
        <f t="shared" si="2"/>
        <v>873.38341305241579</v>
      </c>
    </row>
    <row r="19" spans="1:16" ht="15.75" x14ac:dyDescent="0.25">
      <c r="A19" s="5">
        <v>1990</v>
      </c>
      <c r="B19" s="9">
        <f>'Counts data'!B25</f>
        <v>564</v>
      </c>
      <c r="C19" s="9">
        <f>'Counts data'!C25</f>
        <v>196</v>
      </c>
      <c r="D19" s="9">
        <f>'Counts data'!D25</f>
        <v>23</v>
      </c>
      <c r="E19" s="9">
        <f>'Counts data'!E25</f>
        <v>12</v>
      </c>
      <c r="F19" s="9">
        <f>'Counts data'!F25</f>
        <v>9</v>
      </c>
      <c r="G19" s="9">
        <f>'Counts data'!G25</f>
        <v>5</v>
      </c>
      <c r="H19" s="18">
        <f>'B.1 Exposure'!$B21*'Table 2.1'!I$39/100000</f>
        <v>3.1846264643077506</v>
      </c>
      <c r="I19" s="18">
        <f>'B.1 Exposure'!$B21*'Table 2.1'!J$39/100000</f>
        <v>1.7123709402393308</v>
      </c>
      <c r="J19" s="18">
        <f>'B.1 Exposure'!$B21*'Table 2.1'!K$39/100000</f>
        <v>0.92074039760688609</v>
      </c>
      <c r="K19" s="18">
        <f>'B.1 Exposure'!$B21*'Table 2.1'!L$39/100000</f>
        <v>0.49508132838717661</v>
      </c>
      <c r="L19" s="18">
        <f>'B.1 Exposure'!$B21*'Table 2.1'!M$39/100000</f>
        <v>0.26620480903702048</v>
      </c>
      <c r="M19" s="18">
        <f>'B.1 Exposure'!$B21*'Table 2.1'!N$39/100000</f>
        <v>0.30962110292327893</v>
      </c>
      <c r="N19" s="24">
        <f>SUM(B19:G19)</f>
        <v>809</v>
      </c>
      <c r="O19" s="18">
        <f t="shared" si="1"/>
        <v>6.88864504250148</v>
      </c>
      <c r="P19" s="18">
        <f t="shared" si="2"/>
        <v>815.88864504250148</v>
      </c>
    </row>
    <row r="20" spans="1:16" ht="15.75" x14ac:dyDescent="0.25">
      <c r="A20" s="5">
        <v>1991</v>
      </c>
      <c r="B20" s="9">
        <f>'Counts data'!B26</f>
        <v>607</v>
      </c>
      <c r="C20" s="9">
        <f>'Counts data'!C26</f>
        <v>203</v>
      </c>
      <c r="D20" s="9">
        <f>'Counts data'!D26</f>
        <v>29</v>
      </c>
      <c r="E20" s="9">
        <f>'Counts data'!E26</f>
        <v>9</v>
      </c>
      <c r="F20" s="9">
        <f>'Counts data'!F26</f>
        <v>7</v>
      </c>
      <c r="G20" s="18">
        <f>'B.1 Exposure'!$B22*'Table 2.1'!H$39/100000</f>
        <v>6.2107402830831058</v>
      </c>
      <c r="H20" s="18">
        <f>'B.1 Exposure'!$B22*'Table 2.1'!I$39/100000</f>
        <v>3.3395097658453574</v>
      </c>
      <c r="I20" s="18">
        <f>'B.1 Exposure'!$B22*'Table 2.1'!J$39/100000</f>
        <v>1.795651559694641</v>
      </c>
      <c r="J20" s="18">
        <f>'B.1 Exposure'!$B22*'Table 2.1'!K$39/100000</f>
        <v>0.96552031582922693</v>
      </c>
      <c r="K20" s="18">
        <f>'B.1 Exposure'!$B22*'Table 2.1'!L$39/100000</f>
        <v>0.5191594523146239</v>
      </c>
      <c r="L20" s="18">
        <f>'B.1 Exposure'!$B22*'Table 2.1'!M$39/100000</f>
        <v>0.27915159578609194</v>
      </c>
      <c r="M20" s="18">
        <f>'B.1 Exposure'!$B22*'Table 2.1'!N$39/100000</f>
        <v>0.32467942740306904</v>
      </c>
      <c r="N20" s="24">
        <f>SUM(B20:F20)</f>
        <v>855</v>
      </c>
      <c r="O20" s="18">
        <f t="shared" si="1"/>
        <v>13.434412399956159</v>
      </c>
      <c r="P20" s="18">
        <f t="shared" si="2"/>
        <v>868.43441239995616</v>
      </c>
    </row>
    <row r="21" spans="1:16" ht="15.75" x14ac:dyDescent="0.25">
      <c r="A21" s="5">
        <v>1992</v>
      </c>
      <c r="B21" s="9">
        <f>'Counts data'!B27</f>
        <v>674</v>
      </c>
      <c r="C21" s="9">
        <f>'Counts data'!C27</f>
        <v>169</v>
      </c>
      <c r="D21" s="9">
        <f>'Counts data'!D27</f>
        <v>20</v>
      </c>
      <c r="E21" s="9">
        <f>'Counts data'!E27</f>
        <v>12</v>
      </c>
      <c r="F21" s="18">
        <f>'B.1 Exposure'!$B23*'Table 2.1'!G$39/100000</f>
        <v>10.071386460640293</v>
      </c>
      <c r="G21" s="18">
        <f>'B.1 Exposure'!$B23*'Table 2.1'!H$39/100000</f>
        <v>6.3102556094219953</v>
      </c>
      <c r="H21" s="18">
        <f>'B.1 Exposure'!$B23*'Table 2.1'!I$39/100000</f>
        <v>3.3930190721458029</v>
      </c>
      <c r="I21" s="18">
        <f>'B.1 Exposure'!$B23*'Table 2.1'!J$39/100000</f>
        <v>1.8244234681643414</v>
      </c>
      <c r="J21" s="18">
        <f>'B.1 Exposure'!$B23*'Table 2.1'!K$39/100000</f>
        <v>0.98099094653299146</v>
      </c>
      <c r="K21" s="18">
        <f>'B.1 Exposure'!$B23*'Table 2.1'!L$39/100000</f>
        <v>0.52747799728095146</v>
      </c>
      <c r="L21" s="18">
        <f>'B.1 Exposure'!$B23*'Table 2.1'!M$39/100000</f>
        <v>0.28362447033670579</v>
      </c>
      <c r="M21" s="18">
        <f>'B.1 Exposure'!$B23*'Table 2.1'!N$39/100000</f>
        <v>0.32988179905295889</v>
      </c>
      <c r="N21" s="24">
        <f>SUM(B21:E21)</f>
        <v>875</v>
      </c>
      <c r="O21" s="18">
        <f t="shared" si="1"/>
        <v>23.721059823575956</v>
      </c>
      <c r="P21" s="18">
        <f t="shared" si="2"/>
        <v>898.72105982357596</v>
      </c>
    </row>
    <row r="22" spans="1:16" ht="15.75" x14ac:dyDescent="0.25">
      <c r="A22" s="5">
        <v>1993</v>
      </c>
      <c r="B22" s="9">
        <f>'Counts data'!B28</f>
        <v>619</v>
      </c>
      <c r="C22" s="9">
        <f>'Counts data'!C28</f>
        <v>190</v>
      </c>
      <c r="D22" s="9">
        <f>'Counts data'!D28</f>
        <v>41</v>
      </c>
      <c r="E22" s="18">
        <f>'B.1 Exposure'!$B24*'Table 2.1'!F$39/100000</f>
        <v>11.785714285714286</v>
      </c>
      <c r="F22" s="18">
        <f>'B.1 Exposure'!$B24*'Table 2.1'!G$39/100000</f>
        <v>10.513130206872798</v>
      </c>
      <c r="G22" s="18">
        <f>'B.1 Exposure'!$B24*'Table 2.1'!H$39/100000</f>
        <v>6.5870314002711057</v>
      </c>
      <c r="H22" s="18">
        <f>'B.1 Exposure'!$B24*'Table 2.1'!I$39/100000</f>
        <v>3.5418411793924682</v>
      </c>
      <c r="I22" s="18">
        <f>'B.1 Exposure'!$B24*'Table 2.1'!J$39/100000</f>
        <v>1.9044449886065404</v>
      </c>
      <c r="J22" s="18">
        <f>'B.1 Exposure'!$B24*'Table 2.1'!K$39/100000</f>
        <v>1.024018449988966</v>
      </c>
      <c r="K22" s="18">
        <f>'B.1 Exposure'!$B24*'Table 2.1'!L$39/100000</f>
        <v>0.55061384927955426</v>
      </c>
      <c r="L22" s="18">
        <f>'B.1 Exposure'!$B24*'Table 2.1'!M$39/100000</f>
        <v>0.29606459827136367</v>
      </c>
      <c r="M22" s="18">
        <f>'B.1 Exposure'!$B24*'Table 2.1'!N$39/100000</f>
        <v>0.34435083192118099</v>
      </c>
      <c r="N22" s="24">
        <f>SUM(B22:D22)</f>
        <v>850</v>
      </c>
      <c r="O22" s="18">
        <f t="shared" si="1"/>
        <v>36.547209790318334</v>
      </c>
      <c r="P22" s="18">
        <f t="shared" si="2"/>
        <v>886.54720979031833</v>
      </c>
    </row>
    <row r="23" spans="1:16" ht="15.75" x14ac:dyDescent="0.25">
      <c r="A23" s="5">
        <v>1994</v>
      </c>
      <c r="B23" s="9">
        <f>'Counts data'!B29</f>
        <v>660</v>
      </c>
      <c r="C23" s="9">
        <f>'Counts data'!C29</f>
        <v>161</v>
      </c>
      <c r="D23" s="18">
        <f>'B.1 Exposure'!$B25*'Table 2.1'!E$39/100000</f>
        <v>31.609727616993325</v>
      </c>
      <c r="E23" s="18">
        <f>'B.1 Exposure'!$B25*'Table 2.1'!F$39/100000</f>
        <v>12.007712244237869</v>
      </c>
      <c r="F23" s="18">
        <f>'B.1 Exposure'!$B25*'Table 2.1'!G$39/100000</f>
        <v>10.71115752936163</v>
      </c>
      <c r="G23" s="18">
        <f>'B.1 Exposure'!$B25*'Table 2.1'!H$39/100000</f>
        <v>6.7111059780303366</v>
      </c>
      <c r="H23" s="18">
        <f>'B.1 Exposure'!$B25*'Table 2.1'!I$39/100000</f>
        <v>3.60855597428555</v>
      </c>
      <c r="I23" s="18">
        <f>'B.1 Exposure'!$B25*'Table 2.1'!J$39/100000</f>
        <v>1.9403174770566964</v>
      </c>
      <c r="J23" s="18">
        <f>'B.1 Exposure'!$B25*'Table 2.1'!K$39/100000</f>
        <v>1.0433070565067386</v>
      </c>
      <c r="K23" s="18">
        <f>'B.1 Exposure'!$B25*'Table 2.1'!L$39/100000</f>
        <v>0.56098531659257378</v>
      </c>
      <c r="L23" s="18">
        <f>'B.1 Exposure'!$B25*'Table 2.1'!M$39/100000</f>
        <v>0.30164132742107802</v>
      </c>
      <c r="M23" s="18">
        <f>'B.1 Exposure'!$B25*'Table 2.1'!N$39/100000</f>
        <v>0.35083708976259681</v>
      </c>
      <c r="N23" s="24">
        <f>SUM(B23:C23)</f>
        <v>821</v>
      </c>
      <c r="O23" s="18">
        <f t="shared" si="1"/>
        <v>68.845347610248382</v>
      </c>
      <c r="P23" s="18">
        <f t="shared" si="2"/>
        <v>889.84534761024838</v>
      </c>
    </row>
    <row r="24" spans="1:16" ht="15.75" x14ac:dyDescent="0.25">
      <c r="A24" s="5">
        <v>1995</v>
      </c>
      <c r="B24" s="9">
        <f>'Counts data'!B30</f>
        <v>660</v>
      </c>
      <c r="C24" s="18">
        <f>'B.1 Exposure'!$B26*'Table 2.1'!D$39/100000</f>
        <v>180.73999442900237</v>
      </c>
      <c r="D24" s="18">
        <f>'B.1 Exposure'!$B26*'Table 2.1'!E$39/100000</f>
        <v>32.101075260097794</v>
      </c>
      <c r="E24" s="18">
        <f>'B.1 Exposure'!$B26*'Table 2.1'!F$39/100000</f>
        <v>12.194362416671217</v>
      </c>
      <c r="F24" s="18">
        <f>'B.1 Exposure'!$B26*'Table 2.1'!G$39/100000</f>
        <v>10.877653807682712</v>
      </c>
      <c r="G24" s="18">
        <f>'B.1 Exposure'!$B26*'Table 2.1'!H$39/100000</f>
        <v>6.8154246910823533</v>
      </c>
      <c r="H24" s="18">
        <f>'B.1 Exposure'!$B26*'Table 2.1'!I$39/100000</f>
        <v>3.6646480575347127</v>
      </c>
      <c r="I24" s="18">
        <f>'B.1 Exposure'!$B26*'Table 2.1'!J$39/100000</f>
        <v>1.9704781424941831</v>
      </c>
      <c r="J24" s="18">
        <f>'B.1 Exposure'!$B26*'Table 2.1'!K$39/100000</f>
        <v>1.059524420650467</v>
      </c>
      <c r="K24" s="18">
        <f>'B.1 Exposure'!$B26*'Table 2.1'!L$39/100000</f>
        <v>0.56970537949421651</v>
      </c>
      <c r="L24" s="18">
        <f>'B.1 Exposure'!$B26*'Table 2.1'!M$39/100000</f>
        <v>0.30633009782388188</v>
      </c>
      <c r="M24" s="18">
        <f>'B.1 Exposure'!$B26*'Table 2.1'!N$39/100000</f>
        <v>0.35629056849095542</v>
      </c>
      <c r="N24" s="24">
        <f>SUM(B24)</f>
        <v>660</v>
      </c>
      <c r="O24" s="18">
        <f t="shared" si="1"/>
        <v>250.65548727102475</v>
      </c>
      <c r="P24" s="18">
        <f>SUM(B24:M24)</f>
        <v>910.65548727102475</v>
      </c>
    </row>
    <row r="25" spans="1:16" ht="15.75" x14ac:dyDescent="0.25">
      <c r="O25" s="3"/>
      <c r="P25" s="3"/>
    </row>
    <row r="26" spans="1:16" ht="16.5" thickBot="1" x14ac:dyDescent="0.3">
      <c r="O26" s="25">
        <f>SUM(O7:O24)</f>
        <v>408.14582952927879</v>
      </c>
      <c r="P26" s="3"/>
    </row>
    <row r="27" spans="1:16" ht="15.75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E75D-DECD-1D4E-8D9A-0AA868C6A453}">
  <dimension ref="A1:N56"/>
  <sheetViews>
    <sheetView zoomScaleNormal="100" workbookViewId="0">
      <selection activeCell="E30" sqref="E30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3" width="10.83203125" style="1"/>
    <col min="14" max="14" width="12.1640625" style="1" bestFit="1" customWidth="1"/>
    <col min="15" max="45" width="10.83203125" style="1"/>
    <col min="46" max="46" width="10.83203125" style="1" customWidth="1"/>
    <col min="47" max="16384" width="10.83203125" style="1"/>
  </cols>
  <sheetData>
    <row r="1" spans="1:14" x14ac:dyDescent="0.2">
      <c r="A1" s="1" t="s">
        <v>41</v>
      </c>
    </row>
    <row r="2" spans="1:14" x14ac:dyDescent="0.2">
      <c r="A2" s="1" t="s">
        <v>42</v>
      </c>
    </row>
    <row r="4" spans="1:14" s="3" customFormat="1" ht="15.75" x14ac:dyDescent="0.25">
      <c r="A4" s="7" t="s">
        <v>3</v>
      </c>
      <c r="B4" s="26" t="s">
        <v>37</v>
      </c>
      <c r="C4" s="3" t="s">
        <v>53</v>
      </c>
    </row>
    <row r="5" spans="1:14" s="3" customFormat="1" ht="15.75" x14ac:dyDescent="0.25">
      <c r="A5" s="7" t="s">
        <v>4</v>
      </c>
      <c r="B5" s="26" t="s">
        <v>38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 t="s">
        <v>25</v>
      </c>
    </row>
    <row r="6" spans="1:14" x14ac:dyDescent="0.2">
      <c r="A6" s="6"/>
      <c r="B6" s="27"/>
    </row>
    <row r="7" spans="1:14" x14ac:dyDescent="0.2">
      <c r="A7" s="5">
        <v>1978</v>
      </c>
      <c r="B7" s="29">
        <f>'Counts data'!B13+'Counts data'!C13</f>
        <v>559</v>
      </c>
      <c r="C7" s="9">
        <f>'Counts data'!B13/$B7*1000</f>
        <v>658.31842576028623</v>
      </c>
      <c r="D7" s="9">
        <f>'Counts data'!C13/$B7*1000</f>
        <v>341.68157423971377</v>
      </c>
      <c r="E7" s="9">
        <f>'Counts data'!D13/$B7*1000</f>
        <v>50.089445438282652</v>
      </c>
      <c r="F7" s="9">
        <f>'Counts data'!E13/$B7*1000</f>
        <v>14.311270125223613</v>
      </c>
      <c r="G7" s="9">
        <f>'Counts data'!F13/$B7*1000</f>
        <v>10.733452593917709</v>
      </c>
      <c r="H7" s="9">
        <f>'Counts data'!G13/$B7*1000</f>
        <v>8.9445438282647576</v>
      </c>
      <c r="I7" s="9">
        <f>'Counts data'!H13/$B7*1000</f>
        <v>5.3667262969588547</v>
      </c>
      <c r="J7" s="9">
        <f>'Counts data'!I13/$B7*1000</f>
        <v>1.7889087656529516</v>
      </c>
      <c r="K7" s="9">
        <f>'Counts data'!J13/$B7*1000</f>
        <v>0</v>
      </c>
      <c r="L7" s="9">
        <f>'Counts data'!K13/$B7*1000</f>
        <v>0</v>
      </c>
      <c r="M7" s="9">
        <f>'Counts data'!L13/$B7*1000</f>
        <v>1.7889087656529516</v>
      </c>
    </row>
    <row r="8" spans="1:14" x14ac:dyDescent="0.2">
      <c r="A8" s="5">
        <v>1979</v>
      </c>
      <c r="B8" s="29">
        <f>'Counts data'!B14+'Counts data'!C14</f>
        <v>544</v>
      </c>
      <c r="C8" s="9">
        <f>'Counts data'!B14/$B8*1000</f>
        <v>722.42647058823525</v>
      </c>
      <c r="D8" s="9">
        <f>'Counts data'!C14/$B8*1000</f>
        <v>277.5735294117647</v>
      </c>
      <c r="E8" s="9">
        <f>'Counts data'!D14/$B8*1000</f>
        <v>45.955882352941181</v>
      </c>
      <c r="F8" s="9">
        <f>'Counts data'!E14/$B8*1000</f>
        <v>11.029411764705882</v>
      </c>
      <c r="G8" s="9">
        <f>'Counts data'!F14/$B8*1000</f>
        <v>7.3529411764705879</v>
      </c>
      <c r="H8" s="9">
        <f>'Counts data'!G14/$B8*1000</f>
        <v>9.1911764705882355</v>
      </c>
      <c r="I8" s="9">
        <f>'Counts data'!H14/$B8*1000</f>
        <v>7.3529411764705879</v>
      </c>
      <c r="J8" s="9">
        <f>'Counts data'!I14/$B8*1000</f>
        <v>1.838235294117647</v>
      </c>
      <c r="K8" s="9">
        <f>'Counts data'!J14/$B8*1000</f>
        <v>3.6764705882352939</v>
      </c>
      <c r="L8" s="9">
        <f>'Counts data'!K14/$B8*1000</f>
        <v>1.838235294117647</v>
      </c>
      <c r="M8" s="9">
        <f>'Counts data'!L14/$B8*1000</f>
        <v>0</v>
      </c>
    </row>
    <row r="9" spans="1:14" x14ac:dyDescent="0.2">
      <c r="A9" s="5">
        <v>1980</v>
      </c>
      <c r="B9" s="29">
        <f>'Counts data'!B15+'Counts data'!C15</f>
        <v>702</v>
      </c>
      <c r="C9" s="9">
        <f>'Counts data'!B15/$B9*1000</f>
        <v>736.46723646723649</v>
      </c>
      <c r="D9" s="9">
        <f>'Counts data'!C15/$B9*1000</f>
        <v>263.53276353276357</v>
      </c>
      <c r="E9" s="9">
        <f>'Counts data'!D15/$B9*1000</f>
        <v>41.310541310541311</v>
      </c>
      <c r="F9" s="9">
        <f>'Counts data'!E15/$B9*1000</f>
        <v>24.216524216524213</v>
      </c>
      <c r="G9" s="9">
        <f>'Counts data'!F15/$B9*1000</f>
        <v>15.66951566951567</v>
      </c>
      <c r="H9" s="9">
        <f>'Counts data'!G15/$B9*1000</f>
        <v>14.245014245014245</v>
      </c>
      <c r="I9" s="9">
        <f>'Counts data'!H15/$B9*1000</f>
        <v>11.396011396011396</v>
      </c>
      <c r="J9" s="9">
        <f>'Counts data'!I15/$B9*1000</f>
        <v>1.4245014245014245</v>
      </c>
      <c r="K9" s="9">
        <f>'Counts data'!J15/$B9*1000</f>
        <v>0</v>
      </c>
      <c r="L9" s="9">
        <f>'Counts data'!K15/$B9*1000</f>
        <v>0</v>
      </c>
      <c r="M9" s="9">
        <f>'Counts data'!L15/$B9*1000</f>
        <v>1.4245014245014245</v>
      </c>
    </row>
    <row r="10" spans="1:14" x14ac:dyDescent="0.2">
      <c r="A10" s="5">
        <v>1981</v>
      </c>
      <c r="B10" s="29">
        <f>'Counts data'!B16+'Counts data'!C16</f>
        <v>832</v>
      </c>
      <c r="C10" s="9">
        <f>'Counts data'!B16/$B10*1000</f>
        <v>694.71153846153845</v>
      </c>
      <c r="D10" s="9">
        <f>'Counts data'!C16/$B10*1000</f>
        <v>305.28846153846155</v>
      </c>
      <c r="E10" s="9">
        <f>'Counts data'!D16/$B10*1000</f>
        <v>58.894230769230766</v>
      </c>
      <c r="F10" s="9">
        <f>'Counts data'!E16/$B10*1000</f>
        <v>26.442307692307693</v>
      </c>
      <c r="G10" s="9">
        <f>'Counts data'!F16/$B10*1000</f>
        <v>20.432692307692307</v>
      </c>
      <c r="H10" s="9">
        <f>'Counts data'!G16/$B10*1000</f>
        <v>7.2115384615384617</v>
      </c>
      <c r="I10" s="9">
        <f>'Counts data'!H16/$B10*1000</f>
        <v>3.6057692307692308</v>
      </c>
      <c r="J10" s="9">
        <f>'Counts data'!I16/$B10*1000</f>
        <v>0</v>
      </c>
      <c r="K10" s="9">
        <f>'Counts data'!J16/$B10*1000</f>
        <v>1.2019230769230771</v>
      </c>
      <c r="L10" s="9">
        <f>'Counts data'!K16/$B10*1000</f>
        <v>0</v>
      </c>
      <c r="M10" s="9">
        <f>'Counts data'!L16/$B10*1000</f>
        <v>0</v>
      </c>
    </row>
    <row r="11" spans="1:14" x14ac:dyDescent="0.2">
      <c r="A11" s="5">
        <v>1982</v>
      </c>
      <c r="B11" s="29">
        <f>'Counts data'!B17+'Counts data'!C17</f>
        <v>828</v>
      </c>
      <c r="C11" s="9">
        <f>'Counts data'!B17/$B11*1000</f>
        <v>751.20772946859904</v>
      </c>
      <c r="D11" s="9">
        <f>'Counts data'!C17/$B11*1000</f>
        <v>248.79227053140096</v>
      </c>
      <c r="E11" s="9">
        <f>'Counts data'!D17/$B11*1000</f>
        <v>47.10144927536232</v>
      </c>
      <c r="F11" s="9">
        <f>'Counts data'!E17/$B11*1000</f>
        <v>19.323671497584542</v>
      </c>
      <c r="G11" s="9">
        <f>'Counts data'!F17/$B11*1000</f>
        <v>3.6231884057971016</v>
      </c>
      <c r="H11" s="9">
        <f>'Counts data'!G17/$B11*1000</f>
        <v>8.454106280193237</v>
      </c>
      <c r="I11" s="9">
        <f>'Counts data'!H17/$B11*1000</f>
        <v>0</v>
      </c>
      <c r="J11" s="9">
        <f>'Counts data'!I17/$B11*1000</f>
        <v>1.2077294685990339</v>
      </c>
      <c r="K11" s="9">
        <f>'Counts data'!J17/$B11*1000</f>
        <v>0</v>
      </c>
      <c r="L11" s="9">
        <f>'Counts data'!K17/$B11*1000</f>
        <v>0</v>
      </c>
      <c r="M11" s="9">
        <f>'Counts data'!L17/$B11*1000</f>
        <v>0</v>
      </c>
    </row>
    <row r="12" spans="1:14" x14ac:dyDescent="0.2">
      <c r="A12" s="5">
        <v>1983</v>
      </c>
      <c r="B12" s="29">
        <f>'Counts data'!B18+'Counts data'!C18</f>
        <v>903</v>
      </c>
      <c r="C12" s="9">
        <f>'Counts data'!B18/$B12*1000</f>
        <v>730.89700996677743</v>
      </c>
      <c r="D12" s="9">
        <f>'Counts data'!C18/$B12*1000</f>
        <v>269.10299003322257</v>
      </c>
      <c r="E12" s="9">
        <f>'Counts data'!D18/$B12*1000</f>
        <v>31.007751937984494</v>
      </c>
      <c r="F12" s="9">
        <f>'Counts data'!E18/$B12*1000</f>
        <v>13.289036544850498</v>
      </c>
      <c r="G12" s="9">
        <f>'Counts data'!F18/$B12*1000</f>
        <v>13.289036544850498</v>
      </c>
      <c r="H12" s="9">
        <f>'Counts data'!G18/$B12*1000</f>
        <v>4.4296788482834994</v>
      </c>
      <c r="I12" s="9">
        <f>'Counts data'!H18/$B12*1000</f>
        <v>4.4296788482834994</v>
      </c>
      <c r="J12" s="9">
        <f>'Counts data'!I18/$B12*1000</f>
        <v>1.1074197120708749</v>
      </c>
      <c r="K12" s="9">
        <f>'Counts data'!J18/$B12*1000</f>
        <v>0</v>
      </c>
      <c r="L12" s="9">
        <f>'Counts data'!K18/$B12*1000</f>
        <v>0</v>
      </c>
      <c r="M12" s="9">
        <f>'Counts data'!L18/$B12*1000</f>
        <v>0</v>
      </c>
    </row>
    <row r="13" spans="1:14" x14ac:dyDescent="0.2">
      <c r="A13" s="5">
        <v>1984</v>
      </c>
      <c r="B13" s="29">
        <f>'Counts data'!B19+'Counts data'!C19</f>
        <v>900</v>
      </c>
      <c r="C13" s="9">
        <f>'Counts data'!B19/$B13*1000</f>
        <v>740</v>
      </c>
      <c r="D13" s="9">
        <f>'Counts data'!C19/$B13*1000</f>
        <v>260</v>
      </c>
      <c r="E13" s="9">
        <f>'Counts data'!D19/$B13*1000</f>
        <v>58.888888888888886</v>
      </c>
      <c r="F13" s="9">
        <f>'Counts data'!E19/$B13*1000</f>
        <v>11.111111111111111</v>
      </c>
      <c r="G13" s="9">
        <f>'Counts data'!F19/$B13*1000</f>
        <v>8.8888888888888893</v>
      </c>
      <c r="H13" s="9">
        <f>'Counts data'!G19/$B13*1000</f>
        <v>4.4444444444444446</v>
      </c>
      <c r="I13" s="9">
        <f>'Counts data'!H19/$B13*1000</f>
        <v>6.666666666666667</v>
      </c>
      <c r="J13" s="9">
        <f>'Counts data'!I19/$B13*1000</f>
        <v>1.1111111111111112</v>
      </c>
      <c r="K13" s="9">
        <f>'Counts data'!J19/$B13*1000</f>
        <v>0</v>
      </c>
      <c r="L13" s="9">
        <f>'Counts data'!K19/$B13*1000</f>
        <v>0</v>
      </c>
      <c r="M13" s="9">
        <f>'Counts data'!L19/$B13*1000</f>
        <v>0</v>
      </c>
    </row>
    <row r="14" spans="1:14" x14ac:dyDescent="0.2">
      <c r="A14" s="5">
        <v>1985</v>
      </c>
      <c r="B14" s="29">
        <f>'Counts data'!B20+'Counts data'!C20</f>
        <v>839</v>
      </c>
      <c r="C14" s="9">
        <f>'Counts data'!B20/$B14*1000</f>
        <v>682.95589988081053</v>
      </c>
      <c r="D14" s="9">
        <f>'Counts data'!C20/$B14*1000</f>
        <v>317.04410011918947</v>
      </c>
      <c r="E14" s="9">
        <f>'Counts data'!D20/$B14*1000</f>
        <v>73.897497020262222</v>
      </c>
      <c r="F14" s="9">
        <f>'Counts data'!E20/$B14*1000</f>
        <v>14.302741358760429</v>
      </c>
      <c r="G14" s="9">
        <f>'Counts data'!F20/$B14*1000</f>
        <v>5.9594755661501786</v>
      </c>
      <c r="H14" s="9">
        <f>'Counts data'!G20/$B14*1000</f>
        <v>8.34326579261025</v>
      </c>
      <c r="I14" s="9">
        <f>'Counts data'!H20/$B14*1000</f>
        <v>7.1513706793802143</v>
      </c>
      <c r="J14" s="9">
        <f>'Counts data'!I20/$B14*1000</f>
        <v>5.9594755661501786</v>
      </c>
      <c r="K14" s="9">
        <f>'Counts data'!J20/$B14*1000</f>
        <v>1.1918951132300357</v>
      </c>
      <c r="L14" s="9">
        <f>'Counts data'!K20/$B14*1000</f>
        <v>0</v>
      </c>
      <c r="M14" s="9">
        <f>'Counts data'!L20/$B14*1000</f>
        <v>1.1918951132300357</v>
      </c>
    </row>
    <row r="15" spans="1:14" x14ac:dyDescent="0.2">
      <c r="A15" s="5">
        <v>1986</v>
      </c>
      <c r="B15" s="29">
        <f>'Counts data'!B21+'Counts data'!C21</f>
        <v>863</v>
      </c>
      <c r="C15" s="9">
        <f>'Counts data'!B21/$B15*1000</f>
        <v>674.39165701042873</v>
      </c>
      <c r="D15" s="9">
        <f>'Counts data'!C21/$B15*1000</f>
        <v>325.60834298957127</v>
      </c>
      <c r="E15" s="9">
        <f>'Counts data'!D21/$B15*1000</f>
        <v>37.079953650057938</v>
      </c>
      <c r="F15" s="9">
        <f>'Counts data'!E21/$B15*1000</f>
        <v>31.286210892236383</v>
      </c>
      <c r="G15" s="9">
        <f>'Counts data'!F21/$B15*1000</f>
        <v>13.904982618771726</v>
      </c>
      <c r="H15" s="9">
        <f>'Counts data'!G21/$B15*1000</f>
        <v>15.063731170336037</v>
      </c>
      <c r="I15" s="9">
        <f>'Counts data'!H21/$B15*1000</f>
        <v>6.9524913093858629</v>
      </c>
      <c r="J15" s="9">
        <f>'Counts data'!I21/$B15*1000</f>
        <v>2.3174971031286211</v>
      </c>
      <c r="K15" s="9">
        <f>'Counts data'!J21/$B15*1000</f>
        <v>1.1587485515643106</v>
      </c>
      <c r="L15" s="9">
        <f>'Counts data'!K21/$B15*1000</f>
        <v>0</v>
      </c>
      <c r="M15" s="9"/>
    </row>
    <row r="16" spans="1:14" x14ac:dyDescent="0.2">
      <c r="A16" s="5">
        <v>1987</v>
      </c>
      <c r="B16" s="29">
        <f>'Counts data'!B22+'Counts data'!C22</f>
        <v>765</v>
      </c>
      <c r="C16" s="9">
        <f>'Counts data'!B22/$B16*1000</f>
        <v>712.41830065359477</v>
      </c>
      <c r="D16" s="9">
        <f>'Counts data'!C22/$B16*1000</f>
        <v>287.58169934640523</v>
      </c>
      <c r="E16" s="9">
        <f>'Counts data'!D22/$B16*1000</f>
        <v>56.209150326797385</v>
      </c>
      <c r="F16" s="9">
        <f>'Counts data'!E22/$B16*1000</f>
        <v>23.52941176470588</v>
      </c>
      <c r="G16" s="9">
        <f>'Counts data'!F22/$B16*1000</f>
        <v>15.686274509803921</v>
      </c>
      <c r="H16" s="9">
        <f>'Counts data'!G22/$B16*1000</f>
        <v>11.76470588235294</v>
      </c>
      <c r="I16" s="9">
        <f>'Counts data'!H22/$B16*1000</f>
        <v>6.5359477124183005</v>
      </c>
      <c r="J16" s="9">
        <f>'Counts data'!I22/$B16*1000</f>
        <v>2.6143790849673203</v>
      </c>
      <c r="K16" s="9">
        <f>'Counts data'!J22/$B16*1000</f>
        <v>0</v>
      </c>
      <c r="L16" s="9"/>
      <c r="M16" s="9"/>
    </row>
    <row r="17" spans="1:13" x14ac:dyDescent="0.2">
      <c r="A17" s="5">
        <v>1988</v>
      </c>
      <c r="B17" s="29">
        <f>'Counts data'!B23+'Counts data'!C23</f>
        <v>775</v>
      </c>
      <c r="C17" s="9">
        <f>'Counts data'!B23/$B17*1000</f>
        <v>656.77419354838707</v>
      </c>
      <c r="D17" s="9">
        <f>'Counts data'!C23/$B17*1000</f>
        <v>343.22580645161287</v>
      </c>
      <c r="E17" s="9">
        <f>'Counts data'!D23/$B17*1000</f>
        <v>63.225806451612911</v>
      </c>
      <c r="F17" s="9">
        <f>'Counts data'!E23/$B17*1000</f>
        <v>28.387096774193552</v>
      </c>
      <c r="G17" s="9">
        <f>'Counts data'!F23/$B17*1000</f>
        <v>19.35483870967742</v>
      </c>
      <c r="H17" s="9">
        <f>'Counts data'!G23/$B17*1000</f>
        <v>5.161290322580645</v>
      </c>
      <c r="I17" s="9">
        <f>'Counts data'!H23/$B17*1000</f>
        <v>10.32258064516129</v>
      </c>
      <c r="J17" s="9">
        <f>'Counts data'!I23/$B17*1000</f>
        <v>0</v>
      </c>
      <c r="K17" s="9"/>
      <c r="L17" s="9"/>
      <c r="M17" s="9"/>
    </row>
    <row r="18" spans="1:13" x14ac:dyDescent="0.2">
      <c r="A18" s="5">
        <v>1989</v>
      </c>
      <c r="B18" s="29">
        <f>'Counts data'!B24+'Counts data'!C24</f>
        <v>799</v>
      </c>
      <c r="C18" s="9">
        <f>'Counts data'!B24/$B18*1000</f>
        <v>737.17146433041307</v>
      </c>
      <c r="D18" s="9">
        <f>'Counts data'!C24/$B18*1000</f>
        <v>262.82853566958698</v>
      </c>
      <c r="E18" s="9">
        <f>'Counts data'!D24/$B18*1000</f>
        <v>36.295369211514391</v>
      </c>
      <c r="F18" s="9">
        <f>'Counts data'!E24/$B18*1000</f>
        <v>21.276595744680851</v>
      </c>
      <c r="G18" s="9">
        <f>'Counts data'!F24/$B18*1000</f>
        <v>15.018773466833542</v>
      </c>
      <c r="H18" s="9">
        <f>'Counts data'!G24/$B18*1000</f>
        <v>5.0062578222778473</v>
      </c>
      <c r="I18" s="9">
        <f>'Counts data'!H24/$B18*1000</f>
        <v>11.264080100125156</v>
      </c>
      <c r="J18" s="9"/>
      <c r="K18" s="9"/>
      <c r="L18" s="9"/>
      <c r="M18" s="9"/>
    </row>
    <row r="19" spans="1:13" x14ac:dyDescent="0.2">
      <c r="A19" s="5">
        <v>1990</v>
      </c>
      <c r="B19" s="29">
        <f>'Counts data'!B25+'Counts data'!C25</f>
        <v>760</v>
      </c>
      <c r="C19" s="9">
        <f>'Counts data'!B25/$B19*1000</f>
        <v>742.10526315789468</v>
      </c>
      <c r="D19" s="9">
        <f>'Counts data'!C25/$B19*1000</f>
        <v>257.89473684210526</v>
      </c>
      <c r="E19" s="9">
        <f>'Counts data'!D25/$B19*1000</f>
        <v>30.263157894736842</v>
      </c>
      <c r="F19" s="9">
        <f>'Counts data'!E25/$B19*1000</f>
        <v>15.789473684210527</v>
      </c>
      <c r="G19" s="9">
        <f>'Counts data'!F25/$B19*1000</f>
        <v>11.842105263157896</v>
      </c>
      <c r="H19" s="9">
        <f>'Counts data'!G25/$B19*1000</f>
        <v>6.5789473684210522</v>
      </c>
      <c r="I19" s="9"/>
      <c r="J19" s="9"/>
      <c r="K19" s="9"/>
      <c r="L19" s="9"/>
      <c r="M19" s="9"/>
    </row>
    <row r="20" spans="1:13" x14ac:dyDescent="0.2">
      <c r="A20" s="5">
        <v>1991</v>
      </c>
      <c r="B20" s="29">
        <f>'Counts data'!B26+'Counts data'!C26</f>
        <v>810</v>
      </c>
      <c r="C20" s="9">
        <f>'Counts data'!B26/$B20*1000</f>
        <v>749.38271604938268</v>
      </c>
      <c r="D20" s="9">
        <f>'Counts data'!C26/$B20*1000</f>
        <v>250.61728395061726</v>
      </c>
      <c r="E20" s="9">
        <f>'Counts data'!D26/$B20*1000</f>
        <v>35.802469135802468</v>
      </c>
      <c r="F20" s="9">
        <f>'Counts data'!E26/$B20*1000</f>
        <v>11.111111111111111</v>
      </c>
      <c r="G20" s="9">
        <f>'Counts data'!F26/$B20*1000</f>
        <v>8.6419753086419746</v>
      </c>
      <c r="H20" s="9"/>
      <c r="I20" s="9"/>
      <c r="J20" s="9"/>
      <c r="K20" s="9"/>
      <c r="L20" s="9"/>
      <c r="M20" s="9"/>
    </row>
    <row r="21" spans="1:13" x14ac:dyDescent="0.2">
      <c r="A21" s="5">
        <v>1992</v>
      </c>
      <c r="B21" s="29">
        <f>'Counts data'!B27+'Counts data'!C27</f>
        <v>843</v>
      </c>
      <c r="C21" s="9">
        <f>'Counts data'!B27/$B21*1000</f>
        <v>799.52550415183862</v>
      </c>
      <c r="D21" s="9">
        <f>'Counts data'!C27/$B21*1000</f>
        <v>200.47449584816133</v>
      </c>
      <c r="E21" s="9">
        <f>'Counts data'!D27/$B21*1000</f>
        <v>23.724792408066428</v>
      </c>
      <c r="F21" s="9">
        <f>'Counts data'!E27/$B21*1000</f>
        <v>14.234875444839856</v>
      </c>
      <c r="G21" s="9"/>
      <c r="H21" s="9"/>
      <c r="I21" s="9"/>
      <c r="J21" s="9"/>
      <c r="K21" s="9"/>
      <c r="L21" s="9"/>
      <c r="M21" s="9"/>
    </row>
    <row r="22" spans="1:13" x14ac:dyDescent="0.2">
      <c r="A22" s="5">
        <v>1993</v>
      </c>
      <c r="B22" s="29">
        <f>'Counts data'!B28+'Counts data'!C28</f>
        <v>809</v>
      </c>
      <c r="C22" s="9">
        <f>'Counts data'!B28/$B22*1000</f>
        <v>765.14215080346105</v>
      </c>
      <c r="D22" s="9">
        <f>'Counts data'!C28/$B22*1000</f>
        <v>234.85784919653892</v>
      </c>
      <c r="E22" s="9">
        <f>'Counts data'!D28/$B22*1000</f>
        <v>50.679851668726819</v>
      </c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5">
        <v>1994</v>
      </c>
      <c r="B23" s="29">
        <f>'Counts data'!B29+'Counts data'!C29</f>
        <v>821</v>
      </c>
      <c r="C23" s="9">
        <f>'Counts data'!B29/$B23*1000</f>
        <v>803.89768574908646</v>
      </c>
      <c r="D23" s="9">
        <f>'Counts data'!C29/$B23*1000</f>
        <v>196.10231425091351</v>
      </c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">
      <c r="A24" s="5">
        <v>1995</v>
      </c>
      <c r="B24" s="30"/>
      <c r="C24" s="31"/>
      <c r="D24" s="9"/>
      <c r="E24" s="9"/>
      <c r="F24" s="9"/>
      <c r="G24" s="9"/>
      <c r="H24" s="9"/>
      <c r="I24" s="9"/>
      <c r="J24" s="9"/>
      <c r="K24" s="9"/>
      <c r="L24" s="9"/>
      <c r="M24" s="9"/>
    </row>
    <row r="26" spans="1:13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5.75" x14ac:dyDescent="0.25">
      <c r="A27" s="3" t="s">
        <v>18</v>
      </c>
      <c r="B27" s="3"/>
    </row>
    <row r="29" spans="1:13" x14ac:dyDescent="0.2">
      <c r="A29" s="1" t="s">
        <v>7</v>
      </c>
      <c r="C29" s="10">
        <f>SUMPRODUCT(C7:C23,$B7:$B23)/SUM($B7:$B23)</f>
        <v>728.43019772318758</v>
      </c>
      <c r="D29" s="10">
        <f t="shared" ref="D29" si="0">SUMPRODUCT(D7:D23,$B7:$B23)/SUM($B7:$B23)</f>
        <v>271.56980227681248</v>
      </c>
      <c r="E29" s="10">
        <f>SUMPRODUCT(E7:E22,$B7:$B22)/SUM($B7:$B22)</f>
        <v>46.205410581757242</v>
      </c>
      <c r="F29" s="10">
        <f>SUMPRODUCT(F7:F21,$B7:$B21)/SUM($B7:$B21)</f>
        <v>18.768128305749872</v>
      </c>
      <c r="G29" s="10">
        <f>SUMPRODUCT(G7:G20,$B7:$B20)/SUM($B7:$B20)</f>
        <v>12.225388362901002</v>
      </c>
      <c r="H29" s="10">
        <f>SUMPRODUCT(H7:H19,$B7:$B19)/SUM($B7:$B19)</f>
        <v>8.2431224550600852</v>
      </c>
      <c r="I29" s="10">
        <f>SUMPRODUCT(I7:I18,$B7:$B18)/SUM($B7:$B18)</f>
        <v>6.6602212912235474</v>
      </c>
      <c r="J29" s="10">
        <f>SUMPRODUCT(J7:J17,$B7:$B17)/SUM($B7:$B17)</f>
        <v>1.762632197414806</v>
      </c>
      <c r="K29" s="10">
        <f>SUMPRODUCT(K7:K16,$B7:$B16)/SUM($B7:$B16)</f>
        <v>0.64641241111829351</v>
      </c>
      <c r="L29" s="10">
        <f>SUMPRODUCT(L7:L15,$B7:$B15)/SUM($B7:$B15)</f>
        <v>0.14347202295552366</v>
      </c>
      <c r="M29" s="10">
        <f>SUMPRODUCT(M7:M14,$B7:$B14)/SUM($B7:$B14)</f>
        <v>0.49123956115932538</v>
      </c>
    </row>
    <row r="30" spans="1:13" ht="15" x14ac:dyDescent="0.2">
      <c r="B30" s="53" t="s">
        <v>81</v>
      </c>
      <c r="C30" s="52">
        <f>SUMPRODUCT(C7:C23,$B7:$B23)/SUM($B7:$B23)</f>
        <v>728.43019772318758</v>
      </c>
      <c r="D30" s="52">
        <f ca="1">SUMPRODUCT(OFFSET($D$7:$D$23,0,C5,17-C5),OFFSET($B$7:$B$23,0,0,17-C5))/SUM(OFFSET($B$7:$B$23,0,0,17-C5))</f>
        <v>271.56980227681248</v>
      </c>
      <c r="E30" s="52">
        <f t="shared" ref="E30:M30" ca="1" si="1">SUMPRODUCT(OFFSET($D$7:$D$23,0,D5,17-D5),OFFSET($B$7:$B$23,0,0,17-D5))/SUM(OFFSET($B$7:$B$23,0,0,17-D5))</f>
        <v>46.205410581757242</v>
      </c>
      <c r="F30" s="52">
        <f t="shared" ca="1" si="1"/>
        <v>18.768128305749872</v>
      </c>
      <c r="G30" s="52">
        <f t="shared" ca="1" si="1"/>
        <v>12.225388362901002</v>
      </c>
      <c r="H30" s="52">
        <f t="shared" ca="1" si="1"/>
        <v>8.2431224550600852</v>
      </c>
      <c r="I30" s="52">
        <f t="shared" ca="1" si="1"/>
        <v>6.6602212912235474</v>
      </c>
      <c r="J30" s="52">
        <f t="shared" ca="1" si="1"/>
        <v>1.762632197414806</v>
      </c>
      <c r="K30" s="52">
        <f t="shared" ca="1" si="1"/>
        <v>0.64641241111829351</v>
      </c>
      <c r="L30" s="52">
        <f t="shared" ca="1" si="1"/>
        <v>0.14347202295552366</v>
      </c>
      <c r="M30" s="52">
        <f t="shared" ca="1" si="1"/>
        <v>0.49123956115932538</v>
      </c>
    </row>
    <row r="31" spans="1:13" x14ac:dyDescent="0.2">
      <c r="A31" s="1" t="s">
        <v>8</v>
      </c>
      <c r="C31" s="32">
        <f>SUMPRODUCT(C18:C23,$B18:$B23)/SUM($B18:$B23)</f>
        <v>766.83188764973147</v>
      </c>
      <c r="D31" s="32">
        <f>SUMPRODUCT(D18:D23,$B18:$B23)/SUM($B18:$B23)</f>
        <v>233.16811235026847</v>
      </c>
      <c r="E31" s="32">
        <f>SUMPRODUCT(E17:E22,$B17:$B22)/SUM($B17:$B22)</f>
        <v>39.824854045037533</v>
      </c>
      <c r="F31" s="32">
        <f>SUMPRODUCT(F16:F21,$B16:$B21)/SUM($B16:$B21)</f>
        <v>18.939393939393938</v>
      </c>
      <c r="G31" s="32">
        <f>SUMPRODUCT(G15:G20,$B15:$B20)/SUM($B15:$B20)</f>
        <v>14.040234702430846</v>
      </c>
      <c r="H31" s="32">
        <f>SUMPRODUCT(H14:H19,$B14:$B19)/SUM($B14:$B19)</f>
        <v>8.7481774630285365</v>
      </c>
      <c r="I31" s="32">
        <f>SUMPRODUCT(I13:I18,$B13:$B18)/SUM($B13:$B18)</f>
        <v>8.0955272212102809</v>
      </c>
      <c r="J31" s="32">
        <f>SUMPRODUCT(J12:J17,$B12:$B17)/SUM($B12:$B17)</f>
        <v>2.180376610505451</v>
      </c>
      <c r="K31" s="32">
        <f>SUMPRODUCT(K11:K16,$B11:$B16)/SUM($B11:$B16)</f>
        <v>0.39231071008238527</v>
      </c>
      <c r="L31" s="32">
        <f>SUMPRODUCT(L10:L15,$B10:$B15)/SUM($B10:$B15)</f>
        <v>0</v>
      </c>
      <c r="M31" s="32">
        <f>SUMPRODUCT(M9:M14,$B9:$B14)/SUM($B9:$B14)</f>
        <v>0.3996802557953637</v>
      </c>
    </row>
    <row r="32" spans="1:13" ht="15" x14ac:dyDescent="0.2">
      <c r="B32" s="53" t="s">
        <v>81</v>
      </c>
      <c r="C32" s="56">
        <f>SUMPRODUCT(C18:C23,$B18:$B23)/SUM($B18:$B23)</f>
        <v>766.83188764973147</v>
      </c>
      <c r="D32" s="56">
        <f ca="1">SUMPRODUCT(OFFSET($D$18:$D$23,-C5,C5),OFFSET($B$18:$B$23,-C5,0))/SUM(OFFSET($B$18:$B$23,-C5,0))</f>
        <v>233.16811235026847</v>
      </c>
      <c r="E32" s="56">
        <f t="shared" ref="E32:M32" ca="1" si="2">SUMPRODUCT(OFFSET($D$18:$D$23,-D5,D5),OFFSET($B$18:$B$23,-D5,0))/SUM(OFFSET($B$18:$B$23,-D5,0))</f>
        <v>39.824854045037533</v>
      </c>
      <c r="F32" s="56">
        <f t="shared" ca="1" si="2"/>
        <v>18.939393939393938</v>
      </c>
      <c r="G32" s="56">
        <f t="shared" ca="1" si="2"/>
        <v>14.040234702430846</v>
      </c>
      <c r="H32" s="56">
        <f t="shared" ca="1" si="2"/>
        <v>8.7481774630285365</v>
      </c>
      <c r="I32" s="56">
        <f t="shared" ca="1" si="2"/>
        <v>8.0955272212102809</v>
      </c>
      <c r="J32" s="56">
        <f t="shared" ca="1" si="2"/>
        <v>2.180376610505451</v>
      </c>
      <c r="K32" s="56">
        <f t="shared" ca="1" si="2"/>
        <v>0.39231071008238527</v>
      </c>
      <c r="L32" s="56">
        <f t="shared" ca="1" si="2"/>
        <v>0</v>
      </c>
      <c r="M32" s="56">
        <f t="shared" ca="1" si="2"/>
        <v>0.3996802557953637</v>
      </c>
    </row>
    <row r="33" spans="1:14" x14ac:dyDescent="0.2">
      <c r="A33" s="1" t="s">
        <v>9</v>
      </c>
      <c r="C33" s="12">
        <f>SUMPRODUCT(C21:C23,$B21:$B23)/SUM($B21:$B23)</f>
        <v>789.72907399919131</v>
      </c>
      <c r="D33" s="12">
        <f>SUMPRODUCT(D21:D23,$B21:$B23)/SUM($B21:$B23)</f>
        <v>210.27092600080874</v>
      </c>
      <c r="E33" s="12">
        <f>SUMPRODUCT(E20:E22,$B20:$B22)/SUM($B20:$B22)</f>
        <v>36.555645816409424</v>
      </c>
      <c r="F33" s="12">
        <f>SUMPRODUCT(F19:F21,$B19:$B21)/SUM($B19:$B21)</f>
        <v>13.675922088686283</v>
      </c>
      <c r="G33" s="12">
        <f>SUMPRODUCT(G18:G20,$B18:$B20)/SUM($B18:$B20)</f>
        <v>11.819333051920642</v>
      </c>
      <c r="H33" s="12">
        <f>SUMPRODUCT(H17:H19,$B17:$B19)/SUM($B17:$B19)</f>
        <v>5.5698371893744643</v>
      </c>
      <c r="I33" s="12">
        <f>SUMPRODUCT(I16:I18,$B16:$B18)/SUM($B16:$B18)</f>
        <v>9.4057289439931591</v>
      </c>
      <c r="J33" s="12">
        <f>SUMPRODUCT(J15:J17,$B15:$B17)/SUM($B15:$B17)</f>
        <v>1.6645859342488556</v>
      </c>
      <c r="K33" s="12">
        <f>SUMPRODUCT(K14:K16,$B14:$B16)/SUM($B14:$B16)</f>
        <v>0.81070125658694769</v>
      </c>
      <c r="L33" s="12">
        <f>SUMPRODUCT(L13:L15,$B13:$B15)/SUM($B13:$B15)</f>
        <v>0</v>
      </c>
      <c r="M33" s="12">
        <f>SUMPRODUCT(M12:M14,$B12:$B14)/SUM($B12:$B14)</f>
        <v>0.37850113550340653</v>
      </c>
    </row>
    <row r="34" spans="1:14" ht="15" x14ac:dyDescent="0.2">
      <c r="B34" s="53" t="s">
        <v>81</v>
      </c>
      <c r="C34" s="55">
        <f>SUMPRODUCT(C21:C23,$B21:$B23)/SUM($B21:$B23)</f>
        <v>789.72907399919131</v>
      </c>
      <c r="D34" s="55">
        <f ca="1">SUMPRODUCT(OFFSET($D$21:$D$23,-C5,C5),OFFSET($B$21:$B$23,-C5,0))/SUM(OFFSET($B$21:$B$23,-C5,0))</f>
        <v>210.27092600080874</v>
      </c>
      <c r="E34" s="55">
        <f t="shared" ref="E34:M34" ca="1" si="3">SUMPRODUCT(OFFSET($D$21:$D$23,-D5,D5),OFFSET($B$21:$B$23,-D5,0))/SUM(OFFSET($B$21:$B$23,-D5,0))</f>
        <v>36.555645816409424</v>
      </c>
      <c r="F34" s="55">
        <f t="shared" ca="1" si="3"/>
        <v>13.675922088686283</v>
      </c>
      <c r="G34" s="55">
        <f t="shared" ca="1" si="3"/>
        <v>11.819333051920642</v>
      </c>
      <c r="H34" s="55">
        <f t="shared" ca="1" si="3"/>
        <v>5.5698371893744643</v>
      </c>
      <c r="I34" s="55">
        <f t="shared" ca="1" si="3"/>
        <v>9.4057289439931591</v>
      </c>
      <c r="J34" s="55">
        <f t="shared" ca="1" si="3"/>
        <v>1.6645859342488556</v>
      </c>
      <c r="K34" s="55">
        <f t="shared" ca="1" si="3"/>
        <v>0.81070125658694769</v>
      </c>
      <c r="L34" s="55">
        <f t="shared" ca="1" si="3"/>
        <v>0</v>
      </c>
      <c r="M34" s="55">
        <f t="shared" ca="1" si="3"/>
        <v>0.37850113550340653</v>
      </c>
    </row>
    <row r="35" spans="1:1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x14ac:dyDescent="0.2">
      <c r="A36" s="1" t="s">
        <v>10</v>
      </c>
      <c r="C36" s="12">
        <f>C33</f>
        <v>789.72907399919131</v>
      </c>
      <c r="D36" s="12">
        <f t="shared" ref="D36:G36" si="4">D33</f>
        <v>210.27092600080874</v>
      </c>
      <c r="E36" s="12">
        <f t="shared" si="4"/>
        <v>36.555645816409424</v>
      </c>
      <c r="F36" s="12">
        <f t="shared" si="4"/>
        <v>13.675922088686283</v>
      </c>
      <c r="G36" s="12">
        <f t="shared" si="4"/>
        <v>11.819333051920642</v>
      </c>
      <c r="H36" s="32">
        <f>H31</f>
        <v>8.7481774630285365</v>
      </c>
      <c r="I36" s="10">
        <f>I29</f>
        <v>6.6602212912235474</v>
      </c>
      <c r="J36" s="10">
        <f t="shared" ref="J36:M36" si="5">J29</f>
        <v>1.762632197414806</v>
      </c>
      <c r="K36" s="10">
        <f t="shared" si="5"/>
        <v>0.64641241111829351</v>
      </c>
      <c r="L36" s="10">
        <f t="shared" si="5"/>
        <v>0.14347202295552366</v>
      </c>
      <c r="M36" s="10">
        <f t="shared" si="5"/>
        <v>0.49123956115932538</v>
      </c>
    </row>
    <row r="37" spans="1:14" x14ac:dyDescent="0.2">
      <c r="A37" s="1" t="s">
        <v>11</v>
      </c>
    </row>
    <row r="39" spans="1:14" ht="15.75" x14ac:dyDescent="0.25">
      <c r="A39" s="3" t="s">
        <v>10</v>
      </c>
      <c r="B39" s="3"/>
      <c r="C39" s="12">
        <f>C36</f>
        <v>789.72907399919131</v>
      </c>
      <c r="D39" s="12">
        <f t="shared" ref="D39:G39" si="6">D36</f>
        <v>210.27092600080874</v>
      </c>
      <c r="E39" s="12">
        <f t="shared" si="6"/>
        <v>36.555645816409424</v>
      </c>
      <c r="F39" s="12">
        <f t="shared" si="6"/>
        <v>13.675922088686283</v>
      </c>
      <c r="G39" s="12">
        <f t="shared" si="6"/>
        <v>11.819333051920642</v>
      </c>
      <c r="H39" s="32">
        <f>H36</f>
        <v>8.7481774630285365</v>
      </c>
      <c r="I39" s="10">
        <f>I36</f>
        <v>6.6602212912235474</v>
      </c>
      <c r="J39" s="10">
        <f>J36</f>
        <v>1.762632197414806</v>
      </c>
      <c r="K39" s="14">
        <f t="shared" ref="K39:M39" si="7">K48</f>
        <v>0.69518495287076132</v>
      </c>
      <c r="L39" s="14">
        <f t="shared" si="7"/>
        <v>0.40762950132389641</v>
      </c>
      <c r="M39" s="14">
        <f t="shared" si="7"/>
        <v>0.23901813418631185</v>
      </c>
      <c r="N39" s="21">
        <f>B54</f>
        <v>0.3388245373948528</v>
      </c>
    </row>
    <row r="40" spans="1:14" ht="15.75" x14ac:dyDescent="0.25">
      <c r="A40" s="3" t="s">
        <v>12</v>
      </c>
      <c r="B40" s="3"/>
    </row>
    <row r="42" spans="1:14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4" x14ac:dyDescent="0.2">
      <c r="A43" s="3" t="s">
        <v>31</v>
      </c>
      <c r="B43" s="3"/>
    </row>
    <row r="44" spans="1:14" x14ac:dyDescent="0.2">
      <c r="G44" s="1" t="s">
        <v>13</v>
      </c>
    </row>
    <row r="45" spans="1:14" x14ac:dyDescent="0.2">
      <c r="A45" s="1" t="s">
        <v>17</v>
      </c>
      <c r="I45" s="33"/>
      <c r="J45" s="33">
        <f>LN(J36)</f>
        <v>0.56680825851692729</v>
      </c>
      <c r="K45" s="33">
        <f t="shared" ref="K45:M45" si="8">LN(K36)</f>
        <v>-0.43631757159092899</v>
      </c>
      <c r="L45" s="33">
        <f t="shared" si="8"/>
        <v>-1.9416152247724325</v>
      </c>
      <c r="M45" s="33">
        <f t="shared" si="8"/>
        <v>-0.71082336557288794</v>
      </c>
    </row>
    <row r="46" spans="1:14" x14ac:dyDescent="0.2">
      <c r="G46" s="1" t="s">
        <v>14</v>
      </c>
    </row>
    <row r="47" spans="1:14" x14ac:dyDescent="0.2">
      <c r="A47" s="1" t="s">
        <v>26</v>
      </c>
      <c r="B47" s="1" cm="1">
        <f t="array" ref="B47">SLOPE(J45:M45,J5:M5-8)</f>
        <v>-0.53381925254509499</v>
      </c>
      <c r="F47" s="1" t="s">
        <v>15</v>
      </c>
      <c r="J47" s="1" cm="1">
        <f t="array" ref="J47">_xlfn.FORECAST.LINEAR(J5-6,$J$45:$M$45,$J$5:$M$5-6)</f>
        <v>0.17024190296281183</v>
      </c>
      <c r="K47" s="1" cm="1">
        <f t="array" ref="K47">_xlfn.FORECAST.LINEAR(K5-6,$J$45:$M$45,$J$5:$M$5-6)</f>
        <v>-0.36357734958228316</v>
      </c>
      <c r="L47" s="1" cm="1">
        <f t="array" ref="L47">_xlfn.FORECAST.LINEAR(L5-6,$J$45:$M$45,$J$5:$M$5-6)</f>
        <v>-0.89739660212737826</v>
      </c>
      <c r="M47" s="1" cm="1">
        <f t="array" ref="M47">_xlfn.FORECAST.LINEAR(M5-6,$J$45:$M$45,$J$5:$M$5-6)</f>
        <v>-1.4312158546724731</v>
      </c>
    </row>
    <row r="48" spans="1:14" x14ac:dyDescent="0.2">
      <c r="A48" s="1" t="s">
        <v>27</v>
      </c>
      <c r="B48" s="1" cm="1">
        <f t="array" ref="B48">INTERCEPT(J45:M45,J5:M5-8)</f>
        <v>-0.3635773495822831</v>
      </c>
      <c r="F48" s="1" t="s">
        <v>16</v>
      </c>
      <c r="J48" s="1">
        <f t="shared" ref="J48:M48" si="9">EXP(J47)</f>
        <v>1.1855916147587995</v>
      </c>
      <c r="K48" s="15">
        <f t="shared" si="9"/>
        <v>0.69518495287076132</v>
      </c>
      <c r="L48" s="15">
        <f t="shared" si="9"/>
        <v>0.40762950132389641</v>
      </c>
      <c r="M48" s="15">
        <f t="shared" si="9"/>
        <v>0.23901813418631185</v>
      </c>
    </row>
    <row r="51" spans="1:9" x14ac:dyDescent="0.2">
      <c r="A51" s="3" t="s">
        <v>32</v>
      </c>
    </row>
    <row r="52" spans="1:9" x14ac:dyDescent="0.2">
      <c r="A52" s="1" t="s">
        <v>29</v>
      </c>
      <c r="B52" s="1">
        <f>EXP(B48)</f>
        <v>0.69518495287076132</v>
      </c>
    </row>
    <row r="53" spans="1:9" x14ac:dyDescent="0.2">
      <c r="A53" s="1" t="s">
        <v>40</v>
      </c>
      <c r="B53" s="1">
        <f>EXP(B47)</f>
        <v>0.58636122608896146</v>
      </c>
    </row>
    <row r="54" spans="1:9" x14ac:dyDescent="0.2">
      <c r="A54" s="1" t="s">
        <v>30</v>
      </c>
      <c r="B54" s="20">
        <f>B52*B53^(11-8)/(1-B53)</f>
        <v>0.3388245373948528</v>
      </c>
    </row>
    <row r="56" spans="1:9" x14ac:dyDescent="0.2">
      <c r="I56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9406-1CA7-EB4A-942D-BEBB5B1EDA6A}">
  <dimension ref="A1:P27"/>
  <sheetViews>
    <sheetView workbookViewId="0">
      <selection activeCell="J37" sqref="J37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43</v>
      </c>
    </row>
    <row r="2" spans="1:16" ht="15" x14ac:dyDescent="0.2">
      <c r="A2" s="1" t="s">
        <v>23</v>
      </c>
    </row>
    <row r="4" spans="1:16" ht="15.75" x14ac:dyDescent="0.25">
      <c r="A4" s="7" t="s">
        <v>3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N4" s="22"/>
      <c r="O4" s="3" t="s">
        <v>35</v>
      </c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25</v>
      </c>
      <c r="N5" s="22" t="s">
        <v>36</v>
      </c>
      <c r="O5" s="3" t="s">
        <v>33</v>
      </c>
      <c r="P5" s="3" t="s">
        <v>34</v>
      </c>
    </row>
    <row r="6" spans="1:16" ht="15" x14ac:dyDescent="0.2">
      <c r="A6" s="6"/>
      <c r="N6" s="23"/>
    </row>
    <row r="7" spans="1:16" ht="15.75" x14ac:dyDescent="0.25">
      <c r="A7" s="5">
        <v>1978</v>
      </c>
      <c r="B7" s="9">
        <f>'Counts data'!B13</f>
        <v>368</v>
      </c>
      <c r="C7" s="9">
        <f>'Counts data'!C13</f>
        <v>191</v>
      </c>
      <c r="D7" s="9">
        <f>'Counts data'!D13</f>
        <v>28</v>
      </c>
      <c r="E7" s="9">
        <f>'Counts data'!E13</f>
        <v>8</v>
      </c>
      <c r="F7" s="9">
        <f>'Counts data'!F13</f>
        <v>6</v>
      </c>
      <c r="G7" s="9">
        <f>'Counts data'!G13</f>
        <v>5</v>
      </c>
      <c r="H7" s="9">
        <f>'Counts data'!H13</f>
        <v>3</v>
      </c>
      <c r="I7" s="9">
        <f>'Counts data'!I13</f>
        <v>1</v>
      </c>
      <c r="J7" s="9">
        <f>'Counts data'!J13</f>
        <v>0</v>
      </c>
      <c r="K7" s="9">
        <f>'Counts data'!K13</f>
        <v>0</v>
      </c>
      <c r="L7" s="9">
        <f>'Counts data'!L13</f>
        <v>1</v>
      </c>
      <c r="M7" s="18">
        <f>'Table 2.3'!$B7*'Table 2.3'!N$39/1000</f>
        <v>0.18940291640372273</v>
      </c>
      <c r="N7" s="24">
        <f>SUM(B7:L7)</f>
        <v>611</v>
      </c>
      <c r="O7" s="18">
        <f>P7-N7</f>
        <v>0.18940291640376472</v>
      </c>
      <c r="P7" s="18">
        <f>SUM(B7:M7)</f>
        <v>611.18940291640376</v>
      </c>
    </row>
    <row r="8" spans="1:16" ht="15.75" x14ac:dyDescent="0.25">
      <c r="A8" s="5">
        <v>1979</v>
      </c>
      <c r="B8" s="9">
        <f>'Counts data'!B14</f>
        <v>393</v>
      </c>
      <c r="C8" s="9">
        <f>'Counts data'!C14</f>
        <v>151</v>
      </c>
      <c r="D8" s="9">
        <f>'Counts data'!D14</f>
        <v>25</v>
      </c>
      <c r="E8" s="9">
        <f>'Counts data'!E14</f>
        <v>6</v>
      </c>
      <c r="F8" s="9">
        <f>'Counts data'!F14</f>
        <v>4</v>
      </c>
      <c r="G8" s="9">
        <f>'Counts data'!G14</f>
        <v>5</v>
      </c>
      <c r="H8" s="9">
        <f>'Counts data'!H14</f>
        <v>4</v>
      </c>
      <c r="I8" s="9">
        <f>'Counts data'!I14</f>
        <v>1</v>
      </c>
      <c r="J8" s="9">
        <f>'Counts data'!J14</f>
        <v>2</v>
      </c>
      <c r="K8" s="9">
        <f>'Counts data'!K14</f>
        <v>1</v>
      </c>
      <c r="L8" s="9">
        <f>'Counts data'!L14</f>
        <v>0</v>
      </c>
      <c r="M8" s="18">
        <f>'Table 2.3'!$B8*'Table 2.3'!N$39/1000</f>
        <v>0.18432054834279993</v>
      </c>
      <c r="N8" s="24">
        <f t="shared" ref="N8:N14" si="0">SUM(B8:L8)</f>
        <v>592</v>
      </c>
      <c r="O8" s="18">
        <f t="shared" ref="O8:O24" si="1">P8-N8</f>
        <v>0.18432054834283917</v>
      </c>
      <c r="P8" s="18">
        <f t="shared" ref="P8:P24" si="2">SUM(B8:M8)</f>
        <v>592.18432054834284</v>
      </c>
    </row>
    <row r="9" spans="1:16" ht="15.75" x14ac:dyDescent="0.25">
      <c r="A9" s="5">
        <v>1980</v>
      </c>
      <c r="B9" s="9">
        <f>'Counts data'!B15</f>
        <v>517</v>
      </c>
      <c r="C9" s="9">
        <f>'Counts data'!C15</f>
        <v>185</v>
      </c>
      <c r="D9" s="9">
        <f>'Counts data'!D15</f>
        <v>29</v>
      </c>
      <c r="E9" s="9">
        <f>'Counts data'!E15</f>
        <v>17</v>
      </c>
      <c r="F9" s="9">
        <f>'Counts data'!F15</f>
        <v>11</v>
      </c>
      <c r="G9" s="9">
        <f>'Counts data'!G15</f>
        <v>10</v>
      </c>
      <c r="H9" s="9">
        <f>'Counts data'!H15</f>
        <v>8</v>
      </c>
      <c r="I9" s="9">
        <f>'Counts data'!I15</f>
        <v>1</v>
      </c>
      <c r="J9" s="9">
        <f>'Counts data'!J15</f>
        <v>0</v>
      </c>
      <c r="K9" s="9">
        <f>'Counts data'!K15</f>
        <v>0</v>
      </c>
      <c r="L9" s="9">
        <f>'Counts data'!L15</f>
        <v>1</v>
      </c>
      <c r="M9" s="18">
        <f>'Table 2.3'!$B9*'Table 2.3'!N$39/1000</f>
        <v>0.23785482525118667</v>
      </c>
      <c r="N9" s="24">
        <f t="shared" si="0"/>
        <v>779</v>
      </c>
      <c r="O9" s="18">
        <f t="shared" si="1"/>
        <v>0.23785482525113366</v>
      </c>
      <c r="P9" s="18">
        <f t="shared" si="2"/>
        <v>779.23785482525113</v>
      </c>
    </row>
    <row r="10" spans="1:16" ht="15.75" x14ac:dyDescent="0.25">
      <c r="A10" s="5">
        <v>1981</v>
      </c>
      <c r="B10" s="9">
        <f>'Counts data'!B16</f>
        <v>578</v>
      </c>
      <c r="C10" s="9">
        <f>'Counts data'!C16</f>
        <v>254</v>
      </c>
      <c r="D10" s="9">
        <f>'Counts data'!D16</f>
        <v>49</v>
      </c>
      <c r="E10" s="9">
        <f>'Counts data'!E16</f>
        <v>22</v>
      </c>
      <c r="F10" s="9">
        <f>'Counts data'!F16</f>
        <v>17</v>
      </c>
      <c r="G10" s="9">
        <f>'Counts data'!G16</f>
        <v>6</v>
      </c>
      <c r="H10" s="9">
        <f>'Counts data'!H16</f>
        <v>3</v>
      </c>
      <c r="I10" s="9">
        <f>'Counts data'!I16</f>
        <v>0</v>
      </c>
      <c r="J10" s="9">
        <f>'Counts data'!J16</f>
        <v>1</v>
      </c>
      <c r="K10" s="9">
        <f>'Counts data'!K16</f>
        <v>0</v>
      </c>
      <c r="L10" s="9">
        <f>'Counts data'!L16</f>
        <v>0</v>
      </c>
      <c r="M10" s="18">
        <f>'Table 2.3'!$B10*'Table 2.3'!N$39/1000</f>
        <v>0.2819020151125175</v>
      </c>
      <c r="N10" s="24">
        <f t="shared" si="0"/>
        <v>930</v>
      </c>
      <c r="O10" s="18">
        <f t="shared" si="1"/>
        <v>0.28190201511256419</v>
      </c>
      <c r="P10" s="18">
        <f t="shared" si="2"/>
        <v>930.28190201511256</v>
      </c>
    </row>
    <row r="11" spans="1:16" ht="15.75" x14ac:dyDescent="0.25">
      <c r="A11" s="5">
        <v>1982</v>
      </c>
      <c r="B11" s="9">
        <f>'Counts data'!B17</f>
        <v>622</v>
      </c>
      <c r="C11" s="9">
        <f>'Counts data'!C17</f>
        <v>206</v>
      </c>
      <c r="D11" s="9">
        <f>'Counts data'!D17</f>
        <v>39</v>
      </c>
      <c r="E11" s="9">
        <f>'Counts data'!E17</f>
        <v>16</v>
      </c>
      <c r="F11" s="9">
        <f>'Counts data'!F17</f>
        <v>3</v>
      </c>
      <c r="G11" s="9">
        <f>'Counts data'!G17</f>
        <v>7</v>
      </c>
      <c r="H11" s="9">
        <f>'Counts data'!H17</f>
        <v>0</v>
      </c>
      <c r="I11" s="9">
        <f>'Counts data'!I17</f>
        <v>1</v>
      </c>
      <c r="J11" s="9">
        <f>'Counts data'!J17</f>
        <v>0</v>
      </c>
      <c r="K11" s="9">
        <f>'Counts data'!K17</f>
        <v>0</v>
      </c>
      <c r="L11" s="9">
        <f>'Counts data'!L17</f>
        <v>0</v>
      </c>
      <c r="M11" s="18">
        <f>'Table 2.3'!$B11*'Table 2.3'!N$39/1000</f>
        <v>0.28054671696293809</v>
      </c>
      <c r="N11" s="24">
        <f t="shared" si="0"/>
        <v>894</v>
      </c>
      <c r="O11" s="18">
        <f t="shared" si="1"/>
        <v>0.28054671696293099</v>
      </c>
      <c r="P11" s="18">
        <f t="shared" si="2"/>
        <v>894.28054671696293</v>
      </c>
    </row>
    <row r="12" spans="1:16" ht="15.75" x14ac:dyDescent="0.25">
      <c r="A12" s="5">
        <v>1983</v>
      </c>
      <c r="B12" s="9">
        <f>'Counts data'!B18</f>
        <v>660</v>
      </c>
      <c r="C12" s="9">
        <f>'Counts data'!C18</f>
        <v>243</v>
      </c>
      <c r="D12" s="9">
        <f>'Counts data'!D18</f>
        <v>28</v>
      </c>
      <c r="E12" s="9">
        <f>'Counts data'!E18</f>
        <v>12</v>
      </c>
      <c r="F12" s="9">
        <f>'Counts data'!F18</f>
        <v>12</v>
      </c>
      <c r="G12" s="9">
        <f>'Counts data'!G18</f>
        <v>4</v>
      </c>
      <c r="H12" s="9">
        <f>'Counts data'!H18</f>
        <v>4</v>
      </c>
      <c r="I12" s="9">
        <f>'Counts data'!I18</f>
        <v>1</v>
      </c>
      <c r="J12" s="9">
        <f>'Counts data'!J18</f>
        <v>0</v>
      </c>
      <c r="K12" s="9">
        <f>'Counts data'!K18</f>
        <v>0</v>
      </c>
      <c r="L12" s="9">
        <f>'Counts data'!L18</f>
        <v>0</v>
      </c>
      <c r="M12" s="18">
        <f>'Table 2.3'!$B12*'Table 2.3'!N$39/1000</f>
        <v>0.30595855726755206</v>
      </c>
      <c r="N12" s="24">
        <f t="shared" si="0"/>
        <v>964</v>
      </c>
      <c r="O12" s="18">
        <f t="shared" si="1"/>
        <v>0.30595855726755872</v>
      </c>
      <c r="P12" s="18">
        <f t="shared" si="2"/>
        <v>964.30595855726756</v>
      </c>
    </row>
    <row r="13" spans="1:16" ht="15.75" x14ac:dyDescent="0.25">
      <c r="A13" s="5">
        <v>1984</v>
      </c>
      <c r="B13" s="9">
        <f>'Counts data'!B19</f>
        <v>666</v>
      </c>
      <c r="C13" s="9">
        <f>'Counts data'!C19</f>
        <v>234</v>
      </c>
      <c r="D13" s="9">
        <f>'Counts data'!D19</f>
        <v>53</v>
      </c>
      <c r="E13" s="9">
        <f>'Counts data'!E19</f>
        <v>10</v>
      </c>
      <c r="F13" s="9">
        <f>'Counts data'!F19</f>
        <v>8</v>
      </c>
      <c r="G13" s="9">
        <f>'Counts data'!G19</f>
        <v>4</v>
      </c>
      <c r="H13" s="9">
        <f>'Counts data'!H19</f>
        <v>6</v>
      </c>
      <c r="I13" s="9">
        <f>'Counts data'!I19</f>
        <v>1</v>
      </c>
      <c r="J13" s="9">
        <f>'Counts data'!J19</f>
        <v>0</v>
      </c>
      <c r="K13" s="9">
        <f>'Counts data'!K19</f>
        <v>0</v>
      </c>
      <c r="L13" s="9">
        <f>'Counts data'!L19</f>
        <v>0</v>
      </c>
      <c r="M13" s="18">
        <f>'Table 2.3'!$B13*'Table 2.3'!N$39/1000</f>
        <v>0.30494208365536751</v>
      </c>
      <c r="N13" s="24">
        <f t="shared" si="0"/>
        <v>982</v>
      </c>
      <c r="O13" s="18">
        <f t="shared" si="1"/>
        <v>0.30494208365541908</v>
      </c>
      <c r="P13" s="18">
        <f t="shared" si="2"/>
        <v>982.30494208365542</v>
      </c>
    </row>
    <row r="14" spans="1:16" ht="15.75" x14ac:dyDescent="0.25">
      <c r="A14" s="5">
        <v>1985</v>
      </c>
      <c r="B14" s="9">
        <f>'Counts data'!B20</f>
        <v>573</v>
      </c>
      <c r="C14" s="9">
        <f>'Counts data'!C20</f>
        <v>266</v>
      </c>
      <c r="D14" s="9">
        <f>'Counts data'!D20</f>
        <v>62</v>
      </c>
      <c r="E14" s="9">
        <f>'Counts data'!E20</f>
        <v>12</v>
      </c>
      <c r="F14" s="9">
        <f>'Counts data'!F20</f>
        <v>5</v>
      </c>
      <c r="G14" s="9">
        <f>'Counts data'!G20</f>
        <v>7</v>
      </c>
      <c r="H14" s="9">
        <f>'Counts data'!H20</f>
        <v>6</v>
      </c>
      <c r="I14" s="9">
        <f>'Counts data'!I20</f>
        <v>5</v>
      </c>
      <c r="J14" s="9">
        <f>'Counts data'!J20</f>
        <v>1</v>
      </c>
      <c r="K14" s="9">
        <f>'Counts data'!K20</f>
        <v>0</v>
      </c>
      <c r="L14" s="9">
        <f>'Counts data'!L20</f>
        <v>1</v>
      </c>
      <c r="M14" s="18">
        <f>'Table 2.3'!$B14*'Table 2.3'!N$39/1000</f>
        <v>0.28427378687428151</v>
      </c>
      <c r="N14" s="24">
        <f t="shared" si="0"/>
        <v>938</v>
      </c>
      <c r="O14" s="18">
        <f t="shared" si="1"/>
        <v>0.28427378687433702</v>
      </c>
      <c r="P14" s="18">
        <f t="shared" si="2"/>
        <v>938.28427378687434</v>
      </c>
    </row>
    <row r="15" spans="1:16" ht="15.75" x14ac:dyDescent="0.25">
      <c r="A15" s="5">
        <v>1986</v>
      </c>
      <c r="B15" s="9">
        <f>'Counts data'!B21</f>
        <v>582</v>
      </c>
      <c r="C15" s="9">
        <f>'Counts data'!C21</f>
        <v>281</v>
      </c>
      <c r="D15" s="9">
        <f>'Counts data'!D21</f>
        <v>32</v>
      </c>
      <c r="E15" s="9">
        <f>'Counts data'!E21</f>
        <v>27</v>
      </c>
      <c r="F15" s="9">
        <f>'Counts data'!F21</f>
        <v>12</v>
      </c>
      <c r="G15" s="9">
        <f>'Counts data'!G21</f>
        <v>13</v>
      </c>
      <c r="H15" s="9">
        <f>'Counts data'!H21</f>
        <v>6</v>
      </c>
      <c r="I15" s="9">
        <f>'Counts data'!I21</f>
        <v>2</v>
      </c>
      <c r="J15" s="9">
        <f>'Counts data'!J21</f>
        <v>1</v>
      </c>
      <c r="K15" s="9">
        <f>'Counts data'!K21</f>
        <v>0</v>
      </c>
      <c r="L15" s="18">
        <f>'Table 2.3'!$B15*'Table 2.3'!M$39/1000</f>
        <v>0.20627264980278712</v>
      </c>
      <c r="M15" s="18">
        <f>'Table 2.3'!$B15*'Table 2.3'!N$39/1000</f>
        <v>0.29240557577175796</v>
      </c>
      <c r="N15" s="24">
        <f>SUM(B15:K15)</f>
        <v>956</v>
      </c>
      <c r="O15" s="18">
        <f t="shared" si="1"/>
        <v>0.49867822557462205</v>
      </c>
      <c r="P15" s="18">
        <f t="shared" si="2"/>
        <v>956.49867822557462</v>
      </c>
    </row>
    <row r="16" spans="1:16" ht="15.75" x14ac:dyDescent="0.25">
      <c r="A16" s="5">
        <v>1987</v>
      </c>
      <c r="B16" s="9">
        <f>'Counts data'!B22</f>
        <v>545</v>
      </c>
      <c r="C16" s="9">
        <f>'Counts data'!C22</f>
        <v>220</v>
      </c>
      <c r="D16" s="9">
        <f>'Counts data'!D22</f>
        <v>43</v>
      </c>
      <c r="E16" s="9">
        <f>'Counts data'!E22</f>
        <v>18</v>
      </c>
      <c r="F16" s="9">
        <f>'Counts data'!F22</f>
        <v>12</v>
      </c>
      <c r="G16" s="9">
        <f>'Counts data'!G22</f>
        <v>9</v>
      </c>
      <c r="H16" s="9">
        <f>'Counts data'!H22</f>
        <v>5</v>
      </c>
      <c r="I16" s="9">
        <f>'Counts data'!I22</f>
        <v>2</v>
      </c>
      <c r="J16" s="9">
        <f>'Counts data'!J22</f>
        <v>0</v>
      </c>
      <c r="K16" s="18">
        <f>'Table 2.3'!$B16*'Table 2.3'!L$39/1000</f>
        <v>0.31183656851278074</v>
      </c>
      <c r="L16" s="18">
        <f>'Table 2.3'!$B16*'Table 2.3'!M$39/1000</f>
        <v>0.18284887265252858</v>
      </c>
      <c r="M16" s="18">
        <f>'Table 2.3'!$B16*'Table 2.3'!N$39/1000</f>
        <v>0.25920077110706241</v>
      </c>
      <c r="N16" s="24">
        <f>SUM(B16:J16)</f>
        <v>854</v>
      </c>
      <c r="O16" s="18">
        <f t="shared" si="1"/>
        <v>0.75388621227250496</v>
      </c>
      <c r="P16" s="18">
        <f t="shared" si="2"/>
        <v>854.7538862122725</v>
      </c>
    </row>
    <row r="17" spans="1:16" ht="15.75" x14ac:dyDescent="0.25">
      <c r="A17" s="5">
        <v>1988</v>
      </c>
      <c r="B17" s="9">
        <f>'Counts data'!B23</f>
        <v>509</v>
      </c>
      <c r="C17" s="9">
        <f>'Counts data'!C23</f>
        <v>266</v>
      </c>
      <c r="D17" s="9">
        <f>'Counts data'!D23</f>
        <v>49</v>
      </c>
      <c r="E17" s="9">
        <f>'Counts data'!E23</f>
        <v>22</v>
      </c>
      <c r="F17" s="9">
        <f>'Counts data'!F23</f>
        <v>15</v>
      </c>
      <c r="G17" s="9">
        <f>'Counts data'!G23</f>
        <v>4</v>
      </c>
      <c r="H17" s="9">
        <f>'Counts data'!H23</f>
        <v>8</v>
      </c>
      <c r="I17" s="9">
        <f>'Counts data'!I23</f>
        <v>0</v>
      </c>
      <c r="J17" s="18">
        <f>'Table 2.3'!$B17*'Table 2.3'!K$39/1000</f>
        <v>0.53876833847483996</v>
      </c>
      <c r="K17" s="18">
        <f>'Table 2.3'!$B17*'Table 2.3'!L$39/1000</f>
        <v>0.31591286352601977</v>
      </c>
      <c r="L17" s="18">
        <f>'Table 2.3'!$B17*'Table 2.3'!M$39/1000</f>
        <v>0.18523905399439169</v>
      </c>
      <c r="M17" s="18">
        <f>'Table 2.3'!$B17*'Table 2.3'!N$39/1000</f>
        <v>0.26258901648101091</v>
      </c>
      <c r="N17" s="24">
        <f>SUM(B17:I17)</f>
        <v>873</v>
      </c>
      <c r="O17" s="18">
        <f t="shared" si="1"/>
        <v>1.3025092724761862</v>
      </c>
      <c r="P17" s="18">
        <f t="shared" si="2"/>
        <v>874.30250927247619</v>
      </c>
    </row>
    <row r="18" spans="1:16" ht="15.75" x14ac:dyDescent="0.25">
      <c r="A18" s="5">
        <v>1989</v>
      </c>
      <c r="B18" s="9">
        <f>'Counts data'!B24</f>
        <v>589</v>
      </c>
      <c r="C18" s="9">
        <f>'Counts data'!C24</f>
        <v>210</v>
      </c>
      <c r="D18" s="9">
        <f>'Counts data'!D24</f>
        <v>29</v>
      </c>
      <c r="E18" s="9">
        <f>'Counts data'!E24</f>
        <v>17</v>
      </c>
      <c r="F18" s="9">
        <f>'Counts data'!F24</f>
        <v>12</v>
      </c>
      <c r="G18" s="9">
        <f>'Counts data'!G24</f>
        <v>4</v>
      </c>
      <c r="H18" s="9">
        <f>'Counts data'!H24</f>
        <v>9</v>
      </c>
      <c r="I18" s="18">
        <f>'Table 2.3'!$B18*'Table 2.3'!J$39/1000</f>
        <v>1.4083431257344301</v>
      </c>
      <c r="J18" s="18">
        <f>'Table 2.3'!$B18*'Table 2.3'!K$39/1000</f>
        <v>0.55545277734373821</v>
      </c>
      <c r="K18" s="18">
        <f>'Table 2.3'!$B18*'Table 2.3'!L$39/1000</f>
        <v>0.32569597155779328</v>
      </c>
      <c r="L18" s="18">
        <f>'Table 2.3'!$B18*'Table 2.3'!M$39/1000</f>
        <v>0.19097548921486315</v>
      </c>
      <c r="M18" s="18">
        <f>'Table 2.3'!$B18*'Table 2.3'!N$39/1000</f>
        <v>0.27072080537848742</v>
      </c>
      <c r="N18" s="24">
        <f>SUM(B18:H18)</f>
        <v>870</v>
      </c>
      <c r="O18" s="18">
        <f t="shared" si="1"/>
        <v>2.7511881692292945</v>
      </c>
      <c r="P18" s="18">
        <f t="shared" si="2"/>
        <v>872.75118816922929</v>
      </c>
    </row>
    <row r="19" spans="1:16" ht="15.75" x14ac:dyDescent="0.25">
      <c r="A19" s="5">
        <v>1990</v>
      </c>
      <c r="B19" s="9">
        <f>'Counts data'!B25</f>
        <v>564</v>
      </c>
      <c r="C19" s="9">
        <f>'Counts data'!C25</f>
        <v>196</v>
      </c>
      <c r="D19" s="9">
        <f>'Counts data'!D25</f>
        <v>23</v>
      </c>
      <c r="E19" s="9">
        <f>'Counts data'!E25</f>
        <v>12</v>
      </c>
      <c r="F19" s="9">
        <f>'Counts data'!F25</f>
        <v>9</v>
      </c>
      <c r="G19" s="9">
        <f>'Counts data'!G25</f>
        <v>5</v>
      </c>
      <c r="H19" s="18">
        <f>'Table 2.3'!$B19*'Table 2.3'!I$39/1000</f>
        <v>5.0617681813298958</v>
      </c>
      <c r="I19" s="18">
        <f>'Table 2.3'!$B19*'Table 2.3'!J$39/1000</f>
        <v>1.3396004700352526</v>
      </c>
      <c r="J19" s="18">
        <f>'Table 2.3'!$B19*'Table 2.3'!K$39/1000</f>
        <v>0.52834056418177866</v>
      </c>
      <c r="K19" s="18">
        <f>'Table 2.3'!$B19*'Table 2.3'!L$39/1000</f>
        <v>0.30979842100616128</v>
      </c>
      <c r="L19" s="18">
        <f>'Table 2.3'!$B19*'Table 2.3'!M$39/1000</f>
        <v>0.18165378198159701</v>
      </c>
      <c r="M19" s="18">
        <f>'Table 2.3'!$B19*'Table 2.3'!N$39/1000</f>
        <v>0.25750664842008814</v>
      </c>
      <c r="N19" s="24">
        <f>SUM(B19:G19)</f>
        <v>809</v>
      </c>
      <c r="O19" s="18">
        <f t="shared" si="1"/>
        <v>7.6786680669547422</v>
      </c>
      <c r="P19" s="18">
        <f t="shared" si="2"/>
        <v>816.67866806695474</v>
      </c>
    </row>
    <row r="20" spans="1:16" ht="15.75" x14ac:dyDescent="0.25">
      <c r="A20" s="5">
        <v>1991</v>
      </c>
      <c r="B20" s="9">
        <f>'Counts data'!B26</f>
        <v>607</v>
      </c>
      <c r="C20" s="9">
        <f>'Counts data'!C26</f>
        <v>203</v>
      </c>
      <c r="D20" s="9">
        <f>'Counts data'!D26</f>
        <v>29</v>
      </c>
      <c r="E20" s="9">
        <f>'Counts data'!E26</f>
        <v>9</v>
      </c>
      <c r="F20" s="9">
        <f>'Counts data'!F26</f>
        <v>7</v>
      </c>
      <c r="G20" s="18">
        <f>'Table 2.3'!$B20*'Table 2.3'!H$39/1000</f>
        <v>7.0860237450531152</v>
      </c>
      <c r="H20" s="18">
        <f>'Table 2.3'!$B20*'Table 2.3'!I$39/1000</f>
        <v>5.3947792458910735</v>
      </c>
      <c r="I20" s="18">
        <f>'Table 2.3'!$B20*'Table 2.3'!J$39/1000</f>
        <v>1.4277320799059927</v>
      </c>
      <c r="J20" s="18">
        <f>'Table 2.3'!$B20*'Table 2.3'!K$39/1000</f>
        <v>0.56309981182531665</v>
      </c>
      <c r="K20" s="18">
        <f>'Table 2.3'!$B20*'Table 2.3'!L$39/1000</f>
        <v>0.33017989607235609</v>
      </c>
      <c r="L20" s="18">
        <f>'Table 2.3'!$B20*'Table 2.3'!M$39/1000</f>
        <v>0.1936046886909126</v>
      </c>
      <c r="M20" s="18">
        <f>'Table 2.3'!$B20*'Table 2.3'!N$39/1000</f>
        <v>0.27444787528983078</v>
      </c>
      <c r="N20" s="24">
        <f>SUM(B20:F20)</f>
        <v>855</v>
      </c>
      <c r="O20" s="18">
        <f t="shared" si="1"/>
        <v>15.269867342728617</v>
      </c>
      <c r="P20" s="18">
        <f t="shared" si="2"/>
        <v>870.26986734272862</v>
      </c>
    </row>
    <row r="21" spans="1:16" ht="15.75" x14ac:dyDescent="0.25">
      <c r="A21" s="5">
        <v>1992</v>
      </c>
      <c r="B21" s="9">
        <f>'Counts data'!B27</f>
        <v>674</v>
      </c>
      <c r="C21" s="9">
        <f>'Counts data'!C27</f>
        <v>169</v>
      </c>
      <c r="D21" s="9">
        <f>'Counts data'!D27</f>
        <v>20</v>
      </c>
      <c r="E21" s="9">
        <f>'Counts data'!E27</f>
        <v>12</v>
      </c>
      <c r="F21" s="18">
        <f>'Table 2.3'!$B21*'Table 2.3'!G$39/1000</f>
        <v>9.963697762769101</v>
      </c>
      <c r="G21" s="18">
        <f>'Table 2.3'!$B21*'Table 2.3'!H$39/1000</f>
        <v>7.3747136013330561</v>
      </c>
      <c r="H21" s="18">
        <f>'Table 2.3'!$B21*'Table 2.3'!I$39/1000</f>
        <v>5.6145665485014504</v>
      </c>
      <c r="I21" s="18">
        <f>'Table 2.3'!$B21*'Table 2.3'!J$39/1000</f>
        <v>1.4858989424206817</v>
      </c>
      <c r="J21" s="18">
        <f>'Table 2.3'!$B21*'Table 2.3'!K$39/1000</f>
        <v>0.58604091527005175</v>
      </c>
      <c r="K21" s="18">
        <f>'Table 2.3'!$B21*'Table 2.3'!L$39/1000</f>
        <v>0.34363166961604469</v>
      </c>
      <c r="L21" s="18">
        <f>'Table 2.3'!$B21*'Table 2.3'!M$39/1000</f>
        <v>0.20149228711906086</v>
      </c>
      <c r="M21" s="18">
        <f>'Table 2.3'!$B21*'Table 2.3'!N$39/1000</f>
        <v>0.28562908502386092</v>
      </c>
      <c r="N21" s="24">
        <f>SUM(B21:E21)</f>
        <v>875</v>
      </c>
      <c r="O21" s="18">
        <f t="shared" si="1"/>
        <v>25.85567081205329</v>
      </c>
      <c r="P21" s="18">
        <f t="shared" si="2"/>
        <v>900.85567081205329</v>
      </c>
    </row>
    <row r="22" spans="1:16" ht="15.75" x14ac:dyDescent="0.25">
      <c r="A22" s="5">
        <v>1993</v>
      </c>
      <c r="B22" s="9">
        <f>'Counts data'!B28</f>
        <v>619</v>
      </c>
      <c r="C22" s="9">
        <f>'Counts data'!C28</f>
        <v>190</v>
      </c>
      <c r="D22" s="9">
        <f>'Counts data'!D28</f>
        <v>41</v>
      </c>
      <c r="E22" s="18">
        <f>'Table 2.3'!$B22*'Table 2.3'!F$39/1000</f>
        <v>11.063820969747203</v>
      </c>
      <c r="F22" s="18">
        <f>'Table 2.3'!$B22*'Table 2.3'!G$39/1000</f>
        <v>9.5618404390037988</v>
      </c>
      <c r="G22" s="18">
        <f>'Table 2.3'!$B22*'Table 2.3'!H$39/1000</f>
        <v>7.0772755675900862</v>
      </c>
      <c r="H22" s="18">
        <f>'Table 2.3'!$B22*'Table 2.3'!I$39/1000</f>
        <v>5.3881190245998498</v>
      </c>
      <c r="I22" s="18">
        <f>'Table 2.3'!$B22*'Table 2.3'!J$39/1000</f>
        <v>1.4259694477085783</v>
      </c>
      <c r="J22" s="18">
        <f>'Table 2.3'!$B22*'Table 2.3'!K$39/1000</f>
        <v>0.56240462687244586</v>
      </c>
      <c r="K22" s="18">
        <f>'Table 2.3'!$B22*'Table 2.3'!L$39/1000</f>
        <v>0.3297722665710322</v>
      </c>
      <c r="L22" s="18">
        <f>'Table 2.3'!$B22*'Table 2.3'!M$39/1000</f>
        <v>0.19336567055672629</v>
      </c>
      <c r="M22" s="18">
        <f>'Table 2.3'!$B22*'Table 2.3'!N$39/1000</f>
        <v>0.27410905075243591</v>
      </c>
      <c r="N22" s="24">
        <f>SUM(B22:D22)</f>
        <v>850</v>
      </c>
      <c r="O22" s="18">
        <f t="shared" si="1"/>
        <v>35.876677063402212</v>
      </c>
      <c r="P22" s="18">
        <f t="shared" si="2"/>
        <v>885.87667706340221</v>
      </c>
    </row>
    <row r="23" spans="1:16" ht="15.75" x14ac:dyDescent="0.25">
      <c r="A23" s="5">
        <v>1994</v>
      </c>
      <c r="B23" s="9">
        <f>'Counts data'!B29</f>
        <v>660</v>
      </c>
      <c r="C23" s="9">
        <f>'Counts data'!C29</f>
        <v>161</v>
      </c>
      <c r="D23" s="18">
        <f>'Table 2.3'!$B23*'Table 2.3'!E$39/1000</f>
        <v>30.012185215272137</v>
      </c>
      <c r="E23" s="18">
        <f>'Table 2.3'!$B23*'Table 2.3'!F$39/1000</f>
        <v>11.227932034811438</v>
      </c>
      <c r="F23" s="18">
        <f>'Table 2.3'!$B23*'Table 2.3'!G$39/1000</f>
        <v>9.7036724356268476</v>
      </c>
      <c r="G23" s="18">
        <f>'Table 2.3'!$B23*'Table 2.3'!H$39/1000</f>
        <v>7.1822536971464288</v>
      </c>
      <c r="H23" s="18">
        <f>'Table 2.3'!$B23*'Table 2.3'!I$39/1000</f>
        <v>5.4680416800945322</v>
      </c>
      <c r="I23" s="18">
        <f>'Table 2.3'!$B23*'Table 2.3'!J$39/1000</f>
        <v>1.4471210340775558</v>
      </c>
      <c r="J23" s="18">
        <f>'Table 2.3'!$B23*'Table 2.3'!K$39/1000</f>
        <v>0.57074684630689498</v>
      </c>
      <c r="K23" s="18">
        <f>'Table 2.3'!$B23*'Table 2.3'!L$39/1000</f>
        <v>0.33466382058691896</v>
      </c>
      <c r="L23" s="18">
        <f>'Table 2.3'!$B23*'Table 2.3'!M$39/1000</f>
        <v>0.19623388816696202</v>
      </c>
      <c r="M23" s="18">
        <f>'Table 2.3'!$B23*'Table 2.3'!N$39/1000</f>
        <v>0.27817494520117414</v>
      </c>
      <c r="N23" s="24">
        <f>SUM(B23:C23)</f>
        <v>821</v>
      </c>
      <c r="O23" s="18">
        <f t="shared" si="1"/>
        <v>66.421025597290736</v>
      </c>
      <c r="P23" s="18">
        <f t="shared" si="2"/>
        <v>887.42102559729074</v>
      </c>
    </row>
    <row r="24" spans="1:16" ht="15.75" x14ac:dyDescent="0.25">
      <c r="A24" s="5">
        <v>1995</v>
      </c>
      <c r="B24" s="9">
        <f>'Counts data'!B30</f>
        <v>660</v>
      </c>
      <c r="C24" s="34">
        <f>'Table 2.4'!$B24/'Table 2.3'!$C39*'Table 2.3'!D39</f>
        <v>175.72964669738863</v>
      </c>
      <c r="D24" s="34">
        <f>'Table 2.4'!$B24/'Table 2.3'!$C39*'Table 2.3'!E39</f>
        <v>30.550636962942718</v>
      </c>
      <c r="E24" s="34">
        <f>'Table 2.4'!$B24/'Table 2.3'!$C39*'Table 2.3'!F39</f>
        <v>11.429373535438799</v>
      </c>
      <c r="F24" s="34">
        <f>'Table 2.4'!$B24/'Table 2.3'!$C39*'Table 2.3'!G39</f>
        <v>9.8777670356804066</v>
      </c>
      <c r="G24" s="34">
        <f>'Table 2.4'!$B24/'Table 2.3'!$C39*'Table 2.3'!H39</f>
        <v>7.3111112604228961</v>
      </c>
      <c r="H24" s="34">
        <f>'Table 2.4'!$B24/'Table 2.3'!$C39*'Table 2.3'!I39</f>
        <v>5.5661443866406808</v>
      </c>
      <c r="I24" s="34">
        <f>'Table 2.4'!$B24/'Table 2.3'!$C39*'Table 2.3'!J39</f>
        <v>1.4730839836029175</v>
      </c>
      <c r="J24" s="34">
        <f>'Table 2.4'!$B24/'Table 2.3'!$C39*'Table 2.3'!K39</f>
        <v>0.58098667505202206</v>
      </c>
      <c r="K24" s="34">
        <f>'Table 2.4'!$B24/'Table 2.3'!$C39*'Table 2.3'!L39</f>
        <v>0.34066805912485265</v>
      </c>
      <c r="L24" s="34">
        <f>'Table 2.4'!$B24/'Table 2.3'!$C39*'Table 2.3'!M39</f>
        <v>0.19975454083779542</v>
      </c>
      <c r="M24" s="34">
        <f>'Table 2.4'!$B24/'Table 2.3'!$C39*'Table 2.3'!N39</f>
        <v>0.28316571092940646</v>
      </c>
      <c r="N24" s="24">
        <f>SUM(B24)</f>
        <v>660</v>
      </c>
      <c r="O24" s="18">
        <f t="shared" si="1"/>
        <v>243.3423388480611</v>
      </c>
      <c r="P24" s="18">
        <f t="shared" si="2"/>
        <v>903.3423388480611</v>
      </c>
    </row>
    <row r="25" spans="1:16" ht="15.75" x14ac:dyDescent="0.25">
      <c r="O25" s="3"/>
      <c r="P25" s="3"/>
    </row>
    <row r="26" spans="1:16" ht="16.5" thickBot="1" x14ac:dyDescent="0.3">
      <c r="O26" s="25">
        <f>SUM(O7:O24)</f>
        <v>401.81971105991386</v>
      </c>
      <c r="P26" s="3"/>
    </row>
    <row r="27" spans="1:16" ht="15.75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C22F-43A6-1C49-BA3D-FDB9E9A79EAC}">
  <dimension ref="A1:T61"/>
  <sheetViews>
    <sheetView tabSelected="1" topLeftCell="A13" workbookViewId="0">
      <selection activeCell="O16" sqref="O16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2" width="10.83203125" style="1"/>
    <col min="13" max="13" width="12.1640625" style="1" bestFit="1" customWidth="1"/>
    <col min="14" max="16384" width="10.83203125" style="1"/>
  </cols>
  <sheetData>
    <row r="1" spans="1:15" x14ac:dyDescent="0.2">
      <c r="A1" s="1" t="s">
        <v>44</v>
      </c>
    </row>
    <row r="2" spans="1:15" x14ac:dyDescent="0.2">
      <c r="A2" s="1" t="s">
        <v>45</v>
      </c>
    </row>
    <row r="4" spans="1:15" s="3" customFormat="1" ht="15.75" x14ac:dyDescent="0.25">
      <c r="A4" s="7" t="s">
        <v>3</v>
      </c>
      <c r="B4" s="26"/>
      <c r="C4" s="3" t="s">
        <v>19</v>
      </c>
    </row>
    <row r="5" spans="1:15" s="3" customFormat="1" ht="15.75" x14ac:dyDescent="0.25">
      <c r="A5" s="7" t="s">
        <v>4</v>
      </c>
      <c r="B5" s="26"/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 t="s">
        <v>78</v>
      </c>
    </row>
    <row r="6" spans="1:15" x14ac:dyDescent="0.2">
      <c r="A6" s="6"/>
      <c r="B6" s="27"/>
    </row>
    <row r="7" spans="1:15" x14ac:dyDescent="0.2">
      <c r="A7" s="5">
        <v>1978</v>
      </c>
      <c r="B7" s="29"/>
      <c r="C7" s="33">
        <f>SUM('Counts data'!$B13:C13)/SUM('Counts data'!$B13:B13)</f>
        <v>1.5190217391304348</v>
      </c>
      <c r="D7" s="33">
        <f>SUM('Counts data'!$B13:D13)/SUM('Counts data'!$B13:C13)</f>
        <v>1.0500894454382828</v>
      </c>
      <c r="E7" s="33">
        <f>SUM('Counts data'!$B13:E13)/SUM('Counts data'!$B13:D13)</f>
        <v>1.0136286201022147</v>
      </c>
      <c r="F7" s="33">
        <f>SUM('Counts data'!$B13:F13)/SUM('Counts data'!$B13:E13)</f>
        <v>1.0100840336134453</v>
      </c>
      <c r="G7" s="33">
        <f>SUM('Counts data'!$B13:G13)/SUM('Counts data'!$B13:F13)</f>
        <v>1.0083194675540765</v>
      </c>
      <c r="H7" s="33">
        <f>SUM('Counts data'!$B13:H13)/SUM('Counts data'!$B13:G13)</f>
        <v>1.004950495049505</v>
      </c>
      <c r="I7" s="33">
        <f>SUM('Counts data'!$B13:I13)/SUM('Counts data'!$B13:H13)</f>
        <v>1.0016420361247949</v>
      </c>
      <c r="J7" s="33">
        <f>SUM('Counts data'!$B13:J13)/SUM('Counts data'!$B13:I13)</f>
        <v>1</v>
      </c>
      <c r="K7" s="33">
        <f>SUM('Counts data'!$B13:K13)/SUM('Counts data'!$B13:J13)</f>
        <v>1</v>
      </c>
      <c r="L7" s="33">
        <f>SUM('Counts data'!$B13:L13)/SUM('Counts data'!$B13:K13)</f>
        <v>1.0016393442622951</v>
      </c>
    </row>
    <row r="8" spans="1:15" x14ac:dyDescent="0.2">
      <c r="A8" s="5">
        <v>1979</v>
      </c>
      <c r="B8" s="29"/>
      <c r="C8" s="33">
        <f>SUM('Counts data'!$B14:C14)/SUM('Counts data'!$B14:B14)</f>
        <v>1.3842239185750635</v>
      </c>
      <c r="D8" s="33">
        <f>SUM('Counts data'!$B14:D14)/SUM('Counts data'!$B14:C14)</f>
        <v>1.0459558823529411</v>
      </c>
      <c r="E8" s="33">
        <f>SUM('Counts data'!$B14:E14)/SUM('Counts data'!$B14:D14)</f>
        <v>1.0105448154657293</v>
      </c>
      <c r="F8" s="33">
        <f>SUM('Counts data'!$B14:F14)/SUM('Counts data'!$B14:E14)</f>
        <v>1.0069565217391305</v>
      </c>
      <c r="G8" s="33">
        <f>SUM('Counts data'!$B14:G14)/SUM('Counts data'!$B14:F14)</f>
        <v>1.0086355785837651</v>
      </c>
      <c r="H8" s="33">
        <f>SUM('Counts data'!$B14:H14)/SUM('Counts data'!$B14:G14)</f>
        <v>1.0068493150684932</v>
      </c>
      <c r="I8" s="33">
        <f>SUM('Counts data'!$B14:I14)/SUM('Counts data'!$B14:H14)</f>
        <v>1.0017006802721089</v>
      </c>
      <c r="J8" s="33">
        <f>SUM('Counts data'!$B14:J14)/SUM('Counts data'!$B14:I14)</f>
        <v>1.0033955857385399</v>
      </c>
      <c r="K8" s="33">
        <f>SUM('Counts data'!$B14:K14)/SUM('Counts data'!$B14:J14)</f>
        <v>1.0016920473773265</v>
      </c>
      <c r="L8" s="33">
        <f>SUM('Counts data'!$B14:L14)/SUM('Counts data'!$B14:K14)</f>
        <v>1</v>
      </c>
    </row>
    <row r="9" spans="1:15" x14ac:dyDescent="0.2">
      <c r="A9" s="5">
        <v>1980</v>
      </c>
      <c r="B9" s="29"/>
      <c r="C9" s="33">
        <f>SUM('Counts data'!$B15:C15)/SUM('Counts data'!$B15:B15)</f>
        <v>1.3578336557059962</v>
      </c>
      <c r="D9" s="33">
        <f>SUM('Counts data'!$B15:D15)/SUM('Counts data'!$B15:C15)</f>
        <v>1.0413105413105412</v>
      </c>
      <c r="E9" s="33">
        <f>SUM('Counts data'!$B15:E15)/SUM('Counts data'!$B15:D15)</f>
        <v>1.0232558139534884</v>
      </c>
      <c r="F9" s="33">
        <f>SUM('Counts data'!$B15:F15)/SUM('Counts data'!$B15:E15)</f>
        <v>1.0147058823529411</v>
      </c>
      <c r="G9" s="33">
        <f>SUM('Counts data'!$B15:G15)/SUM('Counts data'!$B15:F15)</f>
        <v>1.0131752305665349</v>
      </c>
      <c r="H9" s="33">
        <f>SUM('Counts data'!$B15:H15)/SUM('Counts data'!$B15:G15)</f>
        <v>1.0104031209362809</v>
      </c>
      <c r="I9" s="33">
        <f>SUM('Counts data'!$B15:I15)/SUM('Counts data'!$B15:H15)</f>
        <v>1.0012870012870012</v>
      </c>
      <c r="J9" s="33">
        <f>SUM('Counts data'!$B15:J15)/SUM('Counts data'!$B15:I15)</f>
        <v>1</v>
      </c>
      <c r="K9" s="33">
        <f>SUM('Counts data'!$B15:K15)/SUM('Counts data'!$B15:J15)</f>
        <v>1</v>
      </c>
      <c r="L9" s="33">
        <f>SUM('Counts data'!$B15:L15)/SUM('Counts data'!$B15:K15)</f>
        <v>1.0012853470437018</v>
      </c>
    </row>
    <row r="10" spans="1:15" x14ac:dyDescent="0.2">
      <c r="A10" s="5">
        <v>1981</v>
      </c>
      <c r="B10" s="29"/>
      <c r="C10" s="33">
        <f>SUM('Counts data'!$B16:C16)/SUM('Counts data'!$B16:B16)</f>
        <v>1.439446366782007</v>
      </c>
      <c r="D10" s="33">
        <f>SUM('Counts data'!$B16:D16)/SUM('Counts data'!$B16:C16)</f>
        <v>1.0588942307692308</v>
      </c>
      <c r="E10" s="33">
        <f>SUM('Counts data'!$B16:E16)/SUM('Counts data'!$B16:D16)</f>
        <v>1.0249716231555051</v>
      </c>
      <c r="F10" s="33">
        <f>SUM('Counts data'!$B16:F16)/SUM('Counts data'!$B16:E16)</f>
        <v>1.0188261351052048</v>
      </c>
      <c r="G10" s="33">
        <f>SUM('Counts data'!$B16:G16)/SUM('Counts data'!$B16:F16)</f>
        <v>1.0065217391304349</v>
      </c>
      <c r="H10" s="33">
        <f>SUM('Counts data'!$B16:H16)/SUM('Counts data'!$B16:G16)</f>
        <v>1.0032397408207343</v>
      </c>
      <c r="I10" s="33">
        <f>SUM('Counts data'!$B16:I16)/SUM('Counts data'!$B16:H16)</f>
        <v>1</v>
      </c>
      <c r="J10" s="33">
        <f>SUM('Counts data'!$B16:J16)/SUM('Counts data'!$B16:I16)</f>
        <v>1.0010764262648009</v>
      </c>
      <c r="K10" s="33">
        <f>SUM('Counts data'!$B16:K16)/SUM('Counts data'!$B16:J16)</f>
        <v>1</v>
      </c>
      <c r="L10" s="33">
        <f>SUM('Counts data'!$B16:L16)/SUM('Counts data'!$B16:K16)</f>
        <v>1</v>
      </c>
    </row>
    <row r="11" spans="1:15" x14ac:dyDescent="0.2">
      <c r="A11" s="5">
        <v>1982</v>
      </c>
      <c r="B11" s="29"/>
      <c r="C11" s="33">
        <f>SUM('Counts data'!$B17:C17)/SUM('Counts data'!$B17:B17)</f>
        <v>1.3311897106109325</v>
      </c>
      <c r="D11" s="33">
        <f>SUM('Counts data'!$B17:D17)/SUM('Counts data'!$B17:C17)</f>
        <v>1.0471014492753623</v>
      </c>
      <c r="E11" s="33">
        <f>SUM('Counts data'!$B17:E17)/SUM('Counts data'!$B17:D17)</f>
        <v>1.0184544405997693</v>
      </c>
      <c r="F11" s="33">
        <f>SUM('Counts data'!$B17:F17)/SUM('Counts data'!$B17:E17)</f>
        <v>1.0033975084937712</v>
      </c>
      <c r="G11" s="33">
        <f>SUM('Counts data'!$B17:G17)/SUM('Counts data'!$B17:F17)</f>
        <v>1.0079006772009029</v>
      </c>
      <c r="H11" s="33">
        <f>SUM('Counts data'!$B17:H17)/SUM('Counts data'!$B17:G17)</f>
        <v>1</v>
      </c>
      <c r="I11" s="33">
        <f>SUM('Counts data'!$B17:I17)/SUM('Counts data'!$B17:H17)</f>
        <v>1.0011198208286674</v>
      </c>
      <c r="J11" s="33">
        <f>SUM('Counts data'!$B17:J17)/SUM('Counts data'!$B17:I17)</f>
        <v>1</v>
      </c>
      <c r="K11" s="33">
        <f>SUM('Counts data'!$B17:K17)/SUM('Counts data'!$B17:J17)</f>
        <v>1</v>
      </c>
      <c r="L11" s="33">
        <f>SUM('Counts data'!$B17:L17)/SUM('Counts data'!$B17:K17)</f>
        <v>1</v>
      </c>
    </row>
    <row r="12" spans="1:15" x14ac:dyDescent="0.2">
      <c r="A12" s="5">
        <v>1983</v>
      </c>
      <c r="B12" s="29"/>
      <c r="C12" s="33">
        <f>SUM('Counts data'!$B18:C18)/SUM('Counts data'!$B18:B18)</f>
        <v>1.3681818181818182</v>
      </c>
      <c r="D12" s="33">
        <f>SUM('Counts data'!$B18:D18)/SUM('Counts data'!$B18:C18)</f>
        <v>1.0310077519379846</v>
      </c>
      <c r="E12" s="33">
        <f>SUM('Counts data'!$B18:E18)/SUM('Counts data'!$B18:D18)</f>
        <v>1.0128893662728249</v>
      </c>
      <c r="F12" s="33">
        <f>SUM('Counts data'!$B18:F18)/SUM('Counts data'!$B18:E18)</f>
        <v>1.0127253446447508</v>
      </c>
      <c r="G12" s="33">
        <f>SUM('Counts data'!$B18:G18)/SUM('Counts data'!$B18:F18)</f>
        <v>1.0041884816753928</v>
      </c>
      <c r="H12" s="33">
        <f>SUM('Counts data'!$B18:H18)/SUM('Counts data'!$B18:G18)</f>
        <v>1.0041710114702815</v>
      </c>
      <c r="I12" s="33">
        <f>SUM('Counts data'!$B18:I18)/SUM('Counts data'!$B18:H18)</f>
        <v>1.0010384215991692</v>
      </c>
      <c r="J12" s="33">
        <f>SUM('Counts data'!$B18:J18)/SUM('Counts data'!$B18:I18)</f>
        <v>1</v>
      </c>
      <c r="K12" s="33">
        <f>SUM('Counts data'!$B18:K18)/SUM('Counts data'!$B18:J18)</f>
        <v>1</v>
      </c>
      <c r="L12" s="33">
        <f>SUM('Counts data'!$B18:L18)/SUM('Counts data'!$B18:K18)</f>
        <v>1</v>
      </c>
    </row>
    <row r="13" spans="1:15" x14ac:dyDescent="0.2">
      <c r="A13" s="5">
        <v>1984</v>
      </c>
      <c r="B13" s="29"/>
      <c r="C13" s="33">
        <f>SUM('Counts data'!$B19:C19)/SUM('Counts data'!$B19:B19)</f>
        <v>1.3513513513513513</v>
      </c>
      <c r="D13" s="33">
        <f>SUM('Counts data'!$B19:D19)/SUM('Counts data'!$B19:C19)</f>
        <v>1.058888888888889</v>
      </c>
      <c r="E13" s="33">
        <f>SUM('Counts data'!$B19:E19)/SUM('Counts data'!$B19:D19)</f>
        <v>1.0104931794333682</v>
      </c>
      <c r="F13" s="33">
        <f>SUM('Counts data'!$B19:F19)/SUM('Counts data'!$B19:E19)</f>
        <v>1.008307372793354</v>
      </c>
      <c r="G13" s="33">
        <f>SUM('Counts data'!$B19:G19)/SUM('Counts data'!$B19:F19)</f>
        <v>1.004119464469619</v>
      </c>
      <c r="H13" s="33">
        <f>SUM('Counts data'!$B19:H19)/SUM('Counts data'!$B19:G19)</f>
        <v>1.0061538461538462</v>
      </c>
      <c r="I13" s="33">
        <f>SUM('Counts data'!$B19:I19)/SUM('Counts data'!$B19:H19)</f>
        <v>1.0010193679918451</v>
      </c>
      <c r="J13" s="33">
        <f>SUM('Counts data'!$B19:J19)/SUM('Counts data'!$B19:I19)</f>
        <v>1</v>
      </c>
      <c r="K13" s="33">
        <f>SUM('Counts data'!$B19:K19)/SUM('Counts data'!$B19:J19)</f>
        <v>1</v>
      </c>
      <c r="L13" s="33">
        <f>SUM('Counts data'!$B19:L19)/SUM('Counts data'!$B19:K19)</f>
        <v>1</v>
      </c>
    </row>
    <row r="14" spans="1:15" x14ac:dyDescent="0.2">
      <c r="A14" s="5">
        <v>1985</v>
      </c>
      <c r="B14" s="29"/>
      <c r="C14" s="33">
        <f>SUM('Counts data'!$B20:C20)/SUM('Counts data'!$B20:B20)</f>
        <v>1.4642233856893543</v>
      </c>
      <c r="D14" s="33">
        <f>SUM('Counts data'!$B20:D20)/SUM('Counts data'!$B20:C20)</f>
        <v>1.0738974970202622</v>
      </c>
      <c r="E14" s="33">
        <f>SUM('Counts data'!$B20:E20)/SUM('Counts data'!$B20:D20)</f>
        <v>1.0133185349611542</v>
      </c>
      <c r="F14" s="33">
        <f>SUM('Counts data'!$B20:F20)/SUM('Counts data'!$B20:E20)</f>
        <v>1.0054764512595837</v>
      </c>
      <c r="G14" s="33">
        <f>SUM('Counts data'!$B20:G20)/SUM('Counts data'!$B20:F20)</f>
        <v>1.0076252723311547</v>
      </c>
      <c r="H14" s="33">
        <f>SUM('Counts data'!$B20:H20)/SUM('Counts data'!$B20:G20)</f>
        <v>1.0064864864864864</v>
      </c>
      <c r="I14" s="33">
        <f>SUM('Counts data'!$B20:I20)/SUM('Counts data'!$B20:H20)</f>
        <v>1.0053705692803436</v>
      </c>
      <c r="J14" s="33">
        <f>SUM('Counts data'!$B20:J20)/SUM('Counts data'!$B20:I20)</f>
        <v>1.0010683760683761</v>
      </c>
      <c r="K14" s="33">
        <f>SUM('Counts data'!$B20:K20)/SUM('Counts data'!$B20:J20)</f>
        <v>1</v>
      </c>
      <c r="L14" s="33">
        <f>SUM('Counts data'!$B20:L20)/SUM('Counts data'!$B20:K20)</f>
        <v>1.0010672358591248</v>
      </c>
    </row>
    <row r="15" spans="1:15" x14ac:dyDescent="0.2">
      <c r="A15" s="5">
        <v>1986</v>
      </c>
      <c r="B15" s="29"/>
      <c r="C15" s="33">
        <f>SUM('Counts data'!$B21:C21)/SUM('Counts data'!$B21:B21)</f>
        <v>1.4828178694158076</v>
      </c>
      <c r="D15" s="33">
        <f>SUM('Counts data'!$B21:D21)/SUM('Counts data'!$B21:C21)</f>
        <v>1.0370799536500579</v>
      </c>
      <c r="E15" s="33">
        <f>SUM('Counts data'!$B21:E21)/SUM('Counts data'!$B21:D21)</f>
        <v>1.030167597765363</v>
      </c>
      <c r="F15" s="33">
        <f>SUM('Counts data'!$B21:F21)/SUM('Counts data'!$B21:E21)</f>
        <v>1.0130151843817787</v>
      </c>
      <c r="G15" s="33">
        <f>SUM('Counts data'!$B21:G21)/SUM('Counts data'!$B21:F21)</f>
        <v>1.0139186295503213</v>
      </c>
      <c r="H15" s="33">
        <f>SUM('Counts data'!$B21:H21)/SUM('Counts data'!$B21:G21)</f>
        <v>1.006335797254488</v>
      </c>
      <c r="I15" s="33">
        <f>SUM('Counts data'!$B21:I21)/SUM('Counts data'!$B21:H21)</f>
        <v>1.0020986358866737</v>
      </c>
      <c r="J15" s="33">
        <f>SUM('Counts data'!$B21:J21)/SUM('Counts data'!$B21:I21)</f>
        <v>1.0010471204188482</v>
      </c>
      <c r="K15" s="33">
        <f>SUM('Counts data'!$B21:K21)/SUM('Counts data'!$B21:J21)</f>
        <v>1</v>
      </c>
      <c r="L15" s="33"/>
      <c r="O15" s="3" t="s">
        <v>87</v>
      </c>
    </row>
    <row r="16" spans="1:15" x14ac:dyDescent="0.2">
      <c r="A16" s="5">
        <v>1987</v>
      </c>
      <c r="B16" s="29"/>
      <c r="C16" s="33">
        <f>SUM('Counts data'!$B22:C22)/SUM('Counts data'!$B22:B22)</f>
        <v>1.4036697247706422</v>
      </c>
      <c r="D16" s="33">
        <f>SUM('Counts data'!$B22:D22)/SUM('Counts data'!$B22:C22)</f>
        <v>1.0562091503267974</v>
      </c>
      <c r="E16" s="33">
        <f>SUM('Counts data'!$B22:E22)/SUM('Counts data'!$B22:D22)</f>
        <v>1.0222772277227723</v>
      </c>
      <c r="F16" s="33">
        <f>SUM('Counts data'!$B22:F22)/SUM('Counts data'!$B22:E22)</f>
        <v>1.0145278450363195</v>
      </c>
      <c r="G16" s="33">
        <f>SUM('Counts data'!$B22:G22)/SUM('Counts data'!$B22:F22)</f>
        <v>1.0107398568019093</v>
      </c>
      <c r="H16" s="33">
        <f>SUM('Counts data'!$B22:H22)/SUM('Counts data'!$B22:G22)</f>
        <v>1.0059031877213696</v>
      </c>
      <c r="I16" s="33">
        <f>SUM('Counts data'!$B22:I22)/SUM('Counts data'!$B22:H22)</f>
        <v>1.0023474178403755</v>
      </c>
      <c r="J16" s="33">
        <f>SUM('Counts data'!$B22:J22)/SUM('Counts data'!$B22:I22)</f>
        <v>1</v>
      </c>
      <c r="K16" s="33"/>
      <c r="L16" s="9"/>
      <c r="O16" s="1" t="s">
        <v>82</v>
      </c>
    </row>
    <row r="17" spans="1:20" x14ac:dyDescent="0.2">
      <c r="A17" s="5">
        <v>1988</v>
      </c>
      <c r="B17" s="29"/>
      <c r="C17" s="33">
        <f>SUM('Counts data'!$B23:C23)/SUM('Counts data'!$B23:B23)</f>
        <v>1.5225933202357564</v>
      </c>
      <c r="D17" s="33">
        <f>SUM('Counts data'!$B23:D23)/SUM('Counts data'!$B23:C23)</f>
        <v>1.0632258064516129</v>
      </c>
      <c r="E17" s="33">
        <f>SUM('Counts data'!$B23:E23)/SUM('Counts data'!$B23:D23)</f>
        <v>1.0266990291262137</v>
      </c>
      <c r="F17" s="33">
        <f>SUM('Counts data'!$B23:F23)/SUM('Counts data'!$B23:E23)</f>
        <v>1.0177304964539007</v>
      </c>
      <c r="G17" s="33">
        <f>SUM('Counts data'!$B23:G23)/SUM('Counts data'!$B23:F23)</f>
        <v>1.0046457607433217</v>
      </c>
      <c r="H17" s="33">
        <f>SUM('Counts data'!$B23:H23)/SUM('Counts data'!$B23:G23)</f>
        <v>1.0092485549132948</v>
      </c>
      <c r="I17" s="33">
        <f>SUM('Counts data'!$B23:I23)/SUM('Counts data'!$B23:H23)</f>
        <v>1</v>
      </c>
      <c r="J17" s="33"/>
      <c r="K17" s="9"/>
      <c r="L17" s="9"/>
      <c r="O17" s="60" t="s">
        <v>83</v>
      </c>
      <c r="R17" s="60" t="s">
        <v>84</v>
      </c>
    </row>
    <row r="18" spans="1:20" x14ac:dyDescent="0.2">
      <c r="A18" s="5">
        <v>1989</v>
      </c>
      <c r="B18" s="29"/>
      <c r="C18" s="33">
        <f>SUM('Counts data'!$B24:C24)/SUM('Counts data'!$B24:B24)</f>
        <v>1.3565365025466893</v>
      </c>
      <c r="D18" s="33">
        <f>SUM('Counts data'!$B24:D24)/SUM('Counts data'!$B24:C24)</f>
        <v>1.0362953692115144</v>
      </c>
      <c r="E18" s="33">
        <f>SUM('Counts data'!$B24:E24)/SUM('Counts data'!$B24:D24)</f>
        <v>1.0205314009661837</v>
      </c>
      <c r="F18" s="33">
        <f>SUM('Counts data'!$B24:F24)/SUM('Counts data'!$B24:E24)</f>
        <v>1.0142011834319526</v>
      </c>
      <c r="G18" s="33">
        <f>SUM('Counts data'!$B24:G24)/SUM('Counts data'!$B24:F24)</f>
        <v>1.0046674445740957</v>
      </c>
      <c r="H18" s="33">
        <f>SUM('Counts data'!$B24:H24)/SUM('Counts data'!$B24:G24)</f>
        <v>1.0104529616724738</v>
      </c>
      <c r="I18" s="33"/>
      <c r="J18" s="9"/>
      <c r="K18" s="9"/>
      <c r="L18" s="9"/>
      <c r="O18" s="1" cm="1">
        <f t="array" ref="O18:P23">'Counts data'!$B23:C28</f>
        <v>509</v>
      </c>
      <c r="P18" s="1">
        <v>266</v>
      </c>
      <c r="R18" s="1" cm="1">
        <f t="array" ref="R18:T23">'Counts data'!$B23:D28</f>
        <v>509</v>
      </c>
      <c r="S18" s="1">
        <v>266</v>
      </c>
      <c r="T18" s="1">
        <v>49</v>
      </c>
    </row>
    <row r="19" spans="1:20" x14ac:dyDescent="0.2">
      <c r="A19" s="5">
        <v>1990</v>
      </c>
      <c r="B19" s="29"/>
      <c r="C19" s="33">
        <f>SUM('Counts data'!$B25:C25)/SUM('Counts data'!$B25:B25)</f>
        <v>1.3475177304964538</v>
      </c>
      <c r="D19" s="33">
        <f>SUM('Counts data'!$B25:D25)/SUM('Counts data'!$B25:C25)</f>
        <v>1.0302631578947368</v>
      </c>
      <c r="E19" s="33">
        <f>SUM('Counts data'!$B25:E25)/SUM('Counts data'!$B25:D25)</f>
        <v>1.0153256704980842</v>
      </c>
      <c r="F19" s="33">
        <f>SUM('Counts data'!$B25:F25)/SUM('Counts data'!$B25:E25)</f>
        <v>1.0113207547169811</v>
      </c>
      <c r="G19" s="33">
        <f>SUM('Counts data'!$B25:G25)/SUM('Counts data'!$B25:F25)</f>
        <v>1.0062189054726369</v>
      </c>
      <c r="H19" s="33"/>
      <c r="I19" s="9"/>
      <c r="J19" s="9"/>
      <c r="K19" s="9"/>
      <c r="L19" s="9"/>
      <c r="O19" s="1">
        <v>589</v>
      </c>
      <c r="P19" s="1">
        <v>210</v>
      </c>
      <c r="R19" s="1">
        <v>589</v>
      </c>
      <c r="S19" s="1">
        <v>210</v>
      </c>
      <c r="T19" s="1">
        <v>29</v>
      </c>
    </row>
    <row r="20" spans="1:20" x14ac:dyDescent="0.2">
      <c r="A20" s="5">
        <v>1991</v>
      </c>
      <c r="B20" s="29"/>
      <c r="C20" s="33">
        <f>SUM('Counts data'!$B26:C26)/SUM('Counts data'!$B26:B26)</f>
        <v>1.3344316309719935</v>
      </c>
      <c r="D20" s="33">
        <f>SUM('Counts data'!$B26:D26)/SUM('Counts data'!$B26:C26)</f>
        <v>1.0358024691358025</v>
      </c>
      <c r="E20" s="33">
        <f>SUM('Counts data'!$B26:E26)/SUM('Counts data'!$B26:D26)</f>
        <v>1.0107270560190704</v>
      </c>
      <c r="F20" s="33">
        <f>SUM('Counts data'!$B26:F26)/SUM('Counts data'!$B26:E26)</f>
        <v>1.008254716981132</v>
      </c>
      <c r="G20" s="33"/>
      <c r="H20" s="9"/>
      <c r="I20" s="9"/>
      <c r="J20" s="9"/>
      <c r="K20" s="9"/>
      <c r="L20" s="9"/>
      <c r="O20" s="1">
        <v>564</v>
      </c>
      <c r="P20" s="1">
        <v>196</v>
      </c>
      <c r="R20" s="1">
        <v>564</v>
      </c>
      <c r="S20" s="1">
        <v>196</v>
      </c>
      <c r="T20" s="1">
        <v>23</v>
      </c>
    </row>
    <row r="21" spans="1:20" x14ac:dyDescent="0.2">
      <c r="A21" s="5">
        <v>1992</v>
      </c>
      <c r="B21" s="29"/>
      <c r="C21" s="33">
        <f>SUM('Counts data'!$B27:C27)/SUM('Counts data'!$B27:B27)</f>
        <v>1.2507418397626113</v>
      </c>
      <c r="D21" s="33">
        <f>SUM('Counts data'!$B27:D27)/SUM('Counts data'!$B27:C27)</f>
        <v>1.0237247924080664</v>
      </c>
      <c r="E21" s="33">
        <f>SUM('Counts data'!$B27:E27)/SUM('Counts data'!$B27:D27)</f>
        <v>1.0139049826187718</v>
      </c>
      <c r="F21" s="33"/>
      <c r="G21" s="9"/>
      <c r="H21" s="9"/>
      <c r="I21" s="9"/>
      <c r="J21" s="9"/>
      <c r="K21" s="9"/>
      <c r="L21" s="9"/>
      <c r="O21" s="1">
        <v>607</v>
      </c>
      <c r="P21" s="1">
        <v>203</v>
      </c>
      <c r="R21" s="1">
        <v>607</v>
      </c>
      <c r="S21" s="1">
        <v>203</v>
      </c>
      <c r="T21" s="1">
        <v>29</v>
      </c>
    </row>
    <row r="22" spans="1:20" x14ac:dyDescent="0.2">
      <c r="A22" s="5">
        <v>1993</v>
      </c>
      <c r="B22" s="29"/>
      <c r="C22" s="33">
        <f>SUM('Counts data'!$B28:C28)/SUM('Counts data'!$B28:B28)</f>
        <v>1.3069466882067851</v>
      </c>
      <c r="D22" s="33">
        <f>SUM('Counts data'!$B28:D28)/SUM('Counts data'!$B28:C28)</f>
        <v>1.0506798516687268</v>
      </c>
      <c r="E22" s="33"/>
      <c r="F22" s="9"/>
      <c r="G22" s="9"/>
      <c r="H22" s="9"/>
      <c r="I22" s="9"/>
      <c r="J22" s="9"/>
      <c r="K22" s="9"/>
      <c r="L22" s="9"/>
      <c r="O22" s="1">
        <v>674</v>
      </c>
      <c r="P22" s="1">
        <v>169</v>
      </c>
      <c r="R22" s="1">
        <v>674</v>
      </c>
      <c r="S22" s="1">
        <v>169</v>
      </c>
      <c r="T22" s="1">
        <v>20</v>
      </c>
    </row>
    <row r="23" spans="1:20" x14ac:dyDescent="0.2">
      <c r="A23" s="5">
        <v>1994</v>
      </c>
      <c r="B23" s="29"/>
      <c r="C23" s="33">
        <f>SUM('Counts data'!$B29:C29)/SUM('Counts data'!$B29:B29)</f>
        <v>1.2439393939393939</v>
      </c>
      <c r="D23" s="33"/>
      <c r="E23" s="9"/>
      <c r="F23" s="9"/>
      <c r="G23" s="9"/>
      <c r="H23" s="9"/>
      <c r="I23" s="9"/>
      <c r="J23" s="9"/>
      <c r="K23" s="9"/>
      <c r="L23" s="9"/>
      <c r="O23" s="1">
        <v>619</v>
      </c>
      <c r="P23" s="1">
        <v>190</v>
      </c>
      <c r="R23" s="1">
        <v>619</v>
      </c>
      <c r="S23" s="1">
        <v>190</v>
      </c>
      <c r="T23" s="1">
        <v>41</v>
      </c>
    </row>
    <row r="24" spans="1:20" x14ac:dyDescent="0.2">
      <c r="A24" s="5">
        <v>1995</v>
      </c>
      <c r="B24" s="29"/>
      <c r="C24" s="33"/>
      <c r="D24" s="9"/>
      <c r="E24" s="9"/>
      <c r="F24" s="9"/>
      <c r="G24" s="9"/>
      <c r="H24" s="9"/>
      <c r="I24" s="9"/>
      <c r="J24" s="9"/>
      <c r="K24" s="9"/>
      <c r="L24" s="9"/>
    </row>
    <row r="25" spans="1:20" x14ac:dyDescent="0.2">
      <c r="O25" s="1" t="s">
        <v>85</v>
      </c>
    </row>
    <row r="26" spans="1:20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O26" s="60" t="s">
        <v>83</v>
      </c>
      <c r="R26" s="60" t="s">
        <v>84</v>
      </c>
    </row>
    <row r="27" spans="1:20" ht="15.75" x14ac:dyDescent="0.25">
      <c r="A27" s="3" t="s">
        <v>18</v>
      </c>
      <c r="B27" s="3"/>
      <c r="D27" s="53" t="s">
        <v>81</v>
      </c>
      <c r="O27" s="1" cm="1">
        <f t="array" aca="1" ref="O27:P32" ca="1">OFFSET('Counts data'!$B$24:$M$29,-'Table 2.5'!D5,0,,1+'Table 2.5'!D5)</f>
        <v>509</v>
      </c>
      <c r="P27" s="1">
        <f ca="1"/>
        <v>266</v>
      </c>
      <c r="R27" s="1" cm="1">
        <f t="array" aca="1" ref="R27:T32" ca="1">OFFSET('Counts data'!$B$24:$M$29,-'Table 2.5'!D5,0,,2+'Table 2.5'!D5)</f>
        <v>509</v>
      </c>
      <c r="S27" s="1">
        <f ca="1"/>
        <v>266</v>
      </c>
      <c r="T27" s="1">
        <f ca="1"/>
        <v>49</v>
      </c>
    </row>
    <row r="28" spans="1:20" ht="15" x14ac:dyDescent="0.2">
      <c r="O28" s="1">
        <f ca="1"/>
        <v>589</v>
      </c>
      <c r="P28" s="1">
        <f ca="1"/>
        <v>210</v>
      </c>
      <c r="R28" s="1">
        <f ca="1"/>
        <v>589</v>
      </c>
      <c r="S28" s="1">
        <f ca="1"/>
        <v>210</v>
      </c>
      <c r="T28" s="1">
        <f ca="1"/>
        <v>29</v>
      </c>
    </row>
    <row r="29" spans="1:20" x14ac:dyDescent="0.2">
      <c r="A29" s="1" t="s">
        <v>7</v>
      </c>
      <c r="C29" s="35">
        <f>SUM('Counts data'!$B13:C29)/SUM('Counts data'!$B13:B29)</f>
        <v>1.3728151346905202</v>
      </c>
      <c r="D29" s="35">
        <f>SUM('Counts data'!$B13:D28)/SUM('Counts data'!$B13:C28)</f>
        <v>1.0462054105817573</v>
      </c>
      <c r="E29" s="35">
        <f>SUM('Counts data'!$B13:E27)/SUM('Counts data'!$B13:D27)</f>
        <v>1.0179445350734095</v>
      </c>
      <c r="F29" s="35">
        <f>SUM('Counts data'!$B13:F26)/SUM('Counts data'!$B13:E26)</f>
        <v>1.0114605773373546</v>
      </c>
      <c r="G29" s="35">
        <f>SUM('Counts data'!$B13:G25)/SUM('Counts data'!$B13:F25)</f>
        <v>1.007626573555086</v>
      </c>
      <c r="H29" s="35">
        <f>SUM('Counts data'!$B13:H24)/SUM('Counts data'!$B13:G24)</f>
        <v>1.006104164615536</v>
      </c>
      <c r="I29" s="35">
        <f>SUM('Counts data'!$B13:I23)/SUM('Counts data'!$B13:H23)</f>
        <v>1.0016044496737619</v>
      </c>
      <c r="J29" s="35">
        <f>SUM('Counts data'!$B13:J22)/SUM('Counts data'!$B13:I22)</f>
        <v>1.0005888587916618</v>
      </c>
      <c r="K29" s="35">
        <f>SUM('Counts data'!$B13:K21)/SUM('Counts data'!$B13:J21)</f>
        <v>1.0001308557969117</v>
      </c>
      <c r="L29" s="35">
        <f>SUM('Counts data'!$B13:L20)/SUM('Counts data'!$B13:K20)</f>
        <v>1.000448631673396</v>
      </c>
      <c r="O29" s="1">
        <f ca="1"/>
        <v>564</v>
      </c>
      <c r="P29" s="1">
        <f ca="1"/>
        <v>196</v>
      </c>
      <c r="R29" s="1">
        <f ca="1"/>
        <v>564</v>
      </c>
      <c r="S29" s="1">
        <f ca="1"/>
        <v>196</v>
      </c>
      <c r="T29" s="1">
        <f ca="1"/>
        <v>23</v>
      </c>
    </row>
    <row r="30" spans="1:20" ht="15" x14ac:dyDescent="0.2">
      <c r="B30" s="53" t="s">
        <v>81</v>
      </c>
      <c r="C30" s="57">
        <f ca="1">SUM(OFFSET('Counts data'!$B$13:$L$30,0,0,17-'Table 2.5'!C5,2+'Table 2.5'!C5))/SUM(OFFSET('Counts data'!$B$13:$L$30,0,0,17-'Table 2.5'!C5,1+'Table 2.5'!C5))</f>
        <v>1.3728151346905202</v>
      </c>
      <c r="D30" s="57">
        <f ca="1">SUM(OFFSET('Counts data'!$B$13:$L$30,0,0,17-'Table 2.5'!D5,2+'Table 2.5'!D5))/SUM(OFFSET('Counts data'!$B$13:$L$30,0,0,17-'Table 2.5'!D5,1+'Table 2.5'!D5))</f>
        <v>1.0462054105817573</v>
      </c>
      <c r="E30" s="57">
        <f ca="1">SUM(OFFSET('Counts data'!$B$13:$L$30,0,0,17-'Table 2.5'!E5,2+'Table 2.5'!E5))/SUM(OFFSET('Counts data'!$B$13:$L$30,0,0,17-'Table 2.5'!E5,1+'Table 2.5'!E5))</f>
        <v>1.0179445350734095</v>
      </c>
      <c r="F30" s="57">
        <f ca="1">SUM(OFFSET('Counts data'!$B$13:$L$30,0,0,17-'Table 2.5'!F5,2+'Table 2.5'!F5))/SUM(OFFSET('Counts data'!$B$13:$L$30,0,0,17-'Table 2.5'!F5,1+'Table 2.5'!F5))</f>
        <v>1.0114605773373546</v>
      </c>
      <c r="G30" s="57">
        <f ca="1">SUM(OFFSET('Counts data'!$B$13:$L$30,0,0,17-'Table 2.5'!G5,2+'Table 2.5'!G5))/SUM(OFFSET('Counts data'!$B$13:$L$30,0,0,17-'Table 2.5'!G5,1+'Table 2.5'!G5))</f>
        <v>1.007626573555086</v>
      </c>
      <c r="H30" s="57">
        <f ca="1">SUM(OFFSET('Counts data'!$B$13:$L$30,0,0,17-'Table 2.5'!H5,2+'Table 2.5'!H5))/SUM(OFFSET('Counts data'!$B$13:$L$30,0,0,17-'Table 2.5'!H5,1+'Table 2.5'!H5))</f>
        <v>1.006104164615536</v>
      </c>
      <c r="I30" s="57">
        <f ca="1">SUM(OFFSET('Counts data'!$B$13:$L$30,0,0,17-'Table 2.5'!I5,2+'Table 2.5'!I5))/SUM(OFFSET('Counts data'!$B$13:$L$30,0,0,17-'Table 2.5'!I5,1+'Table 2.5'!I5))</f>
        <v>1.0016044496737619</v>
      </c>
      <c r="J30" s="57">
        <f ca="1">SUM(OFFSET('Counts data'!$B$13:$L$30,0,0,17-'Table 2.5'!J5,2+'Table 2.5'!J5))/SUM(OFFSET('Counts data'!$B$13:$L$30,0,0,17-'Table 2.5'!J5,1+'Table 2.5'!J5))</f>
        <v>1.0005888587916618</v>
      </c>
      <c r="K30" s="57">
        <f ca="1">SUM(OFFSET('Counts data'!$B$13:$L$30,0,0,17-'Table 2.5'!K5,2+'Table 2.5'!K5))/SUM(OFFSET('Counts data'!$B$13:$L$30,0,0,17-'Table 2.5'!K5,1+'Table 2.5'!K5))</f>
        <v>1.0001308557969117</v>
      </c>
      <c r="L30" s="57">
        <f ca="1">SUM(OFFSET('Counts data'!$B$13:$L$30,0,0,17-'Table 2.5'!L5,2+'Table 2.5'!L5))/SUM(OFFSET('Counts data'!$B$13:$L$30,0,0,17-'Table 2.5'!L5,1+'Table 2.5'!L5))</f>
        <v>1.000448631673396</v>
      </c>
      <c r="O30" s="1">
        <f ca="1"/>
        <v>607</v>
      </c>
      <c r="P30" s="1">
        <f ca="1"/>
        <v>203</v>
      </c>
      <c r="R30" s="1">
        <f ca="1"/>
        <v>607</v>
      </c>
      <c r="S30" s="1">
        <f ca="1"/>
        <v>203</v>
      </c>
      <c r="T30" s="1">
        <f ca="1"/>
        <v>29</v>
      </c>
    </row>
    <row r="31" spans="1:20" x14ac:dyDescent="0.2">
      <c r="A31" s="1" t="s">
        <v>8</v>
      </c>
      <c r="C31" s="36">
        <f>SUM('Counts data'!$B24:C29)/SUM('Counts data'!$B24:B29)</f>
        <v>1.3040667923511986</v>
      </c>
      <c r="D31" s="36">
        <f>SUM('Counts data'!$B23:D28)/SUM('Counts data'!$B23:C28)</f>
        <v>1.0398248540450374</v>
      </c>
      <c r="E31" s="36">
        <f>SUM('Counts data'!$B22:E27)/SUM('Counts data'!$B22:D27)</f>
        <v>1.0182002022244692</v>
      </c>
      <c r="F31" s="36">
        <f>SUM('Counts data'!$B21:F26)/SUM('Counts data'!$B21:E26)</f>
        <v>1.0131837859110586</v>
      </c>
      <c r="G31" s="36">
        <f>SUM('Counts data'!$B20:G25)/SUM('Counts data'!$B20:F25)</f>
        <v>1.0080583269378358</v>
      </c>
      <c r="H31" s="36">
        <f>SUM('Counts data'!$B19:H24)/SUM('Counts data'!$B19:G24)</f>
        <v>1.0073800738007379</v>
      </c>
      <c r="I31" s="36">
        <f>SUM('Counts data'!$B18:I23)/SUM('Counts data'!$B18:H23)</f>
        <v>1.0019809112191609</v>
      </c>
      <c r="J31" s="36">
        <f>SUM('Counts data'!$B17:J22)/SUM('Counts data'!$B17:I22)</f>
        <v>1.0003581020590868</v>
      </c>
      <c r="K31" s="36">
        <f>SUM('Counts data'!$B16:K21)/SUM('Counts data'!$B16:J21)</f>
        <v>1</v>
      </c>
      <c r="L31" s="36">
        <f>SUM('Counts data'!$B15:L20)/SUM('Counts data'!$B15:K20)</f>
        <v>1.0003646308113034</v>
      </c>
      <c r="O31" s="1">
        <f ca="1"/>
        <v>674</v>
      </c>
      <c r="P31" s="1">
        <f ca="1"/>
        <v>169</v>
      </c>
      <c r="R31" s="1">
        <f ca="1"/>
        <v>674</v>
      </c>
      <c r="S31" s="1">
        <f ca="1"/>
        <v>169</v>
      </c>
      <c r="T31" s="1">
        <f ca="1"/>
        <v>20</v>
      </c>
    </row>
    <row r="32" spans="1:20" ht="15" x14ac:dyDescent="0.2">
      <c r="B32" s="53" t="s">
        <v>81</v>
      </c>
      <c r="C32" s="58">
        <f ca="1">SUM(OFFSET('Counts data'!$B$24:$M$29,-'Table 2.5'!C5,0,,2+'Table 2.5'!C5))/SUM(OFFSET('Counts data'!$B$24:$M$29,-'Table 2.5'!C5,0,,1+'Table 2.5'!C5))</f>
        <v>1.3040667923511986</v>
      </c>
      <c r="D32" s="58">
        <f ca="1">SUM(OFFSET('Counts data'!$B$24:$M$29,-'Table 2.5'!D5,0,,2+'Table 2.5'!D5))/SUM(OFFSET('Counts data'!$B$24:$M$29,-'Table 2.5'!D5,0,,1+'Table 2.5'!D5))</f>
        <v>1.0398248540450374</v>
      </c>
      <c r="E32" s="58">
        <f ca="1">SUM(OFFSET('Counts data'!$B$24:$M$29,-'Table 2.5'!E5,0,,2+'Table 2.5'!E5))/SUM(OFFSET('Counts data'!$B$24:$M$29,-'Table 2.5'!E5,0,,1+'Table 2.5'!E5))</f>
        <v>1.0182002022244692</v>
      </c>
      <c r="F32" s="58">
        <f ca="1">SUM(OFFSET('Counts data'!$B$24:$M$29,-'Table 2.5'!F5,0,,2+'Table 2.5'!F5))/SUM(OFFSET('Counts data'!$B$24:$M$29,-'Table 2.5'!F5,0,,1+'Table 2.5'!F5))</f>
        <v>1.0131837859110586</v>
      </c>
      <c r="G32" s="58">
        <f ca="1">SUM(OFFSET('Counts data'!$B$24:$M$29,-'Table 2.5'!G5,0,,2+'Table 2.5'!G5))/SUM(OFFSET('Counts data'!$B$24:$M$29,-'Table 2.5'!G5,0,,1+'Table 2.5'!G5))</f>
        <v>1.0080583269378358</v>
      </c>
      <c r="H32" s="58">
        <f ca="1">SUM(OFFSET('Counts data'!$B$24:$M$29,-'Table 2.5'!H5,0,,2+'Table 2.5'!H5))/SUM(OFFSET('Counts data'!$B$24:$M$29,-'Table 2.5'!H5,0,,1+'Table 2.5'!H5))</f>
        <v>1.0073800738007379</v>
      </c>
      <c r="I32" s="58">
        <f ca="1">SUM(OFFSET('Counts data'!$B$24:$M$29,-'Table 2.5'!I5,0,,2+'Table 2.5'!I5))/SUM(OFFSET('Counts data'!$B$24:$M$29,-'Table 2.5'!I5,0,,1+'Table 2.5'!I5))</f>
        <v>1.0019809112191609</v>
      </c>
      <c r="J32" s="58">
        <f ca="1">SUM(OFFSET('Counts data'!$B$24:$M$29,-'Table 2.5'!J5,0,,2+'Table 2.5'!J5))/SUM(OFFSET('Counts data'!$B$24:$M$29,-'Table 2.5'!J5,0,,1+'Table 2.5'!J5))</f>
        <v>1.0003581020590868</v>
      </c>
      <c r="K32" s="58">
        <f ca="1">SUM(OFFSET('Counts data'!$B$24:$M$29,-'Table 2.5'!K5,0,,2+'Table 2.5'!K5))/SUM(OFFSET('Counts data'!$B$24:$M$29,-'Table 2.5'!K5,0,,1+'Table 2.5'!K5))</f>
        <v>1</v>
      </c>
      <c r="L32" s="58">
        <f ca="1">SUM(OFFSET('Counts data'!$B$24:$M$29,-'Table 2.5'!L5,0,,2+'Table 2.5'!L5))/SUM(OFFSET('Counts data'!$B$24:$M$29,-'Table 2.5'!L5,0,,1+'Table 2.5'!L5))</f>
        <v>1.0003646308113034</v>
      </c>
      <c r="O32" s="1">
        <f ca="1"/>
        <v>619</v>
      </c>
      <c r="P32" s="1">
        <f ca="1"/>
        <v>190</v>
      </c>
      <c r="R32" s="1">
        <f ca="1"/>
        <v>619</v>
      </c>
      <c r="S32" s="1">
        <f ca="1"/>
        <v>190</v>
      </c>
      <c r="T32" s="1">
        <f ca="1"/>
        <v>41</v>
      </c>
    </row>
    <row r="33" spans="1:15" x14ac:dyDescent="0.2">
      <c r="A33" s="1" t="s">
        <v>9</v>
      </c>
      <c r="C33" s="37">
        <f>SUM('Counts data'!$B27:C29)/SUM('Counts data'!$B27:B29)</f>
        <v>1.2662570404505888</v>
      </c>
      <c r="D33" s="37">
        <f>SUM('Counts data'!$B26:D28)/SUM('Counts data'!$B26:C28)</f>
        <v>1.0365556458164094</v>
      </c>
      <c r="E33" s="37">
        <f>SUM('Counts data'!$B25:E27)/SUM('Counts data'!$B25:D27)</f>
        <v>1.0132796780684106</v>
      </c>
      <c r="F33" s="37">
        <f>SUM('Counts data'!$B24:F26)/SUM('Counts data'!$B24:E26)</f>
        <v>1.0112540192926045</v>
      </c>
      <c r="G33" s="37">
        <f>SUM('Counts data'!$B23:G25)/SUM('Counts data'!$B23:F25)</f>
        <v>1.0051546391752577</v>
      </c>
      <c r="H33" s="37">
        <f>SUM('Counts data'!$B22:H24)/SUM('Counts data'!$B22:G24)</f>
        <v>1.0085503303536727</v>
      </c>
      <c r="I33" s="37">
        <f>SUM('Counts data'!$B21:I23)/SUM('Counts data'!$B21:H23)</f>
        <v>1.0014936519790889</v>
      </c>
      <c r="J33" s="37">
        <f>SUM('Counts data'!$B20:J22)/SUM('Counts data'!$B20:I22)</f>
        <v>1.0007285974499089</v>
      </c>
      <c r="K33" s="37">
        <f>SUM('Counts data'!$B19:K21)/SUM('Counts data'!$B19:J21)</f>
        <v>1</v>
      </c>
      <c r="L33" s="37">
        <f>SUM('Counts data'!$B18:L20)/SUM('Counts data'!$B18:K20)</f>
        <v>1.0003468609087756</v>
      </c>
    </row>
    <row r="34" spans="1:15" x14ac:dyDescent="0.2">
      <c r="B34" s="53" t="s">
        <v>81</v>
      </c>
      <c r="C34" s="59">
        <f ca="1">SUM(OFFSET('Counts data'!$B$27:$M$29,-'Table 2.5'!C5,0,,2+'Table 2.5'!C5))/SUM(OFFSET('Counts data'!$B$27:$M$29,-'Table 2.5'!C5,0,,1+'Table 2.5'!C5))</f>
        <v>1.2662570404505888</v>
      </c>
      <c r="D34" s="59">
        <f ca="1">SUM(OFFSET('Counts data'!$B$27:$M$29,-'Table 2.5'!D5,0,,2+'Table 2.5'!D5))/SUM(OFFSET('Counts data'!$B$27:$M$29,-'Table 2.5'!D5,0,,1+'Table 2.5'!D5))</f>
        <v>1.0365556458164094</v>
      </c>
      <c r="E34" s="59">
        <f ca="1">SUM(OFFSET('Counts data'!$B$27:$M$29,-'Table 2.5'!E5,0,,2+'Table 2.5'!E5))/SUM(OFFSET('Counts data'!$B$27:$M$29,-'Table 2.5'!E5,0,,1+'Table 2.5'!E5))</f>
        <v>1.0132796780684106</v>
      </c>
      <c r="F34" s="59">
        <f ca="1">SUM(OFFSET('Counts data'!$B$27:$M$29,-'Table 2.5'!F5,0,,2+'Table 2.5'!F5))/SUM(OFFSET('Counts data'!$B$27:$M$29,-'Table 2.5'!F5,0,,1+'Table 2.5'!F5))</f>
        <v>1.0112540192926045</v>
      </c>
      <c r="G34" s="59">
        <f ca="1">SUM(OFFSET('Counts data'!$B$27:$M$29,-'Table 2.5'!G5,0,,2+'Table 2.5'!G5))/SUM(OFFSET('Counts data'!$B$27:$M$29,-'Table 2.5'!G5,0,,1+'Table 2.5'!G5))</f>
        <v>1.0051546391752577</v>
      </c>
      <c r="H34" s="59">
        <f ca="1">SUM(OFFSET('Counts data'!$B$27:$M$29,-'Table 2.5'!H5,0,,2+'Table 2.5'!H5))/SUM(OFFSET('Counts data'!$B$27:$M$29,-'Table 2.5'!H5,0,,1+'Table 2.5'!H5))</f>
        <v>1.0085503303536727</v>
      </c>
      <c r="I34" s="59">
        <f ca="1">SUM(OFFSET('Counts data'!$B$27:$M$29,-'Table 2.5'!I5,0,,2+'Table 2.5'!I5))/SUM(OFFSET('Counts data'!$B$27:$M$29,-'Table 2.5'!I5,0,,1+'Table 2.5'!I5))</f>
        <v>1.0014936519790889</v>
      </c>
      <c r="J34" s="59">
        <f ca="1">SUM(OFFSET('Counts data'!$B$27:$M$29,-'Table 2.5'!J5,0,,2+'Table 2.5'!J5))/SUM(OFFSET('Counts data'!$B$27:$M$29,-'Table 2.5'!J5,0,,1+'Table 2.5'!J5))</f>
        <v>1.0007285974499089</v>
      </c>
      <c r="K34" s="59">
        <f ca="1">SUM(OFFSET('Counts data'!$B$27:$M$29,-'Table 2.5'!K5,0,,2+'Table 2.5'!K5))/SUM(OFFSET('Counts data'!$B$27:$M$29,-'Table 2.5'!K5,0,,1+'Table 2.5'!K5))</f>
        <v>1</v>
      </c>
      <c r="L34" s="59">
        <f ca="1">SUM(OFFSET('Counts data'!$B$27:$M$29,-'Table 2.5'!L5,0,,2+'Table 2.5'!L5))/SUM(OFFSET('Counts data'!$B$27:$M$29,-'Table 2.5'!L5,0,,1+'Table 2.5'!L5))</f>
        <v>1.0003468609087756</v>
      </c>
      <c r="O34" s="1" t="s">
        <v>86</v>
      </c>
    </row>
    <row r="35" spans="1:1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5" x14ac:dyDescent="0.2">
      <c r="A36" s="1" t="s">
        <v>10</v>
      </c>
      <c r="C36" s="37">
        <f>C33</f>
        <v>1.2662570404505888</v>
      </c>
      <c r="D36" s="37">
        <f t="shared" ref="D36:F36" si="0">D33</f>
        <v>1.0365556458164094</v>
      </c>
      <c r="E36" s="37">
        <f t="shared" si="0"/>
        <v>1.0132796780684106</v>
      </c>
      <c r="F36" s="37">
        <f t="shared" si="0"/>
        <v>1.0112540192926045</v>
      </c>
      <c r="G36" s="36">
        <f>G31</f>
        <v>1.0080583269378358</v>
      </c>
      <c r="H36" s="35">
        <f>H29</f>
        <v>1.006104164615536</v>
      </c>
      <c r="I36" s="35">
        <f>I29</f>
        <v>1.0016044496737619</v>
      </c>
      <c r="J36" s="35">
        <f t="shared" ref="J36:L36" si="1">J29</f>
        <v>1.0005888587916618</v>
      </c>
      <c r="K36" s="35">
        <f t="shared" si="1"/>
        <v>1.0001308557969117</v>
      </c>
      <c r="L36" s="35">
        <f t="shared" si="1"/>
        <v>1.000448631673396</v>
      </c>
      <c r="M36" s="33"/>
    </row>
    <row r="37" spans="1:15" x14ac:dyDescent="0.2">
      <c r="A37" s="1" t="s">
        <v>11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</row>
    <row r="38" spans="1:15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</row>
    <row r="39" spans="1:15" ht="15.75" x14ac:dyDescent="0.25">
      <c r="A39" s="3" t="s">
        <v>10</v>
      </c>
      <c r="B39" s="3"/>
      <c r="C39" s="37">
        <f>C36</f>
        <v>1.2662570404505888</v>
      </c>
      <c r="D39" s="37">
        <f t="shared" ref="D39:F39" si="2">D36</f>
        <v>1.0365556458164094</v>
      </c>
      <c r="E39" s="37">
        <f t="shared" si="2"/>
        <v>1.0132796780684106</v>
      </c>
      <c r="F39" s="37">
        <f t="shared" si="2"/>
        <v>1.0112540192926045</v>
      </c>
      <c r="G39" s="36">
        <f>G36</f>
        <v>1.0080583269378358</v>
      </c>
      <c r="H39" s="35">
        <f>H36</f>
        <v>1.006104164615536</v>
      </c>
      <c r="I39" s="35">
        <f>I36</f>
        <v>1.0016044496737619</v>
      </c>
      <c r="J39" s="38">
        <f>J36</f>
        <v>1.0005888587916618</v>
      </c>
      <c r="K39" s="38">
        <f t="shared" ref="K39:L39" si="3">K48</f>
        <v>1.0003718165400577</v>
      </c>
      <c r="L39" s="38">
        <f t="shared" si="3"/>
        <v>1.0002182609470032</v>
      </c>
      <c r="M39" s="39">
        <f>B54+1</f>
        <v>1.0003102318843566</v>
      </c>
    </row>
    <row r="40" spans="1:15" ht="15.75" x14ac:dyDescent="0.25">
      <c r="A40" s="3" t="s">
        <v>12</v>
      </c>
      <c r="B40" s="3"/>
    </row>
    <row r="42" spans="1:1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5" ht="15.75" x14ac:dyDescent="0.25">
      <c r="A43" s="3" t="s">
        <v>31</v>
      </c>
      <c r="B43" s="3"/>
    </row>
    <row r="44" spans="1:15" x14ac:dyDescent="0.2">
      <c r="G44" s="1" t="s">
        <v>76</v>
      </c>
    </row>
    <row r="45" spans="1:15" x14ac:dyDescent="0.2">
      <c r="A45" s="1" t="s">
        <v>17</v>
      </c>
      <c r="I45" s="33">
        <f>LN(I36-1)</f>
        <v>-6.4349744635890787</v>
      </c>
      <c r="J45" s="33">
        <f t="shared" ref="J45:L45" si="4">LN(J36-1)</f>
        <v>-7.4373241455651655</v>
      </c>
      <c r="K45" s="33">
        <f t="shared" si="4"/>
        <v>-8.9414146280072977</v>
      </c>
      <c r="L45" s="33">
        <f t="shared" si="4"/>
        <v>-7.7093083333860992</v>
      </c>
    </row>
    <row r="46" spans="1:15" x14ac:dyDescent="0.2">
      <c r="G46" s="1" t="s">
        <v>14</v>
      </c>
    </row>
    <row r="47" spans="1:15" x14ac:dyDescent="0.2">
      <c r="A47" s="1" t="s">
        <v>26</v>
      </c>
      <c r="B47" s="1" cm="1">
        <f t="array" ref="B47">SLOPE(I45:L45,I5:L5-6)</f>
        <v>-0.53270920918331943</v>
      </c>
      <c r="F47" s="1" t="s">
        <v>15</v>
      </c>
      <c r="I47" s="1" cm="1">
        <f t="array" ref="I47">_xlfn.FORECAST.LINEAR(I5-5,$I$45:$L$45,$I$5:$L$5-5)</f>
        <v>-6.831691578861931</v>
      </c>
      <c r="J47" s="1" cm="1">
        <f t="array" ref="J47">_xlfn.FORECAST.LINEAR(J5-5,$I$45:$L$45,$I$5:$L$5-5)</f>
        <v>-7.3644007880452502</v>
      </c>
      <c r="K47" s="1" cm="1">
        <f t="array" ref="K47">_xlfn.FORECAST.LINEAR(K5-5,$I$45:$L$45,$I$5:$L$5-5)</f>
        <v>-7.8971099972285703</v>
      </c>
      <c r="L47" s="1" cm="1">
        <f t="array" ref="L47">_xlfn.FORECAST.LINEAR(L5-5,$I$45:$L$45,$I$5:$L$5-5)</f>
        <v>-8.4298192064118886</v>
      </c>
    </row>
    <row r="48" spans="1:15" x14ac:dyDescent="0.2">
      <c r="A48" s="1" t="s">
        <v>27</v>
      </c>
      <c r="B48" s="1" cm="1">
        <f t="array" ref="B48">INTERCEPT(I45:L45,I5:L5-6)</f>
        <v>-6.831691578861931</v>
      </c>
      <c r="F48" s="1" t="s">
        <v>16</v>
      </c>
      <c r="I48" s="1">
        <f>EXP(I47)+1</f>
        <v>1.001079031306392</v>
      </c>
      <c r="J48" s="15">
        <f>EXP(J47)+1</f>
        <v>1.0006334048365433</v>
      </c>
      <c r="K48" s="15">
        <f t="shared" ref="K48:L48" si="5">EXP(K47)+1</f>
        <v>1.0003718165400577</v>
      </c>
      <c r="L48" s="15">
        <f t="shared" si="5"/>
        <v>1.0002182609470032</v>
      </c>
    </row>
    <row r="51" spans="1:14" ht="15.75" x14ac:dyDescent="0.25">
      <c r="A51" s="3" t="s">
        <v>32</v>
      </c>
    </row>
    <row r="52" spans="1:14" x14ac:dyDescent="0.2">
      <c r="A52" s="1" t="s">
        <v>29</v>
      </c>
      <c r="B52" s="1">
        <f>EXP(B48)</f>
        <v>1.079031306392058E-3</v>
      </c>
    </row>
    <row r="53" spans="1:14" x14ac:dyDescent="0.2">
      <c r="A53" s="1" t="s">
        <v>40</v>
      </c>
      <c r="B53" s="1">
        <f>EXP(B47)</f>
        <v>0.58701247386534749</v>
      </c>
    </row>
    <row r="54" spans="1:14" x14ac:dyDescent="0.2">
      <c r="A54" s="1" t="s">
        <v>49</v>
      </c>
      <c r="B54" s="20">
        <f>B52*B53^(10-6)/(1-B53)</f>
        <v>3.1023188435673211E-4</v>
      </c>
    </row>
    <row r="55" spans="1:14" x14ac:dyDescent="0.2">
      <c r="A55" s="1" t="s">
        <v>54</v>
      </c>
      <c r="B55" s="1">
        <f>1+(L39-1)*B53/(1-B53)</f>
        <v>1.0003102318843566</v>
      </c>
      <c r="C55" s="1" t="s">
        <v>28</v>
      </c>
    </row>
    <row r="56" spans="1:14" x14ac:dyDescent="0.2">
      <c r="I56" s="5"/>
    </row>
    <row r="57" spans="1:14" s="13" customFormat="1" x14ac:dyDescent="0.2"/>
    <row r="58" spans="1:14" x14ac:dyDescent="0.2">
      <c r="A58" s="3" t="s">
        <v>77</v>
      </c>
    </row>
    <row r="59" spans="1:14" x14ac:dyDescent="0.2">
      <c r="C59" s="3">
        <v>0</v>
      </c>
      <c r="D59" s="3">
        <v>1</v>
      </c>
      <c r="E59" s="3">
        <v>2</v>
      </c>
      <c r="F59" s="3">
        <v>3</v>
      </c>
      <c r="G59" s="3">
        <v>4</v>
      </c>
      <c r="H59" s="3">
        <v>5</v>
      </c>
      <c r="I59" s="3">
        <v>6</v>
      </c>
      <c r="J59" s="3">
        <v>7</v>
      </c>
      <c r="K59" s="3">
        <v>8</v>
      </c>
      <c r="L59" s="3">
        <v>9</v>
      </c>
      <c r="M59" s="3">
        <v>10</v>
      </c>
      <c r="N59" s="3" t="s">
        <v>25</v>
      </c>
    </row>
    <row r="60" spans="1:14" x14ac:dyDescent="0.2">
      <c r="A60" s="1" t="s">
        <v>79</v>
      </c>
      <c r="C60" s="1">
        <f>PRODUCT(C39:$M39)</f>
        <v>1.3682817749248422</v>
      </c>
      <c r="D60" s="1">
        <f>PRODUCT(D39:$M39)</f>
        <v>1.0805718990813651</v>
      </c>
      <c r="E60" s="1">
        <f>PRODUCT(E39:$M39)</f>
        <v>1.0424639559319444</v>
      </c>
      <c r="F60" s="1">
        <f>PRODUCT(F39:$M39)</f>
        <v>1.0288017992418115</v>
      </c>
      <c r="G60" s="1">
        <f>PRODUCT(G39:$M39)</f>
        <v>1.0173524946397561</v>
      </c>
      <c r="H60" s="1">
        <f>PRODUCT(H39:$M39)</f>
        <v>1.009219870967341</v>
      </c>
      <c r="I60" s="1">
        <f>PRODUCT(I39:$M39)</f>
        <v>1.0030968029567748</v>
      </c>
      <c r="J60" s="1">
        <f>PRODUCT(J39:$M39)</f>
        <v>1.0014899627128244</v>
      </c>
      <c r="K60" s="1">
        <f>PRODUCT(K39:$M39)</f>
        <v>1.0009005736104746</v>
      </c>
      <c r="L60" s="1">
        <f>PRODUCT(L39:$M39)</f>
        <v>1.0005285605428647</v>
      </c>
      <c r="M60" s="1">
        <f>PRODUCT(M39:$M39)</f>
        <v>1.0003102318843566</v>
      </c>
      <c r="N60" s="1">
        <v>1</v>
      </c>
    </row>
    <row r="61" spans="1:14" x14ac:dyDescent="0.2">
      <c r="A61" s="1" t="s">
        <v>80</v>
      </c>
      <c r="C61" s="51">
        <f>1/C60</f>
        <v>0.7308436159320536</v>
      </c>
      <c r="D61" s="51">
        <f>1/D60-1/C60</f>
        <v>0.1945922582102757</v>
      </c>
      <c r="E61" s="51">
        <f t="shared" ref="E61:N61" si="6">1/E60-1/D60</f>
        <v>3.3829906040945823E-2</v>
      </c>
      <c r="F61" s="51">
        <f t="shared" si="6"/>
        <v>1.2738740742876731E-2</v>
      </c>
      <c r="G61" s="51">
        <f t="shared" si="6"/>
        <v>1.0938957631001944E-2</v>
      </c>
      <c r="H61" s="51">
        <f t="shared" si="6"/>
        <v>7.9208799116269324E-3</v>
      </c>
      <c r="I61" s="51">
        <f t="shared" si="6"/>
        <v>6.0483991557610528E-3</v>
      </c>
      <c r="J61" s="51">
        <f t="shared" si="6"/>
        <v>1.5994963487397929E-3</v>
      </c>
      <c r="K61" s="51">
        <f t="shared" si="6"/>
        <v>5.8798271933413471E-4</v>
      </c>
      <c r="L61" s="51">
        <f t="shared" si="6"/>
        <v>3.714819931778246E-4</v>
      </c>
      <c r="M61" s="51">
        <f t="shared" si="6"/>
        <v>2.1814564382327539E-4</v>
      </c>
      <c r="N61" s="51">
        <f t="shared" si="6"/>
        <v>3.1013567038318257E-4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96EB-77E9-A746-98C8-C38437843E4E}">
  <dimension ref="A1:P53"/>
  <sheetViews>
    <sheetView workbookViewId="0">
      <selection activeCell="H53" sqref="H53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46</v>
      </c>
    </row>
    <row r="2" spans="1:16" ht="15" x14ac:dyDescent="0.2">
      <c r="A2" s="1" t="s">
        <v>47</v>
      </c>
    </row>
    <row r="4" spans="1:16" ht="15.75" x14ac:dyDescent="0.25">
      <c r="A4" s="7" t="s">
        <v>3</v>
      </c>
      <c r="B4" s="3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N4" s="3"/>
      <c r="O4" s="3"/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48</v>
      </c>
      <c r="N5" s="3"/>
      <c r="O5" s="3"/>
      <c r="P5" s="3"/>
    </row>
    <row r="6" spans="1:16" ht="15" x14ac:dyDescent="0.2">
      <c r="A6" s="6"/>
    </row>
    <row r="7" spans="1:16" ht="15.75" x14ac:dyDescent="0.25">
      <c r="A7" s="5">
        <v>1978</v>
      </c>
      <c r="B7" s="9">
        <f>SUM('Counts data'!$B13:B13)</f>
        <v>368</v>
      </c>
      <c r="C7" s="9">
        <f>SUM('Counts data'!$B13:C13)</f>
        <v>559</v>
      </c>
      <c r="D7" s="9">
        <f>SUM('Counts data'!$B13:D13)</f>
        <v>587</v>
      </c>
      <c r="E7" s="9">
        <f>SUM('Counts data'!$B13:E13)</f>
        <v>595</v>
      </c>
      <c r="F7" s="9">
        <f>SUM('Counts data'!$B13:F13)</f>
        <v>601</v>
      </c>
      <c r="G7" s="9">
        <f>SUM('Counts data'!$B13:G13)</f>
        <v>606</v>
      </c>
      <c r="H7" s="9">
        <f>SUM('Counts data'!$B13:H13)</f>
        <v>609</v>
      </c>
      <c r="I7" s="9">
        <f>SUM('Counts data'!$B13:I13)</f>
        <v>610</v>
      </c>
      <c r="J7" s="9">
        <f>SUM('Counts data'!$B13:J13)</f>
        <v>610</v>
      </c>
      <c r="K7" s="9">
        <f>SUM('Counts data'!$B13:K13)</f>
        <v>610</v>
      </c>
      <c r="L7" s="9">
        <f>SUM('Counts data'!$B13:L13)</f>
        <v>611</v>
      </c>
      <c r="M7" s="18">
        <f>L7</f>
        <v>611</v>
      </c>
      <c r="N7" s="9"/>
      <c r="O7" s="18"/>
      <c r="P7" s="18"/>
    </row>
    <row r="8" spans="1:16" ht="15.75" x14ac:dyDescent="0.25">
      <c r="A8" s="5">
        <v>1979</v>
      </c>
      <c r="B8" s="9">
        <f>SUM('Counts data'!$B14:B14)</f>
        <v>393</v>
      </c>
      <c r="C8" s="9">
        <f>SUM('Counts data'!$B14:C14)</f>
        <v>544</v>
      </c>
      <c r="D8" s="9">
        <f>SUM('Counts data'!$B14:D14)</f>
        <v>569</v>
      </c>
      <c r="E8" s="9">
        <f>SUM('Counts data'!$B14:E14)</f>
        <v>575</v>
      </c>
      <c r="F8" s="9">
        <f>SUM('Counts data'!$B14:F14)</f>
        <v>579</v>
      </c>
      <c r="G8" s="9">
        <f>SUM('Counts data'!$B14:G14)</f>
        <v>584</v>
      </c>
      <c r="H8" s="9">
        <f>SUM('Counts data'!$B14:H14)</f>
        <v>588</v>
      </c>
      <c r="I8" s="9">
        <f>SUM('Counts data'!$B14:I14)</f>
        <v>589</v>
      </c>
      <c r="J8" s="9">
        <f>SUM('Counts data'!$B14:J14)</f>
        <v>591</v>
      </c>
      <c r="K8" s="9">
        <f>SUM('Counts data'!$B14:K14)</f>
        <v>592</v>
      </c>
      <c r="L8" s="9">
        <f>SUM('Counts data'!$B14:L14)</f>
        <v>592</v>
      </c>
      <c r="M8" s="18">
        <f t="shared" ref="M8:M13" si="0">L8</f>
        <v>592</v>
      </c>
      <c r="N8" s="9"/>
      <c r="O8" s="18"/>
      <c r="P8" s="18"/>
    </row>
    <row r="9" spans="1:16" ht="15.75" x14ac:dyDescent="0.25">
      <c r="A9" s="5">
        <v>1980</v>
      </c>
      <c r="B9" s="9">
        <f>SUM('Counts data'!$B15:B15)</f>
        <v>517</v>
      </c>
      <c r="C9" s="9">
        <f>SUM('Counts data'!$B15:C15)</f>
        <v>702</v>
      </c>
      <c r="D9" s="9">
        <f>SUM('Counts data'!$B15:D15)</f>
        <v>731</v>
      </c>
      <c r="E9" s="9">
        <f>SUM('Counts data'!$B15:E15)</f>
        <v>748</v>
      </c>
      <c r="F9" s="9">
        <f>SUM('Counts data'!$B15:F15)</f>
        <v>759</v>
      </c>
      <c r="G9" s="9">
        <f>SUM('Counts data'!$B15:G15)</f>
        <v>769</v>
      </c>
      <c r="H9" s="9">
        <f>SUM('Counts data'!$B15:H15)</f>
        <v>777</v>
      </c>
      <c r="I9" s="9">
        <f>SUM('Counts data'!$B15:I15)</f>
        <v>778</v>
      </c>
      <c r="J9" s="9">
        <f>SUM('Counts data'!$B15:J15)</f>
        <v>778</v>
      </c>
      <c r="K9" s="9">
        <f>SUM('Counts data'!$B15:K15)</f>
        <v>778</v>
      </c>
      <c r="L9" s="9">
        <f>SUM('Counts data'!$B15:L15)</f>
        <v>779</v>
      </c>
      <c r="M9" s="18">
        <f t="shared" si="0"/>
        <v>779</v>
      </c>
      <c r="N9" s="9"/>
      <c r="O9" s="18"/>
      <c r="P9" s="18"/>
    </row>
    <row r="10" spans="1:16" ht="15.75" x14ac:dyDescent="0.25">
      <c r="A10" s="5">
        <v>1981</v>
      </c>
      <c r="B10" s="9">
        <f>SUM('Counts data'!$B16:B16)</f>
        <v>578</v>
      </c>
      <c r="C10" s="9">
        <f>SUM('Counts data'!$B16:C16)</f>
        <v>832</v>
      </c>
      <c r="D10" s="9">
        <f>SUM('Counts data'!$B16:D16)</f>
        <v>881</v>
      </c>
      <c r="E10" s="9">
        <f>SUM('Counts data'!$B16:E16)</f>
        <v>903</v>
      </c>
      <c r="F10" s="9">
        <f>SUM('Counts data'!$B16:F16)</f>
        <v>920</v>
      </c>
      <c r="G10" s="9">
        <f>SUM('Counts data'!$B16:G16)</f>
        <v>926</v>
      </c>
      <c r="H10" s="9">
        <f>SUM('Counts data'!$B16:H16)</f>
        <v>929</v>
      </c>
      <c r="I10" s="9">
        <f>SUM('Counts data'!$B16:I16)</f>
        <v>929</v>
      </c>
      <c r="J10" s="9">
        <f>SUM('Counts data'!$B16:J16)</f>
        <v>930</v>
      </c>
      <c r="K10" s="9">
        <f>SUM('Counts data'!$B16:K16)</f>
        <v>930</v>
      </c>
      <c r="L10" s="9">
        <f>SUM('Counts data'!$B16:L16)</f>
        <v>930</v>
      </c>
      <c r="M10" s="18">
        <f t="shared" si="0"/>
        <v>930</v>
      </c>
      <c r="N10" s="9"/>
      <c r="O10" s="18"/>
      <c r="P10" s="18"/>
    </row>
    <row r="11" spans="1:16" ht="15.75" x14ac:dyDescent="0.25">
      <c r="A11" s="5">
        <v>1982</v>
      </c>
      <c r="B11" s="9">
        <f>SUM('Counts data'!$B17:B17)</f>
        <v>622</v>
      </c>
      <c r="C11" s="9">
        <f>SUM('Counts data'!$B17:C17)</f>
        <v>828</v>
      </c>
      <c r="D11" s="9">
        <f>SUM('Counts data'!$B17:D17)</f>
        <v>867</v>
      </c>
      <c r="E11" s="9">
        <f>SUM('Counts data'!$B17:E17)</f>
        <v>883</v>
      </c>
      <c r="F11" s="9">
        <f>SUM('Counts data'!$B17:F17)</f>
        <v>886</v>
      </c>
      <c r="G11" s="9">
        <f>SUM('Counts data'!$B17:G17)</f>
        <v>893</v>
      </c>
      <c r="H11" s="9">
        <f>SUM('Counts data'!$B17:H17)</f>
        <v>893</v>
      </c>
      <c r="I11" s="9">
        <f>SUM('Counts data'!$B17:I17)</f>
        <v>894</v>
      </c>
      <c r="J11" s="9">
        <f>SUM('Counts data'!$B17:J17)</f>
        <v>894</v>
      </c>
      <c r="K11" s="9">
        <f>SUM('Counts data'!$B17:K17)</f>
        <v>894</v>
      </c>
      <c r="L11" s="9">
        <f>SUM('Counts data'!$B17:L17)</f>
        <v>894</v>
      </c>
      <c r="M11" s="18">
        <f t="shared" si="0"/>
        <v>894</v>
      </c>
      <c r="N11" s="9"/>
      <c r="O11" s="18"/>
      <c r="P11" s="18"/>
    </row>
    <row r="12" spans="1:16" ht="15.75" x14ac:dyDescent="0.25">
      <c r="A12" s="5">
        <v>1983</v>
      </c>
      <c r="B12" s="9">
        <f>SUM('Counts data'!$B18:B18)</f>
        <v>660</v>
      </c>
      <c r="C12" s="9">
        <f>SUM('Counts data'!$B18:C18)</f>
        <v>903</v>
      </c>
      <c r="D12" s="9">
        <f>SUM('Counts data'!$B18:D18)</f>
        <v>931</v>
      </c>
      <c r="E12" s="9">
        <f>SUM('Counts data'!$B18:E18)</f>
        <v>943</v>
      </c>
      <c r="F12" s="9">
        <f>SUM('Counts data'!$B18:F18)</f>
        <v>955</v>
      </c>
      <c r="G12" s="9">
        <f>SUM('Counts data'!$B18:G18)</f>
        <v>959</v>
      </c>
      <c r="H12" s="9">
        <f>SUM('Counts data'!$B18:H18)</f>
        <v>963</v>
      </c>
      <c r="I12" s="9">
        <f>SUM('Counts data'!$B18:I18)</f>
        <v>964</v>
      </c>
      <c r="J12" s="9">
        <f>SUM('Counts data'!$B18:J18)</f>
        <v>964</v>
      </c>
      <c r="K12" s="9">
        <f>SUM('Counts data'!$B18:K18)</f>
        <v>964</v>
      </c>
      <c r="L12" s="9">
        <f>SUM('Counts data'!$B18:L18)</f>
        <v>964</v>
      </c>
      <c r="M12" s="18">
        <f t="shared" si="0"/>
        <v>964</v>
      </c>
      <c r="N12" s="9"/>
      <c r="O12" s="18"/>
      <c r="P12" s="18"/>
    </row>
    <row r="13" spans="1:16" ht="15.75" x14ac:dyDescent="0.25">
      <c r="A13" s="5">
        <v>1984</v>
      </c>
      <c r="B13" s="9">
        <f>SUM('Counts data'!$B19:B19)</f>
        <v>666</v>
      </c>
      <c r="C13" s="9">
        <f>SUM('Counts data'!$B19:C19)</f>
        <v>900</v>
      </c>
      <c r="D13" s="9">
        <f>SUM('Counts data'!$B19:D19)</f>
        <v>953</v>
      </c>
      <c r="E13" s="9">
        <f>SUM('Counts data'!$B19:E19)</f>
        <v>963</v>
      </c>
      <c r="F13" s="9">
        <f>SUM('Counts data'!$B19:F19)</f>
        <v>971</v>
      </c>
      <c r="G13" s="9">
        <f>SUM('Counts data'!$B19:G19)</f>
        <v>975</v>
      </c>
      <c r="H13" s="9">
        <f>SUM('Counts data'!$B19:H19)</f>
        <v>981</v>
      </c>
      <c r="I13" s="9">
        <f>SUM('Counts data'!$B19:I19)</f>
        <v>982</v>
      </c>
      <c r="J13" s="9">
        <f>SUM('Counts data'!$B19:J19)</f>
        <v>982</v>
      </c>
      <c r="K13" s="9">
        <f>SUM('Counts data'!$B19:K19)</f>
        <v>982</v>
      </c>
      <c r="L13" s="9">
        <f>SUM('Counts data'!$B19:L19)</f>
        <v>982</v>
      </c>
      <c r="M13" s="18">
        <f t="shared" si="0"/>
        <v>982</v>
      </c>
      <c r="N13" s="9"/>
      <c r="O13" s="18"/>
      <c r="P13" s="18"/>
    </row>
    <row r="14" spans="1:16" ht="15.75" x14ac:dyDescent="0.25">
      <c r="A14" s="5">
        <v>1985</v>
      </c>
      <c r="B14" s="9">
        <f>SUM('Counts data'!$B20:B20)</f>
        <v>573</v>
      </c>
      <c r="C14" s="9">
        <f>SUM('Counts data'!$B20:C20)</f>
        <v>839</v>
      </c>
      <c r="D14" s="9">
        <f>SUM('Counts data'!$B20:D20)</f>
        <v>901</v>
      </c>
      <c r="E14" s="9">
        <f>SUM('Counts data'!$B20:E20)</f>
        <v>913</v>
      </c>
      <c r="F14" s="9">
        <f>SUM('Counts data'!$B20:F20)</f>
        <v>918</v>
      </c>
      <c r="G14" s="9">
        <f>SUM('Counts data'!$B20:G20)</f>
        <v>925</v>
      </c>
      <c r="H14" s="9">
        <f>SUM('Counts data'!$B20:H20)</f>
        <v>931</v>
      </c>
      <c r="I14" s="9">
        <f>SUM('Counts data'!$B20:I20)</f>
        <v>936</v>
      </c>
      <c r="J14" s="9">
        <f>SUM('Counts data'!$B20:J20)</f>
        <v>937</v>
      </c>
      <c r="K14" s="9">
        <f>SUM('Counts data'!$B20:K20)</f>
        <v>937</v>
      </c>
      <c r="L14" s="9">
        <f>SUM('Counts data'!$B20:L20)</f>
        <v>938</v>
      </c>
      <c r="M14" s="18">
        <f>L14*'Table 2.5'!M$39</f>
        <v>938.29099750752653</v>
      </c>
      <c r="N14" s="9"/>
      <c r="O14" s="18"/>
      <c r="P14" s="18"/>
    </row>
    <row r="15" spans="1:16" ht="15.75" x14ac:dyDescent="0.25">
      <c r="A15" s="5">
        <v>1986</v>
      </c>
      <c r="B15" s="9">
        <f>SUM('Counts data'!$B21:B21)</f>
        <v>582</v>
      </c>
      <c r="C15" s="9">
        <f>SUM('Counts data'!$B21:C21)</f>
        <v>863</v>
      </c>
      <c r="D15" s="9">
        <f>SUM('Counts data'!$B21:D21)</f>
        <v>895</v>
      </c>
      <c r="E15" s="9">
        <f>SUM('Counts data'!$B21:E21)</f>
        <v>922</v>
      </c>
      <c r="F15" s="9">
        <f>SUM('Counts data'!$B21:F21)</f>
        <v>934</v>
      </c>
      <c r="G15" s="9">
        <f>SUM('Counts data'!$B21:G21)</f>
        <v>947</v>
      </c>
      <c r="H15" s="9">
        <f>SUM('Counts data'!$B21:H21)</f>
        <v>953</v>
      </c>
      <c r="I15" s="9">
        <f>SUM('Counts data'!$B21:I21)</f>
        <v>955</v>
      </c>
      <c r="J15" s="9">
        <f>SUM('Counts data'!$B21:J21)</f>
        <v>956</v>
      </c>
      <c r="K15" s="9">
        <f>SUM('Counts data'!$B21:K21)</f>
        <v>956</v>
      </c>
      <c r="L15" s="18">
        <f>K15*'Table 2.5'!L$39</f>
        <v>956.20865746533502</v>
      </c>
      <c r="M15" s="18">
        <f>L15*'Table 2.5'!M$39</f>
        <v>956.50530387897868</v>
      </c>
      <c r="N15" s="9"/>
      <c r="O15" s="18"/>
      <c r="P15" s="18"/>
    </row>
    <row r="16" spans="1:16" ht="15.75" x14ac:dyDescent="0.25">
      <c r="A16" s="5">
        <v>1987</v>
      </c>
      <c r="B16" s="9">
        <f>SUM('Counts data'!$B22:B22)</f>
        <v>545</v>
      </c>
      <c r="C16" s="9">
        <f>SUM('Counts data'!$B22:C22)</f>
        <v>765</v>
      </c>
      <c r="D16" s="9">
        <f>SUM('Counts data'!$B22:D22)</f>
        <v>808</v>
      </c>
      <c r="E16" s="9">
        <f>SUM('Counts data'!$B22:E22)</f>
        <v>826</v>
      </c>
      <c r="F16" s="9">
        <f>SUM('Counts data'!$B22:F22)</f>
        <v>838</v>
      </c>
      <c r="G16" s="9">
        <f>SUM('Counts data'!$B22:G22)</f>
        <v>847</v>
      </c>
      <c r="H16" s="9">
        <f>SUM('Counts data'!$B22:H22)</f>
        <v>852</v>
      </c>
      <c r="I16" s="9">
        <f>SUM('Counts data'!$B22:I22)</f>
        <v>854</v>
      </c>
      <c r="J16" s="9">
        <f>SUM('Counts data'!$B22:J22)</f>
        <v>854</v>
      </c>
      <c r="K16" s="18">
        <f>J16*'Table 2.5'!K$39</f>
        <v>854.3175313252093</v>
      </c>
      <c r="L16" s="18">
        <f>K16*'Table 2.5'!L$39</f>
        <v>854.50399547863776</v>
      </c>
      <c r="M16" s="18">
        <f>L16*'Table 2.5'!M$39</f>
        <v>854.76908986334536</v>
      </c>
      <c r="N16" s="9"/>
      <c r="O16" s="18"/>
      <c r="P16" s="18"/>
    </row>
    <row r="17" spans="1:16" ht="15.75" x14ac:dyDescent="0.25">
      <c r="A17" s="5">
        <v>1988</v>
      </c>
      <c r="B17" s="9">
        <f>SUM('Counts data'!$B23:B23)</f>
        <v>509</v>
      </c>
      <c r="C17" s="9">
        <f>SUM('Counts data'!$B23:C23)</f>
        <v>775</v>
      </c>
      <c r="D17" s="9">
        <f>SUM('Counts data'!$B23:D23)</f>
        <v>824</v>
      </c>
      <c r="E17" s="9">
        <f>SUM('Counts data'!$B23:E23)</f>
        <v>846</v>
      </c>
      <c r="F17" s="9">
        <f>SUM('Counts data'!$B23:F23)</f>
        <v>861</v>
      </c>
      <c r="G17" s="9">
        <f>SUM('Counts data'!$B23:G23)</f>
        <v>865</v>
      </c>
      <c r="H17" s="9">
        <f>SUM('Counts data'!$B23:H23)</f>
        <v>873</v>
      </c>
      <c r="I17" s="9">
        <f>SUM('Counts data'!$B23:I23)</f>
        <v>873</v>
      </c>
      <c r="J17" s="18">
        <f>I17*'Table 2.5'!J$39</f>
        <v>873.51407372512074</v>
      </c>
      <c r="K17" s="18">
        <f>J17*'Table 2.5'!K$39</f>
        <v>873.83886070570486</v>
      </c>
      <c r="L17" s="18">
        <f>K17*'Table 2.5'!L$39</f>
        <v>874.02958560297066</v>
      </c>
      <c r="M17" s="18">
        <f>L17*'Table 2.5'!M$39</f>
        <v>874.30073744829576</v>
      </c>
      <c r="N17" s="9"/>
      <c r="O17" s="18"/>
      <c r="P17" s="18"/>
    </row>
    <row r="18" spans="1:16" ht="15.75" x14ac:dyDescent="0.25">
      <c r="A18" s="5">
        <v>1989</v>
      </c>
      <c r="B18" s="9">
        <f>SUM('Counts data'!$B24:B24)</f>
        <v>589</v>
      </c>
      <c r="C18" s="9">
        <f>SUM('Counts data'!$B24:C24)</f>
        <v>799</v>
      </c>
      <c r="D18" s="9">
        <f>SUM('Counts data'!$B24:D24)</f>
        <v>828</v>
      </c>
      <c r="E18" s="9">
        <f>SUM('Counts data'!$B24:E24)</f>
        <v>845</v>
      </c>
      <c r="F18" s="9">
        <f>SUM('Counts data'!$B24:F24)</f>
        <v>857</v>
      </c>
      <c r="G18" s="9">
        <f>SUM('Counts data'!$B24:G24)</f>
        <v>861</v>
      </c>
      <c r="H18" s="9">
        <f>SUM('Counts data'!$B24:H24)</f>
        <v>870</v>
      </c>
      <c r="I18" s="18">
        <f>H18*'Table 2.5'!I$39</f>
        <v>871.39587121617285</v>
      </c>
      <c r="J18" s="18">
        <f>I18*'Table 2.5'!J$39</f>
        <v>871.90900033595631</v>
      </c>
      <c r="K18" s="18">
        <f>J18*'Table 2.5'!K$39</f>
        <v>872.23319052370641</v>
      </c>
      <c r="L18" s="18">
        <f>K18*'Table 2.5'!L$39</f>
        <v>872.42356496587774</v>
      </c>
      <c r="M18" s="18">
        <f>L18*'Table 2.5'!M$39</f>
        <v>872.69421857239422</v>
      </c>
      <c r="N18" s="9"/>
      <c r="O18" s="18"/>
      <c r="P18" s="18"/>
    </row>
    <row r="19" spans="1:16" ht="15.75" x14ac:dyDescent="0.25">
      <c r="A19" s="5">
        <v>1990</v>
      </c>
      <c r="B19" s="9">
        <f>SUM('Counts data'!$B25:B25)</f>
        <v>564</v>
      </c>
      <c r="C19" s="9">
        <f>SUM('Counts data'!$B25:C25)</f>
        <v>760</v>
      </c>
      <c r="D19" s="9">
        <f>SUM('Counts data'!$B25:D25)</f>
        <v>783</v>
      </c>
      <c r="E19" s="9">
        <f>SUM('Counts data'!$B25:E25)</f>
        <v>795</v>
      </c>
      <c r="F19" s="9">
        <f>SUM('Counts data'!$B25:F25)</f>
        <v>804</v>
      </c>
      <c r="G19" s="9">
        <f>SUM('Counts data'!$B25:G25)</f>
        <v>809</v>
      </c>
      <c r="H19" s="18">
        <f>G19*'Table 2.5'!H$39</f>
        <v>813.93826917396859</v>
      </c>
      <c r="I19" s="18">
        <f>H19*'Table 2.5'!I$39</f>
        <v>815.24419216440708</v>
      </c>
      <c r="J19" s="18">
        <f>I19*'Table 2.5'!J$39</f>
        <v>815.72425587431428</v>
      </c>
      <c r="K19" s="18">
        <f>J19*'Table 2.5'!K$39</f>
        <v>816.02755564477457</v>
      </c>
      <c r="L19" s="18">
        <f>K19*'Table 2.5'!L$39</f>
        <v>816.20566259185023</v>
      </c>
      <c r="M19" s="18">
        <f>L19*'Table 2.5'!M$39</f>
        <v>816.45887561257871</v>
      </c>
      <c r="N19" s="9"/>
      <c r="O19" s="18"/>
      <c r="P19" s="18"/>
    </row>
    <row r="20" spans="1:16" ht="15.75" x14ac:dyDescent="0.25">
      <c r="A20" s="5">
        <v>1991</v>
      </c>
      <c r="B20" s="9">
        <f>SUM('Counts data'!$B26:B26)</f>
        <v>607</v>
      </c>
      <c r="C20" s="9">
        <f>SUM('Counts data'!$B26:C26)</f>
        <v>810</v>
      </c>
      <c r="D20" s="9">
        <f>SUM('Counts data'!$B26:D26)</f>
        <v>839</v>
      </c>
      <c r="E20" s="9">
        <f>SUM('Counts data'!$B26:E26)</f>
        <v>848</v>
      </c>
      <c r="F20" s="9">
        <f>SUM('Counts data'!$B26:F26)</f>
        <v>855</v>
      </c>
      <c r="G20" s="18">
        <f>F20*'Table 2.5'!G$39</f>
        <v>861.88986953184963</v>
      </c>
      <c r="H20" s="18">
        <f>G20*'Table 2.5'!H$39</f>
        <v>867.15098717593492</v>
      </c>
      <c r="I20" s="18">
        <f>H20*'Table 2.5'!I$39</f>
        <v>868.54228729441172</v>
      </c>
      <c r="J20" s="18">
        <f>I20*'Table 2.5'!J$39</f>
        <v>869.05373605621514</v>
      </c>
      <c r="K20" s="18">
        <f>J20*'Table 2.5'!K$39</f>
        <v>869.37686460947975</v>
      </c>
      <c r="L20" s="18">
        <f>K20*'Table 2.5'!L$39</f>
        <v>869.56661562725208</v>
      </c>
      <c r="M20" s="18">
        <f>L20*'Table 2.5'!M$39</f>
        <v>869.83638291699174</v>
      </c>
      <c r="N20" s="9"/>
      <c r="O20" s="18"/>
      <c r="P20" s="18"/>
    </row>
    <row r="21" spans="1:16" ht="15.75" x14ac:dyDescent="0.25">
      <c r="A21" s="5">
        <v>1992</v>
      </c>
      <c r="B21" s="9">
        <f>SUM('Counts data'!$B27:B27)</f>
        <v>674</v>
      </c>
      <c r="C21" s="9">
        <f>SUM('Counts data'!$B27:C27)</f>
        <v>843</v>
      </c>
      <c r="D21" s="9">
        <f>SUM('Counts data'!$B27:D27)</f>
        <v>863</v>
      </c>
      <c r="E21" s="9">
        <f>SUM('Counts data'!$B27:E27)</f>
        <v>875</v>
      </c>
      <c r="F21" s="18">
        <f>E21*'Table 2.5'!F$39</f>
        <v>884.84726688102899</v>
      </c>
      <c r="G21" s="18">
        <f>F21*'Table 2.5'!G$39</f>
        <v>891.97765544760682</v>
      </c>
      <c r="H21" s="18">
        <f>G21*'Table 2.5'!H$39</f>
        <v>897.42243388983889</v>
      </c>
      <c r="I21" s="18">
        <f>H21*'Table 2.5'!I$39</f>
        <v>898.86230302112006</v>
      </c>
      <c r="J21" s="18">
        <f>I21*'Table 2.5'!J$39</f>
        <v>899.39160599074739</v>
      </c>
      <c r="K21" s="18">
        <f>J21*'Table 2.5'!K$39</f>
        <v>899.72601466584376</v>
      </c>
      <c r="L21" s="18">
        <f>K21*'Table 2.5'!L$39</f>
        <v>899.92238971784809</v>
      </c>
      <c r="M21" s="18">
        <f>L21*'Table 2.5'!M$39</f>
        <v>900.20157433658494</v>
      </c>
      <c r="N21" s="9"/>
      <c r="O21" s="18"/>
      <c r="P21" s="18"/>
    </row>
    <row r="22" spans="1:16" ht="15.75" x14ac:dyDescent="0.25">
      <c r="A22" s="5">
        <v>1993</v>
      </c>
      <c r="B22" s="9">
        <f>SUM('Counts data'!$B28:B28)</f>
        <v>619</v>
      </c>
      <c r="C22" s="9">
        <f>SUM('Counts data'!$B28:C28)</f>
        <v>809</v>
      </c>
      <c r="D22" s="9">
        <f>SUM('Counts data'!$B28:D28)</f>
        <v>850</v>
      </c>
      <c r="E22" s="18">
        <f>D22*'Table 2.5'!E$39</f>
        <v>861.28772635814903</v>
      </c>
      <c r="F22" s="18">
        <f>E22*'Table 2.5'!F$39</f>
        <v>870.98067504706705</v>
      </c>
      <c r="G22" s="18">
        <f>F22*'Table 2.5'!G$39</f>
        <v>877.99932208313328</v>
      </c>
      <c r="H22" s="18">
        <f>G22*'Table 2.5'!H$39</f>
        <v>883.3587744774577</v>
      </c>
      <c r="I22" s="18">
        <f>H22*'Table 2.5'!I$39</f>
        <v>884.77607917498278</v>
      </c>
      <c r="J22" s="18">
        <f>I22*'Table 2.5'!J$39</f>
        <v>885.29708734785709</v>
      </c>
      <c r="K22" s="18">
        <f>J22*'Table 2.5'!K$39</f>
        <v>885.62625544779792</v>
      </c>
      <c r="L22" s="18">
        <f>K22*'Table 2.5'!L$39</f>
        <v>885.81955307300279</v>
      </c>
      <c r="M22" s="18">
        <f>L22*'Table 2.5'!M$39</f>
        <v>886.09436254215257</v>
      </c>
      <c r="N22" s="9"/>
      <c r="O22" s="18"/>
      <c r="P22" s="18"/>
    </row>
    <row r="23" spans="1:16" ht="15.75" x14ac:dyDescent="0.25">
      <c r="A23" s="5">
        <v>1994</v>
      </c>
      <c r="B23" s="9">
        <f>SUM('Counts data'!$B29:B29)</f>
        <v>660</v>
      </c>
      <c r="C23" s="9">
        <f>SUM('Counts data'!$B29:C29)</f>
        <v>821</v>
      </c>
      <c r="D23" s="18">
        <f>C23*'Table 2.5'!D$39</f>
        <v>851.0121852152721</v>
      </c>
      <c r="E23" s="18">
        <f>D23*'Table 2.5'!E$39</f>
        <v>862.31335306722553</v>
      </c>
      <c r="F23" s="18">
        <f>E23*'Table 2.5'!F$39</f>
        <v>872.01784417891452</v>
      </c>
      <c r="G23" s="18">
        <f>F23*'Table 2.5'!G$39</f>
        <v>879.04484906293499</v>
      </c>
      <c r="H23" s="18">
        <f>G23*'Table 2.5'!H$39</f>
        <v>884.41068352605407</v>
      </c>
      <c r="I23" s="18">
        <f>H23*'Table 2.5'!I$39</f>
        <v>885.829675958709</v>
      </c>
      <c r="J23" s="18">
        <f>I23*'Table 2.5'!J$39</f>
        <v>886.35130455131218</v>
      </c>
      <c r="K23" s="18">
        <f>J23*'Table 2.5'!K$39</f>
        <v>886.6808646266461</v>
      </c>
      <c r="L23" s="18">
        <f>K23*'Table 2.5'!L$39</f>
        <v>886.87439243184906</v>
      </c>
      <c r="M23" s="18">
        <f>L23*'Table 2.5'!M$39</f>
        <v>887.14952914580078</v>
      </c>
      <c r="N23" s="9"/>
      <c r="O23" s="18"/>
      <c r="P23" s="18"/>
    </row>
    <row r="24" spans="1:16" ht="15.75" x14ac:dyDescent="0.25">
      <c r="A24" s="5">
        <v>1995</v>
      </c>
      <c r="B24" s="9">
        <f>SUM('Counts data'!$B30:B30)</f>
        <v>660</v>
      </c>
      <c r="C24" s="18">
        <f>B24*'Table 2.5'!C39</f>
        <v>835.7296466973886</v>
      </c>
      <c r="D24" s="18">
        <f>C24*'Table 2.5'!D$39</f>
        <v>866.28028366033129</v>
      </c>
      <c r="E24" s="18">
        <f>D24*'Table 2.5'!E$39</f>
        <v>877.78420694435192</v>
      </c>
      <c r="F24" s="18">
        <f>E24*'Table 2.5'!F$39</f>
        <v>887.66280734404722</v>
      </c>
      <c r="G24" s="18">
        <f>F24*'Table 2.5'!G$39</f>
        <v>894.81588445618274</v>
      </c>
      <c r="H24" s="18">
        <f>G24*'Table 2.5'!H$39</f>
        <v>900.27798791549969</v>
      </c>
      <c r="I24" s="18">
        <f>H24*'Table 2.5'!I$39</f>
        <v>901.72243863950575</v>
      </c>
      <c r="J24" s="18">
        <f>I24*'Table 2.5'!J$39</f>
        <v>902.25342582513736</v>
      </c>
      <c r="K24" s="18">
        <f>J24*'Table 2.5'!K$39</f>
        <v>902.58889857218287</v>
      </c>
      <c r="L24" s="18">
        <f>K24*'Table 2.5'!L$39</f>
        <v>902.78589847993976</v>
      </c>
      <c r="M24" s="18">
        <f>L24*'Table 2.5'!M$39</f>
        <v>903.06597145039575</v>
      </c>
      <c r="N24" s="9"/>
      <c r="O24" s="18"/>
      <c r="P24" s="18"/>
    </row>
    <row r="25" spans="1:16" ht="15.75" x14ac:dyDescent="0.25">
      <c r="O25" s="3"/>
      <c r="P25" s="3"/>
    </row>
    <row r="26" spans="1:16" ht="15.75" x14ac:dyDescent="0.25">
      <c r="A26" s="3"/>
      <c r="O26" s="18"/>
      <c r="P26" s="3"/>
    </row>
    <row r="27" spans="1:16" ht="15" x14ac:dyDescent="0.2">
      <c r="A27" s="1" t="s">
        <v>50</v>
      </c>
    </row>
    <row r="28" spans="1:16" ht="15" x14ac:dyDescent="0.2">
      <c r="A28" s="1" t="s">
        <v>51</v>
      </c>
    </row>
    <row r="30" spans="1:16" ht="15.75" x14ac:dyDescent="0.25">
      <c r="A30" s="7" t="s">
        <v>3</v>
      </c>
      <c r="B30" s="3" t="s">
        <v>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N30" s="22"/>
      <c r="O30" s="3" t="s">
        <v>35</v>
      </c>
      <c r="P30" s="3"/>
    </row>
    <row r="31" spans="1:16" ht="15.75" x14ac:dyDescent="0.25">
      <c r="A31" s="7" t="s">
        <v>4</v>
      </c>
      <c r="B31" s="3">
        <v>0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  <c r="H31" s="3">
        <v>6</v>
      </c>
      <c r="I31" s="3">
        <v>7</v>
      </c>
      <c r="J31" s="3">
        <v>8</v>
      </c>
      <c r="K31" s="3">
        <v>9</v>
      </c>
      <c r="L31" s="3">
        <v>10</v>
      </c>
      <c r="M31" s="19" t="s">
        <v>25</v>
      </c>
      <c r="N31" s="22" t="s">
        <v>36</v>
      </c>
      <c r="O31" s="3" t="s">
        <v>33</v>
      </c>
      <c r="P31" s="3" t="s">
        <v>34</v>
      </c>
    </row>
    <row r="32" spans="1:16" ht="15" x14ac:dyDescent="0.2">
      <c r="A32" s="6"/>
      <c r="N32" s="23"/>
    </row>
    <row r="33" spans="1:16" ht="15.75" x14ac:dyDescent="0.25">
      <c r="A33" s="5">
        <v>1978</v>
      </c>
      <c r="B33" s="9">
        <f>B7</f>
        <v>368</v>
      </c>
      <c r="C33" s="9">
        <f>C7-B7</f>
        <v>191</v>
      </c>
      <c r="D33" s="9">
        <f t="shared" ref="D33:M33" si="1">D7-C7</f>
        <v>28</v>
      </c>
      <c r="E33" s="9">
        <f t="shared" si="1"/>
        <v>8</v>
      </c>
      <c r="F33" s="9">
        <f t="shared" si="1"/>
        <v>6</v>
      </c>
      <c r="G33" s="9">
        <f t="shared" si="1"/>
        <v>5</v>
      </c>
      <c r="H33" s="9">
        <f t="shared" si="1"/>
        <v>3</v>
      </c>
      <c r="I33" s="9">
        <f t="shared" si="1"/>
        <v>1</v>
      </c>
      <c r="J33" s="9">
        <f t="shared" si="1"/>
        <v>0</v>
      </c>
      <c r="K33" s="9">
        <f t="shared" si="1"/>
        <v>0</v>
      </c>
      <c r="L33" s="9">
        <f t="shared" si="1"/>
        <v>1</v>
      </c>
      <c r="M33" s="9">
        <f t="shared" si="1"/>
        <v>0</v>
      </c>
      <c r="N33" s="40">
        <f>SUM(B33:L33)</f>
        <v>611</v>
      </c>
      <c r="O33" s="18">
        <f>P33-N33</f>
        <v>0</v>
      </c>
      <c r="P33" s="18">
        <f>SUM(B33:M33)</f>
        <v>611</v>
      </c>
    </row>
    <row r="34" spans="1:16" ht="15.75" x14ac:dyDescent="0.25">
      <c r="A34" s="5">
        <v>1979</v>
      </c>
      <c r="B34" s="9">
        <f t="shared" ref="B34:B50" si="2">B8</f>
        <v>393</v>
      </c>
      <c r="C34" s="9">
        <f t="shared" ref="C34:M50" si="3">C8-B8</f>
        <v>151</v>
      </c>
      <c r="D34" s="9">
        <f t="shared" si="3"/>
        <v>25</v>
      </c>
      <c r="E34" s="9">
        <f t="shared" si="3"/>
        <v>6</v>
      </c>
      <c r="F34" s="9">
        <f t="shared" si="3"/>
        <v>4</v>
      </c>
      <c r="G34" s="9">
        <f t="shared" si="3"/>
        <v>5</v>
      </c>
      <c r="H34" s="9">
        <f t="shared" si="3"/>
        <v>4</v>
      </c>
      <c r="I34" s="9">
        <f t="shared" si="3"/>
        <v>1</v>
      </c>
      <c r="J34" s="9">
        <f t="shared" si="3"/>
        <v>2</v>
      </c>
      <c r="K34" s="9">
        <f t="shared" si="3"/>
        <v>1</v>
      </c>
      <c r="L34" s="9">
        <f t="shared" si="3"/>
        <v>0</v>
      </c>
      <c r="M34" s="9">
        <f t="shared" si="3"/>
        <v>0</v>
      </c>
      <c r="N34" s="40">
        <f t="shared" ref="N34:N40" si="4">SUM(B34:L34)</f>
        <v>592</v>
      </c>
      <c r="O34" s="18">
        <f t="shared" ref="O34:O50" si="5">P34-N34</f>
        <v>0</v>
      </c>
      <c r="P34" s="18">
        <f t="shared" ref="P34:P50" si="6">SUM(B34:M34)</f>
        <v>592</v>
      </c>
    </row>
    <row r="35" spans="1:16" ht="15.75" x14ac:dyDescent="0.25">
      <c r="A35" s="5">
        <v>1980</v>
      </c>
      <c r="B35" s="9">
        <f t="shared" si="2"/>
        <v>517</v>
      </c>
      <c r="C35" s="9">
        <f t="shared" si="3"/>
        <v>185</v>
      </c>
      <c r="D35" s="9">
        <f t="shared" si="3"/>
        <v>29</v>
      </c>
      <c r="E35" s="9">
        <f t="shared" si="3"/>
        <v>17</v>
      </c>
      <c r="F35" s="9">
        <f t="shared" si="3"/>
        <v>11</v>
      </c>
      <c r="G35" s="9">
        <f t="shared" si="3"/>
        <v>10</v>
      </c>
      <c r="H35" s="9">
        <f t="shared" si="3"/>
        <v>8</v>
      </c>
      <c r="I35" s="9">
        <f t="shared" si="3"/>
        <v>1</v>
      </c>
      <c r="J35" s="9">
        <f t="shared" si="3"/>
        <v>0</v>
      </c>
      <c r="K35" s="9">
        <f t="shared" si="3"/>
        <v>0</v>
      </c>
      <c r="L35" s="9">
        <f t="shared" si="3"/>
        <v>1</v>
      </c>
      <c r="M35" s="9">
        <f t="shared" si="3"/>
        <v>0</v>
      </c>
      <c r="N35" s="40">
        <f t="shared" si="4"/>
        <v>779</v>
      </c>
      <c r="O35" s="18">
        <f t="shared" si="5"/>
        <v>0</v>
      </c>
      <c r="P35" s="18">
        <f t="shared" si="6"/>
        <v>779</v>
      </c>
    </row>
    <row r="36" spans="1:16" ht="15.75" x14ac:dyDescent="0.25">
      <c r="A36" s="5">
        <v>1981</v>
      </c>
      <c r="B36" s="9">
        <f t="shared" si="2"/>
        <v>578</v>
      </c>
      <c r="C36" s="9">
        <f t="shared" si="3"/>
        <v>254</v>
      </c>
      <c r="D36" s="9">
        <f t="shared" si="3"/>
        <v>49</v>
      </c>
      <c r="E36" s="9">
        <f t="shared" si="3"/>
        <v>22</v>
      </c>
      <c r="F36" s="9">
        <f t="shared" si="3"/>
        <v>17</v>
      </c>
      <c r="G36" s="9">
        <f t="shared" si="3"/>
        <v>6</v>
      </c>
      <c r="H36" s="9">
        <f t="shared" si="3"/>
        <v>3</v>
      </c>
      <c r="I36" s="9">
        <f t="shared" si="3"/>
        <v>0</v>
      </c>
      <c r="J36" s="9">
        <f t="shared" si="3"/>
        <v>1</v>
      </c>
      <c r="K36" s="9">
        <f t="shared" si="3"/>
        <v>0</v>
      </c>
      <c r="L36" s="9">
        <f t="shared" si="3"/>
        <v>0</v>
      </c>
      <c r="M36" s="9">
        <f t="shared" si="3"/>
        <v>0</v>
      </c>
      <c r="N36" s="40">
        <f t="shared" si="4"/>
        <v>930</v>
      </c>
      <c r="O36" s="18">
        <f t="shared" si="5"/>
        <v>0</v>
      </c>
      <c r="P36" s="18">
        <f t="shared" si="6"/>
        <v>930</v>
      </c>
    </row>
    <row r="37" spans="1:16" ht="15.75" x14ac:dyDescent="0.25">
      <c r="A37" s="5">
        <v>1982</v>
      </c>
      <c r="B37" s="9">
        <f t="shared" si="2"/>
        <v>622</v>
      </c>
      <c r="C37" s="9">
        <f t="shared" si="3"/>
        <v>206</v>
      </c>
      <c r="D37" s="9">
        <f t="shared" si="3"/>
        <v>39</v>
      </c>
      <c r="E37" s="9">
        <f t="shared" si="3"/>
        <v>16</v>
      </c>
      <c r="F37" s="9">
        <f t="shared" si="3"/>
        <v>3</v>
      </c>
      <c r="G37" s="9">
        <f t="shared" si="3"/>
        <v>7</v>
      </c>
      <c r="H37" s="9">
        <f t="shared" si="3"/>
        <v>0</v>
      </c>
      <c r="I37" s="9">
        <f t="shared" si="3"/>
        <v>1</v>
      </c>
      <c r="J37" s="9">
        <f t="shared" si="3"/>
        <v>0</v>
      </c>
      <c r="K37" s="9">
        <f t="shared" si="3"/>
        <v>0</v>
      </c>
      <c r="L37" s="9">
        <f t="shared" si="3"/>
        <v>0</v>
      </c>
      <c r="M37" s="9">
        <f t="shared" si="3"/>
        <v>0</v>
      </c>
      <c r="N37" s="40">
        <f t="shared" si="4"/>
        <v>894</v>
      </c>
      <c r="O37" s="18">
        <f t="shared" si="5"/>
        <v>0</v>
      </c>
      <c r="P37" s="18">
        <f t="shared" si="6"/>
        <v>894</v>
      </c>
    </row>
    <row r="38" spans="1:16" ht="15.75" x14ac:dyDescent="0.25">
      <c r="A38" s="5">
        <v>1983</v>
      </c>
      <c r="B38" s="9">
        <f t="shared" si="2"/>
        <v>660</v>
      </c>
      <c r="C38" s="9">
        <f t="shared" si="3"/>
        <v>243</v>
      </c>
      <c r="D38" s="9">
        <f t="shared" si="3"/>
        <v>28</v>
      </c>
      <c r="E38" s="9">
        <f t="shared" si="3"/>
        <v>12</v>
      </c>
      <c r="F38" s="9">
        <f t="shared" si="3"/>
        <v>12</v>
      </c>
      <c r="G38" s="9">
        <f t="shared" si="3"/>
        <v>4</v>
      </c>
      <c r="H38" s="9">
        <f t="shared" si="3"/>
        <v>4</v>
      </c>
      <c r="I38" s="9">
        <f t="shared" si="3"/>
        <v>1</v>
      </c>
      <c r="J38" s="9">
        <f t="shared" si="3"/>
        <v>0</v>
      </c>
      <c r="K38" s="9">
        <f t="shared" si="3"/>
        <v>0</v>
      </c>
      <c r="L38" s="9">
        <f t="shared" si="3"/>
        <v>0</v>
      </c>
      <c r="M38" s="9">
        <f t="shared" si="3"/>
        <v>0</v>
      </c>
      <c r="N38" s="40">
        <f t="shared" si="4"/>
        <v>964</v>
      </c>
      <c r="O38" s="18">
        <f t="shared" si="5"/>
        <v>0</v>
      </c>
      <c r="P38" s="18">
        <f t="shared" si="6"/>
        <v>964</v>
      </c>
    </row>
    <row r="39" spans="1:16" ht="15.75" x14ac:dyDescent="0.25">
      <c r="A39" s="5">
        <v>1984</v>
      </c>
      <c r="B39" s="9">
        <f t="shared" si="2"/>
        <v>666</v>
      </c>
      <c r="C39" s="9">
        <f t="shared" si="3"/>
        <v>234</v>
      </c>
      <c r="D39" s="9">
        <f t="shared" si="3"/>
        <v>53</v>
      </c>
      <c r="E39" s="9">
        <f t="shared" si="3"/>
        <v>10</v>
      </c>
      <c r="F39" s="9">
        <f t="shared" si="3"/>
        <v>8</v>
      </c>
      <c r="G39" s="9">
        <f t="shared" si="3"/>
        <v>4</v>
      </c>
      <c r="H39" s="9">
        <f t="shared" si="3"/>
        <v>6</v>
      </c>
      <c r="I39" s="9">
        <f t="shared" si="3"/>
        <v>1</v>
      </c>
      <c r="J39" s="9">
        <f t="shared" si="3"/>
        <v>0</v>
      </c>
      <c r="K39" s="9">
        <f t="shared" si="3"/>
        <v>0</v>
      </c>
      <c r="L39" s="9">
        <f t="shared" si="3"/>
        <v>0</v>
      </c>
      <c r="M39" s="9">
        <f t="shared" si="3"/>
        <v>0</v>
      </c>
      <c r="N39" s="40">
        <f t="shared" si="4"/>
        <v>982</v>
      </c>
      <c r="O39" s="18">
        <f t="shared" si="5"/>
        <v>0</v>
      </c>
      <c r="P39" s="18">
        <f t="shared" si="6"/>
        <v>982</v>
      </c>
    </row>
    <row r="40" spans="1:16" ht="15.75" x14ac:dyDescent="0.25">
      <c r="A40" s="5">
        <v>1985</v>
      </c>
      <c r="B40" s="9">
        <f t="shared" si="2"/>
        <v>573</v>
      </c>
      <c r="C40" s="9">
        <f t="shared" si="3"/>
        <v>266</v>
      </c>
      <c r="D40" s="9">
        <f t="shared" si="3"/>
        <v>62</v>
      </c>
      <c r="E40" s="9">
        <f t="shared" si="3"/>
        <v>12</v>
      </c>
      <c r="F40" s="9">
        <f t="shared" si="3"/>
        <v>5</v>
      </c>
      <c r="G40" s="9">
        <f t="shared" si="3"/>
        <v>7</v>
      </c>
      <c r="H40" s="9">
        <f t="shared" si="3"/>
        <v>6</v>
      </c>
      <c r="I40" s="9">
        <f t="shared" si="3"/>
        <v>5</v>
      </c>
      <c r="J40" s="9">
        <f t="shared" si="3"/>
        <v>1</v>
      </c>
      <c r="K40" s="9">
        <f t="shared" si="3"/>
        <v>0</v>
      </c>
      <c r="L40" s="9">
        <f t="shared" si="3"/>
        <v>1</v>
      </c>
      <c r="M40" s="18">
        <f t="shared" si="3"/>
        <v>0.29099750752652653</v>
      </c>
      <c r="N40" s="40">
        <f t="shared" si="4"/>
        <v>938</v>
      </c>
      <c r="O40" s="18">
        <f t="shared" si="5"/>
        <v>0.29099750752652653</v>
      </c>
      <c r="P40" s="18">
        <f t="shared" si="6"/>
        <v>938.29099750752653</v>
      </c>
    </row>
    <row r="41" spans="1:16" ht="15.75" x14ac:dyDescent="0.25">
      <c r="A41" s="5">
        <v>1986</v>
      </c>
      <c r="B41" s="9">
        <f t="shared" si="2"/>
        <v>582</v>
      </c>
      <c r="C41" s="9">
        <f t="shared" si="3"/>
        <v>281</v>
      </c>
      <c r="D41" s="9">
        <f t="shared" si="3"/>
        <v>32</v>
      </c>
      <c r="E41" s="9">
        <f t="shared" si="3"/>
        <v>27</v>
      </c>
      <c r="F41" s="9">
        <f t="shared" si="3"/>
        <v>12</v>
      </c>
      <c r="G41" s="9">
        <f t="shared" si="3"/>
        <v>13</v>
      </c>
      <c r="H41" s="9">
        <f t="shared" si="3"/>
        <v>6</v>
      </c>
      <c r="I41" s="9">
        <f t="shared" si="3"/>
        <v>2</v>
      </c>
      <c r="J41" s="9">
        <f t="shared" si="3"/>
        <v>1</v>
      </c>
      <c r="K41" s="9">
        <f t="shared" si="3"/>
        <v>0</v>
      </c>
      <c r="L41" s="18">
        <f t="shared" si="3"/>
        <v>0.20865746533502261</v>
      </c>
      <c r="M41" s="18">
        <f t="shared" si="3"/>
        <v>0.29664641364365707</v>
      </c>
      <c r="N41" s="40">
        <f>SUM(B41:K41)</f>
        <v>956</v>
      </c>
      <c r="O41" s="18">
        <f t="shared" si="5"/>
        <v>0.50530387897867968</v>
      </c>
      <c r="P41" s="18">
        <f t="shared" si="6"/>
        <v>956.50530387897868</v>
      </c>
    </row>
    <row r="42" spans="1:16" ht="15.75" x14ac:dyDescent="0.25">
      <c r="A42" s="5">
        <v>1987</v>
      </c>
      <c r="B42" s="9">
        <f t="shared" si="2"/>
        <v>545</v>
      </c>
      <c r="C42" s="9">
        <f t="shared" si="3"/>
        <v>220</v>
      </c>
      <c r="D42" s="9">
        <f t="shared" si="3"/>
        <v>43</v>
      </c>
      <c r="E42" s="9">
        <f t="shared" si="3"/>
        <v>18</v>
      </c>
      <c r="F42" s="9">
        <f t="shared" si="3"/>
        <v>12</v>
      </c>
      <c r="G42" s="9">
        <f t="shared" si="3"/>
        <v>9</v>
      </c>
      <c r="H42" s="9">
        <f t="shared" si="3"/>
        <v>5</v>
      </c>
      <c r="I42" s="9">
        <f t="shared" si="3"/>
        <v>2</v>
      </c>
      <c r="J42" s="9">
        <f t="shared" si="3"/>
        <v>0</v>
      </c>
      <c r="K42" s="18">
        <f t="shared" si="3"/>
        <v>0.31753132520930194</v>
      </c>
      <c r="L42" s="18">
        <f t="shared" si="3"/>
        <v>0.18646415342846012</v>
      </c>
      <c r="M42" s="18">
        <f t="shared" si="3"/>
        <v>0.26509438470759505</v>
      </c>
      <c r="N42" s="40">
        <f>SUM(B42:J42)</f>
        <v>854</v>
      </c>
      <c r="O42" s="18">
        <f t="shared" si="5"/>
        <v>0.76908986334535712</v>
      </c>
      <c r="P42" s="18">
        <f t="shared" si="6"/>
        <v>854.76908986334536</v>
      </c>
    </row>
    <row r="43" spans="1:16" ht="15.75" x14ac:dyDescent="0.25">
      <c r="A43" s="5">
        <v>1988</v>
      </c>
      <c r="B43" s="9">
        <f t="shared" si="2"/>
        <v>509</v>
      </c>
      <c r="C43" s="9">
        <f t="shared" si="3"/>
        <v>266</v>
      </c>
      <c r="D43" s="9">
        <f t="shared" si="3"/>
        <v>49</v>
      </c>
      <c r="E43" s="9">
        <f t="shared" si="3"/>
        <v>22</v>
      </c>
      <c r="F43" s="9">
        <f t="shared" si="3"/>
        <v>15</v>
      </c>
      <c r="G43" s="9">
        <f t="shared" si="3"/>
        <v>4</v>
      </c>
      <c r="H43" s="9">
        <f t="shared" si="3"/>
        <v>8</v>
      </c>
      <c r="I43" s="9">
        <f t="shared" si="3"/>
        <v>0</v>
      </c>
      <c r="J43" s="18">
        <f t="shared" si="3"/>
        <v>0.51407372512073835</v>
      </c>
      <c r="K43" s="18">
        <f t="shared" si="3"/>
        <v>0.32478698058412192</v>
      </c>
      <c r="L43" s="18">
        <f t="shared" si="3"/>
        <v>0.19072489726579533</v>
      </c>
      <c r="M43" s="18">
        <f t="shared" si="3"/>
        <v>0.27115184532510739</v>
      </c>
      <c r="N43" s="40">
        <f>SUM(B43:I43)</f>
        <v>873</v>
      </c>
      <c r="O43" s="18">
        <f t="shared" si="5"/>
        <v>1.300737448295763</v>
      </c>
      <c r="P43" s="18">
        <f t="shared" si="6"/>
        <v>874.30073744829576</v>
      </c>
    </row>
    <row r="44" spans="1:16" x14ac:dyDescent="0.2">
      <c r="A44" s="5">
        <v>1989</v>
      </c>
      <c r="B44" s="9">
        <f t="shared" si="2"/>
        <v>589</v>
      </c>
      <c r="C44" s="9">
        <f t="shared" si="3"/>
        <v>210</v>
      </c>
      <c r="D44" s="9">
        <f t="shared" si="3"/>
        <v>29</v>
      </c>
      <c r="E44" s="9">
        <f t="shared" si="3"/>
        <v>17</v>
      </c>
      <c r="F44" s="9">
        <f t="shared" si="3"/>
        <v>12</v>
      </c>
      <c r="G44" s="9">
        <f t="shared" si="3"/>
        <v>4</v>
      </c>
      <c r="H44" s="9">
        <f t="shared" si="3"/>
        <v>9</v>
      </c>
      <c r="I44" s="18">
        <f t="shared" si="3"/>
        <v>1.3958712161728499</v>
      </c>
      <c r="J44" s="18">
        <f t="shared" si="3"/>
        <v>0.5131291197834571</v>
      </c>
      <c r="K44" s="18">
        <f t="shared" si="3"/>
        <v>0.324190187750105</v>
      </c>
      <c r="L44" s="18">
        <f t="shared" si="3"/>
        <v>0.1903744421713327</v>
      </c>
      <c r="M44" s="18">
        <f t="shared" si="3"/>
        <v>0.27065360651647552</v>
      </c>
      <c r="N44" s="40">
        <f>SUM(B44:H44)</f>
        <v>870</v>
      </c>
      <c r="O44" s="18">
        <f t="shared" si="5"/>
        <v>2.6942185723942202</v>
      </c>
      <c r="P44" s="18">
        <f t="shared" si="6"/>
        <v>872.69421857239422</v>
      </c>
    </row>
    <row r="45" spans="1:16" x14ac:dyDescent="0.2">
      <c r="A45" s="5">
        <v>1990</v>
      </c>
      <c r="B45" s="9">
        <f t="shared" si="2"/>
        <v>564</v>
      </c>
      <c r="C45" s="9">
        <f t="shared" si="3"/>
        <v>196</v>
      </c>
      <c r="D45" s="9">
        <f t="shared" si="3"/>
        <v>23</v>
      </c>
      <c r="E45" s="9">
        <f t="shared" si="3"/>
        <v>12</v>
      </c>
      <c r="F45" s="9">
        <f t="shared" si="3"/>
        <v>9</v>
      </c>
      <c r="G45" s="9">
        <f t="shared" si="3"/>
        <v>5</v>
      </c>
      <c r="H45" s="18">
        <f t="shared" si="3"/>
        <v>4.9382691739685924</v>
      </c>
      <c r="I45" s="18">
        <f t="shared" si="3"/>
        <v>1.3059229904384893</v>
      </c>
      <c r="J45" s="18">
        <f t="shared" si="3"/>
        <v>0.48006370990719915</v>
      </c>
      <c r="K45" s="18">
        <f t="shared" si="3"/>
        <v>0.30329977046028489</v>
      </c>
      <c r="L45" s="18">
        <f t="shared" si="3"/>
        <v>0.17810694707566199</v>
      </c>
      <c r="M45" s="18">
        <f t="shared" si="3"/>
        <v>0.25321302072848084</v>
      </c>
      <c r="N45" s="40">
        <f>SUM(B45:G45)</f>
        <v>809</v>
      </c>
      <c r="O45" s="18">
        <f t="shared" si="5"/>
        <v>7.4588756125787086</v>
      </c>
      <c r="P45" s="18">
        <f t="shared" si="6"/>
        <v>816.45887561257871</v>
      </c>
    </row>
    <row r="46" spans="1:16" x14ac:dyDescent="0.2">
      <c r="A46" s="5">
        <v>1991</v>
      </c>
      <c r="B46" s="9">
        <f t="shared" si="2"/>
        <v>607</v>
      </c>
      <c r="C46" s="9">
        <f t="shared" si="3"/>
        <v>203</v>
      </c>
      <c r="D46" s="9">
        <f t="shared" si="3"/>
        <v>29</v>
      </c>
      <c r="E46" s="9">
        <f t="shared" si="3"/>
        <v>9</v>
      </c>
      <c r="F46" s="9">
        <f t="shared" si="3"/>
        <v>7</v>
      </c>
      <c r="G46" s="18">
        <f t="shared" si="3"/>
        <v>6.8898695318496266</v>
      </c>
      <c r="H46" s="18">
        <f t="shared" si="3"/>
        <v>5.2611176440852887</v>
      </c>
      <c r="I46" s="18">
        <f t="shared" si="3"/>
        <v>1.3913001184768063</v>
      </c>
      <c r="J46" s="18">
        <f t="shared" si="3"/>
        <v>0.5114487618034218</v>
      </c>
      <c r="K46" s="18">
        <f t="shared" si="3"/>
        <v>0.32312855326460976</v>
      </c>
      <c r="L46" s="18">
        <f t="shared" si="3"/>
        <v>0.18975101777232339</v>
      </c>
      <c r="M46" s="18">
        <f t="shared" si="3"/>
        <v>0.26976728973966146</v>
      </c>
      <c r="N46" s="40">
        <f>SUM(B46:F46)</f>
        <v>855</v>
      </c>
      <c r="O46" s="18">
        <f t="shared" si="5"/>
        <v>14.836382916991738</v>
      </c>
      <c r="P46" s="18">
        <f t="shared" si="6"/>
        <v>869.83638291699174</v>
      </c>
    </row>
    <row r="47" spans="1:16" x14ac:dyDescent="0.2">
      <c r="A47" s="5">
        <v>1992</v>
      </c>
      <c r="B47" s="9">
        <f t="shared" si="2"/>
        <v>674</v>
      </c>
      <c r="C47" s="9">
        <f t="shared" si="3"/>
        <v>169</v>
      </c>
      <c r="D47" s="9">
        <f t="shared" si="3"/>
        <v>20</v>
      </c>
      <c r="E47" s="9">
        <f t="shared" si="3"/>
        <v>12</v>
      </c>
      <c r="F47" s="18">
        <f t="shared" si="3"/>
        <v>9.8472668810289861</v>
      </c>
      <c r="G47" s="18">
        <f t="shared" si="3"/>
        <v>7.1303885665778353</v>
      </c>
      <c r="H47" s="18">
        <f t="shared" si="3"/>
        <v>5.4447784422320638</v>
      </c>
      <c r="I47" s="18">
        <f t="shared" si="3"/>
        <v>1.4398691312811707</v>
      </c>
      <c r="J47" s="18">
        <f t="shared" si="3"/>
        <v>0.52930296962733792</v>
      </c>
      <c r="K47" s="18">
        <f t="shared" si="3"/>
        <v>0.33440867509636973</v>
      </c>
      <c r="L47" s="18">
        <f t="shared" si="3"/>
        <v>0.1963750520043277</v>
      </c>
      <c r="M47" s="18">
        <f t="shared" si="3"/>
        <v>0.27918461873684919</v>
      </c>
      <c r="N47" s="40">
        <f>SUM(B47:E47)</f>
        <v>875</v>
      </c>
      <c r="O47" s="18">
        <f t="shared" si="5"/>
        <v>25.20157433658494</v>
      </c>
      <c r="P47" s="18">
        <f t="shared" si="6"/>
        <v>900.20157433658494</v>
      </c>
    </row>
    <row r="48" spans="1:16" x14ac:dyDescent="0.2">
      <c r="A48" s="5">
        <v>1993</v>
      </c>
      <c r="B48" s="9">
        <f t="shared" si="2"/>
        <v>619</v>
      </c>
      <c r="C48" s="9">
        <f t="shared" si="3"/>
        <v>190</v>
      </c>
      <c r="D48" s="9">
        <f t="shared" si="3"/>
        <v>41</v>
      </c>
      <c r="E48" s="18">
        <f t="shared" si="3"/>
        <v>11.28772635814903</v>
      </c>
      <c r="F48" s="18">
        <f t="shared" si="3"/>
        <v>9.6929486889180225</v>
      </c>
      <c r="G48" s="18">
        <f t="shared" si="3"/>
        <v>7.018647036066227</v>
      </c>
      <c r="H48" s="18">
        <f t="shared" si="3"/>
        <v>5.3594523943244212</v>
      </c>
      <c r="I48" s="18">
        <f t="shared" si="3"/>
        <v>1.4173046975250827</v>
      </c>
      <c r="J48" s="18">
        <f t="shared" si="3"/>
        <v>0.52100817287430345</v>
      </c>
      <c r="K48" s="18">
        <f t="shared" si="3"/>
        <v>0.32916809994082996</v>
      </c>
      <c r="L48" s="18">
        <f t="shared" si="3"/>
        <v>0.19329762520487748</v>
      </c>
      <c r="M48" s="18">
        <f t="shared" si="3"/>
        <v>0.27480946914977267</v>
      </c>
      <c r="N48" s="40">
        <f>SUM(B48:D48)</f>
        <v>850</v>
      </c>
      <c r="O48" s="18">
        <f t="shared" si="5"/>
        <v>36.094362542152567</v>
      </c>
      <c r="P48" s="18">
        <f t="shared" si="6"/>
        <v>886.09436254215257</v>
      </c>
    </row>
    <row r="49" spans="1:16" x14ac:dyDescent="0.2">
      <c r="A49" s="5">
        <v>1994</v>
      </c>
      <c r="B49" s="9">
        <f t="shared" si="2"/>
        <v>660</v>
      </c>
      <c r="C49" s="9">
        <f t="shared" si="3"/>
        <v>161</v>
      </c>
      <c r="D49" s="18">
        <f t="shared" si="3"/>
        <v>30.012185215272098</v>
      </c>
      <c r="E49" s="18">
        <f t="shared" si="3"/>
        <v>11.301167851953437</v>
      </c>
      <c r="F49" s="18">
        <f t="shared" si="3"/>
        <v>9.7044911116889807</v>
      </c>
      <c r="G49" s="18">
        <f t="shared" si="3"/>
        <v>7.0270048840204709</v>
      </c>
      <c r="H49" s="18">
        <f t="shared" si="3"/>
        <v>5.3658344631190857</v>
      </c>
      <c r="I49" s="18">
        <f t="shared" si="3"/>
        <v>1.4189924326549317</v>
      </c>
      <c r="J49" s="18">
        <f t="shared" si="3"/>
        <v>0.52162859260317873</v>
      </c>
      <c r="K49" s="18">
        <f t="shared" si="3"/>
        <v>0.32956007533391585</v>
      </c>
      <c r="L49" s="18">
        <f t="shared" si="3"/>
        <v>0.19352780520296164</v>
      </c>
      <c r="M49" s="18">
        <f t="shared" si="3"/>
        <v>0.27513671395172423</v>
      </c>
      <c r="N49" s="40">
        <f>SUM(B49:C49)</f>
        <v>821</v>
      </c>
      <c r="O49" s="18">
        <f t="shared" si="5"/>
        <v>66.149529145800784</v>
      </c>
      <c r="P49" s="18">
        <f t="shared" si="6"/>
        <v>887.14952914580078</v>
      </c>
    </row>
    <row r="50" spans="1:16" x14ac:dyDescent="0.2">
      <c r="A50" s="5">
        <v>1995</v>
      </c>
      <c r="B50" s="9">
        <f t="shared" si="2"/>
        <v>660</v>
      </c>
      <c r="C50" s="18">
        <f t="shared" si="3"/>
        <v>175.7296466973886</v>
      </c>
      <c r="D50" s="18">
        <f t="shared" si="3"/>
        <v>30.55063696294269</v>
      </c>
      <c r="E50" s="18">
        <f t="shared" si="3"/>
        <v>11.50392328402063</v>
      </c>
      <c r="F50" s="18">
        <f t="shared" si="3"/>
        <v>9.8786003996953013</v>
      </c>
      <c r="G50" s="18">
        <f t="shared" si="3"/>
        <v>7.1530771121355201</v>
      </c>
      <c r="H50" s="18">
        <f>H24-G24</f>
        <v>5.4621034593169497</v>
      </c>
      <c r="I50" s="18">
        <f t="shared" si="3"/>
        <v>1.4444507240060602</v>
      </c>
      <c r="J50" s="18">
        <f t="shared" si="3"/>
        <v>0.53098718563160219</v>
      </c>
      <c r="K50" s="18">
        <f t="shared" si="3"/>
        <v>0.33547274704551455</v>
      </c>
      <c r="L50" s="18">
        <f t="shared" si="3"/>
        <v>0.19699990775689002</v>
      </c>
      <c r="M50" s="18">
        <f t="shared" si="3"/>
        <v>0.28007297045598989</v>
      </c>
      <c r="N50" s="40">
        <f>SUM(B50)</f>
        <v>660</v>
      </c>
      <c r="O50" s="18">
        <f t="shared" si="5"/>
        <v>243.06597145039575</v>
      </c>
      <c r="P50" s="18">
        <f t="shared" si="6"/>
        <v>903.06597145039575</v>
      </c>
    </row>
    <row r="51" spans="1:16" x14ac:dyDescent="0.2">
      <c r="O51" s="3"/>
      <c r="P51" s="3"/>
    </row>
    <row r="52" spans="1:16" ht="17" thickBot="1" x14ac:dyDescent="0.25">
      <c r="O52" s="25">
        <f>SUM(O33:O50)</f>
        <v>398.36704327504503</v>
      </c>
      <c r="P52" s="3"/>
    </row>
    <row r="53" spans="1:16" ht="17" thickTop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8597-9A62-DF4F-B1AB-39607C543170}">
  <dimension ref="A1:H59"/>
  <sheetViews>
    <sheetView workbookViewId="0">
      <selection activeCell="C11" sqref="C11"/>
    </sheetView>
  </sheetViews>
  <sheetFormatPr baseColWidth="10" defaultColWidth="10.83203125" defaultRowHeight="16" x14ac:dyDescent="0.2"/>
  <cols>
    <col min="1" max="2" width="10.83203125" style="1"/>
    <col min="3" max="8" width="12.1640625" style="1" customWidth="1"/>
    <col min="9" max="16384" width="10.83203125" style="1"/>
  </cols>
  <sheetData>
    <row r="1" spans="1:8" x14ac:dyDescent="0.2">
      <c r="A1" s="48" t="s">
        <v>55</v>
      </c>
      <c r="C1" s="5"/>
      <c r="D1" s="5"/>
      <c r="E1" s="5"/>
      <c r="F1" s="5"/>
      <c r="G1" s="5"/>
      <c r="H1" s="5"/>
    </row>
    <row r="2" spans="1:8" x14ac:dyDescent="0.2">
      <c r="A2" s="5" t="s">
        <v>56</v>
      </c>
      <c r="B2" s="41"/>
      <c r="C2" s="5"/>
      <c r="D2" s="5"/>
      <c r="E2" s="5"/>
      <c r="F2" s="5"/>
      <c r="G2" s="5"/>
      <c r="H2" s="5"/>
    </row>
    <row r="4" spans="1:8" x14ac:dyDescent="0.2">
      <c r="A4" s="41" t="s">
        <v>3</v>
      </c>
      <c r="B4" s="41" t="s">
        <v>39</v>
      </c>
      <c r="C4" s="61" t="s">
        <v>57</v>
      </c>
      <c r="D4" s="61"/>
      <c r="E4" s="61"/>
      <c r="F4" s="61" t="s">
        <v>71</v>
      </c>
      <c r="G4" s="61"/>
      <c r="H4" s="61"/>
    </row>
    <row r="5" spans="1:8" x14ac:dyDescent="0.2">
      <c r="A5" s="41" t="s">
        <v>4</v>
      </c>
      <c r="C5" s="41" t="s">
        <v>58</v>
      </c>
      <c r="D5" s="41" t="s">
        <v>58</v>
      </c>
      <c r="E5" s="41" t="s">
        <v>58</v>
      </c>
      <c r="F5" s="41" t="s">
        <v>58</v>
      </c>
      <c r="G5" s="41" t="s">
        <v>58</v>
      </c>
      <c r="H5" s="41" t="s">
        <v>58</v>
      </c>
    </row>
    <row r="6" spans="1:8" x14ac:dyDescent="0.2">
      <c r="A6" s="42"/>
      <c r="B6" s="42"/>
      <c r="C6" s="43" t="s">
        <v>59</v>
      </c>
      <c r="D6" s="43" t="s">
        <v>60</v>
      </c>
      <c r="E6" s="43" t="s">
        <v>72</v>
      </c>
      <c r="F6" s="43" t="s">
        <v>59</v>
      </c>
      <c r="G6" s="43" t="s">
        <v>60</v>
      </c>
      <c r="H6" s="43" t="s">
        <v>72</v>
      </c>
    </row>
    <row r="7" spans="1:8" x14ac:dyDescent="0.2">
      <c r="B7" s="41" t="s">
        <v>61</v>
      </c>
      <c r="F7" s="41" t="s">
        <v>73</v>
      </c>
      <c r="G7" s="41" t="s">
        <v>73</v>
      </c>
      <c r="H7" s="41" t="s">
        <v>73</v>
      </c>
    </row>
    <row r="8" spans="1:8" x14ac:dyDescent="0.2">
      <c r="B8" s="41" t="s">
        <v>62</v>
      </c>
      <c r="F8" s="41" t="s">
        <v>74</v>
      </c>
      <c r="G8" s="41" t="s">
        <v>74</v>
      </c>
      <c r="H8" s="41" t="s">
        <v>74</v>
      </c>
    </row>
    <row r="10" spans="1:8" x14ac:dyDescent="0.2">
      <c r="A10" s="5">
        <v>1978</v>
      </c>
      <c r="B10" s="44">
        <v>71543</v>
      </c>
      <c r="C10" s="49">
        <f>'Table 2.2'!P7</f>
        <v>611.14487865899105</v>
      </c>
      <c r="D10" s="49">
        <f>'Table 2.4'!P7</f>
        <v>611.18940291640376</v>
      </c>
      <c r="E10" s="49">
        <f>'Table 2.6 and 2.7'!P33</f>
        <v>611</v>
      </c>
      <c r="F10" s="45">
        <f>C10/$B10</f>
        <v>8.5423434669917534E-3</v>
      </c>
      <c r="G10" s="45">
        <f>D10/$B10</f>
        <v>8.5429658096026692E-3</v>
      </c>
      <c r="H10" s="45">
        <f>E10/$B10</f>
        <v>8.5403184099073284E-3</v>
      </c>
    </row>
    <row r="11" spans="1:8" x14ac:dyDescent="0.2">
      <c r="A11" s="5">
        <v>1979</v>
      </c>
      <c r="B11" s="44">
        <v>75681</v>
      </c>
      <c r="C11" s="49">
        <f>'Table 2.2'!P8</f>
        <v>592.15325834520638</v>
      </c>
      <c r="D11" s="49">
        <f>'Table 2.4'!P8</f>
        <v>592.18432054834284</v>
      </c>
      <c r="E11" s="49">
        <f>'Table 2.6 and 2.7'!P34</f>
        <v>592</v>
      </c>
      <c r="F11" s="45">
        <f t="shared" ref="F11:H27" si="0">C11/$B11</f>
        <v>7.8243318447854329E-3</v>
      </c>
      <c r="G11" s="45">
        <f t="shared" si="0"/>
        <v>7.824742280735493E-3</v>
      </c>
      <c r="H11" s="45">
        <f t="shared" si="0"/>
        <v>7.8223067877010079E-3</v>
      </c>
    </row>
    <row r="12" spans="1:8" x14ac:dyDescent="0.2">
      <c r="A12" s="5">
        <v>1980</v>
      </c>
      <c r="B12" s="44">
        <v>98960</v>
      </c>
      <c r="C12" s="49">
        <f>'Table 2.2'!P9</f>
        <v>779.20039964907482</v>
      </c>
      <c r="D12" s="49">
        <f>'Table 2.4'!P9</f>
        <v>779.23785482525113</v>
      </c>
      <c r="E12" s="49">
        <f>'Table 2.6 and 2.7'!P35</f>
        <v>779</v>
      </c>
      <c r="F12" s="45">
        <f t="shared" si="0"/>
        <v>7.8738924782647008E-3</v>
      </c>
      <c r="G12" s="45">
        <f t="shared" si="0"/>
        <v>7.8742709663020532E-3</v>
      </c>
      <c r="H12" s="45">
        <f t="shared" si="0"/>
        <v>7.8718674211802741E-3</v>
      </c>
    </row>
    <row r="13" spans="1:8" x14ac:dyDescent="0.2">
      <c r="A13" s="5">
        <v>1981</v>
      </c>
      <c r="B13" s="44">
        <v>102974</v>
      </c>
      <c r="C13" s="49">
        <f>'Table 2.2'!P10</f>
        <v>930.20852822821166</v>
      </c>
      <c r="D13" s="49">
        <f>'Table 2.4'!P10</f>
        <v>930.28190201511256</v>
      </c>
      <c r="E13" s="49">
        <f>'Table 2.6 and 2.7'!P36</f>
        <v>930</v>
      </c>
      <c r="F13" s="45">
        <f t="shared" si="0"/>
        <v>9.0334310430614691E-3</v>
      </c>
      <c r="G13" s="45">
        <f t="shared" si="0"/>
        <v>9.0341435897907489E-3</v>
      </c>
      <c r="H13" s="45">
        <f t="shared" si="0"/>
        <v>9.0314059859770424E-3</v>
      </c>
    </row>
    <row r="14" spans="1:8" x14ac:dyDescent="0.2">
      <c r="A14" s="5">
        <v>1982</v>
      </c>
      <c r="B14" s="44">
        <v>106810</v>
      </c>
      <c r="C14" s="49">
        <f>'Table 2.2'!P11</f>
        <v>894.21629634718749</v>
      </c>
      <c r="D14" s="49">
        <f>'Table 2.4'!P11</f>
        <v>894.28054671696293</v>
      </c>
      <c r="E14" s="49">
        <f>'Table 2.6 and 2.7'!P37</f>
        <v>894</v>
      </c>
      <c r="F14" s="45">
        <f t="shared" si="0"/>
        <v>8.3720278658102002E-3</v>
      </c>
      <c r="G14" s="45">
        <f t="shared" si="0"/>
        <v>8.3726294047089499E-3</v>
      </c>
      <c r="H14" s="45">
        <f t="shared" si="0"/>
        <v>8.3700028087257752E-3</v>
      </c>
    </row>
    <row r="15" spans="1:8" x14ac:dyDescent="0.2">
      <c r="A15" s="5">
        <v>1983</v>
      </c>
      <c r="B15" s="44">
        <v>110779</v>
      </c>
      <c r="C15" s="49">
        <f>'Table 2.2'!P12</f>
        <v>964.22433379875565</v>
      </c>
      <c r="D15" s="49">
        <f>'Table 2.4'!P12</f>
        <v>964.30595855726756</v>
      </c>
      <c r="E15" s="49">
        <f>'Table 2.6 and 2.7'!P38</f>
        <v>964</v>
      </c>
      <c r="F15" s="45">
        <f t="shared" si="0"/>
        <v>8.7040353658974692E-3</v>
      </c>
      <c r="G15" s="45">
        <f t="shared" si="0"/>
        <v>8.7047721910945893E-3</v>
      </c>
      <c r="H15" s="45">
        <f t="shared" si="0"/>
        <v>8.7020103088130425E-3</v>
      </c>
    </row>
    <row r="16" spans="1:8" x14ac:dyDescent="0.2">
      <c r="A16" s="5">
        <v>1984</v>
      </c>
      <c r="B16" s="44">
        <v>114307</v>
      </c>
      <c r="C16" s="49">
        <f>'Table 2.2'!P13</f>
        <v>982.23147820014947</v>
      </c>
      <c r="D16" s="49">
        <f>'Table 2.4'!P13</f>
        <v>982.30494208365542</v>
      </c>
      <c r="E16" s="49">
        <f>'Table 2.6 and 2.7'!P39</f>
        <v>982</v>
      </c>
      <c r="F16" s="45">
        <f t="shared" si="0"/>
        <v>8.5929250019696913E-3</v>
      </c>
      <c r="G16" s="45">
        <f t="shared" si="0"/>
        <v>8.5935676912494898E-3</v>
      </c>
      <c r="H16" s="45">
        <f t="shared" si="0"/>
        <v>8.5908999448852646E-3</v>
      </c>
    </row>
    <row r="17" spans="1:8" x14ac:dyDescent="0.2">
      <c r="A17" s="5">
        <v>1985</v>
      </c>
      <c r="B17" s="44">
        <v>117306</v>
      </c>
      <c r="C17" s="49">
        <f>'Table 2.2'!P14</f>
        <v>938.23755134634564</v>
      </c>
      <c r="D17" s="49">
        <f>'Table 2.4'!P14</f>
        <v>938.28427378687434</v>
      </c>
      <c r="E17" s="49">
        <f>'Table 2.6 and 2.7'!P40</f>
        <v>938.29099750752653</v>
      </c>
      <c r="F17" s="45">
        <f t="shared" si="0"/>
        <v>7.9982059855961806E-3</v>
      </c>
      <c r="G17" s="45">
        <f t="shared" si="0"/>
        <v>7.9986042809990481E-3</v>
      </c>
      <c r="H17" s="45">
        <f t="shared" si="0"/>
        <v>7.9986615987888646E-3</v>
      </c>
    </row>
    <row r="18" spans="1:8" x14ac:dyDescent="0.2">
      <c r="A18" s="5">
        <v>1986</v>
      </c>
      <c r="B18" s="44">
        <v>123304</v>
      </c>
      <c r="C18" s="49">
        <f>'Table 2.2'!P15</f>
        <v>956.4643816884028</v>
      </c>
      <c r="D18" s="49">
        <f>'Table 2.4'!P15</f>
        <v>956.49867822557462</v>
      </c>
      <c r="E18" s="49">
        <f>'Table 2.6 and 2.7'!P41</f>
        <v>956.50530387897868</v>
      </c>
      <c r="F18" s="45">
        <f t="shared" si="0"/>
        <v>7.7569615072374193E-3</v>
      </c>
      <c r="G18" s="45">
        <f t="shared" si="0"/>
        <v>7.7572396534222295E-3</v>
      </c>
      <c r="H18" s="45">
        <f t="shared" si="0"/>
        <v>7.7572933877163653E-3</v>
      </c>
    </row>
    <row r="19" spans="1:8" x14ac:dyDescent="0.2">
      <c r="A19" s="5">
        <v>1987</v>
      </c>
      <c r="B19" s="44">
        <v>125533</v>
      </c>
      <c r="C19" s="49">
        <f>'Table 2.2'!P16</f>
        <v>854.8792583053895</v>
      </c>
      <c r="D19" s="49">
        <f>'Table 2.4'!P16</f>
        <v>854.7538862122725</v>
      </c>
      <c r="E19" s="49">
        <f>'Table 2.6 and 2.7'!P42</f>
        <v>854.76908986334536</v>
      </c>
      <c r="F19" s="45">
        <f t="shared" si="0"/>
        <v>6.8099962424652445E-3</v>
      </c>
      <c r="G19" s="45">
        <f t="shared" si="0"/>
        <v>6.8089975242547575E-3</v>
      </c>
      <c r="H19" s="45">
        <f t="shared" si="0"/>
        <v>6.809118637038431E-3</v>
      </c>
    </row>
    <row r="20" spans="1:8" x14ac:dyDescent="0.2">
      <c r="A20" s="5">
        <v>1988</v>
      </c>
      <c r="B20" s="44">
        <v>131265</v>
      </c>
      <c r="C20" s="49">
        <f>'Table 2.2'!P17</f>
        <v>874.70988997152347</v>
      </c>
      <c r="D20" s="49">
        <f>'Table 2.4'!P17</f>
        <v>874.30250927247619</v>
      </c>
      <c r="E20" s="49">
        <f>'Table 2.6 and 2.7'!P43</f>
        <v>874.30073744829576</v>
      </c>
      <c r="F20" s="45">
        <f t="shared" si="0"/>
        <v>6.6636947394318625E-3</v>
      </c>
      <c r="G20" s="45">
        <f t="shared" si="0"/>
        <v>6.6605912411722562E-3</v>
      </c>
      <c r="H20" s="45">
        <f t="shared" si="0"/>
        <v>6.6605777431020894E-3</v>
      </c>
    </row>
    <row r="21" spans="1:8" x14ac:dyDescent="0.2">
      <c r="A21" s="5">
        <v>1989</v>
      </c>
      <c r="B21" s="44">
        <v>139661</v>
      </c>
      <c r="C21" s="49">
        <f>'Table 2.2'!P18</f>
        <v>873.38341305241579</v>
      </c>
      <c r="D21" s="49">
        <f>'Table 2.4'!P18</f>
        <v>872.75118816922929</v>
      </c>
      <c r="E21" s="49">
        <f>'Table 2.6 and 2.7'!P44</f>
        <v>872.69421857239422</v>
      </c>
      <c r="F21" s="45">
        <f t="shared" si="0"/>
        <v>6.2535955853990433E-3</v>
      </c>
      <c r="G21" s="45">
        <f t="shared" si="0"/>
        <v>6.249068731923939E-3</v>
      </c>
      <c r="H21" s="45">
        <f t="shared" si="0"/>
        <v>6.2486608184990381E-3</v>
      </c>
    </row>
    <row r="22" spans="1:8" x14ac:dyDescent="0.2">
      <c r="A22" s="5">
        <v>1990</v>
      </c>
      <c r="B22" s="44">
        <v>152895</v>
      </c>
      <c r="C22" s="49">
        <f>'Table 2.2'!P19</f>
        <v>815.88864504250148</v>
      </c>
      <c r="D22" s="49">
        <f>'Table 2.4'!P19</f>
        <v>816.67866806695474</v>
      </c>
      <c r="E22" s="49">
        <f>'Table 2.6 and 2.7'!P45</f>
        <v>816.45887561257871</v>
      </c>
      <c r="F22" s="45">
        <f t="shared" si="0"/>
        <v>5.3362676676313907E-3</v>
      </c>
      <c r="G22" s="45">
        <f t="shared" si="0"/>
        <v>5.3414347628565669E-3</v>
      </c>
      <c r="H22" s="45">
        <f t="shared" si="0"/>
        <v>5.3399972243211268E-3</v>
      </c>
    </row>
    <row r="23" spans="1:8" x14ac:dyDescent="0.2">
      <c r="A23" s="5">
        <v>1991</v>
      </c>
      <c r="B23" s="44">
        <v>160331</v>
      </c>
      <c r="C23" s="49">
        <f>'Table 2.2'!P20</f>
        <v>868.43441239995616</v>
      </c>
      <c r="D23" s="49">
        <f>'Table 2.4'!P20</f>
        <v>870.26986734272862</v>
      </c>
      <c r="E23" s="49">
        <f>'Table 2.6 and 2.7'!P46</f>
        <v>869.83638291699174</v>
      </c>
      <c r="F23" s="45">
        <f t="shared" si="0"/>
        <v>5.4165096731134729E-3</v>
      </c>
      <c r="G23" s="45">
        <f t="shared" si="0"/>
        <v>5.4279575836408966E-3</v>
      </c>
      <c r="H23" s="45">
        <f t="shared" si="0"/>
        <v>5.4252538992271724E-3</v>
      </c>
    </row>
    <row r="24" spans="1:8" x14ac:dyDescent="0.2">
      <c r="A24" s="5">
        <v>1992</v>
      </c>
      <c r="B24" s="44">
        <v>162900</v>
      </c>
      <c r="C24" s="49">
        <f>'Table 2.2'!P21</f>
        <v>898.72105982357596</v>
      </c>
      <c r="D24" s="49">
        <f>'Table 2.4'!P21</f>
        <v>900.85567081205329</v>
      </c>
      <c r="E24" s="49">
        <f>'Table 2.6 and 2.7'!P47</f>
        <v>900.20157433658494</v>
      </c>
      <c r="F24" s="45">
        <f t="shared" si="0"/>
        <v>5.5170108030913193E-3</v>
      </c>
      <c r="G24" s="45">
        <f t="shared" si="0"/>
        <v>5.5301146151752814E-3</v>
      </c>
      <c r="H24" s="45">
        <f t="shared" si="0"/>
        <v>5.5260992899728969E-3</v>
      </c>
    </row>
    <row r="25" spans="1:8" x14ac:dyDescent="0.2">
      <c r="A25" s="5">
        <v>1993</v>
      </c>
      <c r="B25" s="44">
        <v>170045</v>
      </c>
      <c r="C25" s="49">
        <f>'Table 2.2'!P22</f>
        <v>886.54720979031833</v>
      </c>
      <c r="D25" s="49">
        <f>'Table 2.4'!P22</f>
        <v>885.87667706340221</v>
      </c>
      <c r="E25" s="49">
        <f>'Table 2.6 and 2.7'!P48</f>
        <v>886.09436254215257</v>
      </c>
      <c r="F25" s="45">
        <f t="shared" si="0"/>
        <v>5.2136035154830684E-3</v>
      </c>
      <c r="G25" s="45">
        <f t="shared" si="0"/>
        <v>5.209660249130537E-3</v>
      </c>
      <c r="H25" s="45">
        <f t="shared" si="0"/>
        <v>5.2109404130797881E-3</v>
      </c>
    </row>
    <row r="26" spans="1:8" x14ac:dyDescent="0.2">
      <c r="A26" s="5">
        <v>1994</v>
      </c>
      <c r="B26" s="44">
        <v>173248</v>
      </c>
      <c r="C26" s="49">
        <f>'Table 2.2'!P23</f>
        <v>889.84534761024838</v>
      </c>
      <c r="D26" s="49">
        <f>'Table 2.4'!P23</f>
        <v>887.42102559729074</v>
      </c>
      <c r="E26" s="49">
        <f>'Table 2.6 and 2.7'!P49</f>
        <v>887.14952914580078</v>
      </c>
      <c r="F26" s="45">
        <f t="shared" si="0"/>
        <v>5.1362517755486259E-3</v>
      </c>
      <c r="G26" s="45">
        <f t="shared" si="0"/>
        <v>5.1222584133570996E-3</v>
      </c>
      <c r="H26" s="45">
        <f t="shared" si="0"/>
        <v>5.1206913161814327E-3</v>
      </c>
    </row>
    <row r="27" spans="1:8" x14ac:dyDescent="0.2">
      <c r="A27" s="42">
        <v>1995</v>
      </c>
      <c r="B27" s="46">
        <v>175941</v>
      </c>
      <c r="C27" s="50">
        <f>'Table 2.2'!P24</f>
        <v>910.65548727102475</v>
      </c>
      <c r="D27" s="50">
        <f>'Table 2.4'!P24</f>
        <v>903.3423388480611</v>
      </c>
      <c r="E27" s="50">
        <f>'Table 2.6 and 2.7'!P50</f>
        <v>903.06597145039575</v>
      </c>
      <c r="F27" s="47">
        <f t="shared" si="0"/>
        <v>5.1759140124872814E-3</v>
      </c>
      <c r="G27" s="47">
        <f t="shared" si="0"/>
        <v>5.1343480987834618E-3</v>
      </c>
      <c r="H27" s="47">
        <f t="shared" si="0"/>
        <v>5.1327773029049267E-3</v>
      </c>
    </row>
    <row r="33" spans="1:8" x14ac:dyDescent="0.2">
      <c r="A33" s="48" t="s">
        <v>63</v>
      </c>
      <c r="B33" s="5"/>
      <c r="C33" s="5"/>
      <c r="D33" s="5"/>
      <c r="E33" s="41" t="s">
        <v>75</v>
      </c>
      <c r="F33" s="5"/>
      <c r="G33" s="5"/>
      <c r="H33" s="5"/>
    </row>
    <row r="34" spans="1:8" x14ac:dyDescent="0.2">
      <c r="A34" s="48" t="s">
        <v>64</v>
      </c>
      <c r="B34" s="5"/>
      <c r="C34" s="5"/>
      <c r="D34" s="5"/>
      <c r="E34" s="41" t="s">
        <v>75</v>
      </c>
      <c r="F34" s="5"/>
      <c r="G34" s="5"/>
      <c r="H34" s="5"/>
    </row>
    <row r="36" spans="1:8" x14ac:dyDescent="0.2">
      <c r="A36" s="41" t="s">
        <v>3</v>
      </c>
      <c r="B36" s="41" t="s">
        <v>39</v>
      </c>
      <c r="C36" s="41" t="s">
        <v>65</v>
      </c>
      <c r="D36" s="41" t="s">
        <v>66</v>
      </c>
      <c r="E36" s="5"/>
      <c r="F36" s="5"/>
      <c r="G36" s="5"/>
      <c r="H36" s="5"/>
    </row>
    <row r="37" spans="1:8" x14ac:dyDescent="0.2">
      <c r="A37" s="5"/>
      <c r="B37" s="5"/>
      <c r="C37" s="41" t="s">
        <v>67</v>
      </c>
      <c r="D37" s="41" t="s">
        <v>68</v>
      </c>
      <c r="E37" s="5"/>
      <c r="F37" s="5"/>
      <c r="G37" s="5"/>
      <c r="H37" s="5"/>
    </row>
    <row r="38" spans="1:8" x14ac:dyDescent="0.2">
      <c r="A38" s="42"/>
      <c r="B38" s="42"/>
      <c r="C38" s="43" t="s">
        <v>69</v>
      </c>
      <c r="D38" s="43" t="s">
        <v>70</v>
      </c>
    </row>
    <row r="39" spans="1:8" x14ac:dyDescent="0.2">
      <c r="B39" s="41" t="s">
        <v>61</v>
      </c>
    </row>
    <row r="40" spans="1:8" x14ac:dyDescent="0.2">
      <c r="B40" s="41" t="s">
        <v>62</v>
      </c>
    </row>
    <row r="42" spans="1:8" x14ac:dyDescent="0.2">
      <c r="A42" s="5">
        <v>1978</v>
      </c>
      <c r="B42" s="44">
        <v>71543</v>
      </c>
      <c r="C42" s="5">
        <v>611</v>
      </c>
      <c r="D42" s="45">
        <f>C42/$B42</f>
        <v>8.5403184099073284E-3</v>
      </c>
    </row>
    <row r="43" spans="1:8" x14ac:dyDescent="0.2">
      <c r="A43" s="5">
        <v>1979</v>
      </c>
      <c r="B43" s="44">
        <v>75681</v>
      </c>
      <c r="C43" s="5">
        <v>592</v>
      </c>
      <c r="D43" s="45">
        <f t="shared" ref="D43:D59" si="1">C43/$B43</f>
        <v>7.8223067877010079E-3</v>
      </c>
    </row>
    <row r="44" spans="1:8" x14ac:dyDescent="0.2">
      <c r="A44" s="5">
        <v>1980</v>
      </c>
      <c r="B44" s="44">
        <v>98960</v>
      </c>
      <c r="C44" s="5">
        <v>779</v>
      </c>
      <c r="D44" s="45">
        <f t="shared" si="1"/>
        <v>7.8718674211802741E-3</v>
      </c>
    </row>
    <row r="45" spans="1:8" x14ac:dyDescent="0.2">
      <c r="A45" s="5">
        <v>1981</v>
      </c>
      <c r="B45" s="44">
        <v>102974</v>
      </c>
      <c r="C45" s="5">
        <v>931</v>
      </c>
      <c r="D45" s="45">
        <f t="shared" si="1"/>
        <v>9.0411171752092755E-3</v>
      </c>
    </row>
    <row r="46" spans="1:8" x14ac:dyDescent="0.2">
      <c r="A46" s="5">
        <v>1982</v>
      </c>
      <c r="B46" s="44">
        <v>106810</v>
      </c>
      <c r="C46" s="5">
        <v>894</v>
      </c>
      <c r="D46" s="45">
        <f t="shared" si="1"/>
        <v>8.3700028087257752E-3</v>
      </c>
      <c r="E46" s="44"/>
      <c r="F46" s="5"/>
      <c r="G46" s="45"/>
      <c r="H46" s="45"/>
    </row>
    <row r="47" spans="1:8" x14ac:dyDescent="0.2">
      <c r="A47" s="5">
        <v>1983</v>
      </c>
      <c r="B47" s="44">
        <v>110779</v>
      </c>
      <c r="C47" s="5">
        <v>964</v>
      </c>
      <c r="D47" s="45">
        <f t="shared" si="1"/>
        <v>8.7020103088130425E-3</v>
      </c>
      <c r="E47" s="44"/>
      <c r="F47" s="5"/>
      <c r="G47" s="45"/>
      <c r="H47" s="45"/>
    </row>
    <row r="48" spans="1:8" x14ac:dyDescent="0.2">
      <c r="A48" s="5">
        <v>1984</v>
      </c>
      <c r="B48" s="44">
        <v>114307</v>
      </c>
      <c r="C48" s="5">
        <v>982</v>
      </c>
      <c r="D48" s="45">
        <f t="shared" si="1"/>
        <v>8.5908999448852646E-3</v>
      </c>
      <c r="E48" s="44"/>
      <c r="F48" s="5"/>
      <c r="G48" s="45"/>
      <c r="H48" s="45"/>
    </row>
    <row r="49" spans="1:8" x14ac:dyDescent="0.2">
      <c r="A49" s="5">
        <v>1985</v>
      </c>
      <c r="B49" s="44">
        <v>117306</v>
      </c>
      <c r="C49" s="5">
        <v>938</v>
      </c>
      <c r="D49" s="45">
        <f t="shared" si="1"/>
        <v>7.9961809285117556E-3</v>
      </c>
      <c r="E49" s="44"/>
      <c r="F49" s="5"/>
      <c r="G49" s="45"/>
      <c r="H49" s="45"/>
    </row>
    <row r="50" spans="1:8" x14ac:dyDescent="0.2">
      <c r="A50" s="5">
        <v>1986</v>
      </c>
      <c r="B50" s="44">
        <v>123304</v>
      </c>
      <c r="C50" s="5">
        <v>956</v>
      </c>
      <c r="D50" s="45">
        <f t="shared" si="1"/>
        <v>7.7531953545708172E-3</v>
      </c>
      <c r="E50" s="44"/>
      <c r="F50" s="5"/>
      <c r="G50" s="45"/>
      <c r="H50" s="45"/>
    </row>
    <row r="51" spans="1:8" x14ac:dyDescent="0.2">
      <c r="A51" s="5">
        <v>1987</v>
      </c>
      <c r="B51" s="44">
        <v>125533</v>
      </c>
      <c r="C51" s="5">
        <v>854</v>
      </c>
      <c r="D51" s="45">
        <f t="shared" si="1"/>
        <v>6.8029920419331973E-3</v>
      </c>
      <c r="E51" s="44"/>
      <c r="F51" s="5"/>
      <c r="G51" s="45"/>
      <c r="H51" s="45"/>
    </row>
    <row r="52" spans="1:8" x14ac:dyDescent="0.2">
      <c r="A52" s="5">
        <v>1988</v>
      </c>
      <c r="B52" s="44">
        <v>131265</v>
      </c>
      <c r="C52" s="5">
        <v>873</v>
      </c>
      <c r="D52" s="45">
        <f t="shared" si="1"/>
        <v>6.6506684950291394E-3</v>
      </c>
      <c r="E52" s="44"/>
      <c r="F52" s="5"/>
      <c r="G52" s="45"/>
      <c r="H52" s="45"/>
    </row>
    <row r="53" spans="1:8" x14ac:dyDescent="0.2">
      <c r="A53" s="5">
        <v>1989</v>
      </c>
      <c r="B53" s="44">
        <v>139661</v>
      </c>
      <c r="C53" s="5">
        <v>870</v>
      </c>
      <c r="D53" s="45">
        <f t="shared" si="1"/>
        <v>6.2293696880303022E-3</v>
      </c>
      <c r="E53" s="44"/>
      <c r="F53" s="5"/>
      <c r="G53" s="45"/>
      <c r="H53" s="45"/>
    </row>
    <row r="54" spans="1:8" x14ac:dyDescent="0.2">
      <c r="A54" s="5">
        <v>1990</v>
      </c>
      <c r="B54" s="44">
        <v>152895</v>
      </c>
      <c r="C54" s="5">
        <v>809</v>
      </c>
      <c r="D54" s="45">
        <f t="shared" si="1"/>
        <v>5.2912129239020243E-3</v>
      </c>
      <c r="E54" s="44"/>
      <c r="F54" s="5"/>
      <c r="G54" s="45"/>
      <c r="H54" s="45"/>
    </row>
    <row r="55" spans="1:8" x14ac:dyDescent="0.2">
      <c r="A55" s="5">
        <v>1991</v>
      </c>
      <c r="B55" s="44">
        <v>160331</v>
      </c>
      <c r="C55" s="5">
        <v>855</v>
      </c>
      <c r="D55" s="45">
        <f t="shared" si="1"/>
        <v>5.3327179397621169E-3</v>
      </c>
      <c r="E55" s="44"/>
      <c r="F55" s="5"/>
      <c r="G55" s="45"/>
      <c r="H55" s="45"/>
    </row>
    <row r="56" spans="1:8" x14ac:dyDescent="0.2">
      <c r="A56" s="5">
        <v>1992</v>
      </c>
      <c r="B56" s="44">
        <v>162900</v>
      </c>
      <c r="C56" s="5">
        <v>875</v>
      </c>
      <c r="D56" s="45">
        <f t="shared" si="1"/>
        <v>5.3713934929404544E-3</v>
      </c>
      <c r="E56" s="44"/>
      <c r="F56" s="5"/>
      <c r="G56" s="45"/>
      <c r="H56" s="45"/>
    </row>
    <row r="57" spans="1:8" x14ac:dyDescent="0.2">
      <c r="A57" s="5">
        <v>1993</v>
      </c>
      <c r="B57" s="44">
        <v>170045</v>
      </c>
      <c r="C57" s="5">
        <v>850</v>
      </c>
      <c r="D57" s="45">
        <f t="shared" si="1"/>
        <v>4.9986768208415419E-3</v>
      </c>
    </row>
    <row r="58" spans="1:8" x14ac:dyDescent="0.2">
      <c r="A58" s="5">
        <v>1994</v>
      </c>
      <c r="B58" s="44">
        <v>173248</v>
      </c>
      <c r="C58" s="5">
        <v>821</v>
      </c>
      <c r="D58" s="45">
        <f t="shared" si="1"/>
        <v>4.7388714444033982E-3</v>
      </c>
    </row>
    <row r="59" spans="1:8" x14ac:dyDescent="0.2">
      <c r="A59" s="42">
        <v>1995</v>
      </c>
      <c r="B59" s="46">
        <v>175941</v>
      </c>
      <c r="C59" s="42">
        <v>660</v>
      </c>
      <c r="D59" s="47">
        <f t="shared" si="1"/>
        <v>3.751257523829011E-3</v>
      </c>
    </row>
  </sheetData>
  <mergeCells count="2">
    <mergeCell ref="F4:H4"/>
    <mergeCell ref="C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B.1 Exposure</vt:lpstr>
      <vt:lpstr>Counts data</vt:lpstr>
      <vt:lpstr>Table 2.1</vt:lpstr>
      <vt:lpstr>Table 2.2</vt:lpstr>
      <vt:lpstr>Table 2.3</vt:lpstr>
      <vt:lpstr>Table 2.4</vt:lpstr>
      <vt:lpstr>Table 2.5</vt:lpstr>
      <vt:lpstr>Table 2.6 and 2.7</vt:lpstr>
      <vt:lpstr>Table 2.8 and 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Avanzi</cp:lastModifiedBy>
  <dcterms:created xsi:type="dcterms:W3CDTF">2023-07-30T23:11:21Z</dcterms:created>
  <dcterms:modified xsi:type="dcterms:W3CDTF">2024-08-12T03:50:42Z</dcterms:modified>
</cp:coreProperties>
</file>