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CFB102EA-5A01-ED40-91C6-F8E2D7113971}" xr6:coauthVersionLast="47" xr6:coauthVersionMax="47" xr10:uidLastSave="{00000000-0000-0000-0000-000000000000}"/>
  <bookViews>
    <workbookView xWindow="8300" yWindow="500" windowWidth="25440" windowHeight="20280" firstSheet="1" activeTab="5" xr2:uid="{00000000-000D-0000-FFFF-FFFF00000000}"/>
  </bookViews>
  <sheets>
    <sheet name="Data" sheetId="1" r:id="rId1"/>
    <sheet name="Exposure based" sheetId="12" r:id="rId2"/>
    <sheet name="Exposure based IBNR" sheetId="3" r:id="rId3"/>
    <sheet name="Exposure based - quarter" sheetId="7" r:id="rId4"/>
    <sheet name="Exposure based IBNR - quarter" sheetId="8" r:id="rId5"/>
    <sheet name="Chain Ladder" sheetId="2" r:id="rId6"/>
    <sheet name="Chain Ladder IBNR" sheetId="15" r:id="rId7"/>
    <sheet name="Chain Ladder - quarter" sheetId="13" r:id="rId8"/>
    <sheet name="Chain Ladder IBNR - quarter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2" l="1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C45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C43" i="13"/>
  <c r="D41" i="13"/>
  <c r="E41" i="13"/>
  <c r="F41" i="13"/>
  <c r="G41" i="13"/>
  <c r="H41" i="13"/>
  <c r="I41" i="13"/>
  <c r="J41" i="13"/>
  <c r="K41" i="13"/>
  <c r="K42" i="13" s="1"/>
  <c r="L41" i="13"/>
  <c r="M41" i="13"/>
  <c r="M42" i="13" s="1"/>
  <c r="N41" i="13"/>
  <c r="N42" i="13" s="1"/>
  <c r="O41" i="13"/>
  <c r="O42" i="13" s="1"/>
  <c r="C41" i="13"/>
  <c r="D42" i="13" s="1"/>
  <c r="L42" i="13"/>
  <c r="G42" i="13"/>
  <c r="F42" i="13"/>
  <c r="E42" i="13"/>
  <c r="C42" i="13"/>
  <c r="I42" i="13"/>
  <c r="H42" i="13"/>
  <c r="O40" i="13"/>
  <c r="D39" i="13"/>
  <c r="E39" i="13"/>
  <c r="F39" i="13"/>
  <c r="F40" i="13" s="1"/>
  <c r="G39" i="13"/>
  <c r="H39" i="13"/>
  <c r="I39" i="13"/>
  <c r="J39" i="13"/>
  <c r="K39" i="13"/>
  <c r="L39" i="13"/>
  <c r="L40" i="13" s="1"/>
  <c r="M39" i="13"/>
  <c r="N39" i="13"/>
  <c r="N40" i="13" s="1"/>
  <c r="O39" i="13"/>
  <c r="C39" i="13"/>
  <c r="I40" i="13"/>
  <c r="H40" i="13"/>
  <c r="G40" i="13"/>
  <c r="E40" i="13"/>
  <c r="D40" i="13"/>
  <c r="C40" i="13"/>
  <c r="K40" i="13"/>
  <c r="J40" i="13"/>
  <c r="N5" i="15"/>
  <c r="N6" i="15"/>
  <c r="N7" i="15"/>
  <c r="N8" i="15"/>
  <c r="N4" i="15"/>
  <c r="N9" i="15"/>
  <c r="M10" i="15"/>
  <c r="N10" i="15" s="1"/>
  <c r="L11" i="15"/>
  <c r="M11" i="15"/>
  <c r="N11" i="15" s="1"/>
  <c r="K12" i="15"/>
  <c r="L12" i="15" s="1"/>
  <c r="J13" i="15"/>
  <c r="K13" i="15" s="1"/>
  <c r="I14" i="15"/>
  <c r="J14" i="15" s="1"/>
  <c r="H15" i="15"/>
  <c r="I15" i="15" s="1"/>
  <c r="G16" i="15"/>
  <c r="H16" i="15" s="1"/>
  <c r="F17" i="15"/>
  <c r="G17" i="15" s="1"/>
  <c r="E18" i="15"/>
  <c r="F18" i="15" s="1"/>
  <c r="F19" i="15"/>
  <c r="G19" i="15" s="1"/>
  <c r="E19" i="15"/>
  <c r="D19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E56" i="15"/>
  <c r="I52" i="15"/>
  <c r="J51" i="15"/>
  <c r="L49" i="15"/>
  <c r="S40" i="15"/>
  <c r="P40" i="15"/>
  <c r="Q40" i="15" s="1"/>
  <c r="S39" i="15"/>
  <c r="P39" i="15"/>
  <c r="Q39" i="15" s="1"/>
  <c r="S38" i="15"/>
  <c r="Q38" i="15"/>
  <c r="P38" i="15"/>
  <c r="S37" i="15"/>
  <c r="P37" i="15"/>
  <c r="Q37" i="15" s="1"/>
  <c r="S36" i="15"/>
  <c r="Q36" i="15" s="1"/>
  <c r="P36" i="15"/>
  <c r="S35" i="15"/>
  <c r="P35" i="15"/>
  <c r="Q35" i="15" s="1"/>
  <c r="S34" i="15"/>
  <c r="P34" i="15"/>
  <c r="Q34" i="15" s="1"/>
  <c r="S33" i="15"/>
  <c r="Q33" i="15" s="1"/>
  <c r="P33" i="15"/>
  <c r="S32" i="15"/>
  <c r="P32" i="15"/>
  <c r="S31" i="15"/>
  <c r="P31" i="15"/>
  <c r="Q31" i="15" s="1"/>
  <c r="S30" i="15"/>
  <c r="Q30" i="15"/>
  <c r="P30" i="15"/>
  <c r="S29" i="15"/>
  <c r="P29" i="15"/>
  <c r="S28" i="15"/>
  <c r="P28" i="15"/>
  <c r="S27" i="15"/>
  <c r="P27" i="15"/>
  <c r="Q27" i="15" s="1"/>
  <c r="S26" i="15"/>
  <c r="Q26" i="15"/>
  <c r="P26" i="15"/>
  <c r="S25" i="15"/>
  <c r="P25" i="15"/>
  <c r="Q25" i="15" s="1"/>
  <c r="P19" i="15"/>
  <c r="Q19" i="15" s="1"/>
  <c r="C19" i="15"/>
  <c r="B19" i="15"/>
  <c r="A19" i="15"/>
  <c r="D18" i="15"/>
  <c r="D57" i="15" s="1"/>
  <c r="C18" i="15"/>
  <c r="B18" i="15"/>
  <c r="A18" i="15"/>
  <c r="P17" i="15"/>
  <c r="Q17" i="15" s="1"/>
  <c r="E17" i="15"/>
  <c r="D17" i="15"/>
  <c r="C17" i="15"/>
  <c r="B17" i="15"/>
  <c r="A17" i="15"/>
  <c r="F16" i="15"/>
  <c r="F55" i="15" s="1"/>
  <c r="E16" i="15"/>
  <c r="D16" i="15"/>
  <c r="C16" i="15"/>
  <c r="B16" i="15"/>
  <c r="A16" i="15"/>
  <c r="P15" i="15"/>
  <c r="Q15" i="15" s="1"/>
  <c r="G15" i="15"/>
  <c r="G54" i="15" s="1"/>
  <c r="F15" i="15"/>
  <c r="E15" i="15"/>
  <c r="D15" i="15"/>
  <c r="C15" i="15"/>
  <c r="B15" i="15"/>
  <c r="A15" i="15"/>
  <c r="H14" i="15"/>
  <c r="H53" i="15" s="1"/>
  <c r="G14" i="15"/>
  <c r="F14" i="15"/>
  <c r="E14" i="15"/>
  <c r="D14" i="15"/>
  <c r="P14" i="15" s="1"/>
  <c r="Q14" i="15" s="1"/>
  <c r="C14" i="15"/>
  <c r="B14" i="15"/>
  <c r="A14" i="15"/>
  <c r="I13" i="15"/>
  <c r="H13" i="15"/>
  <c r="P13" i="15" s="1"/>
  <c r="Q13" i="15" s="1"/>
  <c r="G13" i="15"/>
  <c r="F13" i="15"/>
  <c r="E13" i="15"/>
  <c r="D13" i="15"/>
  <c r="C13" i="15"/>
  <c r="B13" i="15"/>
  <c r="A13" i="15"/>
  <c r="J12" i="15"/>
  <c r="I12" i="15"/>
  <c r="H12" i="15"/>
  <c r="G12" i="15"/>
  <c r="F12" i="15"/>
  <c r="E12" i="15"/>
  <c r="D12" i="15"/>
  <c r="C12" i="15"/>
  <c r="B12" i="15"/>
  <c r="A12" i="15"/>
  <c r="P11" i="15"/>
  <c r="Q11" i="15" s="1"/>
  <c r="K11" i="15"/>
  <c r="K50" i="15" s="1"/>
  <c r="J11" i="15"/>
  <c r="I11" i="15"/>
  <c r="H11" i="15"/>
  <c r="G11" i="15"/>
  <c r="F11" i="15"/>
  <c r="E11" i="15"/>
  <c r="D11" i="15"/>
  <c r="C11" i="15"/>
  <c r="B11" i="15"/>
  <c r="A11" i="15"/>
  <c r="L10" i="15"/>
  <c r="K10" i="15"/>
  <c r="J10" i="15"/>
  <c r="I10" i="15"/>
  <c r="H10" i="15"/>
  <c r="G10" i="15"/>
  <c r="F10" i="15"/>
  <c r="E10" i="15"/>
  <c r="D10" i="15"/>
  <c r="P10" i="15" s="1"/>
  <c r="Q10" i="15" s="1"/>
  <c r="C10" i="15"/>
  <c r="B10" i="15"/>
  <c r="A10" i="15"/>
  <c r="M9" i="15"/>
  <c r="M48" i="15" s="1"/>
  <c r="L9" i="15"/>
  <c r="K9" i="15"/>
  <c r="J9" i="15"/>
  <c r="I9" i="15"/>
  <c r="H9" i="15"/>
  <c r="P9" i="15" s="1"/>
  <c r="Q9" i="15" s="1"/>
  <c r="G9" i="15"/>
  <c r="F9" i="15"/>
  <c r="E9" i="15"/>
  <c r="D9" i="15"/>
  <c r="C9" i="15"/>
  <c r="B9" i="15"/>
  <c r="A9" i="15"/>
  <c r="M8" i="15"/>
  <c r="L8" i="15"/>
  <c r="O47" i="15" s="1"/>
  <c r="K8" i="15"/>
  <c r="J8" i="15"/>
  <c r="I8" i="15"/>
  <c r="H8" i="15"/>
  <c r="G8" i="15"/>
  <c r="F8" i="15"/>
  <c r="E8" i="15"/>
  <c r="D8" i="15"/>
  <c r="C8" i="15"/>
  <c r="B8" i="15"/>
  <c r="A8" i="15"/>
  <c r="P7" i="15"/>
  <c r="Q7" i="15" s="1"/>
  <c r="M7" i="15"/>
  <c r="L7" i="15"/>
  <c r="K7" i="15"/>
  <c r="J7" i="15"/>
  <c r="I7" i="15"/>
  <c r="H7" i="15"/>
  <c r="G7" i="15"/>
  <c r="F7" i="15"/>
  <c r="E7" i="15"/>
  <c r="D7" i="15"/>
  <c r="C7" i="15"/>
  <c r="O46" i="15" s="1"/>
  <c r="B7" i="15"/>
  <c r="A7" i="15"/>
  <c r="M6" i="15"/>
  <c r="L6" i="15"/>
  <c r="K6" i="15"/>
  <c r="J6" i="15"/>
  <c r="I6" i="15"/>
  <c r="H6" i="15"/>
  <c r="G6" i="15"/>
  <c r="F6" i="15"/>
  <c r="E6" i="15"/>
  <c r="D6" i="15"/>
  <c r="P6" i="15" s="1"/>
  <c r="Q6" i="15" s="1"/>
  <c r="C6" i="15"/>
  <c r="B6" i="15"/>
  <c r="A6" i="15"/>
  <c r="M5" i="15"/>
  <c r="L5" i="15"/>
  <c r="K5" i="15"/>
  <c r="J5" i="15"/>
  <c r="I5" i="15"/>
  <c r="H5" i="15"/>
  <c r="P5" i="15" s="1"/>
  <c r="Q5" i="15" s="1"/>
  <c r="G5" i="15"/>
  <c r="F5" i="15"/>
  <c r="E5" i="15"/>
  <c r="D5" i="15"/>
  <c r="C5" i="15"/>
  <c r="B5" i="15"/>
  <c r="A5" i="15"/>
  <c r="M4" i="15"/>
  <c r="L4" i="15"/>
  <c r="O43" i="15" s="1"/>
  <c r="K4" i="15"/>
  <c r="J4" i="15"/>
  <c r="I4" i="15"/>
  <c r="H4" i="15"/>
  <c r="G4" i="15"/>
  <c r="F4" i="15"/>
  <c r="E4" i="15"/>
  <c r="D4" i="15"/>
  <c r="C4" i="15"/>
  <c r="B4" i="15"/>
  <c r="A4" i="15"/>
  <c r="B49" i="2"/>
  <c r="B48" i="2"/>
  <c r="B47" i="2"/>
  <c r="B43" i="2"/>
  <c r="B42" i="2"/>
  <c r="G42" i="2"/>
  <c r="I34" i="2"/>
  <c r="J34" i="2"/>
  <c r="K34" i="2"/>
  <c r="L34" i="2"/>
  <c r="H34" i="2"/>
  <c r="G43" i="2"/>
  <c r="H43" i="2"/>
  <c r="I43" i="2"/>
  <c r="J43" i="2"/>
  <c r="K43" i="2"/>
  <c r="H42" i="2"/>
  <c r="I42" i="2"/>
  <c r="J42" i="2"/>
  <c r="K42" i="2"/>
  <c r="L42" i="2"/>
  <c r="L43" i="2" s="1"/>
  <c r="J40" i="2"/>
  <c r="K40" i="2"/>
  <c r="L40" i="2"/>
  <c r="G40" i="2"/>
  <c r="I40" i="2"/>
  <c r="C34" i="2"/>
  <c r="D34" i="2"/>
  <c r="E34" i="2"/>
  <c r="F34" i="2"/>
  <c r="G34" i="2"/>
  <c r="I24" i="2"/>
  <c r="S40" i="14"/>
  <c r="O4" i="14"/>
  <c r="O5" i="14"/>
  <c r="O6" i="14"/>
  <c r="O7" i="14"/>
  <c r="O8" i="14"/>
  <c r="N9" i="14"/>
  <c r="O9" i="14" s="1"/>
  <c r="O48" i="14" s="1"/>
  <c r="M10" i="14"/>
  <c r="N10" i="14"/>
  <c r="O10" i="14" s="1"/>
  <c r="O49" i="14" s="1"/>
  <c r="M11" i="14"/>
  <c r="N11" i="14" s="1"/>
  <c r="O11" i="14" s="1"/>
  <c r="L11" i="14"/>
  <c r="K12" i="14"/>
  <c r="L12" i="14" s="1"/>
  <c r="J13" i="14"/>
  <c r="K13" i="14" s="1"/>
  <c r="I14" i="14"/>
  <c r="J14" i="14"/>
  <c r="K14" i="14"/>
  <c r="L14" i="14"/>
  <c r="M14" i="14" s="1"/>
  <c r="M53" i="14" s="1"/>
  <c r="I15" i="14"/>
  <c r="J15" i="14"/>
  <c r="K15" i="14"/>
  <c r="L15" i="14" s="1"/>
  <c r="H15" i="14"/>
  <c r="G16" i="14"/>
  <c r="H16" i="14" s="1"/>
  <c r="F17" i="14"/>
  <c r="G17" i="14" s="1"/>
  <c r="E18" i="14"/>
  <c r="F18" i="14" s="1"/>
  <c r="F19" i="14"/>
  <c r="G19" i="14" s="1"/>
  <c r="E19" i="14"/>
  <c r="D19" i="14"/>
  <c r="O60" i="14"/>
  <c r="N60" i="14"/>
  <c r="M60" i="14"/>
  <c r="L60" i="14"/>
  <c r="K60" i="14"/>
  <c r="J60" i="14"/>
  <c r="I60" i="14"/>
  <c r="H60" i="14"/>
  <c r="G60" i="14"/>
  <c r="F60" i="14"/>
  <c r="E60" i="14"/>
  <c r="D60" i="14"/>
  <c r="C60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C59" i="14"/>
  <c r="E56" i="14"/>
  <c r="J52" i="14"/>
  <c r="I52" i="14"/>
  <c r="J51" i="14"/>
  <c r="K50" i="14"/>
  <c r="N49" i="14"/>
  <c r="M49" i="14"/>
  <c r="L49" i="14"/>
  <c r="P40" i="14"/>
  <c r="Q40" i="14" s="1"/>
  <c r="S39" i="14"/>
  <c r="P39" i="14"/>
  <c r="Q39" i="14" s="1"/>
  <c r="S38" i="14"/>
  <c r="P38" i="14"/>
  <c r="Q38" i="14" s="1"/>
  <c r="S37" i="14"/>
  <c r="P37" i="14"/>
  <c r="Q37" i="14" s="1"/>
  <c r="S36" i="14"/>
  <c r="Q36" i="14" s="1"/>
  <c r="P36" i="14"/>
  <c r="S35" i="14"/>
  <c r="P35" i="14"/>
  <c r="S34" i="14"/>
  <c r="P34" i="14"/>
  <c r="Q34" i="14" s="1"/>
  <c r="S33" i="14"/>
  <c r="Q33" i="14" s="1"/>
  <c r="P33" i="14"/>
  <c r="S32" i="14"/>
  <c r="P32" i="14"/>
  <c r="Q32" i="14" s="1"/>
  <c r="S31" i="14"/>
  <c r="P31" i="14"/>
  <c r="Q31" i="14" s="1"/>
  <c r="S30" i="14"/>
  <c r="Q30" i="14"/>
  <c r="P30" i="14"/>
  <c r="S29" i="14"/>
  <c r="Q29" i="14"/>
  <c r="P29" i="14"/>
  <c r="S28" i="14"/>
  <c r="P28" i="14"/>
  <c r="Q28" i="14" s="1"/>
  <c r="S27" i="14"/>
  <c r="P27" i="14"/>
  <c r="Q27" i="14" s="1"/>
  <c r="S26" i="14"/>
  <c r="P26" i="14"/>
  <c r="Q26" i="14" s="1"/>
  <c r="S25" i="14"/>
  <c r="P25" i="14"/>
  <c r="Q25" i="14" s="1"/>
  <c r="P19" i="14"/>
  <c r="Q19" i="14" s="1"/>
  <c r="C19" i="14"/>
  <c r="C58" i="14" s="1"/>
  <c r="B19" i="14"/>
  <c r="A19" i="14"/>
  <c r="E57" i="14"/>
  <c r="D18" i="14"/>
  <c r="D57" i="14" s="1"/>
  <c r="C18" i="14"/>
  <c r="B18" i="14"/>
  <c r="A18" i="14"/>
  <c r="E17" i="14"/>
  <c r="D17" i="14"/>
  <c r="C17" i="14"/>
  <c r="P17" i="14" s="1"/>
  <c r="Q17" i="14" s="1"/>
  <c r="B17" i="14"/>
  <c r="A17" i="14"/>
  <c r="P16" i="14"/>
  <c r="Q16" i="14" s="1"/>
  <c r="F16" i="14"/>
  <c r="F55" i="14" s="1"/>
  <c r="E16" i="14"/>
  <c r="D16" i="14"/>
  <c r="C16" i="14"/>
  <c r="B16" i="14"/>
  <c r="A16" i="14"/>
  <c r="P15" i="14"/>
  <c r="Q15" i="14" s="1"/>
  <c r="G15" i="14"/>
  <c r="G54" i="14" s="1"/>
  <c r="F15" i="14"/>
  <c r="E15" i="14"/>
  <c r="D15" i="14"/>
  <c r="C15" i="14"/>
  <c r="B15" i="14"/>
  <c r="A15" i="14"/>
  <c r="L53" i="14"/>
  <c r="K53" i="14"/>
  <c r="J53" i="14"/>
  <c r="I53" i="14"/>
  <c r="H14" i="14"/>
  <c r="H53" i="14" s="1"/>
  <c r="G14" i="14"/>
  <c r="F14" i="14"/>
  <c r="E14" i="14"/>
  <c r="D14" i="14"/>
  <c r="P14" i="14" s="1"/>
  <c r="Q14" i="14" s="1"/>
  <c r="C14" i="14"/>
  <c r="B14" i="14"/>
  <c r="A14" i="14"/>
  <c r="I13" i="14"/>
  <c r="H13" i="14"/>
  <c r="G13" i="14"/>
  <c r="F13" i="14"/>
  <c r="E13" i="14"/>
  <c r="D13" i="14"/>
  <c r="C13" i="14"/>
  <c r="P13" i="14" s="1"/>
  <c r="Q13" i="14" s="1"/>
  <c r="B13" i="14"/>
  <c r="A13" i="14"/>
  <c r="P12" i="14"/>
  <c r="Q12" i="14" s="1"/>
  <c r="J12" i="14"/>
  <c r="I12" i="14"/>
  <c r="H12" i="14"/>
  <c r="G12" i="14"/>
  <c r="F12" i="14"/>
  <c r="E12" i="14"/>
  <c r="D12" i="14"/>
  <c r="C12" i="14"/>
  <c r="B12" i="14"/>
  <c r="A12" i="14"/>
  <c r="P11" i="14"/>
  <c r="Q11" i="14" s="1"/>
  <c r="K11" i="14"/>
  <c r="J11" i="14"/>
  <c r="I11" i="14"/>
  <c r="H11" i="14"/>
  <c r="G11" i="14"/>
  <c r="F11" i="14"/>
  <c r="E11" i="14"/>
  <c r="D11" i="14"/>
  <c r="C11" i="14"/>
  <c r="B11" i="14"/>
  <c r="A11" i="14"/>
  <c r="L10" i="14"/>
  <c r="K10" i="14"/>
  <c r="J10" i="14"/>
  <c r="I10" i="14"/>
  <c r="H10" i="14"/>
  <c r="G10" i="14"/>
  <c r="F10" i="14"/>
  <c r="E10" i="14"/>
  <c r="D10" i="14"/>
  <c r="P10" i="14" s="1"/>
  <c r="Q10" i="14" s="1"/>
  <c r="C10" i="14"/>
  <c r="B10" i="14"/>
  <c r="A10" i="14"/>
  <c r="N48" i="14"/>
  <c r="M9" i="14"/>
  <c r="M48" i="14" s="1"/>
  <c r="L9" i="14"/>
  <c r="K9" i="14"/>
  <c r="J9" i="14"/>
  <c r="I9" i="14"/>
  <c r="H9" i="14"/>
  <c r="G9" i="14"/>
  <c r="F9" i="14"/>
  <c r="E9" i="14"/>
  <c r="D9" i="14"/>
  <c r="C9" i="14"/>
  <c r="B9" i="14"/>
  <c r="A9" i="14"/>
  <c r="O47" i="14"/>
  <c r="N8" i="14"/>
  <c r="M8" i="14"/>
  <c r="L8" i="14"/>
  <c r="P8" i="14" s="1"/>
  <c r="Q8" i="14" s="1"/>
  <c r="K8" i="14"/>
  <c r="J8" i="14"/>
  <c r="I8" i="14"/>
  <c r="H8" i="14"/>
  <c r="G8" i="14"/>
  <c r="F8" i="14"/>
  <c r="E8" i="14"/>
  <c r="D8" i="14"/>
  <c r="C8" i="14"/>
  <c r="S8" i="14" s="1"/>
  <c r="B8" i="14"/>
  <c r="A8" i="14"/>
  <c r="P7" i="14"/>
  <c r="Q7" i="14" s="1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A7" i="14"/>
  <c r="O45" i="14"/>
  <c r="N6" i="14"/>
  <c r="M6" i="14"/>
  <c r="L6" i="14"/>
  <c r="K6" i="14"/>
  <c r="J6" i="14"/>
  <c r="I6" i="14"/>
  <c r="H6" i="14"/>
  <c r="G6" i="14"/>
  <c r="F6" i="14"/>
  <c r="E6" i="14"/>
  <c r="D6" i="14"/>
  <c r="P6" i="14" s="1"/>
  <c r="Q6" i="14" s="1"/>
  <c r="C6" i="14"/>
  <c r="S6" i="14" s="1"/>
  <c r="B6" i="14"/>
  <c r="A6" i="14"/>
  <c r="O44" i="14"/>
  <c r="N5" i="14"/>
  <c r="M5" i="14"/>
  <c r="L5" i="14"/>
  <c r="K5" i="14"/>
  <c r="J5" i="14"/>
  <c r="I5" i="14"/>
  <c r="H5" i="14"/>
  <c r="G5" i="14"/>
  <c r="F5" i="14"/>
  <c r="E5" i="14"/>
  <c r="D5" i="14"/>
  <c r="C5" i="14"/>
  <c r="S5" i="14" s="1"/>
  <c r="B5" i="14"/>
  <c r="A5" i="14"/>
  <c r="O43" i="14"/>
  <c r="N4" i="14"/>
  <c r="M4" i="14"/>
  <c r="L4" i="14"/>
  <c r="P4" i="14" s="1"/>
  <c r="Q4" i="14" s="1"/>
  <c r="K4" i="14"/>
  <c r="J4" i="14"/>
  <c r="I4" i="14"/>
  <c r="H4" i="14"/>
  <c r="G4" i="14"/>
  <c r="F4" i="14"/>
  <c r="E4" i="14"/>
  <c r="D4" i="14"/>
  <c r="C4" i="14"/>
  <c r="S4" i="14" s="1"/>
  <c r="B4" i="14"/>
  <c r="A4" i="14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4" i="8"/>
  <c r="O35" i="13" a="1"/>
  <c r="O35" i="13"/>
  <c r="O34" i="13" a="1"/>
  <c r="O34" i="13" s="1"/>
  <c r="O33" i="13" a="1"/>
  <c r="O33" i="13" s="1"/>
  <c r="N34" i="13" a="1"/>
  <c r="N34" i="13" s="1"/>
  <c r="N35" i="13" a="1"/>
  <c r="N35" i="13" s="1"/>
  <c r="N33" i="13" a="1"/>
  <c r="N33" i="13" s="1"/>
  <c r="I32" i="13" a="1"/>
  <c r="I32" i="13" s="1"/>
  <c r="O32" i="13" a="1"/>
  <c r="O32" i="13" s="1"/>
  <c r="J35" i="13" a="1"/>
  <c r="J35" i="13" s="1"/>
  <c r="K35" i="13" a="1"/>
  <c r="K35" i="13"/>
  <c r="L35" i="13" a="1"/>
  <c r="L35" i="13" s="1"/>
  <c r="M35" i="13" a="1"/>
  <c r="M35" i="13" s="1"/>
  <c r="I35" i="13" a="1"/>
  <c r="I35" i="13" s="1"/>
  <c r="J34" i="13" a="1"/>
  <c r="J34" i="13" s="1"/>
  <c r="K34" i="13" a="1"/>
  <c r="K34" i="13" s="1"/>
  <c r="L34" i="13" a="1"/>
  <c r="L34" i="13" s="1"/>
  <c r="M34" i="13" a="1"/>
  <c r="M34" i="13" s="1"/>
  <c r="I34" i="13" a="1"/>
  <c r="I34" i="13" s="1"/>
  <c r="I33" i="13" a="1"/>
  <c r="I33" i="13" s="1"/>
  <c r="J33" i="13" a="1"/>
  <c r="J33" i="13" s="1"/>
  <c r="K33" i="13" a="1"/>
  <c r="K33" i="13" s="1"/>
  <c r="L33" i="13" a="1"/>
  <c r="L33" i="13" s="1"/>
  <c r="M33" i="13" a="1"/>
  <c r="M33" i="13" s="1"/>
  <c r="J32" i="13" a="1"/>
  <c r="J32" i="13" s="1"/>
  <c r="K32" i="13" a="1"/>
  <c r="K32" i="13" s="1"/>
  <c r="L32" i="13" a="1"/>
  <c r="L32" i="13" s="1"/>
  <c r="M32" i="13" a="1"/>
  <c r="M32" i="13" s="1"/>
  <c r="N32" i="13" a="1"/>
  <c r="N32" i="13" s="1"/>
  <c r="H32" i="13"/>
  <c r="G32" i="13"/>
  <c r="O24" i="13"/>
  <c r="P24" i="13"/>
  <c r="Q24" i="13"/>
  <c r="N24" i="13"/>
  <c r="K24" i="13"/>
  <c r="L24" i="13"/>
  <c r="M24" i="13"/>
  <c r="J24" i="13"/>
  <c r="G24" i="13"/>
  <c r="H24" i="13"/>
  <c r="I24" i="13"/>
  <c r="F24" i="13"/>
  <c r="N25" i="13"/>
  <c r="O25" i="13"/>
  <c r="P25" i="13"/>
  <c r="M25" i="13"/>
  <c r="J25" i="13"/>
  <c r="K25" i="13"/>
  <c r="L25" i="13"/>
  <c r="I25" i="13"/>
  <c r="F25" i="13"/>
  <c r="G25" i="13"/>
  <c r="H25" i="13"/>
  <c r="E25" i="13"/>
  <c r="D25" i="13"/>
  <c r="D33" i="13" s="1"/>
  <c r="O26" i="13"/>
  <c r="N27" i="13"/>
  <c r="M26" i="13"/>
  <c r="N26" i="13"/>
  <c r="L26" i="13"/>
  <c r="I26" i="13"/>
  <c r="J26" i="13"/>
  <c r="K26" i="13"/>
  <c r="H26" i="13"/>
  <c r="E26" i="13"/>
  <c r="F26" i="13"/>
  <c r="G26" i="13"/>
  <c r="D26" i="13"/>
  <c r="L27" i="13"/>
  <c r="M27" i="13"/>
  <c r="K27" i="13"/>
  <c r="H27" i="13"/>
  <c r="I27" i="13"/>
  <c r="J27" i="13"/>
  <c r="G27" i="13"/>
  <c r="F27" i="13"/>
  <c r="E27" i="13"/>
  <c r="D27" i="13"/>
  <c r="D35" i="13"/>
  <c r="D24" i="13"/>
  <c r="E24" i="13"/>
  <c r="C27" i="13"/>
  <c r="C25" i="13"/>
  <c r="C26" i="13"/>
  <c r="D32" i="13"/>
  <c r="C24" i="13"/>
  <c r="C32" i="13" s="1"/>
  <c r="G35" i="13"/>
  <c r="F35" i="13"/>
  <c r="E35" i="13"/>
  <c r="H34" i="13"/>
  <c r="E34" i="13"/>
  <c r="C33" i="13"/>
  <c r="H35" i="13"/>
  <c r="C35" i="13"/>
  <c r="G34" i="13"/>
  <c r="F34" i="13"/>
  <c r="D34" i="13"/>
  <c r="C34" i="13"/>
  <c r="H33" i="13"/>
  <c r="G33" i="13"/>
  <c r="F33" i="13"/>
  <c r="E33" i="13"/>
  <c r="F32" i="13"/>
  <c r="E32" i="13"/>
  <c r="C18" i="13"/>
  <c r="D17" i="13"/>
  <c r="C17" i="13"/>
  <c r="E16" i="13"/>
  <c r="D16" i="13"/>
  <c r="C16" i="13"/>
  <c r="F15" i="13"/>
  <c r="E15" i="13"/>
  <c r="D15" i="13"/>
  <c r="C15" i="13"/>
  <c r="G14" i="13"/>
  <c r="F14" i="13"/>
  <c r="E14" i="13"/>
  <c r="D14" i="13"/>
  <c r="C14" i="13"/>
  <c r="H13" i="13"/>
  <c r="G13" i="13"/>
  <c r="F13" i="13"/>
  <c r="E13" i="13"/>
  <c r="D13" i="13"/>
  <c r="C13" i="13"/>
  <c r="I12" i="13"/>
  <c r="H12" i="13"/>
  <c r="G12" i="13"/>
  <c r="F12" i="13"/>
  <c r="E12" i="13"/>
  <c r="D12" i="13"/>
  <c r="C12" i="13"/>
  <c r="J11" i="13"/>
  <c r="I11" i="13"/>
  <c r="H11" i="13"/>
  <c r="G11" i="13"/>
  <c r="F11" i="13"/>
  <c r="E11" i="13"/>
  <c r="D11" i="13"/>
  <c r="C11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M8" i="13"/>
  <c r="L8" i="13"/>
  <c r="K8" i="13"/>
  <c r="J8" i="13"/>
  <c r="I8" i="13"/>
  <c r="H8" i="13"/>
  <c r="G8" i="13"/>
  <c r="F8" i="13"/>
  <c r="E8" i="13"/>
  <c r="D8" i="13"/>
  <c r="C8" i="13"/>
  <c r="N7" i="13"/>
  <c r="M7" i="13"/>
  <c r="L7" i="13"/>
  <c r="K7" i="13"/>
  <c r="J7" i="13"/>
  <c r="I7" i="13"/>
  <c r="H7" i="13"/>
  <c r="G7" i="13"/>
  <c r="F7" i="13"/>
  <c r="E7" i="13"/>
  <c r="D7" i="13"/>
  <c r="C7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K8" i="12"/>
  <c r="B19" i="12"/>
  <c r="C19" i="12" s="1"/>
  <c r="B18" i="12"/>
  <c r="D18" i="12" s="1"/>
  <c r="D17" i="12"/>
  <c r="C17" i="12"/>
  <c r="B17" i="12"/>
  <c r="E17" i="12" s="1"/>
  <c r="B16" i="12"/>
  <c r="F16" i="12" s="1"/>
  <c r="G15" i="12"/>
  <c r="F15" i="12"/>
  <c r="B15" i="12"/>
  <c r="E15" i="12" s="1"/>
  <c r="B14" i="12"/>
  <c r="H14" i="12" s="1"/>
  <c r="I13" i="12"/>
  <c r="H13" i="12"/>
  <c r="G13" i="12"/>
  <c r="F13" i="12"/>
  <c r="E13" i="12"/>
  <c r="B13" i="12"/>
  <c r="D13" i="12" s="1"/>
  <c r="B12" i="12"/>
  <c r="H12" i="12" s="1"/>
  <c r="K11" i="12"/>
  <c r="J11" i="12"/>
  <c r="I11" i="12"/>
  <c r="H11" i="12"/>
  <c r="B11" i="12"/>
  <c r="G11" i="12" s="1"/>
  <c r="L10" i="12"/>
  <c r="K10" i="12"/>
  <c r="J10" i="12"/>
  <c r="I10" i="12"/>
  <c r="H10" i="12"/>
  <c r="G10" i="12"/>
  <c r="F10" i="12"/>
  <c r="E10" i="12"/>
  <c r="D10" i="12"/>
  <c r="C10" i="12"/>
  <c r="B10" i="12"/>
  <c r="D9" i="12"/>
  <c r="B9" i="12"/>
  <c r="G9" i="12" s="1"/>
  <c r="N8" i="12"/>
  <c r="M8" i="12"/>
  <c r="L8" i="12"/>
  <c r="B8" i="12"/>
  <c r="O7" i="12"/>
  <c r="N7" i="12"/>
  <c r="M7" i="12"/>
  <c r="L7" i="12"/>
  <c r="K7" i="12"/>
  <c r="J7" i="12"/>
  <c r="B7" i="12"/>
  <c r="I7" i="12" s="1"/>
  <c r="P6" i="12"/>
  <c r="O6" i="12"/>
  <c r="N6" i="12"/>
  <c r="M6" i="12"/>
  <c r="L6" i="12"/>
  <c r="K6" i="12"/>
  <c r="J6" i="12"/>
  <c r="I6" i="12"/>
  <c r="B6" i="12"/>
  <c r="H6" i="12" s="1"/>
  <c r="Q5" i="12"/>
  <c r="P5" i="12"/>
  <c r="O5" i="12"/>
  <c r="O28" i="12" s="1"/>
  <c r="N5" i="12"/>
  <c r="M5" i="12"/>
  <c r="L5" i="12"/>
  <c r="K5" i="12"/>
  <c r="J5" i="12"/>
  <c r="I5" i="12"/>
  <c r="B5" i="12"/>
  <c r="H5" i="12" s="1"/>
  <c r="P4" i="12"/>
  <c r="O4" i="12"/>
  <c r="O24" i="12" s="1" a="1"/>
  <c r="O24" i="12" s="1"/>
  <c r="O31" i="12" s="1"/>
  <c r="N4" i="12"/>
  <c r="M4" i="12"/>
  <c r="L4" i="12"/>
  <c r="K4" i="12"/>
  <c r="J4" i="12"/>
  <c r="B4" i="12"/>
  <c r="I4" i="12" s="1"/>
  <c r="B19" i="3"/>
  <c r="A19" i="3"/>
  <c r="B18" i="3"/>
  <c r="A18" i="3"/>
  <c r="B17" i="3"/>
  <c r="A17" i="3"/>
  <c r="B16" i="3"/>
  <c r="A16" i="3"/>
  <c r="A15" i="3"/>
  <c r="A14" i="3"/>
  <c r="B13" i="3"/>
  <c r="A13" i="3"/>
  <c r="A12" i="3"/>
  <c r="B11" i="3"/>
  <c r="A11" i="3"/>
  <c r="B10" i="3"/>
  <c r="A10" i="3"/>
  <c r="B9" i="3"/>
  <c r="A9" i="3"/>
  <c r="B8" i="3"/>
  <c r="A8" i="3"/>
  <c r="A5" i="3"/>
  <c r="A4" i="3"/>
  <c r="A7" i="3"/>
  <c r="B6" i="3"/>
  <c r="A6" i="3"/>
  <c r="P24" i="12" a="1"/>
  <c r="P24" i="12" s="1"/>
  <c r="P31" i="12" s="1"/>
  <c r="P28" i="12"/>
  <c r="J42" i="13" l="1"/>
  <c r="M40" i="13"/>
  <c r="M12" i="15"/>
  <c r="N12" i="15" s="1"/>
  <c r="L13" i="15"/>
  <c r="M13" i="15"/>
  <c r="N13" i="15" s="1"/>
  <c r="K14" i="15"/>
  <c r="L14" i="15"/>
  <c r="M14" i="15"/>
  <c r="N14" i="15"/>
  <c r="J15" i="15"/>
  <c r="I16" i="15"/>
  <c r="J16" i="15" s="1"/>
  <c r="J55" i="15" s="1"/>
  <c r="H17" i="15"/>
  <c r="I17" i="15"/>
  <c r="J17" i="15"/>
  <c r="K17" i="15"/>
  <c r="L17" i="15"/>
  <c r="M17" i="15"/>
  <c r="N17" i="15"/>
  <c r="G18" i="15"/>
  <c r="H18" i="15" s="1"/>
  <c r="H19" i="15"/>
  <c r="I19" i="15" s="1"/>
  <c r="G56" i="15"/>
  <c r="S6" i="15"/>
  <c r="T27" i="15" s="1"/>
  <c r="K51" i="15"/>
  <c r="L51" i="15"/>
  <c r="M51" i="15"/>
  <c r="S8" i="15"/>
  <c r="T29" i="15" s="1"/>
  <c r="S5" i="15"/>
  <c r="S4" i="15"/>
  <c r="T25" i="15" s="1"/>
  <c r="P4" i="15"/>
  <c r="Q4" i="15" s="1"/>
  <c r="P8" i="15"/>
  <c r="Q8" i="15" s="1"/>
  <c r="P12" i="15"/>
  <c r="Q12" i="15" s="1"/>
  <c r="L52" i="15"/>
  <c r="P16" i="15"/>
  <c r="Q16" i="15" s="1"/>
  <c r="D58" i="15"/>
  <c r="J52" i="15"/>
  <c r="I53" i="15"/>
  <c r="E58" i="15"/>
  <c r="K52" i="15"/>
  <c r="N48" i="15"/>
  <c r="J53" i="15"/>
  <c r="F58" i="15"/>
  <c r="Q28" i="15"/>
  <c r="O44" i="15"/>
  <c r="E57" i="15"/>
  <c r="M49" i="15"/>
  <c r="C58" i="15"/>
  <c r="Q32" i="15"/>
  <c r="Q42" i="15" s="1"/>
  <c r="O45" i="15"/>
  <c r="Q29" i="15"/>
  <c r="S7" i="15"/>
  <c r="L50" i="15"/>
  <c r="H55" i="15"/>
  <c r="P18" i="15"/>
  <c r="Q18" i="15" s="1"/>
  <c r="M50" i="15"/>
  <c r="N50" i="15"/>
  <c r="S9" i="14"/>
  <c r="S10" i="14"/>
  <c r="O50" i="14"/>
  <c r="L51" i="14"/>
  <c r="M12" i="14"/>
  <c r="M51" i="14" s="1"/>
  <c r="L13" i="14"/>
  <c r="L52" i="14" s="1"/>
  <c r="K52" i="14"/>
  <c r="N14" i="14"/>
  <c r="N53" i="14" s="1"/>
  <c r="M15" i="14"/>
  <c r="N15" i="14"/>
  <c r="O15" i="14"/>
  <c r="I16" i="14"/>
  <c r="J16" i="14"/>
  <c r="K16" i="14"/>
  <c r="L16" i="14"/>
  <c r="M16" i="14"/>
  <c r="N16" i="14"/>
  <c r="O16" i="14"/>
  <c r="H17" i="14"/>
  <c r="H56" i="14" s="1"/>
  <c r="I17" i="14"/>
  <c r="I56" i="14" s="1"/>
  <c r="G56" i="14"/>
  <c r="G18" i="14"/>
  <c r="H19" i="14"/>
  <c r="I19" i="14" s="1"/>
  <c r="F57" i="14"/>
  <c r="T27" i="14"/>
  <c r="R8" i="14"/>
  <c r="T8" i="14"/>
  <c r="T5" i="14"/>
  <c r="R5" i="14"/>
  <c r="R26" i="14" s="1"/>
  <c r="T9" i="14"/>
  <c r="R9" i="14"/>
  <c r="R30" i="14" s="1"/>
  <c r="R29" i="14"/>
  <c r="S7" i="14"/>
  <c r="O46" i="14"/>
  <c r="R10" i="14"/>
  <c r="R31" i="14" s="1"/>
  <c r="T10" i="14"/>
  <c r="T29" i="14"/>
  <c r="R6" i="14"/>
  <c r="R27" i="14" s="1"/>
  <c r="T6" i="14"/>
  <c r="T4" i="14"/>
  <c r="R4" i="14"/>
  <c r="T30" i="14"/>
  <c r="T31" i="14"/>
  <c r="K51" i="14"/>
  <c r="T25" i="14"/>
  <c r="T26" i="14"/>
  <c r="P5" i="14"/>
  <c r="Q5" i="14" s="1"/>
  <c r="P9" i="14"/>
  <c r="Q9" i="14" s="1"/>
  <c r="H54" i="14"/>
  <c r="H58" i="14"/>
  <c r="I54" i="14"/>
  <c r="Q35" i="14"/>
  <c r="G58" i="14"/>
  <c r="J54" i="14"/>
  <c r="E58" i="14"/>
  <c r="L50" i="14"/>
  <c r="H55" i="14"/>
  <c r="P18" i="14"/>
  <c r="Q18" i="14" s="1"/>
  <c r="F58" i="14"/>
  <c r="K54" i="14"/>
  <c r="M50" i="14"/>
  <c r="I55" i="14"/>
  <c r="N50" i="14"/>
  <c r="C16" i="12"/>
  <c r="C9" i="12"/>
  <c r="D16" i="12"/>
  <c r="C12" i="12"/>
  <c r="E16" i="12"/>
  <c r="E9" i="12"/>
  <c r="D12" i="12"/>
  <c r="C14" i="12"/>
  <c r="C26" i="12" s="1" a="1"/>
  <c r="C26" i="12" s="1"/>
  <c r="Q4" i="12"/>
  <c r="Q24" i="12" s="1" a="1"/>
  <c r="Q24" i="12" s="1"/>
  <c r="Q31" i="12" s="1"/>
  <c r="C8" i="12"/>
  <c r="F9" i="12"/>
  <c r="E12" i="12"/>
  <c r="D14" i="12"/>
  <c r="F12" i="12"/>
  <c r="E14" i="12"/>
  <c r="C6" i="12"/>
  <c r="G14" i="12"/>
  <c r="G12" i="12"/>
  <c r="E4" i="12"/>
  <c r="R4" i="12"/>
  <c r="R24" i="12" s="1" a="1"/>
  <c r="R24" i="12" s="1"/>
  <c r="R31" i="12" s="1"/>
  <c r="F14" i="12"/>
  <c r="D4" i="12"/>
  <c r="D24" i="12" s="1" a="1"/>
  <c r="D24" i="12" s="1"/>
  <c r="D31" i="12" s="1"/>
  <c r="D34" i="12" s="1"/>
  <c r="D19" i="3" s="1"/>
  <c r="C5" i="12"/>
  <c r="I9" i="12"/>
  <c r="D5" i="12"/>
  <c r="E7" i="12"/>
  <c r="E24" i="12" s="1" a="1"/>
  <c r="E24" i="12" s="1"/>
  <c r="E31" i="12" s="1"/>
  <c r="E34" i="12" s="1"/>
  <c r="J9" i="12"/>
  <c r="C11" i="12"/>
  <c r="F4" i="12"/>
  <c r="E5" i="12"/>
  <c r="E6" i="12"/>
  <c r="F7" i="12"/>
  <c r="H8" i="12"/>
  <c r="K9" i="12"/>
  <c r="D11" i="12"/>
  <c r="J12" i="12"/>
  <c r="C18" i="12"/>
  <c r="C28" i="12" s="1"/>
  <c r="D8" i="12"/>
  <c r="B12" i="3"/>
  <c r="H9" i="12"/>
  <c r="H24" i="12" s="1" a="1"/>
  <c r="H24" i="12" s="1"/>
  <c r="H31" i="12" s="1"/>
  <c r="H34" i="12" s="1"/>
  <c r="F8" i="12"/>
  <c r="B7" i="3"/>
  <c r="D6" i="12"/>
  <c r="G8" i="12"/>
  <c r="B4" i="3"/>
  <c r="B14" i="3"/>
  <c r="G4" i="12"/>
  <c r="F5" i="12"/>
  <c r="F6" i="12"/>
  <c r="G7" i="12"/>
  <c r="I8" i="12"/>
  <c r="L9" i="12"/>
  <c r="E11" i="12"/>
  <c r="C15" i="12"/>
  <c r="C7" i="12"/>
  <c r="D7" i="12"/>
  <c r="I12" i="12"/>
  <c r="I28" i="12" s="1"/>
  <c r="H4" i="12"/>
  <c r="G5" i="12"/>
  <c r="G6" i="12"/>
  <c r="H7" i="12"/>
  <c r="J8" i="12"/>
  <c r="M9" i="12"/>
  <c r="F11" i="12"/>
  <c r="C13" i="12"/>
  <c r="D15" i="12"/>
  <c r="C4" i="12"/>
  <c r="C24" i="12" s="1" a="1"/>
  <c r="C24" i="12" s="1"/>
  <c r="C31" i="12" s="1"/>
  <c r="C34" i="12" s="1"/>
  <c r="E8" i="12"/>
  <c r="B5" i="3"/>
  <c r="B15" i="3"/>
  <c r="G26" i="12" a="1"/>
  <c r="G26" i="12" s="1"/>
  <c r="F26" i="12" a="1"/>
  <c r="F26" i="12" s="1"/>
  <c r="G24" i="12" a="1"/>
  <c r="G24" i="12" s="1"/>
  <c r="G31" i="12" s="1"/>
  <c r="G34" i="12" s="1"/>
  <c r="G16" i="3" s="1"/>
  <c r="J28" i="12"/>
  <c r="K28" i="12"/>
  <c r="G28" i="12"/>
  <c r="I24" i="12" a="1"/>
  <c r="I24" i="12" s="1"/>
  <c r="I31" i="12" s="1"/>
  <c r="I34" i="12" s="1"/>
  <c r="I16" i="3" s="1"/>
  <c r="D28" i="12"/>
  <c r="F28" i="12"/>
  <c r="K26" i="12" a="1"/>
  <c r="K26" i="12" s="1"/>
  <c r="E26" i="12" a="1"/>
  <c r="E26" i="12" s="1"/>
  <c r="K15" i="15" l="1"/>
  <c r="L15" i="15" s="1"/>
  <c r="K16" i="15"/>
  <c r="M16" i="15" s="1"/>
  <c r="M55" i="15" s="1"/>
  <c r="I55" i="15"/>
  <c r="L16" i="15"/>
  <c r="N16" i="15" s="1"/>
  <c r="N55" i="15" s="1"/>
  <c r="I18" i="15"/>
  <c r="J19" i="15"/>
  <c r="K55" i="15"/>
  <c r="H54" i="15"/>
  <c r="T5" i="15"/>
  <c r="R5" i="15"/>
  <c r="R26" i="15" s="1"/>
  <c r="T8" i="15"/>
  <c r="R8" i="15"/>
  <c r="R29" i="15" s="1"/>
  <c r="R7" i="15"/>
  <c r="R28" i="15" s="1"/>
  <c r="T7" i="15"/>
  <c r="O50" i="15"/>
  <c r="T28" i="15"/>
  <c r="G58" i="15"/>
  <c r="J54" i="15"/>
  <c r="F56" i="15"/>
  <c r="H56" i="15"/>
  <c r="I56" i="15"/>
  <c r="S11" i="15"/>
  <c r="O49" i="15"/>
  <c r="L53" i="15"/>
  <c r="S9" i="15"/>
  <c r="N49" i="15"/>
  <c r="M52" i="15"/>
  <c r="T4" i="15"/>
  <c r="R4" i="15"/>
  <c r="O48" i="15"/>
  <c r="T6" i="15"/>
  <c r="R6" i="15"/>
  <c r="R27" i="15" s="1"/>
  <c r="H58" i="15"/>
  <c r="T26" i="15"/>
  <c r="L55" i="15"/>
  <c r="G55" i="15"/>
  <c r="B50" i="2"/>
  <c r="M34" i="2" s="1"/>
  <c r="N12" i="14"/>
  <c r="O12" i="14" s="1"/>
  <c r="O51" i="14" s="1"/>
  <c r="M13" i="14"/>
  <c r="O14" i="14"/>
  <c r="O53" i="14" s="1"/>
  <c r="J17" i="14"/>
  <c r="H18" i="14"/>
  <c r="I18" i="14"/>
  <c r="J18" i="14" s="1"/>
  <c r="G57" i="14"/>
  <c r="J19" i="14"/>
  <c r="K19" i="14"/>
  <c r="L19" i="14"/>
  <c r="M19" i="14"/>
  <c r="N19" i="14"/>
  <c r="O19" i="14"/>
  <c r="M54" i="14"/>
  <c r="N54" i="14"/>
  <c r="O54" i="14"/>
  <c r="S15" i="14"/>
  <c r="T15" i="14" s="1"/>
  <c r="L54" i="14"/>
  <c r="J55" i="14"/>
  <c r="K55" i="14"/>
  <c r="H57" i="14"/>
  <c r="I58" i="14"/>
  <c r="J58" i="14"/>
  <c r="S11" i="14"/>
  <c r="D58" i="14"/>
  <c r="F56" i="14"/>
  <c r="T7" i="14"/>
  <c r="R7" i="14"/>
  <c r="R28" i="14" s="1"/>
  <c r="T28" i="14"/>
  <c r="R25" i="14"/>
  <c r="Q42" i="14"/>
  <c r="G55" i="14"/>
  <c r="E18" i="3"/>
  <c r="E19" i="3"/>
  <c r="H16" i="3"/>
  <c r="H19" i="3"/>
  <c r="H15" i="3"/>
  <c r="H17" i="3"/>
  <c r="I17" i="3"/>
  <c r="I14" i="3"/>
  <c r="G17" i="3"/>
  <c r="I18" i="3"/>
  <c r="H18" i="3"/>
  <c r="G18" i="3"/>
  <c r="G19" i="3"/>
  <c r="I15" i="3"/>
  <c r="I19" i="3"/>
  <c r="M26" i="12" a="1"/>
  <c r="M26" i="12" s="1"/>
  <c r="M24" i="12" a="1"/>
  <c r="M24" i="12" s="1"/>
  <c r="M31" i="12" s="1"/>
  <c r="M40" i="12" s="1"/>
  <c r="H26" i="12" a="1"/>
  <c r="H26" i="12" s="1"/>
  <c r="E28" i="12"/>
  <c r="M28" i="12"/>
  <c r="J26" i="12" a="1"/>
  <c r="J26" i="12" s="1"/>
  <c r="N28" i="12"/>
  <c r="N24" i="12" a="1"/>
  <c r="N24" i="12" s="1"/>
  <c r="N31" i="12" s="1"/>
  <c r="J24" i="12" a="1"/>
  <c r="J24" i="12" s="1"/>
  <c r="J31" i="12" s="1"/>
  <c r="I26" i="12" a="1"/>
  <c r="I26" i="12" s="1"/>
  <c r="F24" i="12" a="1"/>
  <c r="F24" i="12" s="1"/>
  <c r="F31" i="12" s="1"/>
  <c r="F34" i="12" s="1"/>
  <c r="K24" i="12" a="1"/>
  <c r="K24" i="12" s="1"/>
  <c r="K31" i="12" s="1"/>
  <c r="K40" i="12" s="1"/>
  <c r="L24" i="12" a="1"/>
  <c r="L24" i="12" s="1"/>
  <c r="L31" i="12" s="1"/>
  <c r="L40" i="12" s="1"/>
  <c r="L26" i="12" a="1"/>
  <c r="L26" i="12" s="1"/>
  <c r="L28" i="12"/>
  <c r="D26" i="12" a="1"/>
  <c r="D26" i="12" s="1"/>
  <c r="H28" i="12"/>
  <c r="M15" i="15" l="1"/>
  <c r="N15" i="15"/>
  <c r="J18" i="15"/>
  <c r="K18" i="15" s="1"/>
  <c r="K19" i="15"/>
  <c r="T9" i="15"/>
  <c r="R9" i="15"/>
  <c r="R30" i="15" s="1"/>
  <c r="T30" i="15"/>
  <c r="N51" i="15"/>
  <c r="S12" i="15"/>
  <c r="M53" i="15"/>
  <c r="S10" i="15"/>
  <c r="K53" i="15"/>
  <c r="R11" i="15"/>
  <c r="R32" i="15" s="1"/>
  <c r="T11" i="15"/>
  <c r="T32" i="15"/>
  <c r="N53" i="15"/>
  <c r="F57" i="15"/>
  <c r="O51" i="15"/>
  <c r="I54" i="15"/>
  <c r="K54" i="15"/>
  <c r="O55" i="15"/>
  <c r="I58" i="15"/>
  <c r="R25" i="15"/>
  <c r="L54" i="15"/>
  <c r="C55" i="2"/>
  <c r="C56" i="2" s="1"/>
  <c r="I55" i="2"/>
  <c r="H55" i="2"/>
  <c r="G55" i="2"/>
  <c r="F55" i="2"/>
  <c r="E55" i="2"/>
  <c r="D55" i="2"/>
  <c r="D56" i="2" s="1"/>
  <c r="L55" i="2"/>
  <c r="K55" i="2"/>
  <c r="J55" i="2"/>
  <c r="J56" i="2" s="1"/>
  <c r="M55" i="2"/>
  <c r="N51" i="14"/>
  <c r="S12" i="14"/>
  <c r="M52" i="14"/>
  <c r="N13" i="14"/>
  <c r="N52" i="14" s="1"/>
  <c r="O13" i="14"/>
  <c r="O52" i="14" s="1"/>
  <c r="S13" i="14"/>
  <c r="S14" i="14"/>
  <c r="R15" i="14"/>
  <c r="R36" i="14" s="1"/>
  <c r="T36" i="14"/>
  <c r="K17" i="14"/>
  <c r="K56" i="14" s="1"/>
  <c r="J56" i="14"/>
  <c r="K18" i="14"/>
  <c r="L18" i="14"/>
  <c r="I57" i="14"/>
  <c r="T11" i="14"/>
  <c r="R11" i="14"/>
  <c r="T32" i="14"/>
  <c r="F17" i="3"/>
  <c r="F19" i="3"/>
  <c r="F18" i="3"/>
  <c r="J40" i="12"/>
  <c r="J34" i="12"/>
  <c r="L18" i="15" l="1"/>
  <c r="L19" i="15"/>
  <c r="M19" i="15" s="1"/>
  <c r="N19" i="15" s="1"/>
  <c r="R10" i="15"/>
  <c r="T10" i="15"/>
  <c r="T31" i="15"/>
  <c r="J56" i="15"/>
  <c r="K56" i="15"/>
  <c r="S16" i="15"/>
  <c r="T12" i="15"/>
  <c r="R12" i="15"/>
  <c r="R33" i="15" s="1"/>
  <c r="T33" i="15"/>
  <c r="N52" i="15"/>
  <c r="O52" i="15"/>
  <c r="O53" i="15"/>
  <c r="G57" i="15"/>
  <c r="I56" i="2"/>
  <c r="G56" i="2"/>
  <c r="K56" i="2"/>
  <c r="N56" i="2"/>
  <c r="M56" i="2"/>
  <c r="L56" i="2"/>
  <c r="E56" i="2"/>
  <c r="F56" i="2"/>
  <c r="H56" i="2"/>
  <c r="T33" i="14"/>
  <c r="R12" i="14"/>
  <c r="R33" i="14" s="1"/>
  <c r="T12" i="14"/>
  <c r="R13" i="14"/>
  <c r="R34" i="14" s="1"/>
  <c r="T13" i="14"/>
  <c r="T34" i="14"/>
  <c r="T35" i="14"/>
  <c r="R14" i="14"/>
  <c r="R35" i="14" s="1"/>
  <c r="T14" i="14"/>
  <c r="L17" i="14"/>
  <c r="M18" i="14"/>
  <c r="N18" i="14" s="1"/>
  <c r="O18" i="14" s="1"/>
  <c r="L55" i="14"/>
  <c r="M55" i="14"/>
  <c r="N55" i="14"/>
  <c r="K57" i="14"/>
  <c r="K58" i="14"/>
  <c r="L58" i="14"/>
  <c r="M58" i="14"/>
  <c r="R32" i="14"/>
  <c r="J16" i="3"/>
  <c r="J15" i="3"/>
  <c r="J18" i="3"/>
  <c r="J19" i="3"/>
  <c r="J17" i="3"/>
  <c r="J13" i="3"/>
  <c r="J14" i="3"/>
  <c r="K42" i="12" a="1"/>
  <c r="K42" i="12" s="1"/>
  <c r="K43" i="12" s="1"/>
  <c r="K34" i="12" s="1"/>
  <c r="N42" i="12" a="1"/>
  <c r="N42" i="12" s="1"/>
  <c r="N43" i="12" s="1"/>
  <c r="N34" i="12" s="1"/>
  <c r="L42" i="12" a="1"/>
  <c r="L42" i="12" s="1"/>
  <c r="L43" i="12" s="1"/>
  <c r="L34" i="12" s="1"/>
  <c r="C43" i="12" a="1"/>
  <c r="C43" i="12" s="1"/>
  <c r="C46" i="12" s="1"/>
  <c r="M42" i="12" a="1"/>
  <c r="M42" i="12" s="1"/>
  <c r="M43" i="12" s="1"/>
  <c r="M34" i="12" s="1"/>
  <c r="J42" i="12" a="1"/>
  <c r="J42" i="12" s="1"/>
  <c r="J43" i="12" s="1"/>
  <c r="C42" i="12" a="1"/>
  <c r="C42" i="12" s="1"/>
  <c r="C47" i="12" s="1"/>
  <c r="M18" i="15" l="1"/>
  <c r="N18" i="15" s="1"/>
  <c r="L56" i="15"/>
  <c r="S13" i="15"/>
  <c r="H57" i="15"/>
  <c r="M54" i="15"/>
  <c r="M56" i="15"/>
  <c r="N56" i="15"/>
  <c r="O56" i="15"/>
  <c r="N54" i="15"/>
  <c r="J57" i="15"/>
  <c r="R31" i="15"/>
  <c r="J58" i="15"/>
  <c r="T16" i="15"/>
  <c r="R16" i="15"/>
  <c r="R37" i="15" s="1"/>
  <c r="T37" i="15"/>
  <c r="S14" i="15"/>
  <c r="L56" i="14"/>
  <c r="M17" i="14"/>
  <c r="O55" i="14"/>
  <c r="L57" i="14"/>
  <c r="J57" i="14"/>
  <c r="N58" i="14"/>
  <c r="L16" i="3"/>
  <c r="L14" i="3"/>
  <c r="L17" i="3"/>
  <c r="L18" i="3"/>
  <c r="L15" i="3"/>
  <c r="L11" i="3"/>
  <c r="L13" i="3"/>
  <c r="L19" i="3"/>
  <c r="L12" i="3"/>
  <c r="N18" i="3"/>
  <c r="N12" i="3"/>
  <c r="N16" i="3"/>
  <c r="N17" i="3"/>
  <c r="N14" i="3"/>
  <c r="N19" i="3"/>
  <c r="N15" i="3"/>
  <c r="N9" i="3"/>
  <c r="N10" i="3"/>
  <c r="N11" i="3"/>
  <c r="N13" i="3"/>
  <c r="K16" i="3"/>
  <c r="K17" i="3"/>
  <c r="K19" i="3"/>
  <c r="K15" i="3"/>
  <c r="K12" i="3"/>
  <c r="K14" i="3"/>
  <c r="K18" i="3"/>
  <c r="K13" i="3"/>
  <c r="M16" i="3"/>
  <c r="M14" i="3"/>
  <c r="M12" i="3"/>
  <c r="M17" i="3"/>
  <c r="M10" i="3"/>
  <c r="M18" i="3"/>
  <c r="M15" i="3"/>
  <c r="M13" i="3"/>
  <c r="M19" i="3"/>
  <c r="M11" i="3"/>
  <c r="C48" i="12"/>
  <c r="O34" i="12" s="1"/>
  <c r="R14" i="15" l="1"/>
  <c r="R35" i="15" s="1"/>
  <c r="T35" i="15"/>
  <c r="T14" i="15"/>
  <c r="O54" i="15"/>
  <c r="I57" i="15"/>
  <c r="K57" i="15"/>
  <c r="K58" i="15"/>
  <c r="L58" i="15"/>
  <c r="M58" i="15"/>
  <c r="T13" i="15"/>
  <c r="R13" i="15"/>
  <c r="T34" i="15"/>
  <c r="S17" i="15"/>
  <c r="M56" i="14"/>
  <c r="N17" i="14"/>
  <c r="N56" i="14" s="1"/>
  <c r="S16" i="14"/>
  <c r="O58" i="14"/>
  <c r="O9" i="3"/>
  <c r="O18" i="3"/>
  <c r="O12" i="3"/>
  <c r="O6" i="3"/>
  <c r="O7" i="3"/>
  <c r="O14" i="3"/>
  <c r="O17" i="3"/>
  <c r="O16" i="3"/>
  <c r="O10" i="3"/>
  <c r="O8" i="3"/>
  <c r="O11" i="3"/>
  <c r="O4" i="3"/>
  <c r="O15" i="3"/>
  <c r="O5" i="3"/>
  <c r="O19" i="3"/>
  <c r="O13" i="3"/>
  <c r="N58" i="15" l="1"/>
  <c r="T17" i="15"/>
  <c r="R17" i="15"/>
  <c r="R38" i="15" s="1"/>
  <c r="T38" i="15"/>
  <c r="R34" i="15"/>
  <c r="S15" i="15"/>
  <c r="O17" i="14"/>
  <c r="O56" i="14" s="1"/>
  <c r="R16" i="14"/>
  <c r="R37" i="14" s="1"/>
  <c r="T16" i="14"/>
  <c r="T37" i="14"/>
  <c r="M57" i="14"/>
  <c r="N57" i="14"/>
  <c r="S19" i="14"/>
  <c r="R15" i="15" l="1"/>
  <c r="T15" i="15"/>
  <c r="T36" i="15"/>
  <c r="O58" i="15"/>
  <c r="S19" i="15"/>
  <c r="L57" i="15"/>
  <c r="S17" i="14"/>
  <c r="O57" i="14"/>
  <c r="S18" i="14"/>
  <c r="T19" i="14"/>
  <c r="R19" i="14"/>
  <c r="T40" i="14"/>
  <c r="M57" i="15" l="1"/>
  <c r="T19" i="15"/>
  <c r="R19" i="15"/>
  <c r="R40" i="15" s="1"/>
  <c r="T40" i="15"/>
  <c r="R36" i="15"/>
  <c r="T38" i="14"/>
  <c r="T17" i="14"/>
  <c r="R17" i="14"/>
  <c r="R38" i="14" s="1"/>
  <c r="R18" i="14"/>
  <c r="R39" i="14" s="1"/>
  <c r="T18" i="14"/>
  <c r="T39" i="14"/>
  <c r="T42" i="14"/>
  <c r="R40" i="14"/>
  <c r="R21" i="14"/>
  <c r="R42" i="14" s="1"/>
  <c r="N57" i="15" l="1"/>
  <c r="C26" i="2"/>
  <c r="C24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L26" i="2"/>
  <c r="K26" i="2"/>
  <c r="J26" i="2"/>
  <c r="I26" i="2"/>
  <c r="H26" i="2"/>
  <c r="G26" i="2"/>
  <c r="F26" i="2"/>
  <c r="E26" i="2"/>
  <c r="D26" i="2"/>
  <c r="Q24" i="2"/>
  <c r="P24" i="2"/>
  <c r="O24" i="2"/>
  <c r="N24" i="2"/>
  <c r="M24" i="2"/>
  <c r="L24" i="2"/>
  <c r="K24" i="2"/>
  <c r="J24" i="2"/>
  <c r="G24" i="2"/>
  <c r="F24" i="2"/>
  <c r="E24" i="2"/>
  <c r="D24" i="2"/>
  <c r="Q4" i="2"/>
  <c r="P4" i="2"/>
  <c r="P5" i="2"/>
  <c r="O4" i="2"/>
  <c r="O5" i="2"/>
  <c r="O6" i="2"/>
  <c r="N4" i="2"/>
  <c r="N5" i="2"/>
  <c r="N6" i="2"/>
  <c r="N7" i="2"/>
  <c r="M4" i="2"/>
  <c r="M5" i="2"/>
  <c r="M6" i="2"/>
  <c r="M7" i="2"/>
  <c r="M8" i="2"/>
  <c r="L4" i="2"/>
  <c r="L5" i="2"/>
  <c r="L6" i="2"/>
  <c r="L7" i="2"/>
  <c r="L8" i="2"/>
  <c r="L9" i="2"/>
  <c r="K4" i="2"/>
  <c r="K5" i="2"/>
  <c r="K6" i="2"/>
  <c r="K7" i="2"/>
  <c r="K8" i="2"/>
  <c r="K9" i="2"/>
  <c r="K10" i="2"/>
  <c r="J4" i="2"/>
  <c r="J5" i="2"/>
  <c r="J6" i="2"/>
  <c r="J7" i="2"/>
  <c r="J8" i="2"/>
  <c r="J9" i="2"/>
  <c r="J10" i="2"/>
  <c r="J11" i="2"/>
  <c r="I4" i="2"/>
  <c r="I5" i="2"/>
  <c r="I6" i="2"/>
  <c r="I7" i="2"/>
  <c r="I8" i="2"/>
  <c r="I9" i="2"/>
  <c r="I10" i="2"/>
  <c r="I11" i="2"/>
  <c r="I12" i="2"/>
  <c r="H4" i="2"/>
  <c r="H5" i="2"/>
  <c r="H6" i="2"/>
  <c r="H7" i="2"/>
  <c r="H8" i="2"/>
  <c r="H9" i="2"/>
  <c r="H10" i="2"/>
  <c r="H11" i="2"/>
  <c r="H12" i="2"/>
  <c r="H13" i="2"/>
  <c r="G4" i="2"/>
  <c r="G5" i="2"/>
  <c r="G6" i="2"/>
  <c r="G7" i="2"/>
  <c r="G8" i="2"/>
  <c r="G9" i="2"/>
  <c r="G10" i="2"/>
  <c r="G11" i="2"/>
  <c r="G12" i="2"/>
  <c r="G13" i="2"/>
  <c r="G14" i="2"/>
  <c r="F4" i="2"/>
  <c r="F5" i="2"/>
  <c r="F6" i="2"/>
  <c r="F7" i="2"/>
  <c r="F8" i="2"/>
  <c r="F9" i="2"/>
  <c r="F10" i="2"/>
  <c r="F11" i="2"/>
  <c r="F12" i="2"/>
  <c r="F13" i="2"/>
  <c r="F14" i="2"/>
  <c r="F1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  <c r="O57" i="15" l="1"/>
  <c r="S18" i="15"/>
  <c r="P4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E56" i="8"/>
  <c r="I52" i="8"/>
  <c r="J51" i="8"/>
  <c r="K50" i="8"/>
  <c r="L49" i="8"/>
  <c r="S40" i="8"/>
  <c r="P40" i="8"/>
  <c r="Q40" i="8" s="1"/>
  <c r="S39" i="8"/>
  <c r="Q39" i="8" s="1"/>
  <c r="P39" i="8"/>
  <c r="S38" i="8"/>
  <c r="P38" i="8"/>
  <c r="Q38" i="8" s="1"/>
  <c r="S37" i="8"/>
  <c r="P37" i="8"/>
  <c r="Q37" i="8" s="1"/>
  <c r="S36" i="8"/>
  <c r="Q36" i="8" s="1"/>
  <c r="P36" i="8"/>
  <c r="S35" i="8"/>
  <c r="P35" i="8"/>
  <c r="S34" i="8"/>
  <c r="P34" i="8"/>
  <c r="Q34" i="8" s="1"/>
  <c r="S33" i="8"/>
  <c r="Q33" i="8" s="1"/>
  <c r="P33" i="8"/>
  <c r="S32" i="8"/>
  <c r="Q32" i="8"/>
  <c r="P32" i="8"/>
  <c r="S31" i="8"/>
  <c r="P31" i="8"/>
  <c r="Q31" i="8" s="1"/>
  <c r="S30" i="8"/>
  <c r="Q30" i="8"/>
  <c r="P30" i="8"/>
  <c r="S29" i="8"/>
  <c r="P29" i="8"/>
  <c r="Q29" i="8" s="1"/>
  <c r="S28" i="8"/>
  <c r="P28" i="8"/>
  <c r="Q28" i="8" s="1"/>
  <c r="S27" i="8"/>
  <c r="P27" i="8"/>
  <c r="Q27" i="8" s="1"/>
  <c r="S26" i="8"/>
  <c r="P26" i="8"/>
  <c r="Q26" i="8" s="1"/>
  <c r="S25" i="8"/>
  <c r="P25" i="8"/>
  <c r="Q25" i="8" s="1"/>
  <c r="P19" i="8"/>
  <c r="C19" i="8"/>
  <c r="H19" i="8"/>
  <c r="A19" i="8"/>
  <c r="D18" i="8"/>
  <c r="D57" i="8" s="1"/>
  <c r="C18" i="8"/>
  <c r="H18" i="8"/>
  <c r="H57" i="8" s="1"/>
  <c r="A18" i="8"/>
  <c r="P17" i="8"/>
  <c r="E17" i="8"/>
  <c r="D17" i="8"/>
  <c r="C17" i="8"/>
  <c r="M17" i="8"/>
  <c r="M56" i="8" s="1"/>
  <c r="A17" i="8"/>
  <c r="P16" i="8"/>
  <c r="F16" i="8"/>
  <c r="F55" i="8" s="1"/>
  <c r="E16" i="8"/>
  <c r="D16" i="8"/>
  <c r="C16" i="8"/>
  <c r="J16" i="8"/>
  <c r="A16" i="8"/>
  <c r="P15" i="8"/>
  <c r="G15" i="8"/>
  <c r="G54" i="8" s="1"/>
  <c r="F15" i="8"/>
  <c r="E15" i="8"/>
  <c r="D15" i="8"/>
  <c r="C15" i="8"/>
  <c r="N15" i="8"/>
  <c r="A15" i="8"/>
  <c r="H14" i="8"/>
  <c r="H53" i="8" s="1"/>
  <c r="G14" i="8"/>
  <c r="F14" i="8"/>
  <c r="E14" i="8"/>
  <c r="D14" i="8"/>
  <c r="P14" i="8" s="1"/>
  <c r="C14" i="8"/>
  <c r="K14" i="8"/>
  <c r="K53" i="8" s="1"/>
  <c r="A14" i="8"/>
  <c r="I13" i="8"/>
  <c r="H13" i="8"/>
  <c r="P13" i="8" s="1"/>
  <c r="G13" i="8"/>
  <c r="F13" i="8"/>
  <c r="E13" i="8"/>
  <c r="D13" i="8"/>
  <c r="C13" i="8"/>
  <c r="K13" i="8"/>
  <c r="K52" i="8" s="1"/>
  <c r="A13" i="8"/>
  <c r="P12" i="8"/>
  <c r="J12" i="8"/>
  <c r="I12" i="8"/>
  <c r="H12" i="8"/>
  <c r="G12" i="8"/>
  <c r="F12" i="8"/>
  <c r="E12" i="8"/>
  <c r="D12" i="8"/>
  <c r="C12" i="8"/>
  <c r="L12" i="8"/>
  <c r="L51" i="8" s="1"/>
  <c r="A12" i="8"/>
  <c r="P11" i="8"/>
  <c r="K11" i="8"/>
  <c r="J11" i="8"/>
  <c r="I11" i="8"/>
  <c r="H11" i="8"/>
  <c r="G11" i="8"/>
  <c r="F11" i="8"/>
  <c r="E11" i="8"/>
  <c r="D11" i="8"/>
  <c r="C11" i="8"/>
  <c r="M11" i="8"/>
  <c r="A11" i="8"/>
  <c r="L10" i="8"/>
  <c r="K10" i="8"/>
  <c r="J10" i="8"/>
  <c r="I10" i="8"/>
  <c r="H10" i="8"/>
  <c r="G10" i="8"/>
  <c r="F10" i="8"/>
  <c r="E10" i="8"/>
  <c r="D10" i="8"/>
  <c r="P10" i="8" s="1"/>
  <c r="C10" i="8"/>
  <c r="N10" i="8"/>
  <c r="N49" i="8" s="1"/>
  <c r="A10" i="8"/>
  <c r="M9" i="8"/>
  <c r="M48" i="8" s="1"/>
  <c r="L9" i="8"/>
  <c r="K9" i="8"/>
  <c r="J9" i="8"/>
  <c r="I9" i="8"/>
  <c r="H9" i="8"/>
  <c r="P9" i="8" s="1"/>
  <c r="G9" i="8"/>
  <c r="F9" i="8"/>
  <c r="E9" i="8"/>
  <c r="D9" i="8"/>
  <c r="C9" i="8"/>
  <c r="O9" i="8"/>
  <c r="O48" i="8" s="1"/>
  <c r="A9" i="8"/>
  <c r="N8" i="8"/>
  <c r="M8" i="8"/>
  <c r="L8" i="8"/>
  <c r="P8" i="8" s="1"/>
  <c r="K8" i="8"/>
  <c r="J8" i="8"/>
  <c r="I8" i="8"/>
  <c r="H8" i="8"/>
  <c r="G8" i="8"/>
  <c r="F8" i="8"/>
  <c r="E8" i="8"/>
  <c r="D8" i="8"/>
  <c r="C8" i="8"/>
  <c r="O8" i="8"/>
  <c r="O47" i="8" s="1"/>
  <c r="A8" i="8"/>
  <c r="P7" i="8"/>
  <c r="N7" i="8"/>
  <c r="M7" i="8"/>
  <c r="L7" i="8"/>
  <c r="K7" i="8"/>
  <c r="J7" i="8"/>
  <c r="I7" i="8"/>
  <c r="H7" i="8"/>
  <c r="G7" i="8"/>
  <c r="F7" i="8"/>
  <c r="E7" i="8"/>
  <c r="D7" i="8"/>
  <c r="C7" i="8"/>
  <c r="O7" i="8"/>
  <c r="A7" i="8"/>
  <c r="N6" i="8"/>
  <c r="M6" i="8"/>
  <c r="L6" i="8"/>
  <c r="K6" i="8"/>
  <c r="J6" i="8"/>
  <c r="I6" i="8"/>
  <c r="H6" i="8"/>
  <c r="G6" i="8"/>
  <c r="F6" i="8"/>
  <c r="E6" i="8"/>
  <c r="D6" i="8"/>
  <c r="P6" i="8" s="1"/>
  <c r="C6" i="8"/>
  <c r="O6" i="8"/>
  <c r="O45" i="8" s="1"/>
  <c r="A6" i="8"/>
  <c r="N5" i="8"/>
  <c r="M5" i="8"/>
  <c r="L5" i="8"/>
  <c r="K5" i="8"/>
  <c r="J5" i="8"/>
  <c r="I5" i="8"/>
  <c r="H5" i="8"/>
  <c r="G5" i="8"/>
  <c r="F5" i="8"/>
  <c r="E5" i="8"/>
  <c r="D5" i="8"/>
  <c r="C5" i="8"/>
  <c r="O5" i="8"/>
  <c r="O44" i="8" s="1"/>
  <c r="A5" i="8"/>
  <c r="N4" i="8"/>
  <c r="M4" i="8"/>
  <c r="L4" i="8"/>
  <c r="Q4" i="8" s="1"/>
  <c r="K4" i="8"/>
  <c r="J4" i="8"/>
  <c r="I4" i="8"/>
  <c r="H4" i="8"/>
  <c r="G4" i="8"/>
  <c r="F4" i="8"/>
  <c r="E4" i="8"/>
  <c r="D4" i="8"/>
  <c r="C4" i="8"/>
  <c r="O4" i="8"/>
  <c r="A4" i="8"/>
  <c r="B19" i="7"/>
  <c r="C19" i="7" s="1"/>
  <c r="B18" i="7"/>
  <c r="D18" i="7" s="1"/>
  <c r="B17" i="7"/>
  <c r="E17" i="7" s="1"/>
  <c r="B16" i="7"/>
  <c r="F16" i="7" s="1"/>
  <c r="B15" i="7"/>
  <c r="D15" i="7" s="1"/>
  <c r="B14" i="7"/>
  <c r="G14" i="7" s="1"/>
  <c r="B13" i="7"/>
  <c r="D13" i="7" s="1"/>
  <c r="B12" i="7"/>
  <c r="H12" i="7" s="1"/>
  <c r="B11" i="7"/>
  <c r="C11" i="7" s="1"/>
  <c r="B10" i="7"/>
  <c r="J10" i="7" s="1"/>
  <c r="B9" i="7"/>
  <c r="I9" i="7" s="1"/>
  <c r="B8" i="7"/>
  <c r="F8" i="7" s="1"/>
  <c r="B7" i="7"/>
  <c r="D7" i="7" s="1"/>
  <c r="B6" i="7"/>
  <c r="P6" i="7" s="1"/>
  <c r="B5" i="7"/>
  <c r="L5" i="7" s="1"/>
  <c r="B4" i="7"/>
  <c r="D4" i="7" s="1"/>
  <c r="R18" i="15" l="1"/>
  <c r="T18" i="15"/>
  <c r="T39" i="15"/>
  <c r="T42" i="15" s="1"/>
  <c r="Q12" i="8"/>
  <c r="O18" i="8"/>
  <c r="O57" i="8" s="1"/>
  <c r="E18" i="8"/>
  <c r="E57" i="8" s="1"/>
  <c r="L18" i="8"/>
  <c r="L57" i="8" s="1"/>
  <c r="M18" i="8"/>
  <c r="M57" i="8" s="1"/>
  <c r="N18" i="8"/>
  <c r="N57" i="8" s="1"/>
  <c r="J13" i="8"/>
  <c r="J52" i="8" s="1"/>
  <c r="M13" i="8"/>
  <c r="M52" i="8" s="1"/>
  <c r="N13" i="8"/>
  <c r="N52" i="8" s="1"/>
  <c r="O13" i="8"/>
  <c r="O52" i="8" s="1"/>
  <c r="Q11" i="8"/>
  <c r="M10" i="8"/>
  <c r="M49" i="8" s="1"/>
  <c r="O10" i="8"/>
  <c r="O49" i="8" s="1"/>
  <c r="K12" i="8"/>
  <c r="Q7" i="8"/>
  <c r="L13" i="8"/>
  <c r="L52" i="8" s="1"/>
  <c r="O12" i="8"/>
  <c r="O51" i="8" s="1"/>
  <c r="N12" i="8"/>
  <c r="N51" i="8" s="1"/>
  <c r="K18" i="8"/>
  <c r="K57" i="8" s="1"/>
  <c r="J18" i="8"/>
  <c r="J57" i="8" s="1"/>
  <c r="N9" i="8"/>
  <c r="N48" i="8" s="1"/>
  <c r="O17" i="8"/>
  <c r="O56" i="8" s="1"/>
  <c r="O11" i="8"/>
  <c r="O50" i="8" s="1"/>
  <c r="I16" i="8"/>
  <c r="I55" i="8" s="1"/>
  <c r="H16" i="8"/>
  <c r="H55" i="8" s="1"/>
  <c r="J14" i="8"/>
  <c r="J53" i="8" s="1"/>
  <c r="S4" i="8"/>
  <c r="T4" i="8" s="1"/>
  <c r="O43" i="8"/>
  <c r="J17" i="8"/>
  <c r="J56" i="8" s="1"/>
  <c r="N17" i="8"/>
  <c r="N56" i="8" s="1"/>
  <c r="Q19" i="8"/>
  <c r="K17" i="8"/>
  <c r="K56" i="8" s="1"/>
  <c r="S8" i="8"/>
  <c r="T8" i="8" s="1"/>
  <c r="L17" i="8"/>
  <c r="L56" i="8" s="1"/>
  <c r="I17" i="8"/>
  <c r="I56" i="8" s="1"/>
  <c r="O15" i="8"/>
  <c r="O54" i="8" s="1"/>
  <c r="Q15" i="8"/>
  <c r="J15" i="8"/>
  <c r="J54" i="8" s="1"/>
  <c r="O16" i="8"/>
  <c r="O55" i="8" s="1"/>
  <c r="I14" i="8"/>
  <c r="I53" i="8" s="1"/>
  <c r="M12" i="8"/>
  <c r="M51" i="8" s="1"/>
  <c r="G17" i="8"/>
  <c r="G56" i="8" s="1"/>
  <c r="N16" i="8"/>
  <c r="N55" i="8" s="1"/>
  <c r="Q10" i="8"/>
  <c r="H17" i="8"/>
  <c r="H56" i="8" s="1"/>
  <c r="M15" i="8"/>
  <c r="M54" i="8" s="1"/>
  <c r="K51" i="8"/>
  <c r="I18" i="8"/>
  <c r="I57" i="8" s="1"/>
  <c r="L15" i="8"/>
  <c r="L54" i="8" s="1"/>
  <c r="G18" i="8"/>
  <c r="G57" i="8" s="1"/>
  <c r="L16" i="8"/>
  <c r="L55" i="8" s="1"/>
  <c r="M14" i="8"/>
  <c r="M53" i="8" s="1"/>
  <c r="L11" i="8"/>
  <c r="Q14" i="8"/>
  <c r="K15" i="8"/>
  <c r="K54" i="8" s="1"/>
  <c r="S6" i="8"/>
  <c r="R6" i="8" s="1"/>
  <c r="R27" i="8" s="1"/>
  <c r="G16" i="8"/>
  <c r="G55" i="8" s="1"/>
  <c r="Q6" i="8"/>
  <c r="Q9" i="8"/>
  <c r="M16" i="8"/>
  <c r="M55" i="8" s="1"/>
  <c r="F18" i="8"/>
  <c r="F57" i="8" s="1"/>
  <c r="K16" i="8"/>
  <c r="K55" i="8" s="1"/>
  <c r="L14" i="8"/>
  <c r="L53" i="8" s="1"/>
  <c r="N11" i="8"/>
  <c r="N50" i="8" s="1"/>
  <c r="H15" i="8"/>
  <c r="Q17" i="8"/>
  <c r="I15" i="8"/>
  <c r="I54" i="8" s="1"/>
  <c r="O14" i="8"/>
  <c r="O53" i="8" s="1"/>
  <c r="N14" i="8"/>
  <c r="N53" i="8" s="1"/>
  <c r="S5" i="8"/>
  <c r="T5" i="8" s="1"/>
  <c r="Q8" i="8"/>
  <c r="Q13" i="8"/>
  <c r="Q16" i="8"/>
  <c r="F17" i="8"/>
  <c r="F56" i="8" s="1"/>
  <c r="T26" i="8"/>
  <c r="T27" i="8"/>
  <c r="O46" i="8"/>
  <c r="S7" i="8"/>
  <c r="T28" i="8" s="1"/>
  <c r="P5" i="8"/>
  <c r="Q5" i="8" s="1"/>
  <c r="Q35" i="8"/>
  <c r="Q42" i="8" s="1"/>
  <c r="C58" i="8"/>
  <c r="P18" i="8"/>
  <c r="Q18" i="8" s="1"/>
  <c r="M50" i="8"/>
  <c r="N54" i="8"/>
  <c r="J55" i="8"/>
  <c r="G11" i="7"/>
  <c r="I11" i="7"/>
  <c r="E11" i="7"/>
  <c r="J11" i="7"/>
  <c r="K11" i="7"/>
  <c r="D11" i="7"/>
  <c r="D27" i="7" s="1"/>
  <c r="D35" i="7" s="1"/>
  <c r="D19" i="8" s="1"/>
  <c r="D58" i="8" s="1"/>
  <c r="F11" i="7"/>
  <c r="H11" i="7"/>
  <c r="N5" i="7"/>
  <c r="N25" i="7" s="1"/>
  <c r="Q5" i="7"/>
  <c r="O5" i="7"/>
  <c r="O25" i="7" s="1"/>
  <c r="P5" i="7"/>
  <c r="P25" i="7" s="1"/>
  <c r="M6" i="7"/>
  <c r="N6" i="7"/>
  <c r="N26" i="7" s="1"/>
  <c r="N4" i="7"/>
  <c r="O4" i="7"/>
  <c r="O24" i="7" s="1"/>
  <c r="P4" i="7"/>
  <c r="P24" i="7" s="1"/>
  <c r="M4" i="7"/>
  <c r="Q4" i="7"/>
  <c r="Q24" i="7" s="1"/>
  <c r="O6" i="7"/>
  <c r="O26" i="7" s="1"/>
  <c r="M5" i="7"/>
  <c r="C14" i="7"/>
  <c r="H8" i="7"/>
  <c r="P26" i="7"/>
  <c r="D6" i="7"/>
  <c r="G7" i="7"/>
  <c r="M8" i="7"/>
  <c r="C5" i="7"/>
  <c r="N8" i="7"/>
  <c r="F6" i="7"/>
  <c r="Q25" i="7"/>
  <c r="J8" i="7"/>
  <c r="E6" i="7"/>
  <c r="J7" i="7"/>
  <c r="H7" i="7"/>
  <c r="J12" i="7"/>
  <c r="K8" i="7"/>
  <c r="E4" i="7"/>
  <c r="F5" i="7"/>
  <c r="G5" i="7"/>
  <c r="K9" i="7"/>
  <c r="E7" i="7"/>
  <c r="F7" i="7"/>
  <c r="F4" i="7"/>
  <c r="G6" i="7"/>
  <c r="E5" i="7"/>
  <c r="I7" i="7"/>
  <c r="G4" i="7"/>
  <c r="I12" i="7"/>
  <c r="H4" i="7"/>
  <c r="H6" i="7"/>
  <c r="I4" i="7"/>
  <c r="I5" i="7"/>
  <c r="L7" i="7"/>
  <c r="L27" i="7" s="1"/>
  <c r="J5" i="7"/>
  <c r="J25" i="7" s="1"/>
  <c r="J6" i="7"/>
  <c r="J26" i="7" s="1"/>
  <c r="M9" i="7"/>
  <c r="K4" i="7"/>
  <c r="K24" i="7" s="1"/>
  <c r="K5" i="7"/>
  <c r="K25" i="7" s="1"/>
  <c r="K6" i="7"/>
  <c r="N7" i="7"/>
  <c r="N27" i="7" s="1"/>
  <c r="H14" i="7"/>
  <c r="G8" i="7"/>
  <c r="I8" i="7"/>
  <c r="C6" i="7"/>
  <c r="L8" i="7"/>
  <c r="D5" i="7"/>
  <c r="J9" i="7"/>
  <c r="H5" i="7"/>
  <c r="K7" i="7"/>
  <c r="K27" i="7" s="1"/>
  <c r="I6" i="7"/>
  <c r="L9" i="7"/>
  <c r="L25" i="7" s="1"/>
  <c r="J4" i="7"/>
  <c r="M7" i="7"/>
  <c r="L4" i="7"/>
  <c r="L6" i="7"/>
  <c r="O7" i="7"/>
  <c r="O27" i="7" s="1"/>
  <c r="F13" i="7"/>
  <c r="H13" i="7"/>
  <c r="C16" i="7"/>
  <c r="C18" i="7"/>
  <c r="C9" i="7"/>
  <c r="C15" i="7"/>
  <c r="F10" i="7"/>
  <c r="I13" i="7"/>
  <c r="E15" i="7"/>
  <c r="F15" i="7"/>
  <c r="G13" i="7"/>
  <c r="E13" i="7"/>
  <c r="G10" i="7"/>
  <c r="C10" i="7"/>
  <c r="D10" i="7"/>
  <c r="G15" i="7"/>
  <c r="E10" i="7"/>
  <c r="H10" i="7"/>
  <c r="E16" i="7"/>
  <c r="I10" i="7"/>
  <c r="F9" i="7"/>
  <c r="E12" i="7"/>
  <c r="D8" i="7"/>
  <c r="G9" i="7"/>
  <c r="K10" i="7"/>
  <c r="F12" i="7"/>
  <c r="E14" i="7"/>
  <c r="C17" i="7"/>
  <c r="C4" i="7"/>
  <c r="C7" i="7"/>
  <c r="E8" i="7"/>
  <c r="H9" i="7"/>
  <c r="L10" i="7"/>
  <c r="G12" i="7"/>
  <c r="F14" i="7"/>
  <c r="D17" i="7"/>
  <c r="C13" i="7"/>
  <c r="D16" i="7"/>
  <c r="D9" i="7"/>
  <c r="C12" i="7"/>
  <c r="E9" i="7"/>
  <c r="D12" i="7"/>
  <c r="C8" i="7"/>
  <c r="D14" i="7"/>
  <c r="R4" i="7"/>
  <c r="R24" i="7" s="1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S40" i="3"/>
  <c r="S39" i="3"/>
  <c r="S38" i="3"/>
  <c r="S37" i="3"/>
  <c r="S36" i="3"/>
  <c r="S35" i="3"/>
  <c r="S34" i="3"/>
  <c r="S33" i="3"/>
  <c r="S32" i="3"/>
  <c r="Q32" i="3" s="1"/>
  <c r="S31" i="3"/>
  <c r="S30" i="3"/>
  <c r="S29" i="3"/>
  <c r="S28" i="3"/>
  <c r="S27" i="3"/>
  <c r="S26" i="3"/>
  <c r="S25" i="3"/>
  <c r="C59" i="3"/>
  <c r="D59" i="3"/>
  <c r="E59" i="3"/>
  <c r="F59" i="3"/>
  <c r="G59" i="3"/>
  <c r="H59" i="3"/>
  <c r="I59" i="3"/>
  <c r="J59" i="3"/>
  <c r="K59" i="3"/>
  <c r="L59" i="3"/>
  <c r="M59" i="3"/>
  <c r="N59" i="3"/>
  <c r="C60" i="3"/>
  <c r="D60" i="3"/>
  <c r="E60" i="3"/>
  <c r="F60" i="3"/>
  <c r="G60" i="3"/>
  <c r="H60" i="3"/>
  <c r="I60" i="3"/>
  <c r="J60" i="3"/>
  <c r="K60" i="3"/>
  <c r="L60" i="3"/>
  <c r="M60" i="3"/>
  <c r="N60" i="3"/>
  <c r="O59" i="3"/>
  <c r="O60" i="3"/>
  <c r="E4" i="3"/>
  <c r="F4" i="3"/>
  <c r="G4" i="3"/>
  <c r="H4" i="3"/>
  <c r="I4" i="3"/>
  <c r="J4" i="3"/>
  <c r="K4" i="3"/>
  <c r="L4" i="3"/>
  <c r="M4" i="3"/>
  <c r="N4" i="3"/>
  <c r="E5" i="3"/>
  <c r="F5" i="3"/>
  <c r="G5" i="3"/>
  <c r="H5" i="3"/>
  <c r="I5" i="3"/>
  <c r="J5" i="3"/>
  <c r="K5" i="3"/>
  <c r="L5" i="3"/>
  <c r="M5" i="3"/>
  <c r="N5" i="3"/>
  <c r="E6" i="3"/>
  <c r="F6" i="3"/>
  <c r="G6" i="3"/>
  <c r="H6" i="3"/>
  <c r="I6" i="3"/>
  <c r="J6" i="3"/>
  <c r="K6" i="3"/>
  <c r="L6" i="3"/>
  <c r="M6" i="3"/>
  <c r="N6" i="3"/>
  <c r="F7" i="3"/>
  <c r="G7" i="3"/>
  <c r="H7" i="3"/>
  <c r="I7" i="3"/>
  <c r="J7" i="3"/>
  <c r="K7" i="3"/>
  <c r="L7" i="3"/>
  <c r="M7" i="3"/>
  <c r="N7" i="3"/>
  <c r="F8" i="3"/>
  <c r="G8" i="3"/>
  <c r="H8" i="3"/>
  <c r="I8" i="3"/>
  <c r="J8" i="3"/>
  <c r="K8" i="3"/>
  <c r="L8" i="3"/>
  <c r="M8" i="3"/>
  <c r="N8" i="3"/>
  <c r="F9" i="3"/>
  <c r="G9" i="3"/>
  <c r="H9" i="3"/>
  <c r="I9" i="3"/>
  <c r="J9" i="3"/>
  <c r="K9" i="3"/>
  <c r="L9" i="3"/>
  <c r="M9" i="3"/>
  <c r="M48" i="3" s="1"/>
  <c r="F10" i="3"/>
  <c r="G10" i="3"/>
  <c r="H10" i="3"/>
  <c r="I10" i="3"/>
  <c r="J10" i="3"/>
  <c r="K10" i="3"/>
  <c r="L10" i="3"/>
  <c r="L49" i="3" s="1"/>
  <c r="F11" i="3"/>
  <c r="G11" i="3"/>
  <c r="H11" i="3"/>
  <c r="I11" i="3"/>
  <c r="J11" i="3"/>
  <c r="K11" i="3"/>
  <c r="K50" i="3" s="1"/>
  <c r="F12" i="3"/>
  <c r="G12" i="3"/>
  <c r="H12" i="3"/>
  <c r="I12" i="3"/>
  <c r="J12" i="3"/>
  <c r="J51" i="3" s="1"/>
  <c r="F13" i="3"/>
  <c r="G13" i="3"/>
  <c r="H13" i="3"/>
  <c r="I13" i="3"/>
  <c r="I52" i="3" s="1"/>
  <c r="F14" i="3"/>
  <c r="G14" i="3"/>
  <c r="H14" i="3"/>
  <c r="H53" i="3" s="1"/>
  <c r="F15" i="3"/>
  <c r="G15" i="3"/>
  <c r="G54" i="3" s="1"/>
  <c r="F16" i="3"/>
  <c r="F55" i="3" s="1"/>
  <c r="E7" i="3"/>
  <c r="E8" i="3"/>
  <c r="E9" i="3"/>
  <c r="E10" i="3"/>
  <c r="E11" i="3"/>
  <c r="E12" i="3"/>
  <c r="E13" i="3"/>
  <c r="E14" i="3"/>
  <c r="E15" i="3"/>
  <c r="E16" i="3"/>
  <c r="E17" i="3"/>
  <c r="E56" i="3" s="1"/>
  <c r="D1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8" i="3"/>
  <c r="D57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P19" i="3" s="1"/>
  <c r="C4" i="3"/>
  <c r="R39" i="15" l="1"/>
  <c r="R21" i="15"/>
  <c r="R42" i="15" s="1"/>
  <c r="S10" i="8"/>
  <c r="T31" i="8"/>
  <c r="S13" i="8"/>
  <c r="T13" i="8" s="1"/>
  <c r="S9" i="8"/>
  <c r="T6" i="8"/>
  <c r="R5" i="8"/>
  <c r="R26" i="8" s="1"/>
  <c r="T25" i="8"/>
  <c r="R4" i="8"/>
  <c r="R25" i="8" s="1"/>
  <c r="S18" i="8"/>
  <c r="T18" i="8" s="1"/>
  <c r="S12" i="8"/>
  <c r="T12" i="8" s="1"/>
  <c r="S14" i="8"/>
  <c r="T34" i="8"/>
  <c r="T30" i="8"/>
  <c r="T29" i="8"/>
  <c r="R8" i="8"/>
  <c r="R29" i="8" s="1"/>
  <c r="R13" i="8"/>
  <c r="R34" i="8" s="1"/>
  <c r="L24" i="7"/>
  <c r="C27" i="7"/>
  <c r="C35" i="7" s="1"/>
  <c r="I27" i="7"/>
  <c r="I35" i="7" s="1"/>
  <c r="I19" i="8" s="1"/>
  <c r="I58" i="8" s="1"/>
  <c r="C24" i="7"/>
  <c r="C32" i="7" s="1"/>
  <c r="S17" i="8"/>
  <c r="H54" i="8"/>
  <c r="S15" i="8"/>
  <c r="R7" i="8"/>
  <c r="R28" i="8" s="1"/>
  <c r="T7" i="8"/>
  <c r="S11" i="8"/>
  <c r="L50" i="8"/>
  <c r="S16" i="8"/>
  <c r="R18" i="8"/>
  <c r="R39" i="8" s="1"/>
  <c r="J34" i="7"/>
  <c r="M27" i="7"/>
  <c r="O33" i="7" a="1"/>
  <c r="O33" i="7" s="1"/>
  <c r="J33" i="7"/>
  <c r="N33" i="7" a="1"/>
  <c r="N33" i="7" s="1"/>
  <c r="K33" i="7" a="1"/>
  <c r="K33" i="7" s="1"/>
  <c r="M26" i="7"/>
  <c r="I25" i="7"/>
  <c r="I33" i="7" s="1"/>
  <c r="H27" i="7"/>
  <c r="H35" i="7" s="1"/>
  <c r="H58" i="8" s="1"/>
  <c r="G24" i="7"/>
  <c r="G32" i="7" s="1"/>
  <c r="J27" i="7"/>
  <c r="M24" i="7"/>
  <c r="D26" i="7"/>
  <c r="D34" i="7" s="1"/>
  <c r="H24" i="7"/>
  <c r="H32" i="7" s="1"/>
  <c r="L26" i="7"/>
  <c r="E26" i="7"/>
  <c r="E34" i="7" s="1"/>
  <c r="G25" i="7"/>
  <c r="G33" i="7" s="1"/>
  <c r="M25" i="7"/>
  <c r="L33" i="7" s="1" a="1"/>
  <c r="L33" i="7" s="1"/>
  <c r="F24" i="7"/>
  <c r="F32" i="7" s="1"/>
  <c r="E25" i="7"/>
  <c r="E33" i="7" s="1"/>
  <c r="D24" i="7"/>
  <c r="D32" i="7" s="1"/>
  <c r="F27" i="7"/>
  <c r="F35" i="7" s="1"/>
  <c r="F19" i="8" s="1"/>
  <c r="F58" i="8" s="1"/>
  <c r="G26" i="7"/>
  <c r="G34" i="7" s="1"/>
  <c r="D25" i="7"/>
  <c r="D33" i="7" s="1"/>
  <c r="H25" i="7"/>
  <c r="H33" i="7" s="1"/>
  <c r="C26" i="7"/>
  <c r="C34" i="7" s="1"/>
  <c r="F25" i="7"/>
  <c r="F33" i="7" s="1"/>
  <c r="N24" i="7"/>
  <c r="J24" i="7"/>
  <c r="E24" i="7"/>
  <c r="E32" i="7" s="1"/>
  <c r="I24" i="7"/>
  <c r="I32" i="7" s="1"/>
  <c r="C25" i="7"/>
  <c r="C33" i="7" s="1"/>
  <c r="H26" i="7"/>
  <c r="H34" i="7" s="1"/>
  <c r="K26" i="7"/>
  <c r="E27" i="7"/>
  <c r="E35" i="7" s="1"/>
  <c r="E19" i="8" s="1"/>
  <c r="E58" i="8" s="1"/>
  <c r="I26" i="7"/>
  <c r="I34" i="7" s="1"/>
  <c r="G27" i="7"/>
  <c r="G35" i="7" s="1"/>
  <c r="G19" i="8" s="1"/>
  <c r="G58" i="8" s="1"/>
  <c r="F26" i="7"/>
  <c r="F34" i="7" s="1"/>
  <c r="Q25" i="3"/>
  <c r="Q39" i="3"/>
  <c r="Q28" i="3"/>
  <c r="Q40" i="3"/>
  <c r="Q37" i="3"/>
  <c r="Q29" i="3"/>
  <c r="Q36" i="3"/>
  <c r="Q35" i="3"/>
  <c r="C58" i="3"/>
  <c r="Q33" i="3"/>
  <c r="Q26" i="3"/>
  <c r="Q30" i="3"/>
  <c r="Q27" i="3"/>
  <c r="Q31" i="3"/>
  <c r="Q34" i="3"/>
  <c r="Q38" i="3"/>
  <c r="P9" i="3"/>
  <c r="P4" i="3"/>
  <c r="P7" i="3"/>
  <c r="P18" i="3"/>
  <c r="P8" i="3"/>
  <c r="P17" i="3"/>
  <c r="P15" i="3"/>
  <c r="P16" i="3"/>
  <c r="P14" i="3"/>
  <c r="Q14" i="3" s="1"/>
  <c r="P5" i="3"/>
  <c r="P13" i="3"/>
  <c r="Q13" i="3" s="1"/>
  <c r="P12" i="3"/>
  <c r="Q12" i="3" s="1"/>
  <c r="P10" i="3"/>
  <c r="P11" i="3"/>
  <c r="P6" i="3"/>
  <c r="R31" i="2"/>
  <c r="T39" i="8" l="1"/>
  <c r="R10" i="8"/>
  <c r="R31" i="8" s="1"/>
  <c r="T10" i="8"/>
  <c r="T33" i="8"/>
  <c r="R12" i="8"/>
  <c r="R33" i="8" s="1"/>
  <c r="R9" i="8"/>
  <c r="R30" i="8" s="1"/>
  <c r="T9" i="8"/>
  <c r="Q8" i="3"/>
  <c r="Q11" i="3"/>
  <c r="T14" i="8"/>
  <c r="R14" i="8"/>
  <c r="R35" i="8" s="1"/>
  <c r="T35" i="8"/>
  <c r="N35" i="7" a="1"/>
  <c r="N35" i="7" s="1"/>
  <c r="N19" i="8" s="1"/>
  <c r="N58" i="8" s="1"/>
  <c r="O35" i="7" a="1"/>
  <c r="O35" i="7" s="1"/>
  <c r="O19" i="8" s="1"/>
  <c r="O58" i="8" s="1"/>
  <c r="M33" i="7" a="1"/>
  <c r="M33" i="7" s="1"/>
  <c r="R11" i="8"/>
  <c r="T11" i="8"/>
  <c r="T32" i="8"/>
  <c r="T17" i="8"/>
  <c r="T38" i="8"/>
  <c r="R17" i="8"/>
  <c r="R38" i="8" s="1"/>
  <c r="T16" i="8"/>
  <c r="R16" i="8"/>
  <c r="R37" i="8" s="1"/>
  <c r="T37" i="8"/>
  <c r="T15" i="8"/>
  <c r="R15" i="8"/>
  <c r="R36" i="8" s="1"/>
  <c r="T36" i="8"/>
  <c r="O32" i="7" a="1"/>
  <c r="O32" i="7" s="1"/>
  <c r="L32" i="7" a="1"/>
  <c r="L32" i="7" s="1"/>
  <c r="J32" i="7"/>
  <c r="K32" i="7" a="1"/>
  <c r="K32" i="7" s="1"/>
  <c r="M32" i="7" a="1"/>
  <c r="M32" i="7" s="1"/>
  <c r="N32" i="7" a="1"/>
  <c r="N32" i="7" s="1"/>
  <c r="J35" i="7"/>
  <c r="J19" i="8" s="1"/>
  <c r="J58" i="8" s="1"/>
  <c r="K35" i="7" a="1"/>
  <c r="K35" i="7" s="1"/>
  <c r="K19" i="8" s="1"/>
  <c r="K58" i="8" s="1"/>
  <c r="L35" i="7" a="1"/>
  <c r="L35" i="7" s="1"/>
  <c r="L19" i="8" s="1"/>
  <c r="L58" i="8" s="1"/>
  <c r="M35" i="7" a="1"/>
  <c r="M35" i="7" s="1"/>
  <c r="M19" i="8" s="1"/>
  <c r="M58" i="8" s="1"/>
  <c r="N34" i="7" a="1"/>
  <c r="N34" i="7" s="1"/>
  <c r="L34" i="7" a="1"/>
  <c r="L34" i="7" s="1"/>
  <c r="K34" i="7" a="1"/>
  <c r="K34" i="7" s="1"/>
  <c r="M34" i="7" a="1"/>
  <c r="M34" i="7" s="1"/>
  <c r="O34" i="7" a="1"/>
  <c r="O34" i="7" s="1"/>
  <c r="Q6" i="3"/>
  <c r="Q9" i="3"/>
  <c r="Q18" i="3"/>
  <c r="Q7" i="3"/>
  <c r="Q10" i="3"/>
  <c r="Q4" i="3"/>
  <c r="Q19" i="3"/>
  <c r="Q16" i="3"/>
  <c r="D31" i="2"/>
  <c r="J31" i="2"/>
  <c r="O31" i="2"/>
  <c r="Q5" i="3"/>
  <c r="Q15" i="3"/>
  <c r="Q17" i="3"/>
  <c r="Q42" i="3"/>
  <c r="H31" i="2"/>
  <c r="F31" i="2"/>
  <c r="Q31" i="2"/>
  <c r="N31" i="2"/>
  <c r="P31" i="2"/>
  <c r="I31" i="2" l="1"/>
  <c r="E31" i="2"/>
  <c r="M31" i="2"/>
  <c r="C31" i="2"/>
  <c r="G31" i="2"/>
  <c r="L31" i="2"/>
  <c r="K31" i="2"/>
  <c r="S19" i="8"/>
  <c r="R32" i="8"/>
  <c r="F56" i="3"/>
  <c r="D58" i="3"/>
  <c r="H54" i="3"/>
  <c r="J57" i="3"/>
  <c r="J55" i="3" l="1"/>
  <c r="J53" i="3"/>
  <c r="H58" i="3"/>
  <c r="H56" i="3"/>
  <c r="E57" i="3"/>
  <c r="E58" i="3"/>
  <c r="G56" i="3"/>
  <c r="G58" i="3"/>
  <c r="G55" i="3"/>
  <c r="G57" i="3"/>
  <c r="I54" i="3"/>
  <c r="I57" i="3"/>
  <c r="I58" i="3"/>
  <c r="I53" i="3"/>
  <c r="I55" i="3"/>
  <c r="I56" i="3"/>
  <c r="J56" i="3"/>
  <c r="J52" i="3"/>
  <c r="R19" i="8"/>
  <c r="T19" i="8"/>
  <c r="T40" i="8"/>
  <c r="T42" i="8" s="1"/>
  <c r="H55" i="3"/>
  <c r="H57" i="3"/>
  <c r="F58" i="3"/>
  <c r="J58" i="3"/>
  <c r="J54" i="3"/>
  <c r="F57" i="3"/>
  <c r="R40" i="8" l="1"/>
  <c r="R21" i="8"/>
  <c r="R42" i="8" s="1"/>
  <c r="N50" i="3"/>
  <c r="N51" i="3"/>
  <c r="N56" i="3"/>
  <c r="N49" i="3"/>
  <c r="N57" i="3"/>
  <c r="N52" i="3"/>
  <c r="N53" i="3"/>
  <c r="N54" i="3"/>
  <c r="N55" i="3"/>
  <c r="N58" i="3"/>
  <c r="M53" i="3"/>
  <c r="M57" i="3"/>
  <c r="M50" i="3"/>
  <c r="M51" i="3"/>
  <c r="M52" i="3"/>
  <c r="M54" i="3"/>
  <c r="M56" i="3"/>
  <c r="M55" i="3"/>
  <c r="M58" i="3"/>
  <c r="L51" i="3"/>
  <c r="L56" i="3"/>
  <c r="L53" i="3"/>
  <c r="L55" i="3"/>
  <c r="L58" i="3"/>
  <c r="L54" i="3"/>
  <c r="L52" i="3"/>
  <c r="L57" i="3"/>
  <c r="L50" i="3" l="1"/>
  <c r="K56" i="3"/>
  <c r="K55" i="3"/>
  <c r="M49" i="3"/>
  <c r="K51" i="3"/>
  <c r="S12" i="3"/>
  <c r="K53" i="3"/>
  <c r="S9" i="3"/>
  <c r="N48" i="3"/>
  <c r="K57" i="3"/>
  <c r="S18" i="3"/>
  <c r="O56" i="3"/>
  <c r="O50" i="3"/>
  <c r="O52" i="3"/>
  <c r="O51" i="3"/>
  <c r="O57" i="3"/>
  <c r="O49" i="3"/>
  <c r="O48" i="3"/>
  <c r="O58" i="3"/>
  <c r="O53" i="3"/>
  <c r="O54" i="3"/>
  <c r="O55" i="3"/>
  <c r="K52" i="3"/>
  <c r="K54" i="3"/>
  <c r="K58" i="3"/>
  <c r="S14" i="3" l="1"/>
  <c r="S17" i="3"/>
  <c r="T9" i="3"/>
  <c r="T30" i="3"/>
  <c r="R9" i="3"/>
  <c r="R30" i="3" s="1"/>
  <c r="S10" i="3"/>
  <c r="T39" i="3"/>
  <c r="R18" i="3"/>
  <c r="R39" i="3" s="1"/>
  <c r="T18" i="3"/>
  <c r="O44" i="3"/>
  <c r="S5" i="3"/>
  <c r="T35" i="3"/>
  <c r="T14" i="3"/>
  <c r="R14" i="3"/>
  <c r="R35" i="3" s="1"/>
  <c r="S11" i="3"/>
  <c r="O43" i="3"/>
  <c r="S4" i="3"/>
  <c r="T12" i="3"/>
  <c r="T33" i="3"/>
  <c r="R12" i="3"/>
  <c r="R33" i="3" s="1"/>
  <c r="S19" i="3"/>
  <c r="S16" i="3"/>
  <c r="O45" i="3"/>
  <c r="S6" i="3"/>
  <c r="S15" i="3"/>
  <c r="O46" i="3"/>
  <c r="S7" i="3"/>
  <c r="T38" i="3"/>
  <c r="R17" i="3"/>
  <c r="R38" i="3" s="1"/>
  <c r="T17" i="3"/>
  <c r="S13" i="3"/>
  <c r="O47" i="3"/>
  <c r="S8" i="3"/>
  <c r="T4" i="3" l="1"/>
  <c r="T25" i="3"/>
  <c r="R4" i="3"/>
  <c r="R25" i="3" s="1"/>
  <c r="T32" i="3"/>
  <c r="T11" i="3"/>
  <c r="R11" i="3"/>
  <c r="R32" i="3" s="1"/>
  <c r="T8" i="3"/>
  <c r="T29" i="3"/>
  <c r="R8" i="3"/>
  <c r="R29" i="3" s="1"/>
  <c r="T13" i="3"/>
  <c r="T34" i="3"/>
  <c r="R13" i="3"/>
  <c r="R34" i="3" s="1"/>
  <c r="T7" i="3"/>
  <c r="T28" i="3"/>
  <c r="R7" i="3"/>
  <c r="R28" i="3" s="1"/>
  <c r="T5" i="3"/>
  <c r="T26" i="3"/>
  <c r="R5" i="3"/>
  <c r="R26" i="3" s="1"/>
  <c r="T15" i="3"/>
  <c r="T36" i="3"/>
  <c r="R15" i="3"/>
  <c r="R36" i="3" s="1"/>
  <c r="T6" i="3"/>
  <c r="T27" i="3"/>
  <c r="R6" i="3"/>
  <c r="R27" i="3" s="1"/>
  <c r="T37" i="3"/>
  <c r="R16" i="3"/>
  <c r="R37" i="3" s="1"/>
  <c r="T16" i="3"/>
  <c r="T10" i="3"/>
  <c r="T31" i="3"/>
  <c r="R10" i="3"/>
  <c r="R31" i="3" s="1"/>
  <c r="T19" i="3"/>
  <c r="T40" i="3"/>
  <c r="R19" i="3"/>
  <c r="T42" i="3" l="1"/>
  <c r="R21" i="3"/>
  <c r="R42" i="3" s="1"/>
  <c r="R4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tc={144DA397-1983-CD4F-91FB-37D96EB9EFCE}</author>
  </authors>
  <commentList>
    <comment ref="N4" authorId="0" shapeId="0" xr:uid="{144DA397-1983-CD4F-91FB-37D96EB9E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I’ve kept the larger of the projection or the data.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<sst xmlns="http://schemas.openxmlformats.org/spreadsheetml/2006/main" count="178" uniqueCount="70">
  <si>
    <t>Period</t>
  </si>
  <si>
    <t>Normaliser</t>
  </si>
  <si>
    <t>of origin</t>
  </si>
  <si>
    <t>Exposure</t>
  </si>
  <si>
    <t>Number of claims notified, per 1,000 vehicle years of exposure, in development year</t>
  </si>
  <si>
    <t>16 &amp; later</t>
  </si>
  <si>
    <t>Weighted averages:</t>
  </si>
  <si>
    <t>All</t>
  </si>
  <si>
    <t>Last 6</t>
  </si>
  <si>
    <t>Last 3</t>
  </si>
  <si>
    <t xml:space="preserve">Model </t>
  </si>
  <si>
    <t>(unsmoothed)</t>
  </si>
  <si>
    <t>(smoothed)</t>
  </si>
  <si>
    <t>Smoothing of tail</t>
  </si>
  <si>
    <t>log: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</si>
  <si>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</si>
  <si>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</si>
  <si>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</si>
  <si>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</si>
  <si>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</si>
  <si>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</si>
  <si>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</si>
  <si>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</si>
  <si>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</si>
  <si>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sum from 12</t>
  </si>
  <si>
    <t>Number of claims notified, actual and forecast (bold), in development year</t>
  </si>
  <si>
    <t>Number</t>
  </si>
  <si>
    <t>IBNR</t>
  </si>
  <si>
    <t>Total</t>
  </si>
  <si>
    <t>12&amp; later</t>
  </si>
  <si>
    <t>to now</t>
  </si>
  <si>
    <t>Not Freq</t>
  </si>
  <si>
    <t>Ult Freq</t>
  </si>
  <si>
    <t>origin</t>
  </si>
  <si>
    <t>Period of</t>
  </si>
  <si>
    <t>Ultimate</t>
  </si>
  <si>
    <t>True rectangle:</t>
  </si>
  <si>
    <t>A/E</t>
  </si>
  <si>
    <t>Heatmap of A/E:</t>
  </si>
  <si>
    <t>(average)</t>
  </si>
  <si>
    <t>Quarter 1 - all</t>
  </si>
  <si>
    <t>Quarter 2 - all</t>
  </si>
  <si>
    <t>Quarter 3 - all</t>
  </si>
  <si>
    <t>Quarter 4 - all</t>
  </si>
  <si>
    <t>Q1</t>
  </si>
  <si>
    <t>Q2</t>
  </si>
  <si>
    <t>Q3</t>
  </si>
  <si>
    <t>Q4</t>
  </si>
  <si>
    <t>11&amp; later</t>
  </si>
  <si>
    <t xml:space="preserve">Accident year 13 (and to some extent 15) is where things went wrong </t>
  </si>
  <si>
    <t>for the frequency estimation</t>
  </si>
  <si>
    <t>Frequency gets fixed here</t>
  </si>
  <si>
    <t xml:space="preserve"> &lt;- most of where the gap comes from: frequency was estimated higher (20.44) </t>
  </si>
  <si>
    <t>than true (20) and even actual (18.8) - it was a good year!</t>
  </si>
  <si>
    <t>The fact that 323 was lower than expected is not recognised by the model here.</t>
  </si>
  <si>
    <t>Frequency for 14 was estimated too high (11.85) as compared to true (10)</t>
  </si>
  <si>
    <t>Stability of those last few years is the focus of many variations of the methods</t>
  </si>
  <si>
    <t>log (y-1!):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</si>
  <si>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</si>
  <si>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(book eq.:</t>
  </si>
  <si>
    <t>)</t>
  </si>
  <si>
    <t>Implied proportions</t>
  </si>
  <si>
    <t>11 &amp; later</t>
  </si>
  <si>
    <t>Age to ultimate \pi</t>
  </si>
  <si>
    <t>\mu(j)</t>
  </si>
  <si>
    <t>12 &amp; later</t>
  </si>
  <si>
    <t>the fact that there are so few in the first development</t>
  </si>
  <si>
    <t>period will lead to a lot of instability for immature years</t>
  </si>
  <si>
    <t>the quarter based pattern is obvious here!</t>
  </si>
  <si>
    <t>13 &amp;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</si>
</sst>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  <font>
      <b/>
      <u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2" borderId="0" xfId="0" applyNumberFormat="1" applyFont="1" applyFill="1"/>
    <xf numFmtId="164" fontId="7" fillId="3" borderId="0" xfId="0" applyNumberFormat="1" applyFont="1" applyFill="1"/>
    <xf numFmtId="164" fontId="7" fillId="4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2" fontId="7" fillId="5" borderId="0" xfId="0" applyNumberFormat="1" applyFont="1" applyFill="1"/>
    <xf numFmtId="2" fontId="7" fillId="6" borderId="0" xfId="0" applyNumberFormat="1" applyFont="1" applyFill="1"/>
    <xf numFmtId="0" fontId="4" fillId="0" borderId="2" xfId="0" applyFont="1" applyBorder="1"/>
    <xf numFmtId="0" fontId="7" fillId="0" borderId="2" xfId="0" applyFont="1" applyBorder="1"/>
    <xf numFmtId="164" fontId="4" fillId="0" borderId="0" xfId="0" applyNumberFormat="1" applyFont="1"/>
    <xf numFmtId="164" fontId="7" fillId="0" borderId="2" xfId="0" applyNumberFormat="1" applyFont="1" applyBorder="1"/>
    <xf numFmtId="164" fontId="4" fillId="0" borderId="3" xfId="0" applyNumberFormat="1" applyFont="1" applyBorder="1"/>
    <xf numFmtId="164" fontId="8" fillId="0" borderId="0" xfId="0" applyNumberFormat="1" applyFont="1"/>
    <xf numFmtId="164" fontId="2" fillId="0" borderId="0" xfId="0" applyNumberFormat="1" applyFont="1"/>
    <xf numFmtId="1" fontId="8" fillId="0" borderId="0" xfId="0" applyNumberFormat="1" applyFont="1"/>
    <xf numFmtId="165" fontId="7" fillId="0" borderId="0" xfId="1" applyNumberFormat="1" applyFont="1" applyBorder="1"/>
    <xf numFmtId="10" fontId="7" fillId="0" borderId="0" xfId="1" applyNumberFormat="1" applyFont="1" applyBorder="1"/>
    <xf numFmtId="0" fontId="2" fillId="0" borderId="0" xfId="0" applyFont="1" applyAlignment="1">
      <alignment horizontal="left"/>
    </xf>
    <xf numFmtId="164" fontId="4" fillId="0" borderId="2" xfId="0" applyNumberFormat="1" applyFont="1" applyBorder="1"/>
    <xf numFmtId="165" fontId="10" fillId="0" borderId="0" xfId="1" applyNumberFormat="1" applyFont="1" applyBorder="1"/>
    <xf numFmtId="2" fontId="7" fillId="0" borderId="0" xfId="0" applyNumberFormat="1" applyFont="1"/>
    <xf numFmtId="166" fontId="7" fillId="0" borderId="0" xfId="0" applyNumberFormat="1" applyFont="1"/>
    <xf numFmtId="166" fontId="0" fillId="0" borderId="0" xfId="0" applyNumberFormat="1"/>
    <xf numFmtId="166" fontId="4" fillId="0" borderId="0" xfId="0" applyNumberFormat="1" applyFont="1"/>
    <xf numFmtId="166" fontId="7" fillId="0" borderId="1" xfId="0" applyNumberFormat="1" applyFont="1" applyBorder="1"/>
    <xf numFmtId="166" fontId="7" fillId="2" borderId="0" xfId="0" applyNumberFormat="1" applyFont="1" applyFill="1"/>
    <xf numFmtId="166" fontId="7" fillId="5" borderId="0" xfId="0" applyNumberFormat="1" applyFont="1" applyFill="1"/>
    <xf numFmtId="166" fontId="7" fillId="6" borderId="0" xfId="0" applyNumberFormat="1" applyFont="1" applyFill="1"/>
    <xf numFmtId="1" fontId="4" fillId="0" borderId="0" xfId="0" applyNumberFormat="1" applyFont="1"/>
    <xf numFmtId="166" fontId="7" fillId="7" borderId="0" xfId="0" applyNumberFormat="1" applyFont="1" applyFill="1"/>
    <xf numFmtId="165" fontId="7" fillId="8" borderId="0" xfId="1" applyNumberFormat="1" applyFont="1" applyFill="1" applyBorder="1"/>
    <xf numFmtId="0" fontId="0" fillId="8" borderId="0" xfId="0" applyFill="1"/>
    <xf numFmtId="10" fontId="7" fillId="8" borderId="0" xfId="1" applyNumberFormat="1" applyFont="1" applyFill="1" applyBorder="1"/>
    <xf numFmtId="166" fontId="7" fillId="3" borderId="0" xfId="0" applyNumberFormat="1" applyFont="1" applyFill="1"/>
    <xf numFmtId="166" fontId="7" fillId="4" borderId="0" xfId="0" applyNumberFormat="1" applyFont="1" applyFill="1"/>
    <xf numFmtId="0" fontId="7" fillId="9" borderId="0" xfId="0" applyFont="1" applyFill="1"/>
    <xf numFmtId="10" fontId="7" fillId="0" borderId="0" xfId="1" applyNumberFormat="1" applyFont="1"/>
    <xf numFmtId="0" fontId="7" fillId="8" borderId="0" xfId="0" applyFont="1" applyFill="1"/>
    <xf numFmtId="10" fontId="7" fillId="8" borderId="0" xfId="1" applyNumberFormat="1" applyFont="1" applyFill="1"/>
    <xf numFmtId="10" fontId="7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based'!$C$24:$R$24</c:f>
              <c:numCache>
                <c:formatCode>0.0</c:formatCode>
                <c:ptCount val="16"/>
                <c:pt idx="0">
                  <c:v>13.551124081279724</c:v>
                </c:pt>
                <c:pt idx="1">
                  <c:v>45.27502513284503</c:v>
                </c:pt>
                <c:pt idx="2">
                  <c:v>39.513188934162564</c:v>
                </c:pt>
                <c:pt idx="3">
                  <c:v>23.666554709963876</c:v>
                </c:pt>
                <c:pt idx="4">
                  <c:v>13.80142737195634</c:v>
                </c:pt>
                <c:pt idx="5">
                  <c:v>7.2128547421687665</c:v>
                </c:pt>
                <c:pt idx="6">
                  <c:v>3.3843574378240753</c:v>
                </c:pt>
                <c:pt idx="7">
                  <c:v>1.2995526318815915</c:v>
                </c:pt>
                <c:pt idx="8">
                  <c:v>0.5975842339478703</c:v>
                </c:pt>
                <c:pt idx="9">
                  <c:v>0.28566531451751132</c:v>
                </c:pt>
                <c:pt idx="10">
                  <c:v>0.11360685536224358</c:v>
                </c:pt>
                <c:pt idx="11">
                  <c:v>3.9029721132642504E-2</c:v>
                </c:pt>
                <c:pt idx="12">
                  <c:v>2.4132438824267577E-2</c:v>
                </c:pt>
                <c:pt idx="13">
                  <c:v>3.2168821977739175E-2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F1-834F-BF6B-E6727856D605}"/>
            </c:ext>
          </c:extLst>
        </c:ser>
        <c:ser>
          <c:idx val="2"/>
          <c:order val="1"/>
          <c:tx>
            <c:strRef>
              <c:f>'Exposure based'!$A$26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based'!$C$26:$R$26</c:f>
              <c:numCache>
                <c:formatCode>0.0</c:formatCode>
                <c:ptCount val="16"/>
                <c:pt idx="0">
                  <c:v>15.755383089222152</c:v>
                </c:pt>
                <c:pt idx="1">
                  <c:v>43.015275202171793</c:v>
                </c:pt>
                <c:pt idx="2">
                  <c:v>39.546172516084297</c:v>
                </c:pt>
                <c:pt idx="3">
                  <c:v>21.648514185827615</c:v>
                </c:pt>
                <c:pt idx="4">
                  <c:v>13.657056145675265</c:v>
                </c:pt>
                <c:pt idx="5">
                  <c:v>8.6687759468900296</c:v>
                </c:pt>
                <c:pt idx="6">
                  <c:v>3.5699400177590928</c:v>
                </c:pt>
                <c:pt idx="7">
                  <c:v>1.1097785812733814</c:v>
                </c:pt>
                <c:pt idx="8">
                  <c:v>0.53791428075655034</c:v>
                </c:pt>
                <c:pt idx="9">
                  <c:v>0.32117380574055915</c:v>
                </c:pt>
                <c:pt idx="10">
                  <c:v>0.11360685536224358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F1-834F-BF6B-E6727856D605}"/>
            </c:ext>
          </c:extLst>
        </c:ser>
        <c:ser>
          <c:idx val="4"/>
          <c:order val="2"/>
          <c:tx>
            <c:strRef>
              <c:f>'Exposure based'!$A$28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based'!$C$28:$R$28</c:f>
              <c:numCache>
                <c:formatCode>0.0</c:formatCode>
                <c:ptCount val="16"/>
                <c:pt idx="0">
                  <c:v>15.176611070451834</c:v>
                </c:pt>
                <c:pt idx="1">
                  <c:v>34.504894880436524</c:v>
                </c:pt>
                <c:pt idx="2">
                  <c:v>40.459378297216134</c:v>
                </c:pt>
                <c:pt idx="3">
                  <c:v>19.764243614931239</c:v>
                </c:pt>
                <c:pt idx="4">
                  <c:v>16.323996640251252</c:v>
                </c:pt>
                <c:pt idx="5">
                  <c:v>8.3968905837489007</c:v>
                </c:pt>
                <c:pt idx="6">
                  <c:v>3.3447329850802361</c:v>
                </c:pt>
                <c:pt idx="7">
                  <c:v>1.2629750957098316</c:v>
                </c:pt>
                <c:pt idx="8">
                  <c:v>0.54730543291859746</c:v>
                </c:pt>
                <c:pt idx="9">
                  <c:v>0.20998110170084691</c:v>
                </c:pt>
                <c:pt idx="10">
                  <c:v>6.5509335080248934E-2</c:v>
                </c:pt>
                <c:pt idx="11">
                  <c:v>0</c:v>
                </c:pt>
                <c:pt idx="12">
                  <c:v>0</c:v>
                </c:pt>
                <c:pt idx="13">
                  <c:v>3.2168821977739175E-2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F1-834F-BF6B-E6727856D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8-9049-BB1C-59EFA294D5DD}"/>
            </c:ext>
          </c:extLst>
        </c:ser>
        <c:ser>
          <c:idx val="1"/>
          <c:order val="1"/>
          <c:tx>
            <c:strRef>
              <c:f>'Exposure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IBNR'!$T$3:$T$19</c:f>
              <c:numCache>
                <c:formatCode>0.00%</c:formatCode>
                <c:ptCount val="17"/>
                <c:pt idx="1">
                  <c:v>9.9361300008119088E-2</c:v>
                </c:pt>
                <c:pt idx="2">
                  <c:v>0.19805606076978319</c:v>
                </c:pt>
                <c:pt idx="3">
                  <c:v>9.9884125387883688E-2</c:v>
                </c:pt>
                <c:pt idx="4">
                  <c:v>0.20406162345243509</c:v>
                </c:pt>
                <c:pt idx="5">
                  <c:v>0.10223583510831831</c:v>
                </c:pt>
                <c:pt idx="6">
                  <c:v>0.19936366926989341</c:v>
                </c:pt>
                <c:pt idx="7">
                  <c:v>9.9548482558705645E-2</c:v>
                </c:pt>
                <c:pt idx="8">
                  <c:v>0.20492736735553099</c:v>
                </c:pt>
                <c:pt idx="9">
                  <c:v>9.9716806871415486E-2</c:v>
                </c:pt>
                <c:pt idx="10">
                  <c:v>0.19817789260584248</c:v>
                </c:pt>
                <c:pt idx="11">
                  <c:v>0.1003751532344606</c:v>
                </c:pt>
                <c:pt idx="12">
                  <c:v>0.2129982954626817</c:v>
                </c:pt>
                <c:pt idx="13">
                  <c:v>0.11029243644382421</c:v>
                </c:pt>
                <c:pt idx="14">
                  <c:v>0.15829603407083809</c:v>
                </c:pt>
                <c:pt idx="15">
                  <c:v>0.1106548686045858</c:v>
                </c:pt>
                <c:pt idx="16">
                  <c:v>0.17205242713066876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8-9049-BB1C-59EFA294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- quarter'!$A$24</c:f>
              <c:strCache>
                <c:ptCount val="1"/>
                <c:pt idx="0">
                  <c:v>Quarter 1 -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- quarter'!$C$2:$R$2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 - quarter'!$C$24:$R$24</c:f>
              <c:numCache>
                <c:formatCode>0.0</c:formatCode>
                <c:ptCount val="16"/>
                <c:pt idx="0">
                  <c:v>8.9380603319072396</c:v>
                </c:pt>
                <c:pt idx="1">
                  <c:v>35.370738752486581</c:v>
                </c:pt>
                <c:pt idx="2">
                  <c:v>26.895931547537945</c:v>
                </c:pt>
                <c:pt idx="3">
                  <c:v>15.042101534185356</c:v>
                </c:pt>
                <c:pt idx="4">
                  <c:v>7.1472964574269735</c:v>
                </c:pt>
                <c:pt idx="5">
                  <c:v>3.6254402320281747</c:v>
                </c:pt>
                <c:pt idx="6">
                  <c:v>1.3465920861818934</c:v>
                </c:pt>
                <c:pt idx="7">
                  <c:v>0.72508804640563496</c:v>
                </c:pt>
                <c:pt idx="8">
                  <c:v>0.24202526743792052</c:v>
                </c:pt>
                <c:pt idx="9">
                  <c:v>4.8405053487584102E-2</c:v>
                </c:pt>
                <c:pt idx="10">
                  <c:v>4.8405053487584102E-2</c:v>
                </c:pt>
                <c:pt idx="11">
                  <c:v>4.8405053487584102E-2</c:v>
                </c:pt>
                <c:pt idx="12">
                  <c:v>9.2131932927952825E-2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3B-8343-8ECE-85407C4D7E0E}"/>
            </c:ext>
          </c:extLst>
        </c:ser>
        <c:ser>
          <c:idx val="1"/>
          <c:order val="1"/>
          <c:tx>
            <c:strRef>
              <c:f>'Exposure based - quarter'!$A$25</c:f>
              <c:strCache>
                <c:ptCount val="1"/>
                <c:pt idx="0">
                  <c:v>Quarter 2 - 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- quarter'!$C$2:$R$2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 - quarter'!$C$25:$R$25</c:f>
              <c:numCache>
                <c:formatCode>0.0</c:formatCode>
                <c:ptCount val="16"/>
                <c:pt idx="0">
                  <c:v>7.1576227390180875</c:v>
                </c:pt>
                <c:pt idx="1">
                  <c:v>52.144702842377264</c:v>
                </c:pt>
                <c:pt idx="2">
                  <c:v>56.434108527131784</c:v>
                </c:pt>
                <c:pt idx="3">
                  <c:v>37.20991823087364</c:v>
                </c:pt>
                <c:pt idx="4">
                  <c:v>23.074121892276626</c:v>
                </c:pt>
                <c:pt idx="5">
                  <c:v>11.222564306286623</c:v>
                </c:pt>
                <c:pt idx="6">
                  <c:v>5.7602542457046377</c:v>
                </c:pt>
                <c:pt idx="7">
                  <c:v>2.190953795218852</c:v>
                </c:pt>
                <c:pt idx="8">
                  <c:v>0.97375724231948979</c:v>
                </c:pt>
                <c:pt idx="9">
                  <c:v>0.43819075904377036</c:v>
                </c:pt>
                <c:pt idx="10">
                  <c:v>4.8687862115974485E-2</c:v>
                </c:pt>
                <c:pt idx="11">
                  <c:v>9.8367106039740304E-2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3B-8343-8ECE-85407C4D7E0E}"/>
            </c:ext>
          </c:extLst>
        </c:ser>
        <c:ser>
          <c:idx val="2"/>
          <c:order val="2"/>
          <c:tx>
            <c:strRef>
              <c:f>'Exposure based - quarter'!$A$26</c:f>
              <c:strCache>
                <c:ptCount val="1"/>
                <c:pt idx="0">
                  <c:v>Quarter 3 - 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'Exposure based - quarter'!$C$2:$R$2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 - quarter'!$C$26:$R$26</c:f>
              <c:numCache>
                <c:formatCode>0.0</c:formatCode>
                <c:ptCount val="16"/>
                <c:pt idx="0">
                  <c:v>1.2891192846759374</c:v>
                </c:pt>
                <c:pt idx="1">
                  <c:v>17.142543679201296</c:v>
                </c:pt>
                <c:pt idx="2">
                  <c:v>26.942333321326945</c:v>
                </c:pt>
                <c:pt idx="3">
                  <c:v>23.304397939703922</c:v>
                </c:pt>
                <c:pt idx="4">
                  <c:v>15.70435471670929</c:v>
                </c:pt>
                <c:pt idx="5">
                  <c:v>8.6806180888232536</c:v>
                </c:pt>
                <c:pt idx="6">
                  <c:v>4.6040515653775325</c:v>
                </c:pt>
                <c:pt idx="7">
                  <c:v>2.2207778138879863</c:v>
                </c:pt>
                <c:pt idx="8">
                  <c:v>0.92081031307550643</c:v>
                </c:pt>
                <c:pt idx="9">
                  <c:v>0.43332250027082658</c:v>
                </c:pt>
                <c:pt idx="10">
                  <c:v>0.39737730975561297</c:v>
                </c:pt>
                <c:pt idx="11">
                  <c:v>0</c:v>
                </c:pt>
                <c:pt idx="12">
                  <c:v>0</c:v>
                </c:pt>
                <c:pt idx="13">
                  <c:v>9.9344327438903243E-2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3B-8343-8ECE-85407C4D7E0E}"/>
            </c:ext>
          </c:extLst>
        </c:ser>
        <c:ser>
          <c:idx val="4"/>
          <c:order val="3"/>
          <c:tx>
            <c:strRef>
              <c:f>'Exposure based - quarter'!$A$27</c:f>
              <c:strCache>
                <c:ptCount val="1"/>
                <c:pt idx="0">
                  <c:v>Quarter 4 - all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'Exposure based - quarter'!$C$2:$R$2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 - quarter'!$C$27:$R$27</c:f>
              <c:numCache>
                <c:formatCode>0.0</c:formatCode>
                <c:ptCount val="16"/>
                <c:pt idx="0">
                  <c:v>37.428129146395399</c:v>
                </c:pt>
                <c:pt idx="1">
                  <c:v>86.264778864399361</c:v>
                </c:pt>
                <c:pt idx="2">
                  <c:v>45.248868778280546</c:v>
                </c:pt>
                <c:pt idx="3">
                  <c:v>20.653919135892572</c:v>
                </c:pt>
                <c:pt idx="4">
                  <c:v>8.6848635235732008</c:v>
                </c:pt>
                <c:pt idx="5">
                  <c:v>4.1600842548709851</c:v>
                </c:pt>
                <c:pt idx="6">
                  <c:v>1.5271195365982095</c:v>
                </c:pt>
                <c:pt idx="7">
                  <c:v>0.31595576619273302</c:v>
                </c:pt>
                <c:pt idx="8">
                  <c:v>0.2632964718272775</c:v>
                </c:pt>
                <c:pt idx="9">
                  <c:v>0.19319938176197834</c:v>
                </c:pt>
                <c:pt idx="10">
                  <c:v>9.6599690880989172E-2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B3B-8343-8ECE-85407C4D7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IBNR - quarter'!$Q$2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IBNR - quarter'!$A$3:$A$19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 - quarter'!$Q$3:$Q$19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A6-F144-94E5-4BF09B2C0B7C}"/>
            </c:ext>
          </c:extLst>
        </c:ser>
        <c:ser>
          <c:idx val="1"/>
          <c:order val="1"/>
          <c:tx>
            <c:strRef>
              <c:f>'Exposure based IBNR - quarter'!$T$2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IBNR - quarter'!$A$3:$A$19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 - quarter'!$T$3:$T$19</c:f>
              <c:numCache>
                <c:formatCode>0.00%</c:formatCode>
                <c:ptCount val="17"/>
                <c:pt idx="1">
                  <c:v>9.9345886269687558E-2</c:v>
                </c:pt>
                <c:pt idx="2">
                  <c:v>0.19804862387878727</c:v>
                </c:pt>
                <c:pt idx="3">
                  <c:v>0.10005859625634553</c:v>
                </c:pt>
                <c:pt idx="4">
                  <c:v>0.20417866426939604</c:v>
                </c:pt>
                <c:pt idx="5">
                  <c:v>0.10222042136988678</c:v>
                </c:pt>
                <c:pt idx="6">
                  <c:v>0.1993567806924543</c:v>
                </c:pt>
                <c:pt idx="7">
                  <c:v>0.10004325792074702</c:v>
                </c:pt>
                <c:pt idx="8">
                  <c:v>0.20495592568920346</c:v>
                </c:pt>
                <c:pt idx="9">
                  <c:v>9.9098117925412565E-2</c:v>
                </c:pt>
                <c:pt idx="10">
                  <c:v>0.19940592340934266</c:v>
                </c:pt>
                <c:pt idx="11">
                  <c:v>0.10375709148145131</c:v>
                </c:pt>
                <c:pt idx="12">
                  <c:v>0.20677819622759927</c:v>
                </c:pt>
                <c:pt idx="13">
                  <c:v>9.6819972136033161E-2</c:v>
                </c:pt>
                <c:pt idx="14">
                  <c:v>0.18872572928756673</c:v>
                </c:pt>
                <c:pt idx="15">
                  <c:v>0.1044744851598884</c:v>
                </c:pt>
                <c:pt idx="16">
                  <c:v>0.20442856204880419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A6-F144-94E5-4BF09B2C0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83-9047-9B46-F0228E377742}"/>
            </c:ext>
          </c:extLst>
        </c:ser>
        <c:ser>
          <c:idx val="1"/>
          <c:order val="1"/>
          <c:tx>
            <c:strRef>
              <c:f>'Chain Ladder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'Chain Ladder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IBNR'!$T$3:$T$19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0.19938454845974149</c:v>
                </c:pt>
                <c:pt idx="7">
                  <c:v>9.9468496096252787E-2</c:v>
                </c:pt>
                <c:pt idx="8">
                  <c:v>0.20509214971465525</c:v>
                </c:pt>
                <c:pt idx="9">
                  <c:v>9.9363121731048984E-2</c:v>
                </c:pt>
                <c:pt idx="10">
                  <c:v>0.19914166407258768</c:v>
                </c:pt>
                <c:pt idx="11">
                  <c:v>9.8380721970887541E-2</c:v>
                </c:pt>
                <c:pt idx="12">
                  <c:v>0.21918717054413117</c:v>
                </c:pt>
                <c:pt idx="13">
                  <c:v>0.10162103156364463</c:v>
                </c:pt>
                <c:pt idx="14">
                  <c:v>0.16269464544472143</c:v>
                </c:pt>
                <c:pt idx="15">
                  <c:v>5.1855113650141081E-2</c:v>
                </c:pt>
                <c:pt idx="16">
                  <c:v>0.43782086630014561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83-9047-9B46-F0228E37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 IBNR - quarter'!$Q$2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 IBNR - quarter'!$A$3:$A$19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IBNR - quarter'!$Q$3:$Q$19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74-3D4D-81A8-C0C15D709616}"/>
            </c:ext>
          </c:extLst>
        </c:ser>
        <c:ser>
          <c:idx val="1"/>
          <c:order val="1"/>
          <c:tx>
            <c:strRef>
              <c:f>'Chain Ladder IBNR - quarter'!$T$2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'Chain Ladder IBNR - quarter'!$A$3:$A$19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IBNR - quarter'!$T$3:$T$19</c:f>
              <c:numCache>
                <c:formatCode>0.00%</c:formatCode>
                <c:ptCount val="17"/>
                <c:pt idx="1">
                  <c:v>9.9349277561634794E-2</c:v>
                </c:pt>
                <c:pt idx="2">
                  <c:v>0.19804406704747146</c:v>
                </c:pt>
                <c:pt idx="3">
                  <c:v>9.9917863481779473E-2</c:v>
                </c:pt>
                <c:pt idx="4">
                  <c:v>0.20404535134191928</c:v>
                </c:pt>
                <c:pt idx="5">
                  <c:v>0.10222471144377437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0.20477554339577092</c:v>
                </c:pt>
                <c:pt idx="9">
                  <c:v>9.9240122854015511E-2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0.20696395562157352</c:v>
                </c:pt>
                <c:pt idx="13">
                  <c:v>9.6181432576190065E-2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0.20099136555970062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74-3D4D-81A8-C0C15D709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225DD-E1F7-054C-8664-6FFCF22A5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0C145-66CA-1013-A32E-37ACA1B36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2CCF5-B838-774E-9AD3-D956CB7F3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A4A72C-E18F-8F4E-A47B-7E0DDFAFA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C0E80B-094A-5642-849A-74A765917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B535B-1285-FE4B-B6C4-11E1576E8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979E16C8-7DA5-2E4A-B1D0-AFE6AE6A70C2}" userId="S::b.avanzi@unimelb.edu.au::4c1a0c65-cf17-4469-a7d7-15c887ee25b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3-08-07T23:54:46.55" personId="{979E16C8-7DA5-2E4A-B1D0-AFE6AE6A70C2}" id="{144DA397-1983-CD4F-91FB-37D96EB9EFCE}">
    <text>I’ve kept the larger of the projection or the data.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235D-E028-664B-A4EF-CE2193428222}">
  <dimension ref="A1:S49"/>
  <sheetViews>
    <sheetView workbookViewId="0">
      <selection activeCell="M8" sqref="M8"/>
    </sheetView>
  </sheetViews>
  <sheetFormatPr baseColWidth="10" defaultRowHeight="15" x14ac:dyDescent="0.2"/>
  <cols>
    <col min="3" max="18" width="6.6640625" customWidth="1"/>
  </cols>
  <sheetData>
    <row r="1" spans="1:19" ht="16" x14ac:dyDescent="0.2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" t="s">
        <v>2</v>
      </c>
      <c r="B2" s="2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6" x14ac:dyDescent="0.2">
      <c r="A4" s="7">
        <v>0</v>
      </c>
      <c r="B4" s="8">
        <f>Data!A1</f>
        <v>10854</v>
      </c>
      <c r="C4" s="9">
        <f>Data!B1/'Exposure based'!$B4*1000</f>
        <v>8.384005896443707</v>
      </c>
      <c r="D4" s="9">
        <f>Data!C1/'Exposure based'!$B4*1000</f>
        <v>34.733738713838221</v>
      </c>
      <c r="E4" s="9">
        <f>Data!D1/'Exposure based'!$B4*1000</f>
        <v>27.731711811313801</v>
      </c>
      <c r="F4" s="9">
        <f>Data!E1/'Exposure based'!$B4*1000</f>
        <v>15.662428597751983</v>
      </c>
      <c r="G4" s="9">
        <f>Data!F1/'Exposure based'!$B4*1000</f>
        <v>6.6334991708126037</v>
      </c>
      <c r="H4" s="9">
        <f>Data!G1/'Exposure based'!$B4*1000</f>
        <v>4.0538050488299247</v>
      </c>
      <c r="I4" s="9">
        <f>Data!H1/'Exposure based'!$B4*1000</f>
        <v>1.0134512622074812</v>
      </c>
      <c r="J4" s="9">
        <f>Data!I1/'Exposure based'!$B4*1000</f>
        <v>0.5527915975677169</v>
      </c>
      <c r="K4" s="9">
        <f>Data!J1/'Exposure based'!$B4*1000</f>
        <v>0.27639579878385845</v>
      </c>
      <c r="L4" s="9">
        <f>Data!K1/'Exposure based'!$B4*1000</f>
        <v>9.2131932927952825E-2</v>
      </c>
      <c r="M4" s="9">
        <f>Data!L1/'Exposure based'!$B4*1000</f>
        <v>9.2131932927952825E-2</v>
      </c>
      <c r="N4" s="9">
        <f>Data!M1/'Exposure based'!$B4*1000</f>
        <v>9.2131932927952825E-2</v>
      </c>
      <c r="O4" s="9">
        <f>Data!N1/'Exposure based'!$B4*1000</f>
        <v>9.2131932927952825E-2</v>
      </c>
      <c r="P4" s="9">
        <f>Data!O1/'Exposure based'!$B4*1000</f>
        <v>0</v>
      </c>
      <c r="Q4" s="9">
        <f>Data!P1/'Exposure based'!$B4*1000</f>
        <v>0</v>
      </c>
      <c r="R4" s="9">
        <f>Data!Q1/'Exposure based'!$B4*1000</f>
        <v>0</v>
      </c>
    </row>
    <row r="5" spans="1:19" ht="16" x14ac:dyDescent="0.2">
      <c r="A5" s="7">
        <v>1</v>
      </c>
      <c r="B5" s="8">
        <f>Data!A2</f>
        <v>10166</v>
      </c>
      <c r="C5" s="9">
        <f>Data!B2/'Exposure based'!$B5*1000</f>
        <v>6.1971276805036402</v>
      </c>
      <c r="D5" s="9">
        <f>Data!C2/'Exposure based'!$B5*1000</f>
        <v>54.101908321857167</v>
      </c>
      <c r="E5" s="9">
        <f>Data!D2/'Exposure based'!$B5*1000</f>
        <v>54.593743852055873</v>
      </c>
      <c r="F5" s="9">
        <f>Data!E2/'Exposure based'!$B5*1000</f>
        <v>39.740310840055088</v>
      </c>
      <c r="G5" s="9">
        <f>Data!F2/'Exposure based'!$B5*1000</f>
        <v>23.214637025378714</v>
      </c>
      <c r="H5" s="9">
        <f>Data!G2/'Exposure based'!$B5*1000</f>
        <v>10.230179028132993</v>
      </c>
      <c r="I5" s="9">
        <f>Data!H2/'Exposure based'!$B5*1000</f>
        <v>5.508557938225457</v>
      </c>
      <c r="J5" s="9">
        <f>Data!I2/'Exposure based'!$B5*1000</f>
        <v>2.5575447570332481</v>
      </c>
      <c r="K5" s="9">
        <f>Data!J2/'Exposure based'!$B5*1000</f>
        <v>1.2787723785166241</v>
      </c>
      <c r="L5" s="9">
        <f>Data!K2/'Exposure based'!$B5*1000</f>
        <v>0.49183553019870158</v>
      </c>
      <c r="M5" s="9">
        <f>Data!L2/'Exposure based'!$B5*1000</f>
        <v>0</v>
      </c>
      <c r="N5" s="9">
        <f>Data!M2/'Exposure based'!$B5*1000</f>
        <v>9.8367106039740304E-2</v>
      </c>
      <c r="O5" s="9">
        <f>Data!N2/'Exposure based'!$B5*1000</f>
        <v>0</v>
      </c>
      <c r="P5" s="9">
        <f>Data!O2/'Exposure based'!$B5*1000</f>
        <v>0</v>
      </c>
      <c r="Q5" s="9">
        <f>Data!P2/'Exposure based'!$B5*1000</f>
        <v>0</v>
      </c>
      <c r="R5" s="9"/>
    </row>
    <row r="6" spans="1:19" ht="16" x14ac:dyDescent="0.2">
      <c r="A6" s="7">
        <v>2</v>
      </c>
      <c r="B6" s="8">
        <f>Data!A3</f>
        <v>10066</v>
      </c>
      <c r="C6" s="9">
        <f>Data!B3/'Exposure based'!$B6*1000</f>
        <v>1.1921319292668389</v>
      </c>
      <c r="D6" s="9">
        <f>Data!C3/'Exposure based'!$B6*1000</f>
        <v>16.789191337174646</v>
      </c>
      <c r="E6" s="9">
        <f>Data!D3/'Exposure based'!$B6*1000</f>
        <v>27.220345718259487</v>
      </c>
      <c r="F6" s="9">
        <f>Data!E3/'Exposure based'!$B6*1000</f>
        <v>22.352473673753227</v>
      </c>
      <c r="G6" s="9">
        <f>Data!F3/'Exposure based'!$B6*1000</f>
        <v>16.491158354857937</v>
      </c>
      <c r="H6" s="9">
        <f>Data!G3/'Exposure based'!$B6*1000</f>
        <v>7.1527915756010332</v>
      </c>
      <c r="I6" s="9">
        <f>Data!H3/'Exposure based'!$B6*1000</f>
        <v>4.6691833896284525</v>
      </c>
      <c r="J6" s="9">
        <f>Data!I3/'Exposure based'!$B6*1000</f>
        <v>1.8875422213391615</v>
      </c>
      <c r="K6" s="9">
        <f>Data!J3/'Exposure based'!$B6*1000</f>
        <v>1.0927876018279357</v>
      </c>
      <c r="L6" s="9">
        <f>Data!K3/'Exposure based'!$B6*1000</f>
        <v>0.59606596463341943</v>
      </c>
      <c r="M6" s="9">
        <f>Data!L3/'Exposure based'!$B6*1000</f>
        <v>0.39737730975561297</v>
      </c>
      <c r="N6" s="9">
        <f>Data!M3/'Exposure based'!$B6*1000</f>
        <v>0</v>
      </c>
      <c r="O6" s="9">
        <f>Data!N3/'Exposure based'!$B6*1000</f>
        <v>0</v>
      </c>
      <c r="P6" s="9">
        <f>Data!O3/'Exposure based'!$B6*1000</f>
        <v>9.9344327438903243E-2</v>
      </c>
      <c r="Q6" s="9"/>
      <c r="R6" s="9"/>
    </row>
    <row r="7" spans="1:19" ht="16" x14ac:dyDescent="0.2">
      <c r="A7" s="7">
        <v>3</v>
      </c>
      <c r="B7" s="8">
        <f>Data!A4</f>
        <v>10352</v>
      </c>
      <c r="C7" s="9">
        <f>Data!B4/'Exposure based'!$B7*1000</f>
        <v>37.19088098918084</v>
      </c>
      <c r="D7" s="9">
        <f>Data!C4/'Exposure based'!$B7*1000</f>
        <v>87.519319938176196</v>
      </c>
      <c r="E7" s="9">
        <f>Data!D4/'Exposure based'!$B7*1000</f>
        <v>42.600463678516228</v>
      </c>
      <c r="F7" s="9">
        <f>Data!E4/'Exposure based'!$B7*1000</f>
        <v>22.700927357032459</v>
      </c>
      <c r="G7" s="9">
        <f>Data!F4/'Exposure based'!$B7*1000</f>
        <v>7.7279752704791349</v>
      </c>
      <c r="H7" s="9">
        <f>Data!G4/'Exposure based'!$B7*1000</f>
        <v>3.9605873261205566</v>
      </c>
      <c r="I7" s="9">
        <f>Data!H4/'Exposure based'!$B7*1000</f>
        <v>1.5455950540958268</v>
      </c>
      <c r="J7" s="9">
        <f>Data!I4/'Exposure based'!$B7*1000</f>
        <v>0.19319938176197834</v>
      </c>
      <c r="K7" s="9">
        <f>Data!J4/'Exposure based'!$B7*1000</f>
        <v>0.2897990726429675</v>
      </c>
      <c r="L7" s="9">
        <f>Data!K4/'Exposure based'!$B7*1000</f>
        <v>0.19319938176197834</v>
      </c>
      <c r="M7" s="9">
        <f>Data!L4/'Exposure based'!$B7*1000</f>
        <v>9.6599690880989172E-2</v>
      </c>
      <c r="N7" s="9">
        <f>Data!M4/'Exposure based'!$B7*1000</f>
        <v>0</v>
      </c>
      <c r="O7" s="9">
        <f>Data!N4/'Exposure based'!$B7*1000</f>
        <v>0</v>
      </c>
      <c r="P7" s="9"/>
      <c r="Q7" s="9"/>
      <c r="R7" s="9"/>
    </row>
    <row r="8" spans="1:19" ht="16" x14ac:dyDescent="0.2">
      <c r="A8" s="7">
        <v>4</v>
      </c>
      <c r="B8" s="8">
        <f>Data!A5</f>
        <v>9805</v>
      </c>
      <c r="C8" s="9">
        <f>Data!B5/'Exposure based'!$B8*1000</f>
        <v>9.3829678735339108</v>
      </c>
      <c r="D8" s="9">
        <f>Data!C5/'Exposure based'!$B8*1000</f>
        <v>36.817950025497197</v>
      </c>
      <c r="E8" s="9">
        <f>Data!D5/'Exposure based'!$B8*1000</f>
        <v>27.027027027027028</v>
      </c>
      <c r="F8" s="9">
        <f>Data!E5/'Exposure based'!$B8*1000</f>
        <v>16.114227434982151</v>
      </c>
      <c r="G8" s="9">
        <f>Data!F5/'Exposure based'!$B8*1000</f>
        <v>7.0372259051504331</v>
      </c>
      <c r="H8" s="9">
        <f>Data!G5/'Exposure based'!$B8*1000</f>
        <v>2.957674655787863</v>
      </c>
      <c r="I8" s="9">
        <f>Data!H5/'Exposure based'!$B8*1000</f>
        <v>1.7338092809790921</v>
      </c>
      <c r="J8" s="9">
        <f>Data!I5/'Exposure based'!$B8*1000</f>
        <v>0.91789903110657822</v>
      </c>
      <c r="K8" s="9">
        <f>Data!J5/'Exposure based'!$B8*1000</f>
        <v>0.20397756246812851</v>
      </c>
      <c r="L8" s="9">
        <f>Data!K5/'Exposure based'!$B8*1000</f>
        <v>0</v>
      </c>
      <c r="M8" s="9">
        <f>Data!L5/'Exposure based'!$B8*1000</f>
        <v>0</v>
      </c>
      <c r="N8" s="9">
        <f>Data!M5/'Exposure based'!$B8*1000</f>
        <v>0</v>
      </c>
      <c r="O8" s="9"/>
      <c r="P8" s="9"/>
      <c r="Q8" s="9"/>
      <c r="R8" s="9"/>
    </row>
    <row r="9" spans="1:19" ht="16" x14ac:dyDescent="0.2">
      <c r="A9" s="7">
        <v>5</v>
      </c>
      <c r="B9" s="8">
        <f>Data!A6</f>
        <v>10373</v>
      </c>
      <c r="C9" s="9">
        <f>Data!B6/'Exposure based'!$B9*1000</f>
        <v>6.6518847006651889</v>
      </c>
      <c r="D9" s="9">
        <f>Data!C6/'Exposure based'!$B9*1000</f>
        <v>53.022269353128316</v>
      </c>
      <c r="E9" s="9">
        <f>Data!D6/'Exposure based'!$B9*1000</f>
        <v>61.409428323532246</v>
      </c>
      <c r="F9" s="9">
        <f>Data!E6/'Exposure based'!$B9*1000</f>
        <v>35.669526655740867</v>
      </c>
      <c r="G9" s="9">
        <f>Data!F6/'Exposure based'!$B9*1000</f>
        <v>22.654969632700279</v>
      </c>
      <c r="H9" s="9">
        <f>Data!G6/'Exposure based'!$B9*1000</f>
        <v>11.761303383784826</v>
      </c>
      <c r="I9" s="9">
        <f>Data!H6/'Exposure based'!$B9*1000</f>
        <v>5.1094186831196371</v>
      </c>
      <c r="J9" s="9">
        <f>Data!I6/'Exposure based'!$B9*1000</f>
        <v>1.8316783958353418</v>
      </c>
      <c r="K9" s="9">
        <f>Data!J6/'Exposure based'!$B9*1000</f>
        <v>0.67482888267617847</v>
      </c>
      <c r="L9" s="9">
        <f>Data!K6/'Exposure based'!$B9*1000</f>
        <v>0.38561650438638773</v>
      </c>
      <c r="M9" s="9">
        <f>Data!L6/'Exposure based'!$B9*1000</f>
        <v>9.6404126096596932E-2</v>
      </c>
      <c r="N9" s="9"/>
      <c r="O9" s="9"/>
      <c r="P9" s="9"/>
      <c r="Q9" s="9"/>
      <c r="R9" s="9"/>
    </row>
    <row r="10" spans="1:19" ht="16" x14ac:dyDescent="0.2">
      <c r="A10" s="7">
        <v>6</v>
      </c>
      <c r="B10" s="8">
        <f>Data!A7</f>
        <v>8396</v>
      </c>
      <c r="C10" s="9">
        <f>Data!B7/'Exposure based'!$B10*1000</f>
        <v>0.71462601238685086</v>
      </c>
      <c r="D10" s="9">
        <f>Data!C7/'Exposure based'!$B10*1000</f>
        <v>17.031919961886612</v>
      </c>
      <c r="E10" s="9">
        <f>Data!D7/'Exposure based'!$B10*1000</f>
        <v>25.250119104335401</v>
      </c>
      <c r="F10" s="9">
        <f>Data!E7/'Exposure based'!$B10*1000</f>
        <v>23.820867079561697</v>
      </c>
      <c r="G10" s="9">
        <f>Data!F7/'Exposure based'!$B10*1000</f>
        <v>14.292520247737018</v>
      </c>
      <c r="H10" s="9">
        <f>Data!G7/'Exposure based'!$B10*1000</f>
        <v>10.123868508813722</v>
      </c>
      <c r="I10" s="9">
        <f>Data!H7/'Exposure based'!$B10*1000</f>
        <v>4.5259647451167222</v>
      </c>
      <c r="J10" s="9">
        <f>Data!I7/'Exposure based'!$B10*1000</f>
        <v>2.6202953787517864</v>
      </c>
      <c r="K10" s="9">
        <f>Data!J7/'Exposure based'!$B10*1000</f>
        <v>0.71462601238685086</v>
      </c>
      <c r="L10" s="9">
        <f>Data!K7/'Exposure based'!$B10*1000</f>
        <v>0.23820867079561694</v>
      </c>
      <c r="M10" s="9"/>
      <c r="N10" s="9"/>
      <c r="O10" s="9"/>
      <c r="P10" s="9"/>
      <c r="Q10" s="9"/>
      <c r="R10" s="9"/>
    </row>
    <row r="11" spans="1:19" ht="16" x14ac:dyDescent="0.2">
      <c r="A11" s="7">
        <v>7</v>
      </c>
      <c r="B11" s="8">
        <f>Data!A8</f>
        <v>8638</v>
      </c>
      <c r="C11" s="9">
        <f>Data!B8/'Exposure based'!$B11*1000</f>
        <v>36.466774716369528</v>
      </c>
      <c r="D11" s="9">
        <f>Data!C8/'Exposure based'!$B11*1000</f>
        <v>82.310720074091222</v>
      </c>
      <c r="E11" s="9">
        <f>Data!D8/'Exposure based'!$B11*1000</f>
        <v>48.738133827274837</v>
      </c>
      <c r="F11" s="9">
        <f>Data!E8/'Exposure based'!$B11*1000</f>
        <v>20.25931928687196</v>
      </c>
      <c r="G11" s="9">
        <f>Data!F8/'Exposure based'!$B11*1000</f>
        <v>10.071775874044917</v>
      </c>
      <c r="H11" s="9">
        <f>Data!G8/'Exposure based'!$B11*1000</f>
        <v>4.3991664737207685</v>
      </c>
      <c r="I11" s="9">
        <f>Data!H8/'Exposure based'!$B11*1000</f>
        <v>1.5049780041676315</v>
      </c>
      <c r="J11" s="9">
        <f>Data!I8/'Exposure based'!$B11*1000</f>
        <v>0.46307015512850197</v>
      </c>
      <c r="K11" s="9">
        <f>Data!J8/'Exposure based'!$B11*1000</f>
        <v>0.23153507756425099</v>
      </c>
      <c r="L11" s="9"/>
      <c r="M11" s="9"/>
      <c r="N11" s="9"/>
      <c r="O11" s="9"/>
      <c r="P11" s="9"/>
      <c r="Q11" s="9"/>
      <c r="R11" s="9"/>
    </row>
    <row r="12" spans="1:19" ht="16" x14ac:dyDescent="0.2">
      <c r="A12" s="7">
        <v>8</v>
      </c>
      <c r="B12" s="8">
        <f>Data!A9</f>
        <v>8303</v>
      </c>
      <c r="C12" s="9">
        <f>Data!B9/'Exposure based'!$B12*1000</f>
        <v>9.3941948693243393</v>
      </c>
      <c r="D12" s="9">
        <f>Data!C9/'Exposure based'!$B12*1000</f>
        <v>34.686257979043717</v>
      </c>
      <c r="E12" s="9">
        <f>Data!D9/'Exposure based'!$B12*1000</f>
        <v>28.784776586775866</v>
      </c>
      <c r="F12" s="9">
        <f>Data!E9/'Exposure based'!$B12*1000</f>
        <v>11.923401180296278</v>
      </c>
      <c r="G12" s="9">
        <f>Data!F9/'Exposure based'!$B12*1000</f>
        <v>7.9489341201975181</v>
      </c>
      <c r="H12" s="9">
        <f>Data!G9/'Exposure based'!$B12*1000</f>
        <v>3.8540286643381911</v>
      </c>
      <c r="I12" s="9">
        <f>Data!H9/'Exposure based'!$B12*1000</f>
        <v>1.3248223533662531</v>
      </c>
      <c r="J12" s="9">
        <f>Data!I9/'Exposure based'!$B12*1000</f>
        <v>0.72263037456341084</v>
      </c>
      <c r="K12" s="9"/>
      <c r="L12" s="9"/>
      <c r="M12" s="9"/>
      <c r="N12" s="9"/>
      <c r="O12" s="9"/>
      <c r="P12" s="9"/>
      <c r="Q12" s="9"/>
      <c r="R12" s="9"/>
    </row>
    <row r="13" spans="1:19" ht="16" x14ac:dyDescent="0.2">
      <c r="A13" s="7">
        <v>9</v>
      </c>
      <c r="B13" s="8">
        <f>Data!A10</f>
        <v>9668</v>
      </c>
      <c r="C13" s="9">
        <f>Data!B10/'Exposure based'!$B13*1000</f>
        <v>8.7918907736863883</v>
      </c>
      <c r="D13" s="9">
        <f>Data!C10/'Exposure based'!$B13*1000</f>
        <v>51.613570541994214</v>
      </c>
      <c r="E13" s="9">
        <f>Data!D10/'Exposure based'!$B13*1000</f>
        <v>57.405875051717011</v>
      </c>
      <c r="F13" s="9">
        <f>Data!E10/'Exposure based'!$B13*1000</f>
        <v>36.201903185767478</v>
      </c>
      <c r="G13" s="9">
        <f>Data!F10/'Exposure based'!$B13*1000</f>
        <v>23.376086057095574</v>
      </c>
      <c r="H13" s="9">
        <f>Data!G10/'Exposure based'!$B13*1000</f>
        <v>11.688043028547787</v>
      </c>
      <c r="I13" s="9">
        <f>Data!H10/'Exposure based'!$B13*1000</f>
        <v>6.7232105916425322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6" x14ac:dyDescent="0.2">
      <c r="A14" s="7">
        <v>10</v>
      </c>
      <c r="B14" s="8">
        <f>Data!A11</f>
        <v>9301</v>
      </c>
      <c r="C14" s="9">
        <f>Data!B11/'Exposure based'!$B14*1000</f>
        <v>1.9352757767981936</v>
      </c>
      <c r="D14" s="9">
        <f>Data!C11/'Exposure based'!$B14*1000</f>
        <v>15.482206214385549</v>
      </c>
      <c r="E14" s="9">
        <f>Data!D11/'Exposure based'!$B14*1000</f>
        <v>28.169014084507044</v>
      </c>
      <c r="F14" s="9">
        <f>Data!E11/'Exposure based'!$B14*1000</f>
        <v>23.868401247177722</v>
      </c>
      <c r="G14" s="9">
        <f>Data!F11/'Exposure based'!$B14*1000</f>
        <v>16.127298139984948</v>
      </c>
      <c r="H14" s="9">
        <f>Data!G11/'Exposure based'!$B14*1000</f>
        <v>9.0312869583915703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6" x14ac:dyDescent="0.2">
      <c r="A15" s="7">
        <v>11</v>
      </c>
      <c r="B15" s="8">
        <f>Data!A12</f>
        <v>8414</v>
      </c>
      <c r="C15" s="9">
        <f>Data!B12/'Exposure based'!$B15*1000</f>
        <v>39.33919657713335</v>
      </c>
      <c r="D15" s="9">
        <f>Data!C12/'Exposure based'!$B15*1000</f>
        <v>88.780603755645345</v>
      </c>
      <c r="E15" s="9">
        <f>Data!D12/'Exposure based'!$B15*1000</f>
        <v>44.925124792013314</v>
      </c>
      <c r="F15" s="9">
        <f>Data!E12/'Exposure based'!$B15*1000</f>
        <v>18.540527691942</v>
      </c>
      <c r="G15" s="9">
        <f>Data!F12/'Exposure based'!$B15*1000</f>
        <v>8.4383170905633467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6" x14ac:dyDescent="0.2">
      <c r="A16" s="7">
        <v>12</v>
      </c>
      <c r="B16" s="8">
        <f>Data!A13</f>
        <v>7735</v>
      </c>
      <c r="C16" s="9">
        <f>Data!B13/'Exposure based'!$B16*1000</f>
        <v>8.6619263089851337</v>
      </c>
      <c r="D16" s="9">
        <f>Data!C13/'Exposure based'!$B16*1000</f>
        <v>35.164835164835168</v>
      </c>
      <c r="E16" s="9">
        <f>Data!D13/'Exposure based'!$B16*1000</f>
        <v>23.52941176470588</v>
      </c>
      <c r="F16" s="9">
        <f>Data!E13/'Exposure based'!$B16*1000</f>
        <v>16.16031027795734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6" x14ac:dyDescent="0.2">
      <c r="A17" s="7">
        <v>13</v>
      </c>
      <c r="B17" s="8">
        <f>Data!A14</f>
        <v>8493</v>
      </c>
      <c r="C17" s="9">
        <f>Data!B14/'Exposure based'!$B17*1000</f>
        <v>7.0646414694454256</v>
      </c>
      <c r="D17" s="9">
        <f>Data!C14/'Exposure based'!$B17*1000</f>
        <v>49.334746261627224</v>
      </c>
      <c r="E17" s="9">
        <f>Data!D14/'Exposure based'!$B17*1000</f>
        <v>51.454138702460853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6" x14ac:dyDescent="0.2">
      <c r="A18" s="7">
        <v>14</v>
      </c>
      <c r="B18" s="8">
        <f>Data!A15</f>
        <v>8696</v>
      </c>
      <c r="C18" s="9">
        <f>Data!B15/'Exposure based'!$B18*1000</f>
        <v>1.2649494020239189</v>
      </c>
      <c r="D18" s="9">
        <f>Data!C15/'Exposure based'!$B18*1000</f>
        <v>19.434222631094759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6" x14ac:dyDescent="0.2">
      <c r="A19" s="7">
        <v>15</v>
      </c>
      <c r="B19" s="8">
        <f>Data!A16</f>
        <v>8772</v>
      </c>
      <c r="C19" s="9">
        <f>Data!B16/'Exposure based'!$B19*1000</f>
        <v>36.821705426356594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11" cm="1">
        <f t="array" ref="C24">SUMPRODUCT(C4:C19,$B4:$B19/SUM($B4:$B19))</f>
        <v>13.551124081279724</v>
      </c>
      <c r="D24" s="11" cm="1">
        <f t="array" ref="D24">SUMPRODUCT(D4:D18,$B4:$B18/SUM($B4:$B18))</f>
        <v>45.27502513284503</v>
      </c>
      <c r="E24" s="11" cm="1">
        <f t="array" ref="E24">SUMPRODUCT(E4:E17,$B4:$B17/SUM($B4:$B17))</f>
        <v>39.513188934162564</v>
      </c>
      <c r="F24" s="11" cm="1">
        <f t="array" ref="F24">SUMPRODUCT(F4:F16,$B4:$B16/SUM($B4:$B16))</f>
        <v>23.666554709963876</v>
      </c>
      <c r="G24" s="11" cm="1">
        <f t="array" ref="G24">SUMPRODUCT(G4:G15,$B4:$B15/SUM($B4:$B15))</f>
        <v>13.80142737195634</v>
      </c>
      <c r="H24" s="11" cm="1">
        <f t="array" ref="H24">SUMPRODUCT(H4:H14,$B4:$B14/SUM($B4:$B14))</f>
        <v>7.2128547421687665</v>
      </c>
      <c r="I24" s="11" cm="1">
        <f t="array" ref="I24">SUMPRODUCT(I4:I13,$B4:$B13/SUM($B4:$B13))</f>
        <v>3.3843574378240753</v>
      </c>
      <c r="J24" s="11" cm="1">
        <f t="array" ref="J24">SUMPRODUCT(J4:J12,$B4:$B12/SUM($B4:$B12))</f>
        <v>1.2995526318815915</v>
      </c>
      <c r="K24" s="11" cm="1">
        <f t="array" ref="K24">SUMPRODUCT(K4:K11,$B4:$B11/SUM($B4:$B11))</f>
        <v>0.5975842339478703</v>
      </c>
      <c r="L24" s="11" cm="1">
        <f t="array" ref="L24">SUMPRODUCT(L4:L10,$B4:$B10/SUM($B4:$B10))</f>
        <v>0.28566531451751132</v>
      </c>
      <c r="M24" s="11" cm="1">
        <f t="array" ref="M24">SUMPRODUCT(M4:M9,$B4:$B9/SUM($B4:$B9))</f>
        <v>0.11360685536224358</v>
      </c>
      <c r="N24" s="11" cm="1">
        <f t="array" ref="N24">SUMPRODUCT(N4:N8,$B4:$B8/SUM($B4:$B8))</f>
        <v>3.9029721132642504E-2</v>
      </c>
      <c r="O24" s="11" cm="1">
        <f t="array" ref="O24">SUMPRODUCT(O4:O7,$B4:$B7/SUM($B4:$B7))</f>
        <v>2.4132438824267577E-2</v>
      </c>
      <c r="P24" s="11" cm="1">
        <f t="array" ref="P24">SUMPRODUCT(P4:P6,$B4:$B6/SUM($B4:$B6))</f>
        <v>3.2168821977739175E-2</v>
      </c>
      <c r="Q24" s="11" cm="1">
        <f t="array" ref="Q24">SUMPRODUCT(Q4:Q5,$B4:$B5/SUM($B4:$B5))</f>
        <v>0</v>
      </c>
      <c r="R24" s="11" cm="1">
        <f t="array" ref="R24">SUMPRODUCT(R4:R4,$B4:$B4/SUM($B4:$B4))</f>
        <v>0</v>
      </c>
    </row>
    <row r="25" spans="1:18" ht="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6" x14ac:dyDescent="0.2">
      <c r="A26" s="6" t="s">
        <v>8</v>
      </c>
      <c r="B26" s="6"/>
      <c r="C26" s="12" cm="1">
        <f t="array" ref="C26">SUMPRODUCT(C14:C19,$B14:$B19/SUM($B14:$B19))</f>
        <v>15.755383089222152</v>
      </c>
      <c r="D26" s="12" cm="1">
        <f t="array" ref="D26">SUMPRODUCT(D13:D18,$B13:$B18/SUM($B13:$B18))</f>
        <v>43.015275202171793</v>
      </c>
      <c r="E26" s="12" cm="1">
        <f t="array" ref="E26">SUMPRODUCT(E12:E17,$B12:$B17/SUM($B12:$B17))</f>
        <v>39.546172516084297</v>
      </c>
      <c r="F26" s="12" cm="1">
        <f t="array" ref="F26">SUMPRODUCT(F11:F16,$B11:$B16/SUM($B11:$B16))</f>
        <v>21.648514185827615</v>
      </c>
      <c r="G26" s="12" cm="1">
        <f t="array" ref="G26">SUMPRODUCT(G10:G15,$B10:$B15/SUM($B10:$B15))</f>
        <v>13.657056145675265</v>
      </c>
      <c r="H26" s="12" cm="1">
        <f t="array" ref="H26">SUMPRODUCT(H9:H14,$B9:$B14/SUM($B9:$B14))</f>
        <v>8.6687759468900296</v>
      </c>
      <c r="I26" s="12" cm="1">
        <f t="array" ref="I26">SUMPRODUCT(I8:I13,$B8:$B13/SUM($B8:$B13))</f>
        <v>3.5699400177590928</v>
      </c>
      <c r="J26" s="12" cm="1">
        <f t="array" ref="J26">SUMPRODUCT(J7:J12,$B7:$B12/SUM($B7:$B12))</f>
        <v>1.1097785812733814</v>
      </c>
      <c r="K26" s="12" cm="1">
        <f t="array" ref="K26">SUMPRODUCT(K6:K11,$B6:$B11/SUM($B6:$B11))</f>
        <v>0.53791428075655034</v>
      </c>
      <c r="L26" s="12" cm="1">
        <f t="array" ref="L26">SUMPRODUCT(L5:L10,$B5:$B10/SUM($B5:$B10))</f>
        <v>0.32117380574055915</v>
      </c>
      <c r="M26" s="12" cm="1">
        <f t="array" ref="M26">SUMPRODUCT(M4:M9,$B4:$B9/SUM($B4:$B9))</f>
        <v>0.11360685536224358</v>
      </c>
      <c r="N26" s="9"/>
      <c r="O26" s="9"/>
      <c r="P26" s="9"/>
      <c r="Q26" s="9"/>
      <c r="R26" s="9"/>
    </row>
    <row r="27" spans="1:18" ht="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6" x14ac:dyDescent="0.2">
      <c r="A28" s="6" t="s">
        <v>9</v>
      </c>
      <c r="B28" s="6"/>
      <c r="C28" s="13">
        <f>SUMPRODUCT(C17:C19,$B17:$B19)/SUM($B17:$B19)</f>
        <v>15.176611070451834</v>
      </c>
      <c r="D28" s="13">
        <f>SUMPRODUCT(D16:D18,$B16:$B18)/SUM($B16:$B18)</f>
        <v>34.504894880436524</v>
      </c>
      <c r="E28" s="13">
        <f>SUMPRODUCT(E15:E17,$B15:$B17)/SUM($B15:$B17)</f>
        <v>40.459378297216134</v>
      </c>
      <c r="F28" s="13">
        <f>SUMPRODUCT(F14:F16,$B14:$B16)/SUM($B14:$B16)</f>
        <v>19.764243614931239</v>
      </c>
      <c r="G28" s="13">
        <f>SUMPRODUCT(G13:G15,$B13:$B15)/SUM($B13:$B15)</f>
        <v>16.323996640251252</v>
      </c>
      <c r="H28" s="13">
        <f>SUMPRODUCT(H12:H14,$B12:$B14)/SUM($B12:$B14)</f>
        <v>8.3968905837489007</v>
      </c>
      <c r="I28" s="13">
        <f>SUMPRODUCT(I11:I13,$B11:$B13)/SUM($B11:$B13)</f>
        <v>3.3447329850802361</v>
      </c>
      <c r="J28" s="13">
        <f>SUMPRODUCT(J10:J12,$B10:$B12)/SUM($B10:$B12)</f>
        <v>1.2629750957098316</v>
      </c>
      <c r="K28" s="13">
        <f>SUMPRODUCT(K9:K11,$B9:$B11)/SUM($B9:$B11)</f>
        <v>0.54730543291859746</v>
      </c>
      <c r="L28" s="13">
        <f>SUMPRODUCT(L8:L10,$B8:$B10)/SUM($B8:$B10)</f>
        <v>0.20998110170084691</v>
      </c>
      <c r="M28" s="13">
        <f>SUMPRODUCT(M7:M9,$B7:$B9)/SUM($B7:$B9)</f>
        <v>6.5509335080248934E-2</v>
      </c>
      <c r="N28" s="13">
        <f>SUMPRODUCT(N6:N8,$B6:$B8)/SUM($B6:$B8)</f>
        <v>0</v>
      </c>
      <c r="O28" s="13">
        <f>SUMPRODUCT(O5:O7,$B5:$B7)/SUM($B5:$B7)</f>
        <v>0</v>
      </c>
      <c r="P28" s="13">
        <f>SUMPRODUCT(P4:P6,$B4:$B6)/SUM($B4:$B6)</f>
        <v>3.2168821977739175E-2</v>
      </c>
    </row>
    <row r="29" spans="1:18" ht="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6" x14ac:dyDescent="0.2">
      <c r="A31" s="6" t="s">
        <v>10</v>
      </c>
      <c r="B31" s="6"/>
      <c r="C31" s="11">
        <f t="shared" ref="C31:R31" si="0">C24</f>
        <v>13.551124081279724</v>
      </c>
      <c r="D31" s="11">
        <f t="shared" si="0"/>
        <v>45.27502513284503</v>
      </c>
      <c r="E31" s="11">
        <f t="shared" si="0"/>
        <v>39.513188934162564</v>
      </c>
      <c r="F31" s="11">
        <f t="shared" si="0"/>
        <v>23.666554709963876</v>
      </c>
      <c r="G31" s="11">
        <f t="shared" si="0"/>
        <v>13.80142737195634</v>
      </c>
      <c r="H31" s="11">
        <f t="shared" si="0"/>
        <v>7.2128547421687665</v>
      </c>
      <c r="I31" s="11">
        <f t="shared" si="0"/>
        <v>3.3843574378240753</v>
      </c>
      <c r="J31" s="11">
        <f t="shared" si="0"/>
        <v>1.2995526318815915</v>
      </c>
      <c r="K31" s="11">
        <f t="shared" si="0"/>
        <v>0.5975842339478703</v>
      </c>
      <c r="L31" s="11">
        <f t="shared" si="0"/>
        <v>0.28566531451751132</v>
      </c>
      <c r="M31" s="11">
        <f t="shared" si="0"/>
        <v>0.11360685536224358</v>
      </c>
      <c r="N31" s="11">
        <f t="shared" si="0"/>
        <v>3.9029721132642504E-2</v>
      </c>
      <c r="O31" s="11">
        <f t="shared" si="0"/>
        <v>2.4132438824267577E-2</v>
      </c>
      <c r="P31" s="11">
        <f t="shared" si="0"/>
        <v>3.2168821977739175E-2</v>
      </c>
      <c r="Q31" s="11">
        <f t="shared" si="0"/>
        <v>0</v>
      </c>
      <c r="R31" s="11">
        <f t="shared" si="0"/>
        <v>0</v>
      </c>
    </row>
    <row r="32" spans="1:18" ht="16" x14ac:dyDescent="0.2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8" ht="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8" ht="16" x14ac:dyDescent="0.2">
      <c r="A34" s="3" t="s">
        <v>10</v>
      </c>
      <c r="B34" s="3"/>
      <c r="C34" s="11">
        <f t="shared" ref="C34:J34" si="1">C31</f>
        <v>13.551124081279724</v>
      </c>
      <c r="D34" s="11">
        <f t="shared" si="1"/>
        <v>45.27502513284503</v>
      </c>
      <c r="E34" s="11">
        <f t="shared" si="1"/>
        <v>39.513188934162564</v>
      </c>
      <c r="F34" s="11">
        <f t="shared" si="1"/>
        <v>23.666554709963876</v>
      </c>
      <c r="G34" s="11">
        <f t="shared" si="1"/>
        <v>13.80142737195634</v>
      </c>
      <c r="H34" s="11">
        <f t="shared" si="1"/>
        <v>7.2128547421687665</v>
      </c>
      <c r="I34" s="11">
        <f t="shared" si="1"/>
        <v>3.3843574378240753</v>
      </c>
      <c r="J34" s="11">
        <f t="shared" si="1"/>
        <v>1.2995526318815915</v>
      </c>
      <c r="K34" s="16">
        <f>K43</f>
        <v>0.59586687721253218</v>
      </c>
      <c r="L34" s="16">
        <f>L43</f>
        <v>0.2664270293640103</v>
      </c>
      <c r="M34" s="16">
        <f>M43</f>
        <v>0.11912620870586346</v>
      </c>
      <c r="N34" s="16">
        <f>N43</f>
        <v>5.3264316441573117E-2</v>
      </c>
      <c r="O34" s="17">
        <f>C48</f>
        <v>4.3076311785932013E-2</v>
      </c>
      <c r="P34" s="9"/>
      <c r="Q34" s="9"/>
      <c r="R34" s="9"/>
    </row>
    <row r="35" spans="1:18" ht="16" x14ac:dyDescent="0.2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8" ht="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8" ht="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18" ht="16" x14ac:dyDescent="0.2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8" ht="16" x14ac:dyDescent="0.2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18" ht="16" x14ac:dyDescent="0.2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>
        <f>LN(J31)</f>
        <v>0.26202007591955528</v>
      </c>
      <c r="K40" s="6">
        <f>LN(K31)</f>
        <v>-0.51486002779422824</v>
      </c>
      <c r="L40" s="6">
        <f>LN(L31)</f>
        <v>-1.252934382374598</v>
      </c>
      <c r="M40" s="6">
        <f>LN(M31)</f>
        <v>-2.1750114280172399</v>
      </c>
      <c r="N40" s="6"/>
    </row>
    <row r="41" spans="1:18" ht="16" x14ac:dyDescent="0.2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8" ht="16" x14ac:dyDescent="0.2">
      <c r="A42" s="6" t="s">
        <v>17</v>
      </c>
      <c r="B42" s="6"/>
      <c r="C42" s="6" cm="1">
        <f t="array" ref="C42">SLOPE(J40:M40,J2:M2-8)</f>
        <v>-0.80491688663907546</v>
      </c>
      <c r="D42" s="6"/>
      <c r="E42" s="6"/>
      <c r="F42" s="6" t="s">
        <v>18</v>
      </c>
      <c r="G42" s="6"/>
      <c r="H42" s="6"/>
      <c r="I42" s="6"/>
      <c r="J42" s="6" cm="1">
        <f t="array" ref="J42">_xlfn.FORECAST.LINEAR(J2-8,$J40:$M40,$J2:$M2-8)</f>
        <v>0.28717888939198555</v>
      </c>
      <c r="K42" s="6" cm="1">
        <f t="array" ref="K42">_xlfn.FORECAST.LINEAR(K2-8,$J40:$M40,$J2:$M2-8)</f>
        <v>-0.51773799724708991</v>
      </c>
      <c r="L42" s="6" cm="1">
        <f t="array" ref="L42">_xlfn.FORECAST.LINEAR(L2-8,$J40:$M40,$J2:$M2-8)</f>
        <v>-1.3226548838861654</v>
      </c>
      <c r="M42" s="6" cm="1">
        <f t="array" ref="M42">_xlfn.FORECAST.LINEAR(M2-8,$J40:$M40,$J2:$M2-8)</f>
        <v>-2.1275717705252406</v>
      </c>
      <c r="N42" s="6" cm="1">
        <f t="array" ref="N42">_xlfn.FORECAST.LINEAR(N2-8,$J40:$M40,$J2:$M2-8)</f>
        <v>-2.9324886571643161</v>
      </c>
    </row>
    <row r="43" spans="1:18" ht="16" x14ac:dyDescent="0.2">
      <c r="A43" s="6" t="s">
        <v>19</v>
      </c>
      <c r="B43" s="6"/>
      <c r="C43" s="6" cm="1">
        <f t="array" ref="C43">INTERCEPT(J40:M40,J2:M2-8)</f>
        <v>-0.51773799724708991</v>
      </c>
      <c r="D43" s="6"/>
      <c r="E43" s="6"/>
      <c r="F43" s="6" t="s">
        <v>20</v>
      </c>
      <c r="G43" s="6"/>
      <c r="H43" s="6"/>
      <c r="I43" s="6"/>
      <c r="J43" s="14">
        <f>EXP(J42)</f>
        <v>1.3326625913540926</v>
      </c>
      <c r="K43" s="14">
        <f>EXP(K42)</f>
        <v>0.59586687721253218</v>
      </c>
      <c r="L43" s="14">
        <f>EXP(L42)</f>
        <v>0.2664270293640103</v>
      </c>
      <c r="M43" s="14">
        <f>EXP(M42)</f>
        <v>0.11912620870586346</v>
      </c>
      <c r="N43" s="14">
        <f>EXP(N42)</f>
        <v>5.3264316441573117E-2</v>
      </c>
    </row>
    <row r="44" spans="1:18" ht="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8" ht="16" x14ac:dyDescent="0.2">
      <c r="A45" s="3" t="s">
        <v>21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8" ht="16" x14ac:dyDescent="0.2">
      <c r="A46" s="6" t="s">
        <v>22</v>
      </c>
      <c r="B46" s="6"/>
      <c r="C46" s="6">
        <f>EXP(C43)</f>
        <v>0.59586687721253218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8" ht="16" x14ac:dyDescent="0.2">
      <c r="A47" s="6" t="s">
        <v>23</v>
      </c>
      <c r="B47" s="6"/>
      <c r="C47" s="6">
        <f>EXP(C42)</f>
        <v>0.44712508708380821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8" ht="16" x14ac:dyDescent="0.2">
      <c r="A48" s="6" t="s">
        <v>24</v>
      </c>
      <c r="B48" s="6"/>
      <c r="C48" s="15">
        <f>C46*C47^(12-8)/(1-C47)</f>
        <v>4.3076311785932013E-2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311C-41D4-844A-A840-9639066A7F31}">
  <dimension ref="A1:AA60"/>
  <sheetViews>
    <sheetView topLeftCell="H10" zoomScale="99" workbookViewId="0">
      <selection activeCell="U36" sqref="U36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'Exposure based'!A4</f>
        <v>0</v>
      </c>
      <c r="B4" s="23">
        <f>'Exposure based'!B4</f>
        <v>10854</v>
      </c>
      <c r="C4" s="25">
        <f>Data!B1</f>
        <v>91</v>
      </c>
      <c r="D4" s="25">
        <f>Data!C1</f>
        <v>377</v>
      </c>
      <c r="E4" s="25">
        <f>Data!D1</f>
        <v>301</v>
      </c>
      <c r="F4" s="25">
        <f>Data!E1</f>
        <v>170</v>
      </c>
      <c r="G4" s="25">
        <f>Data!F1</f>
        <v>72</v>
      </c>
      <c r="H4" s="25">
        <f>Data!G1</f>
        <v>44</v>
      </c>
      <c r="I4" s="25">
        <f>Data!H1</f>
        <v>11</v>
      </c>
      <c r="J4" s="25">
        <f>Data!I1</f>
        <v>6</v>
      </c>
      <c r="K4" s="25">
        <f>Data!J1</f>
        <v>3</v>
      </c>
      <c r="L4" s="25">
        <f>Data!K1</f>
        <v>1</v>
      </c>
      <c r="M4" s="25">
        <f>Data!L1</f>
        <v>1</v>
      </c>
      <c r="N4" s="25">
        <f>Data!M1</f>
        <v>1</v>
      </c>
      <c r="O4" s="24">
        <f>$B4*'Exposure based'!O$34/1000</f>
        <v>0.46755028812450611</v>
      </c>
      <c r="P4" s="21">
        <f>SUM(C4:N4)</f>
        <v>1078</v>
      </c>
      <c r="Q4" s="27">
        <f t="shared" ref="Q4:Q19" si="0">P4/B4</f>
        <v>9.9318223696333155E-2</v>
      </c>
      <c r="R4" s="20">
        <f t="shared" ref="R4:R19" si="1">S4-P4</f>
        <v>0.46755028812458477</v>
      </c>
      <c r="S4" s="20">
        <f t="shared" ref="S4:S19" si="2">SUM(C4:O4)</f>
        <v>1078.4675502881246</v>
      </c>
      <c r="T4" s="27">
        <f t="shared" ref="T4:T19" si="3">S4/B4</f>
        <v>9.9361300008119088E-2</v>
      </c>
    </row>
    <row r="5" spans="1:20" ht="16" x14ac:dyDescent="0.2">
      <c r="A5" s="7">
        <f>'Exposure based'!A5</f>
        <v>1</v>
      </c>
      <c r="B5" s="23">
        <f>'Exposure based'!B5</f>
        <v>10166</v>
      </c>
      <c r="C5" s="25">
        <f>Data!B2</f>
        <v>63</v>
      </c>
      <c r="D5" s="25">
        <f>Data!C2</f>
        <v>550</v>
      </c>
      <c r="E5" s="25">
        <f>Data!D2</f>
        <v>555</v>
      </c>
      <c r="F5" s="25">
        <f>Data!E2</f>
        <v>404</v>
      </c>
      <c r="G5" s="25">
        <f>Data!F2</f>
        <v>236</v>
      </c>
      <c r="H5" s="25">
        <f>Data!G2</f>
        <v>104</v>
      </c>
      <c r="I5" s="25">
        <f>Data!H2</f>
        <v>56</v>
      </c>
      <c r="J5" s="25">
        <f>Data!I2</f>
        <v>26</v>
      </c>
      <c r="K5" s="25">
        <f>Data!J2</f>
        <v>13</v>
      </c>
      <c r="L5" s="25">
        <f>Data!K2</f>
        <v>5</v>
      </c>
      <c r="M5" s="25">
        <f>Data!L2</f>
        <v>0</v>
      </c>
      <c r="N5" s="25">
        <f>Data!M2</f>
        <v>1</v>
      </c>
      <c r="O5" s="24">
        <f>$B5*'Exposure based'!O$34/1000</f>
        <v>0.43791378561578481</v>
      </c>
      <c r="P5" s="21">
        <f>SUM(C5:N5)</f>
        <v>2013</v>
      </c>
      <c r="Q5" s="27">
        <f t="shared" si="0"/>
        <v>0.19801298445799725</v>
      </c>
      <c r="R5" s="20">
        <f t="shared" si="1"/>
        <v>0.43791378561581951</v>
      </c>
      <c r="S5" s="20">
        <f t="shared" si="2"/>
        <v>2013.4379137856158</v>
      </c>
      <c r="T5" s="27">
        <f t="shared" si="3"/>
        <v>0.19805606076978319</v>
      </c>
    </row>
    <row r="6" spans="1:20" ht="16" x14ac:dyDescent="0.2">
      <c r="A6" s="7">
        <f>'Exposure based'!A6</f>
        <v>2</v>
      </c>
      <c r="B6" s="23">
        <f>'Exposure based'!B6</f>
        <v>10066</v>
      </c>
      <c r="C6" s="25">
        <f>Data!B3</f>
        <v>12</v>
      </c>
      <c r="D6" s="25">
        <f>Data!C3</f>
        <v>169</v>
      </c>
      <c r="E6" s="25">
        <f>Data!D3</f>
        <v>274</v>
      </c>
      <c r="F6" s="25">
        <f>Data!E3</f>
        <v>225</v>
      </c>
      <c r="G6" s="25">
        <f>Data!F3</f>
        <v>166</v>
      </c>
      <c r="H6" s="25">
        <f>Data!G3</f>
        <v>72</v>
      </c>
      <c r="I6" s="25">
        <f>Data!H3</f>
        <v>47</v>
      </c>
      <c r="J6" s="25">
        <f>Data!I3</f>
        <v>19</v>
      </c>
      <c r="K6" s="25">
        <f>Data!J3</f>
        <v>11</v>
      </c>
      <c r="L6" s="25">
        <f>Data!K3</f>
        <v>6</v>
      </c>
      <c r="M6" s="25">
        <f>Data!L3</f>
        <v>4</v>
      </c>
      <c r="N6" s="25">
        <f>Data!M3</f>
        <v>0</v>
      </c>
      <c r="O6" s="24">
        <f>$B6*'Exposure based'!O$34/1000</f>
        <v>0.43360615443719164</v>
      </c>
      <c r="P6" s="21">
        <f>SUM(C6:N6)</f>
        <v>1005</v>
      </c>
      <c r="Q6" s="27">
        <f t="shared" si="0"/>
        <v>9.9841049076097754E-2</v>
      </c>
      <c r="R6" s="20">
        <f t="shared" si="1"/>
        <v>0.43360615443714323</v>
      </c>
      <c r="S6" s="20">
        <f t="shared" si="2"/>
        <v>1005.4336061544371</v>
      </c>
      <c r="T6" s="27">
        <f t="shared" si="3"/>
        <v>9.9884125387883688E-2</v>
      </c>
    </row>
    <row r="7" spans="1:20" ht="16" x14ac:dyDescent="0.2">
      <c r="A7" s="7">
        <f>'Exposure based'!A7</f>
        <v>3</v>
      </c>
      <c r="B7" s="23">
        <f>'Exposure based'!B7</f>
        <v>10352</v>
      </c>
      <c r="C7" s="25">
        <f>Data!B4</f>
        <v>385</v>
      </c>
      <c r="D7" s="25">
        <f>Data!C4</f>
        <v>906</v>
      </c>
      <c r="E7" s="25">
        <f>Data!D4</f>
        <v>441</v>
      </c>
      <c r="F7" s="25">
        <f>Data!E4</f>
        <v>235</v>
      </c>
      <c r="G7" s="25">
        <f>Data!F4</f>
        <v>80</v>
      </c>
      <c r="H7" s="25">
        <f>Data!G4</f>
        <v>41</v>
      </c>
      <c r="I7" s="25">
        <f>Data!H4</f>
        <v>16</v>
      </c>
      <c r="J7" s="25">
        <f>Data!I4</f>
        <v>2</v>
      </c>
      <c r="K7" s="25">
        <f>Data!J4</f>
        <v>3</v>
      </c>
      <c r="L7" s="25">
        <f>Data!K4</f>
        <v>2</v>
      </c>
      <c r="M7" s="25">
        <f>Data!L4</f>
        <v>1</v>
      </c>
      <c r="N7" s="25">
        <f>Data!M4</f>
        <v>0</v>
      </c>
      <c r="O7" s="24">
        <f>$B7*'Exposure based'!O$34/1000</f>
        <v>0.4459259796079682</v>
      </c>
      <c r="P7" s="21">
        <f>SUM(C7:N7)</f>
        <v>2112</v>
      </c>
      <c r="Q7" s="27">
        <f t="shared" si="0"/>
        <v>0.20401854714064915</v>
      </c>
      <c r="R7" s="20">
        <f t="shared" si="1"/>
        <v>0.44592597960809144</v>
      </c>
      <c r="S7" s="20">
        <f t="shared" si="2"/>
        <v>2112.4459259796081</v>
      </c>
      <c r="T7" s="27">
        <f t="shared" si="3"/>
        <v>0.20406162345243509</v>
      </c>
    </row>
    <row r="8" spans="1:20" ht="16" x14ac:dyDescent="0.2">
      <c r="A8" s="7">
        <f>'Exposure based'!A8</f>
        <v>4</v>
      </c>
      <c r="B8" s="23">
        <f>'Exposure based'!B8</f>
        <v>9805</v>
      </c>
      <c r="C8" s="25">
        <f>Data!B5</f>
        <v>92</v>
      </c>
      <c r="D8" s="25">
        <f>Data!C5</f>
        <v>361</v>
      </c>
      <c r="E8" s="25">
        <f>Data!D5</f>
        <v>265</v>
      </c>
      <c r="F8" s="25">
        <f>Data!E5</f>
        <v>158</v>
      </c>
      <c r="G8" s="25">
        <f>Data!F5</f>
        <v>69</v>
      </c>
      <c r="H8" s="25">
        <f>Data!G5</f>
        <v>29</v>
      </c>
      <c r="I8" s="25">
        <f>Data!H5</f>
        <v>17</v>
      </c>
      <c r="J8" s="25">
        <f>Data!I5</f>
        <v>9</v>
      </c>
      <c r="K8" s="25">
        <f>Data!J5</f>
        <v>2</v>
      </c>
      <c r="L8" s="25">
        <f>Data!K5</f>
        <v>0</v>
      </c>
      <c r="M8" s="25">
        <f>Data!L5</f>
        <v>0</v>
      </c>
      <c r="N8" s="25">
        <f>Data!M5</f>
        <v>0</v>
      </c>
      <c r="O8" s="24">
        <f>$B8*'Exposure based'!O$34/1000</f>
        <v>0.42236323706106338</v>
      </c>
      <c r="P8" s="21">
        <f>SUM(C8:N8)</f>
        <v>1002</v>
      </c>
      <c r="Q8" s="27">
        <f t="shared" si="0"/>
        <v>0.10219275879653238</v>
      </c>
      <c r="R8" s="20">
        <f t="shared" si="1"/>
        <v>0.42236323706106305</v>
      </c>
      <c r="S8" s="20">
        <f t="shared" si="2"/>
        <v>1002.4223632370611</v>
      </c>
      <c r="T8" s="27">
        <f t="shared" si="3"/>
        <v>0.10223583510831831</v>
      </c>
    </row>
    <row r="9" spans="1:20" ht="16" x14ac:dyDescent="0.2">
      <c r="A9" s="7">
        <f>'Exposure based'!A9</f>
        <v>5</v>
      </c>
      <c r="B9" s="23">
        <f>'Exposure based'!B9</f>
        <v>10373</v>
      </c>
      <c r="C9" s="25">
        <f>Data!B6</f>
        <v>69</v>
      </c>
      <c r="D9" s="25">
        <f>Data!C6</f>
        <v>550</v>
      </c>
      <c r="E9" s="25">
        <f>Data!D6</f>
        <v>637</v>
      </c>
      <c r="F9" s="25">
        <f>Data!E6</f>
        <v>370</v>
      </c>
      <c r="G9" s="25">
        <f>Data!F6</f>
        <v>235</v>
      </c>
      <c r="H9" s="25">
        <f>Data!G6</f>
        <v>122</v>
      </c>
      <c r="I9" s="25">
        <f>Data!H6</f>
        <v>53</v>
      </c>
      <c r="J9" s="25">
        <f>Data!I6</f>
        <v>19</v>
      </c>
      <c r="K9" s="25">
        <f>Data!J6</f>
        <v>7</v>
      </c>
      <c r="L9" s="25">
        <f>Data!K6</f>
        <v>4</v>
      </c>
      <c r="M9" s="25">
        <f>Data!L6</f>
        <v>1</v>
      </c>
      <c r="N9" s="24">
        <f>$B9*'Exposure based'!N$34/1000</f>
        <v>0.552510754448438</v>
      </c>
      <c r="O9" s="24">
        <f>$B9*'Exposure based'!O$34/1000</f>
        <v>0.44683058215547278</v>
      </c>
      <c r="P9" s="21">
        <f>SUM(C9:M9)</f>
        <v>2067</v>
      </c>
      <c r="Q9" s="27">
        <f t="shared" si="0"/>
        <v>0.19926732864166585</v>
      </c>
      <c r="R9" s="20">
        <f t="shared" si="1"/>
        <v>0.99934133660417501</v>
      </c>
      <c r="S9" s="20">
        <f t="shared" si="2"/>
        <v>2067.9993413366042</v>
      </c>
      <c r="T9" s="27">
        <f t="shared" si="3"/>
        <v>0.19936366926989341</v>
      </c>
    </row>
    <row r="10" spans="1:20" ht="16" x14ac:dyDescent="0.2">
      <c r="A10" s="7">
        <f>'Exposure based'!A10</f>
        <v>6</v>
      </c>
      <c r="B10" s="23">
        <f>'Exposure based'!B10</f>
        <v>8396</v>
      </c>
      <c r="C10" s="25">
        <f>Data!B7</f>
        <v>6</v>
      </c>
      <c r="D10" s="25">
        <f>Data!C7</f>
        <v>143</v>
      </c>
      <c r="E10" s="25">
        <f>Data!D7</f>
        <v>212</v>
      </c>
      <c r="F10" s="25">
        <f>Data!E7</f>
        <v>200</v>
      </c>
      <c r="G10" s="25">
        <f>Data!F7</f>
        <v>120</v>
      </c>
      <c r="H10" s="25">
        <f>Data!G7</f>
        <v>85</v>
      </c>
      <c r="I10" s="25">
        <f>Data!H7</f>
        <v>38</v>
      </c>
      <c r="J10" s="25">
        <f>Data!I7</f>
        <v>22</v>
      </c>
      <c r="K10" s="25">
        <f>Data!J7</f>
        <v>6</v>
      </c>
      <c r="L10" s="25">
        <f>Data!K7</f>
        <v>2</v>
      </c>
      <c r="M10" s="24">
        <f>$B10*'Exposure based'!M$34/1000</f>
        <v>1.0001836482944297</v>
      </c>
      <c r="N10" s="24">
        <f>$B10*'Exposure based'!N$34/1000</f>
        <v>0.44720720084344789</v>
      </c>
      <c r="O10" s="24">
        <f>$B10*'Exposure based'!O$34/1000</f>
        <v>0.36166871375468518</v>
      </c>
      <c r="P10" s="21">
        <f>SUM(C10:L10)</f>
        <v>834</v>
      </c>
      <c r="Q10" s="27">
        <f t="shared" si="0"/>
        <v>9.9333015721772278E-2</v>
      </c>
      <c r="R10" s="20">
        <f t="shared" si="1"/>
        <v>1.8090595628925712</v>
      </c>
      <c r="S10" s="20">
        <f t="shared" si="2"/>
        <v>835.80905956289257</v>
      </c>
      <c r="T10" s="27">
        <f t="shared" si="3"/>
        <v>9.9548482558705645E-2</v>
      </c>
    </row>
    <row r="11" spans="1:20" ht="16" x14ac:dyDescent="0.2">
      <c r="A11" s="7">
        <f>'Exposure based'!A11</f>
        <v>7</v>
      </c>
      <c r="B11" s="23">
        <f>'Exposure based'!B11</f>
        <v>8638</v>
      </c>
      <c r="C11" s="25">
        <f>Data!B8</f>
        <v>315</v>
      </c>
      <c r="D11" s="25">
        <f>Data!C8</f>
        <v>711</v>
      </c>
      <c r="E11" s="25">
        <f>Data!D8</f>
        <v>421</v>
      </c>
      <c r="F11" s="25">
        <f>Data!E8</f>
        <v>175</v>
      </c>
      <c r="G11" s="25">
        <f>Data!F8</f>
        <v>87</v>
      </c>
      <c r="H11" s="25">
        <f>Data!G8</f>
        <v>38</v>
      </c>
      <c r="I11" s="25">
        <f>Data!H8</f>
        <v>13</v>
      </c>
      <c r="J11" s="25">
        <f>Data!I8</f>
        <v>4</v>
      </c>
      <c r="K11" s="25">
        <f>Data!J8</f>
        <v>2</v>
      </c>
      <c r="L11" s="24">
        <f>$B11*'Exposure based'!L$34/1000</f>
        <v>2.301396679646321</v>
      </c>
      <c r="M11" s="24">
        <f>$B11*'Exposure based'!M$34/1000</f>
        <v>1.0290121908012486</v>
      </c>
      <c r="N11" s="24">
        <f>$B11*'Exposure based'!N$34/1000</f>
        <v>0.46009716542230861</v>
      </c>
      <c r="O11" s="24">
        <f>$B11*'Exposure based'!O$34/1000</f>
        <v>0.37209318120688073</v>
      </c>
      <c r="P11" s="21">
        <f>SUM(C11:K11)</f>
        <v>1766</v>
      </c>
      <c r="Q11" s="27">
        <f t="shared" si="0"/>
        <v>0.20444547348923361</v>
      </c>
      <c r="R11" s="20">
        <f t="shared" si="1"/>
        <v>4.1625992170768313</v>
      </c>
      <c r="S11" s="20">
        <f t="shared" si="2"/>
        <v>1770.1625992170768</v>
      </c>
      <c r="T11" s="27">
        <f t="shared" si="3"/>
        <v>0.20492736735553099</v>
      </c>
    </row>
    <row r="12" spans="1:20" ht="16" x14ac:dyDescent="0.2">
      <c r="A12" s="7">
        <f>'Exposure based'!A12</f>
        <v>8</v>
      </c>
      <c r="B12" s="23">
        <f>'Exposure based'!B12</f>
        <v>8303</v>
      </c>
      <c r="C12" s="25">
        <f>Data!B9</f>
        <v>78</v>
      </c>
      <c r="D12" s="25">
        <f>Data!C9</f>
        <v>288</v>
      </c>
      <c r="E12" s="25">
        <f>Data!D9</f>
        <v>239</v>
      </c>
      <c r="F12" s="25">
        <f>Data!E9</f>
        <v>99</v>
      </c>
      <c r="G12" s="25">
        <f>Data!F9</f>
        <v>66</v>
      </c>
      <c r="H12" s="25">
        <f>Data!G9</f>
        <v>32</v>
      </c>
      <c r="I12" s="25">
        <f>Data!H9</f>
        <v>11</v>
      </c>
      <c r="J12" s="25">
        <f>Data!I9</f>
        <v>6</v>
      </c>
      <c r="K12" s="24">
        <f>$B12*'Exposure based'!K$34/1000</f>
        <v>4.9474826814956554</v>
      </c>
      <c r="L12" s="24">
        <f>$B12*'Exposure based'!L$34/1000</f>
        <v>2.2121436248093773</v>
      </c>
      <c r="M12" s="24">
        <f>$B12*'Exposure based'!M$34/1000</f>
        <v>0.98910491088478436</v>
      </c>
      <c r="N12" s="24">
        <f>$B12*'Exposure based'!N$34/1000</f>
        <v>0.44225361941438163</v>
      </c>
      <c r="O12" s="24">
        <f>$B12*'Exposure based'!O$34/1000</f>
        <v>0.35766261675859351</v>
      </c>
      <c r="P12" s="21">
        <f>SUM(C12:J12)</f>
        <v>819</v>
      </c>
      <c r="Q12" s="27">
        <f t="shared" si="0"/>
        <v>9.8639046127905583E-2</v>
      </c>
      <c r="R12" s="20">
        <f t="shared" si="1"/>
        <v>8.9486474533628098</v>
      </c>
      <c r="S12" s="20">
        <f t="shared" si="2"/>
        <v>827.94864745336281</v>
      </c>
      <c r="T12" s="27">
        <f t="shared" si="3"/>
        <v>9.9716806871415486E-2</v>
      </c>
    </row>
    <row r="13" spans="1:20" ht="16" x14ac:dyDescent="0.2">
      <c r="A13" s="7">
        <f>'Exposure based'!A13</f>
        <v>9</v>
      </c>
      <c r="B13" s="23">
        <f>'Exposure based'!B13</f>
        <v>9668</v>
      </c>
      <c r="C13" s="25">
        <f>Data!B10</f>
        <v>85</v>
      </c>
      <c r="D13" s="25">
        <f>Data!C10</f>
        <v>499</v>
      </c>
      <c r="E13" s="25">
        <f>Data!D10</f>
        <v>555</v>
      </c>
      <c r="F13" s="25">
        <f>Data!E10</f>
        <v>350</v>
      </c>
      <c r="G13" s="25">
        <f>Data!F10</f>
        <v>226</v>
      </c>
      <c r="H13" s="25">
        <f>Data!G10</f>
        <v>113</v>
      </c>
      <c r="I13" s="25">
        <f>Data!H10</f>
        <v>65</v>
      </c>
      <c r="J13" s="24">
        <f>$B13*'Exposure based'!J$34/1000</f>
        <v>12.564074845031227</v>
      </c>
      <c r="K13" s="24">
        <f>$B13*'Exposure based'!K$34/1000</f>
        <v>5.7608409688907614</v>
      </c>
      <c r="L13" s="24">
        <f>$B13*'Exposure based'!L$34/1000</f>
        <v>2.5758165198912515</v>
      </c>
      <c r="M13" s="24">
        <f>$B13*'Exposure based'!M$34/1000</f>
        <v>1.1517121857682879</v>
      </c>
      <c r="N13" s="24">
        <f>$B13*'Exposure based'!N$34/1000</f>
        <v>0.51495941135712897</v>
      </c>
      <c r="O13" s="24">
        <f>$B13*'Exposure based'!O$34/1000</f>
        <v>0.4164617823463907</v>
      </c>
      <c r="P13" s="21">
        <f>SUM(C13:I13)</f>
        <v>1893</v>
      </c>
      <c r="Q13" s="27">
        <f t="shared" si="0"/>
        <v>0.19580057923045097</v>
      </c>
      <c r="R13" s="20">
        <f t="shared" si="1"/>
        <v>22.983865713285013</v>
      </c>
      <c r="S13" s="20">
        <f t="shared" si="2"/>
        <v>1915.983865713285</v>
      </c>
      <c r="T13" s="27">
        <f t="shared" si="3"/>
        <v>0.19817789260584248</v>
      </c>
    </row>
    <row r="14" spans="1:20" ht="16" x14ac:dyDescent="0.2">
      <c r="A14" s="7">
        <f>'Exposure based'!A14</f>
        <v>10</v>
      </c>
      <c r="B14" s="23">
        <f>'Exposure based'!B14</f>
        <v>9301</v>
      </c>
      <c r="C14" s="25">
        <f>Data!B11</f>
        <v>18</v>
      </c>
      <c r="D14" s="25">
        <f>Data!C11</f>
        <v>144</v>
      </c>
      <c r="E14" s="25">
        <f>Data!D11</f>
        <v>262</v>
      </c>
      <c r="F14" s="25">
        <f>Data!E11</f>
        <v>222</v>
      </c>
      <c r="G14" s="25">
        <f>Data!F11</f>
        <v>150</v>
      </c>
      <c r="H14" s="25">
        <f>Data!G11</f>
        <v>84</v>
      </c>
      <c r="I14" s="24">
        <f>$B14*'Exposure based'!I$34/1000</f>
        <v>31.477908529201724</v>
      </c>
      <c r="J14" s="24">
        <f>$B14*'Exposure based'!J$34/1000</f>
        <v>12.087139029130684</v>
      </c>
      <c r="K14" s="24">
        <f>$B14*'Exposure based'!K$34/1000</f>
        <v>5.5421578249537617</v>
      </c>
      <c r="L14" s="24">
        <f>$B14*'Exposure based'!L$34/1000</f>
        <v>2.4780378001146599</v>
      </c>
      <c r="M14" s="24">
        <f>$B14*'Exposure based'!M$34/1000</f>
        <v>1.1079928671732362</v>
      </c>
      <c r="N14" s="24">
        <f>$B14*'Exposure based'!N$34/1000</f>
        <v>0.49541140722307159</v>
      </c>
      <c r="O14" s="24">
        <f>$B14*'Exposure based'!O$34/1000</f>
        <v>0.40065277592095366</v>
      </c>
      <c r="P14" s="21">
        <f>SUM(C14:H14)</f>
        <v>880</v>
      </c>
      <c r="Q14" s="27">
        <f t="shared" si="0"/>
        <v>9.4613482421245024E-2</v>
      </c>
      <c r="R14" s="20">
        <f t="shared" si="1"/>
        <v>53.589300233718063</v>
      </c>
      <c r="S14" s="20">
        <f t="shared" si="2"/>
        <v>933.58930023371806</v>
      </c>
      <c r="T14" s="27">
        <f t="shared" si="3"/>
        <v>0.1003751532344606</v>
      </c>
    </row>
    <row r="15" spans="1:20" ht="16" x14ac:dyDescent="0.2">
      <c r="A15" s="7">
        <f>'Exposure based'!A15</f>
        <v>11</v>
      </c>
      <c r="B15" s="23">
        <f>'Exposure based'!B15</f>
        <v>8414</v>
      </c>
      <c r="C15" s="25">
        <f>Data!B12</f>
        <v>331</v>
      </c>
      <c r="D15" s="25">
        <f>Data!C12</f>
        <v>747</v>
      </c>
      <c r="E15" s="25">
        <f>Data!D12</f>
        <v>378</v>
      </c>
      <c r="F15" s="25">
        <f>Data!E12</f>
        <v>156</v>
      </c>
      <c r="G15" s="25">
        <f>Data!F12</f>
        <v>71</v>
      </c>
      <c r="H15" s="24">
        <f>$B15*'Exposure based'!H$34/1000</f>
        <v>60.688959800608004</v>
      </c>
      <c r="I15" s="24">
        <f>$B15*'Exposure based'!I$34/1000</f>
        <v>28.47598348185177</v>
      </c>
      <c r="J15" s="24">
        <f>$B15*'Exposure based'!J$34/1000</f>
        <v>10.934435844651711</v>
      </c>
      <c r="K15" s="24">
        <f>$B15*'Exposure based'!K$34/1000</f>
        <v>5.0136239048662459</v>
      </c>
      <c r="L15" s="24">
        <f>$B15*'Exposure based'!L$34/1000</f>
        <v>2.2417170250687826</v>
      </c>
      <c r="M15" s="24">
        <f>$B15*'Exposure based'!M$34/1000</f>
        <v>1.0023279200511352</v>
      </c>
      <c r="N15" s="24">
        <f>$B15*'Exposure based'!N$34/1000</f>
        <v>0.44816595853939623</v>
      </c>
      <c r="O15" s="24">
        <f>$B15*'Exposure based'!O$34/1000</f>
        <v>0.36244408736683198</v>
      </c>
      <c r="P15" s="21">
        <f>SUM(C15:G15)</f>
        <v>1683</v>
      </c>
      <c r="Q15" s="27">
        <f t="shared" si="0"/>
        <v>0.20002376990729737</v>
      </c>
      <c r="R15" s="20">
        <f t="shared" si="1"/>
        <v>109.16765802300392</v>
      </c>
      <c r="S15" s="20">
        <f t="shared" si="2"/>
        <v>1792.1676580230039</v>
      </c>
      <c r="T15" s="27">
        <f t="shared" si="3"/>
        <v>0.2129982954626817</v>
      </c>
    </row>
    <row r="16" spans="1:20" ht="16" x14ac:dyDescent="0.2">
      <c r="A16" s="7">
        <f>'Exposure based'!A16</f>
        <v>12</v>
      </c>
      <c r="B16" s="23">
        <f>'Exposure based'!B16</f>
        <v>7735</v>
      </c>
      <c r="C16" s="25">
        <f>Data!B13</f>
        <v>67</v>
      </c>
      <c r="D16" s="25">
        <f>Data!C13</f>
        <v>272</v>
      </c>
      <c r="E16" s="25">
        <f>Data!D13</f>
        <v>182</v>
      </c>
      <c r="F16" s="25">
        <f>Data!E13</f>
        <v>125</v>
      </c>
      <c r="G16" s="24">
        <f>$B16*'Exposure based'!G$34/1000</f>
        <v>106.75404072208228</v>
      </c>
      <c r="H16" s="24">
        <f>$B16*'Exposure based'!H$34/1000</f>
        <v>55.791431430675409</v>
      </c>
      <c r="I16" s="24">
        <f>$B16*'Exposure based'!I$34/1000</f>
        <v>26.178004781569225</v>
      </c>
      <c r="J16" s="24">
        <f>$B16*'Exposure based'!J$34/1000</f>
        <v>10.05203960760411</v>
      </c>
      <c r="K16" s="24">
        <f>$B16*'Exposure based'!K$34/1000</f>
        <v>4.6090302952389361</v>
      </c>
      <c r="L16" s="24">
        <f>$B16*'Exposure based'!L$34/1000</f>
        <v>2.0608130721306197</v>
      </c>
      <c r="M16" s="24">
        <f>$B16*'Exposure based'!M$34/1000</f>
        <v>0.92144122433985387</v>
      </c>
      <c r="N16" s="24">
        <f>$B16*'Exposure based'!N$34/1000</f>
        <v>0.41199948767556804</v>
      </c>
      <c r="O16" s="24">
        <f>$B16*'Exposure based'!O$34/1000</f>
        <v>0.33319527166418411</v>
      </c>
      <c r="P16" s="21">
        <f>SUM(C16:F16)</f>
        <v>646</v>
      </c>
      <c r="Q16" s="27">
        <f t="shared" si="0"/>
        <v>8.3516483516483511E-2</v>
      </c>
      <c r="R16" s="20">
        <f t="shared" si="1"/>
        <v>207.11199589298019</v>
      </c>
      <c r="S16" s="20">
        <f t="shared" si="2"/>
        <v>853.11199589298019</v>
      </c>
      <c r="T16" s="27">
        <f t="shared" si="3"/>
        <v>0.11029243644382421</v>
      </c>
    </row>
    <row r="17" spans="1:27" ht="16" x14ac:dyDescent="0.2">
      <c r="A17" s="7">
        <f>'Exposure based'!A17</f>
        <v>13</v>
      </c>
      <c r="B17" s="23">
        <f>'Exposure based'!B17</f>
        <v>8493</v>
      </c>
      <c r="C17" s="25">
        <f>Data!B14</f>
        <v>60</v>
      </c>
      <c r="D17" s="25">
        <f>Data!C14</f>
        <v>419</v>
      </c>
      <c r="E17" s="25">
        <f>Data!D14</f>
        <v>437</v>
      </c>
      <c r="F17" s="24">
        <f>$B17*'Exposure based'!F$34/1000</f>
        <v>201.00004915172318</v>
      </c>
      <c r="G17" s="24">
        <f>$B17*'Exposure based'!G$34/1000</f>
        <v>117.21552267002519</v>
      </c>
      <c r="H17" s="24">
        <f>$B17*'Exposure based'!H$34/1000</f>
        <v>61.258775325239341</v>
      </c>
      <c r="I17" s="24">
        <f>$B17*'Exposure based'!I$34/1000</f>
        <v>28.743347719439871</v>
      </c>
      <c r="J17" s="24">
        <f>$B17*'Exposure based'!J$34/1000</f>
        <v>11.037100502570356</v>
      </c>
      <c r="K17" s="24">
        <f>$B17*'Exposure based'!K$34/1000</f>
        <v>5.0606973881660364</v>
      </c>
      <c r="L17" s="24">
        <f>$B17*'Exposure based'!L$34/1000</f>
        <v>2.2627647603885395</v>
      </c>
      <c r="M17" s="24">
        <f>$B17*'Exposure based'!M$34/1000</f>
        <v>1.0117388905388984</v>
      </c>
      <c r="N17" s="24">
        <f>$B17*'Exposure based'!N$34/1000</f>
        <v>0.45237383953828048</v>
      </c>
      <c r="O17" s="24">
        <f>$B17*'Exposure based'!O$34/1000</f>
        <v>0.36584711599792058</v>
      </c>
      <c r="P17" s="21">
        <f>SUM(C17:E17)</f>
        <v>916</v>
      </c>
      <c r="Q17" s="27">
        <f t="shared" si="0"/>
        <v>0.10785352643353349</v>
      </c>
      <c r="R17" s="20">
        <f t="shared" si="1"/>
        <v>428.40821736362795</v>
      </c>
      <c r="S17" s="20">
        <f t="shared" si="2"/>
        <v>1344.408217363628</v>
      </c>
      <c r="T17" s="43">
        <f t="shared" si="3"/>
        <v>0.15829603407083809</v>
      </c>
    </row>
    <row r="18" spans="1:27" ht="16" x14ac:dyDescent="0.2">
      <c r="A18" s="7">
        <f>'Exposure based'!A18</f>
        <v>14</v>
      </c>
      <c r="B18" s="23">
        <f>'Exposure based'!B18</f>
        <v>8696</v>
      </c>
      <c r="C18" s="25">
        <f>Data!B15</f>
        <v>11</v>
      </c>
      <c r="D18" s="25">
        <f>Data!C15</f>
        <v>169</v>
      </c>
      <c r="E18" s="24">
        <f>$B18*'Exposure based'!E$34/1000</f>
        <v>343.60669097147763</v>
      </c>
      <c r="F18" s="24">
        <f>$B18*'Exposure based'!F$34/1000</f>
        <v>205.80435975784587</v>
      </c>
      <c r="G18" s="24">
        <f>$B18*'Exposure based'!G$34/1000</f>
        <v>120.01721242653234</v>
      </c>
      <c r="H18" s="24">
        <f>$B18*'Exposure based'!H$34/1000</f>
        <v>62.722984837899595</v>
      </c>
      <c r="I18" s="24">
        <f>$B18*'Exposure based'!I$34/1000</f>
        <v>29.43037227931816</v>
      </c>
      <c r="J18" s="24">
        <f>$B18*'Exposure based'!J$34/1000</f>
        <v>11.300909686842321</v>
      </c>
      <c r="K18" s="24">
        <f>$B18*'Exposure based'!K$34/1000</f>
        <v>5.1816583642401799</v>
      </c>
      <c r="L18" s="24">
        <f>$B18*'Exposure based'!L$34/1000</f>
        <v>2.3168494473494334</v>
      </c>
      <c r="M18" s="24">
        <f>$B18*'Exposure based'!M$34/1000</f>
        <v>1.0359215109061886</v>
      </c>
      <c r="N18" s="24">
        <f>$B18*'Exposure based'!N$34/1000</f>
        <v>0.4631864957759198</v>
      </c>
      <c r="O18" s="24">
        <f>$B18*'Exposure based'!O$34/1000</f>
        <v>0.37459160729046476</v>
      </c>
      <c r="P18" s="21">
        <f>SUM(C18:D18)</f>
        <v>180</v>
      </c>
      <c r="Q18" s="27">
        <f t="shared" si="0"/>
        <v>2.0699172033118676E-2</v>
      </c>
      <c r="R18" s="20">
        <f t="shared" si="1"/>
        <v>782.25473738547817</v>
      </c>
      <c r="S18" s="20">
        <f t="shared" si="2"/>
        <v>962.25473738547817</v>
      </c>
      <c r="T18" s="27">
        <f t="shared" si="3"/>
        <v>0.1106548686045858</v>
      </c>
    </row>
    <row r="19" spans="1:27" ht="16" x14ac:dyDescent="0.2">
      <c r="A19" s="7">
        <f>'Exposure based'!A19</f>
        <v>15</v>
      </c>
      <c r="B19" s="23">
        <f>'Exposure based'!B19</f>
        <v>8772</v>
      </c>
      <c r="C19" s="25">
        <f>Data!B16</f>
        <v>323</v>
      </c>
      <c r="D19" s="24">
        <f>$B19*'Exposure based'!D$34/1000</f>
        <v>397.15252046531663</v>
      </c>
      <c r="E19" s="24">
        <f>$B19*'Exposure based'!E$34/1000</f>
        <v>346.60969333047404</v>
      </c>
      <c r="F19" s="24">
        <f>$B19*'Exposure based'!F$34/1000</f>
        <v>207.60301791580312</v>
      </c>
      <c r="G19" s="24">
        <f>$B19*'Exposure based'!G$34/1000</f>
        <v>121.066120906801</v>
      </c>
      <c r="H19" s="24">
        <f>$B19*'Exposure based'!H$34/1000</f>
        <v>63.271161798304419</v>
      </c>
      <c r="I19" s="24">
        <f>$B19*'Exposure based'!I$34/1000</f>
        <v>29.687583444592786</v>
      </c>
      <c r="J19" s="24">
        <f>$B19*'Exposure based'!J$34/1000</f>
        <v>11.39967568686532</v>
      </c>
      <c r="K19" s="24">
        <f>$B19*'Exposure based'!K$34/1000</f>
        <v>5.2269442469083325</v>
      </c>
      <c r="L19" s="24">
        <f>$B19*'Exposure based'!L$34/1000</f>
        <v>2.3370979015810986</v>
      </c>
      <c r="M19" s="24">
        <f>$B19*'Exposure based'!M$34/1000</f>
        <v>1.0449751027678342</v>
      </c>
      <c r="N19" s="24">
        <f>$B19*'Exposure based'!N$34/1000</f>
        <v>0.46723458382547939</v>
      </c>
      <c r="O19" s="24">
        <f>$B19*'Exposure based'!O$34/1000</f>
        <v>0.37786540698619564</v>
      </c>
      <c r="P19" s="21">
        <f>SUM(C19)</f>
        <v>323</v>
      </c>
      <c r="Q19" s="27">
        <f t="shared" si="0"/>
        <v>3.6821705426356592E-2</v>
      </c>
      <c r="R19" s="20">
        <f t="shared" si="1"/>
        <v>1186.2438907902263</v>
      </c>
      <c r="S19" s="20">
        <f t="shared" si="2"/>
        <v>1509.2438907902263</v>
      </c>
      <c r="T19" s="43">
        <f t="shared" si="3"/>
        <v>0.17205242713066876</v>
      </c>
    </row>
    <row r="20" spans="1:27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7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2807.886672417103</v>
      </c>
      <c r="S21" s="3"/>
    </row>
    <row r="22" spans="1:27" ht="16" thickTop="1" x14ac:dyDescent="0.2"/>
    <row r="24" spans="1:27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7" ht="16" x14ac:dyDescent="0.2">
      <c r="C25" s="25">
        <v>91</v>
      </c>
      <c r="D25" s="25">
        <v>377</v>
      </c>
      <c r="E25" s="25">
        <v>301</v>
      </c>
      <c r="F25" s="25">
        <v>170</v>
      </c>
      <c r="G25" s="25">
        <v>72</v>
      </c>
      <c r="H25" s="25">
        <v>44</v>
      </c>
      <c r="I25" s="25">
        <v>11</v>
      </c>
      <c r="J25" s="25">
        <v>6</v>
      </c>
      <c r="K25" s="25">
        <v>3</v>
      </c>
      <c r="L25" s="25">
        <v>1</v>
      </c>
      <c r="M25" s="25">
        <v>1</v>
      </c>
      <c r="N25" s="25">
        <v>1</v>
      </c>
      <c r="O25" s="25">
        <v>1</v>
      </c>
      <c r="P25" s="21">
        <f>SUM(C25:N25)</f>
        <v>1078</v>
      </c>
      <c r="Q25" s="20">
        <f t="shared" ref="Q25:Q40" si="4">S25-P25</f>
        <v>1</v>
      </c>
      <c r="R25" s="26">
        <f>Q25/R4</f>
        <v>2.1388073655374096</v>
      </c>
      <c r="S25" s="29">
        <f t="shared" ref="S25:S40" si="5">SUM(C25:O25)</f>
        <v>1079</v>
      </c>
      <c r="T25" s="26">
        <f>S25/S4</f>
        <v>1.0004937095341748</v>
      </c>
    </row>
    <row r="26" spans="1:27" ht="16" x14ac:dyDescent="0.2">
      <c r="C26" s="25">
        <v>63</v>
      </c>
      <c r="D26" s="25">
        <v>550</v>
      </c>
      <c r="E26" s="25">
        <v>555</v>
      </c>
      <c r="F26" s="25">
        <v>404</v>
      </c>
      <c r="G26" s="25">
        <v>236</v>
      </c>
      <c r="H26" s="25">
        <v>104</v>
      </c>
      <c r="I26" s="25">
        <v>56</v>
      </c>
      <c r="J26" s="25">
        <v>26</v>
      </c>
      <c r="K26" s="25">
        <v>13</v>
      </c>
      <c r="L26" s="25">
        <v>5</v>
      </c>
      <c r="M26" s="25">
        <v>0</v>
      </c>
      <c r="N26" s="25">
        <v>1</v>
      </c>
      <c r="O26" s="25">
        <v>0</v>
      </c>
      <c r="P26" s="21">
        <f>SUM(C26:N26)</f>
        <v>2013</v>
      </c>
      <c r="Q26" s="20">
        <f t="shared" si="4"/>
        <v>0</v>
      </c>
      <c r="R26" s="26">
        <f t="shared" ref="R26:R40" si="6">Q26/R5</f>
        <v>0</v>
      </c>
      <c r="S26" s="29">
        <f t="shared" si="5"/>
        <v>2013</v>
      </c>
      <c r="T26" s="26">
        <f t="shared" ref="T26:T40" si="7">S26/S5</f>
        <v>0.99978250445041417</v>
      </c>
      <c r="V26" s="42" t="s">
        <v>49</v>
      </c>
      <c r="W26" s="42"/>
      <c r="X26" s="42"/>
      <c r="Y26" s="42"/>
      <c r="Z26" s="42"/>
      <c r="AA26" s="42"/>
    </row>
    <row r="27" spans="1:27" ht="16" x14ac:dyDescent="0.2">
      <c r="C27" s="25">
        <v>12</v>
      </c>
      <c r="D27" s="25">
        <v>169</v>
      </c>
      <c r="E27" s="25">
        <v>274</v>
      </c>
      <c r="F27" s="25">
        <v>225</v>
      </c>
      <c r="G27" s="25">
        <v>166</v>
      </c>
      <c r="H27" s="25">
        <v>72</v>
      </c>
      <c r="I27" s="25">
        <v>47</v>
      </c>
      <c r="J27" s="25">
        <v>19</v>
      </c>
      <c r="K27" s="25">
        <v>11</v>
      </c>
      <c r="L27" s="25">
        <v>6</v>
      </c>
      <c r="M27" s="25">
        <v>4</v>
      </c>
      <c r="N27" s="25">
        <v>0</v>
      </c>
      <c r="O27" s="25">
        <v>1</v>
      </c>
      <c r="P27" s="21">
        <f>SUM(C27:N27)</f>
        <v>1005</v>
      </c>
      <c r="Q27" s="20">
        <f t="shared" si="4"/>
        <v>1</v>
      </c>
      <c r="R27" s="26">
        <f t="shared" si="6"/>
        <v>2.3062403283875961</v>
      </c>
      <c r="S27" s="29">
        <f t="shared" si="5"/>
        <v>1006</v>
      </c>
      <c r="T27" s="26">
        <f t="shared" si="7"/>
        <v>1.0005633329163615</v>
      </c>
      <c r="V27" s="42" t="s">
        <v>50</v>
      </c>
      <c r="W27" s="42"/>
      <c r="X27" s="42"/>
      <c r="Y27" s="42"/>
      <c r="Z27" s="42"/>
      <c r="AA27" s="42"/>
    </row>
    <row r="28" spans="1:27" ht="16" x14ac:dyDescent="0.2">
      <c r="C28" s="25">
        <v>385</v>
      </c>
      <c r="D28" s="25">
        <v>906</v>
      </c>
      <c r="E28" s="25">
        <v>441</v>
      </c>
      <c r="F28" s="25">
        <v>235</v>
      </c>
      <c r="G28" s="25">
        <v>80</v>
      </c>
      <c r="H28" s="25">
        <v>41</v>
      </c>
      <c r="I28" s="25">
        <v>16</v>
      </c>
      <c r="J28" s="25">
        <v>2</v>
      </c>
      <c r="K28" s="25">
        <v>3</v>
      </c>
      <c r="L28" s="25">
        <v>2</v>
      </c>
      <c r="M28" s="25">
        <v>1</v>
      </c>
      <c r="N28" s="25">
        <v>0</v>
      </c>
      <c r="O28" s="25">
        <v>0</v>
      </c>
      <c r="P28" s="21">
        <f>SUM(C28:N28)</f>
        <v>2112</v>
      </c>
      <c r="Q28" s="20">
        <f t="shared" si="4"/>
        <v>0</v>
      </c>
      <c r="R28" s="26">
        <f t="shared" si="6"/>
        <v>0</v>
      </c>
      <c r="S28" s="29">
        <f t="shared" si="5"/>
        <v>2112</v>
      </c>
      <c r="T28" s="26">
        <f t="shared" si="7"/>
        <v>0.99978890537545884</v>
      </c>
    </row>
    <row r="29" spans="1:27" ht="16" x14ac:dyDescent="0.2">
      <c r="C29" s="25">
        <v>92</v>
      </c>
      <c r="D29" s="25">
        <v>361</v>
      </c>
      <c r="E29" s="25">
        <v>265</v>
      </c>
      <c r="F29" s="25">
        <v>158</v>
      </c>
      <c r="G29" s="25">
        <v>69</v>
      </c>
      <c r="H29" s="25">
        <v>29</v>
      </c>
      <c r="I29" s="25">
        <v>17</v>
      </c>
      <c r="J29" s="25">
        <v>9</v>
      </c>
      <c r="K29" s="25">
        <v>2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1002</v>
      </c>
      <c r="Q29" s="20">
        <f t="shared" si="4"/>
        <v>0</v>
      </c>
      <c r="R29" s="26">
        <f t="shared" si="6"/>
        <v>0</v>
      </c>
      <c r="S29" s="29">
        <f t="shared" si="5"/>
        <v>1002</v>
      </c>
      <c r="T29" s="26">
        <f t="shared" si="7"/>
        <v>0.99957865740774465</v>
      </c>
    </row>
    <row r="30" spans="1:27" ht="16" x14ac:dyDescent="0.2">
      <c r="C30" s="25">
        <v>69</v>
      </c>
      <c r="D30" s="25">
        <v>550</v>
      </c>
      <c r="E30" s="25">
        <v>637</v>
      </c>
      <c r="F30" s="25">
        <v>370</v>
      </c>
      <c r="G30" s="25">
        <v>235</v>
      </c>
      <c r="H30" s="25">
        <v>122</v>
      </c>
      <c r="I30" s="25">
        <v>53</v>
      </c>
      <c r="J30" s="25">
        <v>19</v>
      </c>
      <c r="K30" s="25">
        <v>7</v>
      </c>
      <c r="L30" s="25">
        <v>4</v>
      </c>
      <c r="M30" s="25">
        <v>1</v>
      </c>
      <c r="N30" s="25">
        <v>2</v>
      </c>
      <c r="O30" s="25">
        <v>1</v>
      </c>
      <c r="P30" s="21">
        <f>SUM(C30:M30)</f>
        <v>2067</v>
      </c>
      <c r="Q30" s="20">
        <f t="shared" si="4"/>
        <v>3</v>
      </c>
      <c r="R30" s="26">
        <f t="shared" si="6"/>
        <v>3.0019772925577057</v>
      </c>
      <c r="S30" s="29">
        <f t="shared" si="5"/>
        <v>2070</v>
      </c>
      <c r="T30" s="26">
        <f t="shared" si="7"/>
        <v>1.000967436799135</v>
      </c>
    </row>
    <row r="31" spans="1:27" ht="16" x14ac:dyDescent="0.2">
      <c r="C31" s="25">
        <v>6</v>
      </c>
      <c r="D31" s="25">
        <v>143</v>
      </c>
      <c r="E31" s="25">
        <v>212</v>
      </c>
      <c r="F31" s="25">
        <v>200</v>
      </c>
      <c r="G31" s="25">
        <v>120</v>
      </c>
      <c r="H31" s="25">
        <v>85</v>
      </c>
      <c r="I31" s="25">
        <v>38</v>
      </c>
      <c r="J31" s="25">
        <v>22</v>
      </c>
      <c r="K31" s="25">
        <v>6</v>
      </c>
      <c r="L31" s="25">
        <v>2</v>
      </c>
      <c r="M31" s="25">
        <v>3</v>
      </c>
      <c r="N31" s="25">
        <v>1</v>
      </c>
      <c r="O31" s="25">
        <v>0</v>
      </c>
      <c r="P31" s="21">
        <f>SUM(C31:L31)</f>
        <v>834</v>
      </c>
      <c r="Q31" s="20">
        <f t="shared" si="4"/>
        <v>4</v>
      </c>
      <c r="R31" s="26">
        <f t="shared" si="6"/>
        <v>2.2110935880984783</v>
      </c>
      <c r="S31" s="29">
        <f t="shared" si="5"/>
        <v>838</v>
      </c>
      <c r="T31" s="26">
        <f t="shared" si="7"/>
        <v>1.0026213408577471</v>
      </c>
    </row>
    <row r="32" spans="1:27" ht="16" x14ac:dyDescent="0.2">
      <c r="C32" s="25">
        <v>315</v>
      </c>
      <c r="D32" s="25">
        <v>711</v>
      </c>
      <c r="E32" s="25">
        <v>421</v>
      </c>
      <c r="F32" s="25">
        <v>175</v>
      </c>
      <c r="G32" s="25">
        <v>87</v>
      </c>
      <c r="H32" s="25">
        <v>38</v>
      </c>
      <c r="I32" s="25">
        <v>13</v>
      </c>
      <c r="J32" s="25">
        <v>4</v>
      </c>
      <c r="K32" s="25">
        <v>2</v>
      </c>
      <c r="L32" s="25">
        <v>0</v>
      </c>
      <c r="M32" s="25">
        <v>1</v>
      </c>
      <c r="N32" s="25">
        <v>0</v>
      </c>
      <c r="O32" s="25">
        <v>0</v>
      </c>
      <c r="P32" s="21">
        <f>SUM(C32:K32)</f>
        <v>1766</v>
      </c>
      <c r="Q32" s="20">
        <f t="shared" si="4"/>
        <v>1</v>
      </c>
      <c r="R32" s="26">
        <f t="shared" si="6"/>
        <v>0.24023451402612958</v>
      </c>
      <c r="S32" s="29">
        <f t="shared" si="5"/>
        <v>1767</v>
      </c>
      <c r="T32" s="26">
        <f t="shared" si="7"/>
        <v>0.99821338490685796</v>
      </c>
    </row>
    <row r="33" spans="1:21" ht="16" x14ac:dyDescent="0.2">
      <c r="C33" s="25">
        <v>78</v>
      </c>
      <c r="D33" s="25">
        <v>288</v>
      </c>
      <c r="E33" s="25">
        <v>239</v>
      </c>
      <c r="F33" s="25">
        <v>99</v>
      </c>
      <c r="G33" s="25">
        <v>66</v>
      </c>
      <c r="H33" s="25">
        <v>32</v>
      </c>
      <c r="I33" s="25">
        <v>11</v>
      </c>
      <c r="J33" s="25">
        <v>6</v>
      </c>
      <c r="K33" s="25">
        <v>3</v>
      </c>
      <c r="L33" s="25">
        <v>0</v>
      </c>
      <c r="M33" s="25">
        <v>0</v>
      </c>
      <c r="N33" s="25">
        <v>1</v>
      </c>
      <c r="O33" s="25">
        <v>0</v>
      </c>
      <c r="P33" s="21">
        <f>SUM(C33:J33)</f>
        <v>819</v>
      </c>
      <c r="Q33" s="20">
        <f t="shared" si="4"/>
        <v>4</v>
      </c>
      <c r="R33" s="26">
        <f t="shared" si="6"/>
        <v>0.44699492530537016</v>
      </c>
      <c r="S33" s="29">
        <f t="shared" si="5"/>
        <v>823</v>
      </c>
      <c r="T33" s="26">
        <f t="shared" si="7"/>
        <v>0.99402300194754345</v>
      </c>
    </row>
    <row r="34" spans="1:21" ht="16" x14ac:dyDescent="0.2">
      <c r="C34" s="25">
        <v>85</v>
      </c>
      <c r="D34" s="25">
        <v>499</v>
      </c>
      <c r="E34" s="25">
        <v>555</v>
      </c>
      <c r="F34" s="25">
        <v>350</v>
      </c>
      <c r="G34" s="25">
        <v>226</v>
      </c>
      <c r="H34" s="25">
        <v>113</v>
      </c>
      <c r="I34" s="25">
        <v>65</v>
      </c>
      <c r="J34" s="25">
        <v>23</v>
      </c>
      <c r="K34" s="25">
        <v>15</v>
      </c>
      <c r="L34" s="25">
        <v>4</v>
      </c>
      <c r="M34" s="25">
        <v>3</v>
      </c>
      <c r="N34" s="25">
        <v>0</v>
      </c>
      <c r="O34" s="25">
        <v>0</v>
      </c>
      <c r="P34" s="21">
        <f>SUM(C34:I34)</f>
        <v>1893</v>
      </c>
      <c r="Q34" s="20">
        <f t="shared" si="4"/>
        <v>45</v>
      </c>
      <c r="R34" s="26">
        <f t="shared" si="6"/>
        <v>1.95789518444625</v>
      </c>
      <c r="S34" s="29">
        <f t="shared" si="5"/>
        <v>1938</v>
      </c>
      <c r="T34" s="26">
        <f t="shared" si="7"/>
        <v>1.0114907722766855</v>
      </c>
    </row>
    <row r="35" spans="1:21" ht="16" x14ac:dyDescent="0.2">
      <c r="C35" s="25">
        <v>18</v>
      </c>
      <c r="D35" s="25">
        <v>144</v>
      </c>
      <c r="E35" s="25">
        <v>262</v>
      </c>
      <c r="F35" s="25">
        <v>222</v>
      </c>
      <c r="G35" s="25">
        <v>150</v>
      </c>
      <c r="H35" s="25">
        <v>84</v>
      </c>
      <c r="I35" s="25">
        <v>35</v>
      </c>
      <c r="J35" s="25">
        <v>31</v>
      </c>
      <c r="K35" s="25">
        <v>9</v>
      </c>
      <c r="L35" s="25">
        <v>2</v>
      </c>
      <c r="M35" s="25">
        <v>2</v>
      </c>
      <c r="N35" s="25">
        <v>3</v>
      </c>
      <c r="O35" s="25">
        <v>0</v>
      </c>
      <c r="P35" s="21">
        <f>SUM(C35:H35)</f>
        <v>880</v>
      </c>
      <c r="Q35" s="20">
        <f t="shared" si="4"/>
        <v>82</v>
      </c>
      <c r="R35" s="26">
        <f t="shared" si="6"/>
        <v>1.5301561998827165</v>
      </c>
      <c r="S35" s="29">
        <f t="shared" si="5"/>
        <v>962</v>
      </c>
      <c r="T35" s="26">
        <f t="shared" si="7"/>
        <v>1.0304316895653898</v>
      </c>
    </row>
    <row r="36" spans="1:21" ht="16" x14ac:dyDescent="0.2">
      <c r="C36" s="25">
        <v>331</v>
      </c>
      <c r="D36" s="25">
        <v>747</v>
      </c>
      <c r="E36" s="25">
        <v>378</v>
      </c>
      <c r="F36" s="25">
        <v>156</v>
      </c>
      <c r="G36" s="25">
        <v>71</v>
      </c>
      <c r="H36" s="25">
        <v>27</v>
      </c>
      <c r="I36" s="25">
        <v>11</v>
      </c>
      <c r="J36" s="25">
        <v>6</v>
      </c>
      <c r="K36" s="25">
        <v>3</v>
      </c>
      <c r="L36" s="25">
        <v>0</v>
      </c>
      <c r="M36" s="25">
        <v>1</v>
      </c>
      <c r="N36" s="25">
        <v>0</v>
      </c>
      <c r="O36" s="25">
        <v>0</v>
      </c>
      <c r="P36" s="21">
        <f>SUM(C36:G36)</f>
        <v>1683</v>
      </c>
      <c r="Q36" s="20">
        <f t="shared" si="4"/>
        <v>48</v>
      </c>
      <c r="R36" s="26">
        <f>Q36/R15</f>
        <v>0.43969066360190112</v>
      </c>
      <c r="S36" s="29">
        <f t="shared" si="5"/>
        <v>1731</v>
      </c>
      <c r="T36" s="26">
        <f t="shared" si="7"/>
        <v>0.96586945548918124</v>
      </c>
    </row>
    <row r="37" spans="1:21" ht="16" x14ac:dyDescent="0.2">
      <c r="C37" s="25">
        <v>67</v>
      </c>
      <c r="D37" s="25">
        <v>272</v>
      </c>
      <c r="E37" s="25">
        <v>182</v>
      </c>
      <c r="F37" s="25">
        <v>125</v>
      </c>
      <c r="G37" s="25">
        <v>57</v>
      </c>
      <c r="H37" s="25">
        <v>27</v>
      </c>
      <c r="I37" s="25">
        <v>11</v>
      </c>
      <c r="J37" s="25">
        <v>2</v>
      </c>
      <c r="K37" s="25">
        <v>2</v>
      </c>
      <c r="L37" s="25">
        <v>2</v>
      </c>
      <c r="M37" s="25">
        <v>1</v>
      </c>
      <c r="N37" s="25">
        <v>0</v>
      </c>
      <c r="O37" s="25">
        <v>0</v>
      </c>
      <c r="P37" s="21">
        <f>SUM(C37:F37)</f>
        <v>646</v>
      </c>
      <c r="Q37" s="20">
        <f t="shared" si="4"/>
        <v>102</v>
      </c>
      <c r="R37" s="26">
        <f t="shared" si="6"/>
        <v>0.49248716647347596</v>
      </c>
      <c r="S37" s="29">
        <f t="shared" si="5"/>
        <v>748</v>
      </c>
      <c r="T37" s="26">
        <f t="shared" si="7"/>
        <v>0.87678992160583091</v>
      </c>
    </row>
    <row r="38" spans="1:21" ht="16" x14ac:dyDescent="0.2">
      <c r="C38" s="25">
        <v>60</v>
      </c>
      <c r="D38" s="25">
        <v>419</v>
      </c>
      <c r="E38" s="25">
        <v>437</v>
      </c>
      <c r="F38" s="25">
        <v>319</v>
      </c>
      <c r="G38" s="25">
        <v>200</v>
      </c>
      <c r="H38" s="25">
        <v>86</v>
      </c>
      <c r="I38" s="25">
        <v>41</v>
      </c>
      <c r="J38" s="25">
        <v>24</v>
      </c>
      <c r="K38" s="25">
        <v>9</v>
      </c>
      <c r="L38" s="25">
        <v>4</v>
      </c>
      <c r="M38" s="25">
        <v>1</v>
      </c>
      <c r="N38" s="25">
        <v>0</v>
      </c>
      <c r="O38" s="25">
        <v>0</v>
      </c>
      <c r="P38" s="21">
        <f>SUM(C38:E38)</f>
        <v>916</v>
      </c>
      <c r="Q38" s="20">
        <f t="shared" si="4"/>
        <v>684</v>
      </c>
      <c r="R38" s="26">
        <f t="shared" si="6"/>
        <v>1.5966080300916092</v>
      </c>
      <c r="S38" s="29">
        <f t="shared" si="5"/>
        <v>1600</v>
      </c>
      <c r="T38" s="41">
        <f t="shared" si="7"/>
        <v>1.1901147131766163</v>
      </c>
    </row>
    <row r="39" spans="1:21" ht="16" x14ac:dyDescent="0.2">
      <c r="C39" s="25">
        <v>11</v>
      </c>
      <c r="D39" s="25">
        <v>169</v>
      </c>
      <c r="E39" s="25">
        <v>247</v>
      </c>
      <c r="F39" s="25">
        <v>202</v>
      </c>
      <c r="G39" s="25">
        <v>139</v>
      </c>
      <c r="H39" s="25">
        <v>82</v>
      </c>
      <c r="I39" s="25">
        <v>38</v>
      </c>
      <c r="J39" s="25">
        <v>21</v>
      </c>
      <c r="K39" s="25">
        <v>12</v>
      </c>
      <c r="L39" s="25">
        <v>5</v>
      </c>
      <c r="M39" s="25">
        <v>4</v>
      </c>
      <c r="N39" s="25">
        <v>0</v>
      </c>
      <c r="O39" s="25">
        <v>1</v>
      </c>
      <c r="P39" s="21">
        <f>SUM(C39:D39)</f>
        <v>180</v>
      </c>
      <c r="Q39" s="20">
        <f t="shared" si="4"/>
        <v>751</v>
      </c>
      <c r="R39" s="26">
        <f t="shared" si="6"/>
        <v>0.96004532041577584</v>
      </c>
      <c r="S39" s="29">
        <f t="shared" si="5"/>
        <v>931</v>
      </c>
      <c r="T39" s="26">
        <f t="shared" si="7"/>
        <v>0.96751926888881867</v>
      </c>
    </row>
    <row r="40" spans="1:21" ht="16" x14ac:dyDescent="0.2">
      <c r="C40" s="25">
        <v>323</v>
      </c>
      <c r="D40" s="25">
        <v>713</v>
      </c>
      <c r="E40" s="25">
        <v>344</v>
      </c>
      <c r="F40" s="25">
        <v>160</v>
      </c>
      <c r="G40" s="25">
        <v>66</v>
      </c>
      <c r="H40" s="25">
        <v>29</v>
      </c>
      <c r="I40" s="25">
        <v>9</v>
      </c>
      <c r="J40" s="25">
        <v>5</v>
      </c>
      <c r="K40" s="25">
        <v>1</v>
      </c>
      <c r="L40" s="25">
        <v>1</v>
      </c>
      <c r="M40" s="25">
        <v>1</v>
      </c>
      <c r="N40" s="25">
        <v>0</v>
      </c>
      <c r="O40" s="25">
        <v>0</v>
      </c>
      <c r="P40" s="21">
        <f>SUM(C40)</f>
        <v>323</v>
      </c>
      <c r="Q40" s="20">
        <f t="shared" si="4"/>
        <v>1329</v>
      </c>
      <c r="R40" s="26">
        <f t="shared" si="6"/>
        <v>1.1203429668368412</v>
      </c>
      <c r="S40" s="29">
        <f t="shared" si="5"/>
        <v>1652</v>
      </c>
      <c r="T40" s="26">
        <f t="shared" si="7"/>
        <v>1.0945878330738368</v>
      </c>
    </row>
    <row r="41" spans="1:21" ht="16" x14ac:dyDescent="0.2"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P41" s="6"/>
      <c r="Q41" s="3"/>
      <c r="R41" s="26"/>
      <c r="S41" s="3"/>
    </row>
    <row r="42" spans="1:21" ht="16" x14ac:dyDescent="0.2">
      <c r="A42" s="28" t="s">
        <v>38</v>
      </c>
      <c r="P42" s="6"/>
      <c r="Q42" s="20">
        <f>SUM(Q25:Q40)</f>
        <v>3055</v>
      </c>
      <c r="R42" s="26">
        <f>Q42/R21</f>
        <v>1.0880068736428652</v>
      </c>
      <c r="S42" s="3"/>
      <c r="T42" s="30">
        <f>AVERAGE(T25:T40)</f>
        <v>1.0083022455169872</v>
      </c>
      <c r="U42" s="30" t="s">
        <v>39</v>
      </c>
    </row>
    <row r="43" spans="1:21" x14ac:dyDescent="0.2">
      <c r="O43">
        <f t="shared" ref="O43" si="8">IF(O4&gt;0,O25/O4,"")</f>
        <v>2.1388073655377697</v>
      </c>
    </row>
    <row r="44" spans="1:21" x14ac:dyDescent="0.2">
      <c r="O44">
        <f t="shared" ref="O44" si="9">IF(O5&gt;0,O26/O5,"")</f>
        <v>0</v>
      </c>
    </row>
    <row r="45" spans="1:21" x14ac:dyDescent="0.2">
      <c r="O45">
        <f t="shared" ref="O45:O46" si="10">IF(O6&gt;0,O27/O6,"")</f>
        <v>2.3062403283873389</v>
      </c>
    </row>
    <row r="46" spans="1:21" x14ac:dyDescent="0.2">
      <c r="O46">
        <f t="shared" si="10"/>
        <v>0</v>
      </c>
    </row>
    <row r="47" spans="1:21" x14ac:dyDescent="0.2">
      <c r="O47">
        <f t="shared" ref="O47" si="11">IF(O8&gt;0,O29/O8,"")</f>
        <v>0</v>
      </c>
    </row>
    <row r="48" spans="1:21" x14ac:dyDescent="0.2">
      <c r="M48">
        <f t="shared" ref="M48:O48" si="12">IF(M9&gt;0,M30/M9,"")</f>
        <v>1</v>
      </c>
      <c r="N48">
        <f t="shared" si="12"/>
        <v>3.619839041860037</v>
      </c>
      <c r="O48">
        <f t="shared" si="12"/>
        <v>2.2379846857752774</v>
      </c>
    </row>
    <row r="49" spans="3:15" x14ac:dyDescent="0.2">
      <c r="L49">
        <f t="shared" ref="L49:O49" si="13">IF(L10&gt;0,L31/L10,"")</f>
        <v>1</v>
      </c>
      <c r="M49">
        <f t="shared" si="13"/>
        <v>2.9994491562782208</v>
      </c>
      <c r="N49">
        <f t="shared" si="13"/>
        <v>2.2360999512395288</v>
      </c>
      <c r="O49">
        <f t="shared" si="13"/>
        <v>0</v>
      </c>
    </row>
    <row r="50" spans="3:15" x14ac:dyDescent="0.2">
      <c r="K50">
        <f t="shared" ref="K50:O50" si="14">IF(K11&gt;0,K32/K11,"")</f>
        <v>1</v>
      </c>
      <c r="L50">
        <f t="shared" si="14"/>
        <v>0</v>
      </c>
      <c r="M50">
        <f t="shared" si="14"/>
        <v>0.97180578513976779</v>
      </c>
      <c r="N50">
        <f t="shared" si="14"/>
        <v>0</v>
      </c>
      <c r="O50">
        <f t="shared" si="14"/>
        <v>0</v>
      </c>
    </row>
    <row r="51" spans="3:15" x14ac:dyDescent="0.2">
      <c r="J51">
        <f t="shared" ref="J51:O51" si="15">IF(J12&gt;0,J33/J12,"")</f>
        <v>1</v>
      </c>
      <c r="K51">
        <f t="shared" si="15"/>
        <v>0.60636897451313176</v>
      </c>
      <c r="L51">
        <f t="shared" si="15"/>
        <v>0</v>
      </c>
      <c r="M51">
        <f t="shared" si="15"/>
        <v>0</v>
      </c>
      <c r="N51">
        <f t="shared" si="15"/>
        <v>2.2611459942920731</v>
      </c>
      <c r="O51">
        <f t="shared" si="15"/>
        <v>0</v>
      </c>
    </row>
    <row r="52" spans="3:15" x14ac:dyDescent="0.2">
      <c r="I52">
        <f t="shared" ref="I52:O52" si="16">IF(I13&gt;0,I34/I13,"")</f>
        <v>1</v>
      </c>
      <c r="J52">
        <f t="shared" si="16"/>
        <v>1.830616283625206</v>
      </c>
      <c r="K52">
        <f t="shared" si="16"/>
        <v>2.6037865098171977</v>
      </c>
      <c r="L52">
        <f t="shared" si="16"/>
        <v>1.5529056394781084</v>
      </c>
      <c r="M52">
        <f t="shared" si="16"/>
        <v>2.6048174509838584</v>
      </c>
      <c r="N52">
        <f t="shared" si="16"/>
        <v>0</v>
      </c>
      <c r="O52">
        <f t="shared" si="16"/>
        <v>0</v>
      </c>
    </row>
    <row r="53" spans="3:15" x14ac:dyDescent="0.2">
      <c r="H53">
        <f t="shared" ref="H53:O53" si="17">IF(H14&gt;0,H35/H14,"")</f>
        <v>1</v>
      </c>
      <c r="I53">
        <f t="shared" si="17"/>
        <v>1.1118908985814884</v>
      </c>
      <c r="J53">
        <f t="shared" si="17"/>
        <v>2.5647094755250404</v>
      </c>
      <c r="K53">
        <f t="shared" si="17"/>
        <v>1.6239162225725838</v>
      </c>
      <c r="L53">
        <f t="shared" si="17"/>
        <v>0.80709019043513341</v>
      </c>
      <c r="M53">
        <f t="shared" si="17"/>
        <v>1.8050657718605125</v>
      </c>
      <c r="N53">
        <f t="shared" si="17"/>
        <v>6.0555731181401189</v>
      </c>
      <c r="O53">
        <f t="shared" si="17"/>
        <v>0</v>
      </c>
    </row>
    <row r="54" spans="3:15" x14ac:dyDescent="0.2">
      <c r="G54">
        <f t="shared" ref="G54:O54" si="18">IF(G15&gt;0,G36/G15,"")</f>
        <v>1</v>
      </c>
      <c r="H54">
        <f t="shared" si="18"/>
        <v>0.44489146112749001</v>
      </c>
      <c r="I54">
        <f t="shared" si="18"/>
        <v>0.38629043337556673</v>
      </c>
      <c r="J54">
        <f t="shared" si="18"/>
        <v>0.54872515466216221</v>
      </c>
      <c r="K54">
        <f t="shared" si="18"/>
        <v>0.59836957396987567</v>
      </c>
      <c r="L54">
        <f t="shared" si="18"/>
        <v>0</v>
      </c>
      <c r="M54">
        <f t="shared" si="18"/>
        <v>0.99767748657443711</v>
      </c>
      <c r="N54">
        <f t="shared" si="18"/>
        <v>0</v>
      </c>
      <c r="O54">
        <f t="shared" si="18"/>
        <v>0</v>
      </c>
    </row>
    <row r="55" spans="3:15" x14ac:dyDescent="0.2">
      <c r="F55">
        <f t="shared" ref="F55:O55" si="19">IF(F16&gt;0,F37/F16,"")</f>
        <v>1</v>
      </c>
      <c r="G55">
        <f t="shared" si="19"/>
        <v>0.53393763472045741</v>
      </c>
      <c r="H55">
        <f t="shared" si="19"/>
        <v>0.48394528169705253</v>
      </c>
      <c r="I55">
        <f t="shared" si="19"/>
        <v>0.42020009132799202</v>
      </c>
      <c r="J55">
        <f t="shared" si="19"/>
        <v>0.19896459604944766</v>
      </c>
      <c r="K55">
        <f t="shared" si="19"/>
        <v>0.43393075590454938</v>
      </c>
      <c r="L55">
        <f t="shared" si="19"/>
        <v>0.97049073836291877</v>
      </c>
      <c r="M55">
        <f t="shared" si="19"/>
        <v>1.0852564152601571</v>
      </c>
      <c r="N55">
        <f t="shared" si="19"/>
        <v>0</v>
      </c>
      <c r="O55">
        <f t="shared" si="19"/>
        <v>0</v>
      </c>
    </row>
    <row r="56" spans="3:15" x14ac:dyDescent="0.2">
      <c r="E56">
        <f t="shared" ref="E56:O56" si="20">IF(E17&gt;0,E38/E17,"")</f>
        <v>1</v>
      </c>
      <c r="F56">
        <f t="shared" si="20"/>
        <v>1.5870642885226638</v>
      </c>
      <c r="G56">
        <f t="shared" si="20"/>
        <v>1.7062586545215719</v>
      </c>
      <c r="H56">
        <f t="shared" si="20"/>
        <v>1.4038804978291328</v>
      </c>
      <c r="I56">
        <f t="shared" si="20"/>
        <v>1.42641700612593</v>
      </c>
      <c r="J56">
        <f t="shared" si="20"/>
        <v>2.1744841405050903</v>
      </c>
      <c r="K56">
        <f t="shared" si="20"/>
        <v>1.7784110192096549</v>
      </c>
      <c r="L56">
        <f t="shared" si="20"/>
        <v>1.7677489370627992</v>
      </c>
      <c r="M56">
        <f t="shared" si="20"/>
        <v>0.98839731214380244</v>
      </c>
      <c r="N56">
        <f t="shared" si="20"/>
        <v>0</v>
      </c>
      <c r="O56">
        <f t="shared" si="20"/>
        <v>0</v>
      </c>
    </row>
    <row r="57" spans="3:15" x14ac:dyDescent="0.2">
      <c r="D57">
        <f t="shared" ref="D57:O57" si="21">IF(D18&gt;0,D39/D18,"")</f>
        <v>1</v>
      </c>
      <c r="E57">
        <f t="shared" si="21"/>
        <v>0.71884514035992142</v>
      </c>
      <c r="F57">
        <f t="shared" si="21"/>
        <v>0.98151467849212637</v>
      </c>
      <c r="G57">
        <f t="shared" si="21"/>
        <v>1.1581672094332955</v>
      </c>
      <c r="H57">
        <f t="shared" si="21"/>
        <v>1.3073357432194856</v>
      </c>
      <c r="I57">
        <f t="shared" si="21"/>
        <v>1.2911831233172693</v>
      </c>
      <c r="J57">
        <f t="shared" si="21"/>
        <v>1.8582574838599371</v>
      </c>
      <c r="K57">
        <f t="shared" si="21"/>
        <v>2.3158608994399881</v>
      </c>
      <c r="L57">
        <f t="shared" si="21"/>
        <v>2.1581031109812492</v>
      </c>
      <c r="M57">
        <f t="shared" si="21"/>
        <v>3.8612963992811942</v>
      </c>
      <c r="N57">
        <f t="shared" si="21"/>
        <v>0</v>
      </c>
      <c r="O57">
        <f t="shared" si="21"/>
        <v>2.6695739587795484</v>
      </c>
    </row>
    <row r="58" spans="3:15" x14ac:dyDescent="0.2">
      <c r="C58">
        <f t="shared" ref="C58:O58" si="22">IF(C19&gt;0,C40/C19,"")</f>
        <v>1</v>
      </c>
      <c r="D58">
        <f t="shared" si="22"/>
        <v>1.7952800580608839</v>
      </c>
      <c r="E58">
        <f t="shared" si="22"/>
        <v>0.99247080107483943</v>
      </c>
      <c r="F58">
        <f t="shared" si="22"/>
        <v>0.77070170562207663</v>
      </c>
      <c r="G58">
        <f t="shared" si="22"/>
        <v>0.54515664254914098</v>
      </c>
      <c r="H58">
        <f t="shared" si="22"/>
        <v>0.45834467355674763</v>
      </c>
      <c r="I58">
        <f t="shared" si="22"/>
        <v>0.30315704263356724</v>
      </c>
      <c r="J58">
        <f t="shared" si="22"/>
        <v>0.43860896900435409</v>
      </c>
      <c r="K58">
        <f t="shared" si="22"/>
        <v>0.19131637009357552</v>
      </c>
      <c r="L58">
        <f t="shared" si="22"/>
        <v>0.42788109104179067</v>
      </c>
      <c r="M58">
        <f t="shared" si="22"/>
        <v>0.95696059872746408</v>
      </c>
      <c r="N58">
        <f t="shared" si="22"/>
        <v>0</v>
      </c>
      <c r="O58">
        <f t="shared" si="22"/>
        <v>0</v>
      </c>
    </row>
    <row r="59" spans="3:15" x14ac:dyDescent="0.2">
      <c r="C59" t="str">
        <f t="shared" ref="C59:O59" si="23">IF(C41&gt;0,C20/C41,"")</f>
        <v/>
      </c>
      <c r="D59" t="str">
        <f t="shared" si="23"/>
        <v/>
      </c>
      <c r="E59" t="str">
        <f t="shared" si="23"/>
        <v/>
      </c>
      <c r="F59" t="str">
        <f t="shared" si="23"/>
        <v/>
      </c>
      <c r="G59" t="str">
        <f t="shared" si="23"/>
        <v/>
      </c>
      <c r="H59" t="str">
        <f t="shared" si="23"/>
        <v/>
      </c>
      <c r="I59" t="str">
        <f t="shared" si="23"/>
        <v/>
      </c>
      <c r="J59" t="str">
        <f t="shared" si="23"/>
        <v/>
      </c>
      <c r="K59" t="str">
        <f t="shared" si="23"/>
        <v/>
      </c>
      <c r="L59" t="str">
        <f t="shared" si="23"/>
        <v/>
      </c>
      <c r="M59" t="str">
        <f t="shared" si="23"/>
        <v/>
      </c>
      <c r="N59" t="str">
        <f t="shared" si="23"/>
        <v/>
      </c>
      <c r="O59" t="str">
        <f t="shared" si="23"/>
        <v/>
      </c>
    </row>
    <row r="60" spans="3:15" x14ac:dyDescent="0.2">
      <c r="C60" t="str">
        <f t="shared" ref="C60:O60" si="24">IF(C42&gt;0,C21/C42,"")</f>
        <v/>
      </c>
      <c r="D60" t="str">
        <f t="shared" si="24"/>
        <v/>
      </c>
      <c r="E60" t="str">
        <f t="shared" si="24"/>
        <v/>
      </c>
      <c r="F60" t="str">
        <f t="shared" si="24"/>
        <v/>
      </c>
      <c r="G60" t="str">
        <f t="shared" si="24"/>
        <v/>
      </c>
      <c r="H60" t="str">
        <f t="shared" si="24"/>
        <v/>
      </c>
      <c r="I60" t="str">
        <f t="shared" si="24"/>
        <v/>
      </c>
      <c r="J60" t="str">
        <f t="shared" si="24"/>
        <v/>
      </c>
      <c r="K60" t="str">
        <f t="shared" si="24"/>
        <v/>
      </c>
      <c r="L60" t="str">
        <f t="shared" si="24"/>
        <v/>
      </c>
      <c r="M60" t="str">
        <f t="shared" si="24"/>
        <v/>
      </c>
      <c r="N60" t="str">
        <f t="shared" si="24"/>
        <v/>
      </c>
      <c r="O60" t="str">
        <f t="shared" si="2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79B4-0225-EF4F-BAED-A21326E44CE1}">
  <dimension ref="A1:S38"/>
  <sheetViews>
    <sheetView workbookViewId="0">
      <selection activeCell="A20" sqref="A20:XFD38"/>
    </sheetView>
  </sheetViews>
  <sheetFormatPr baseColWidth="10" defaultRowHeight="15" x14ac:dyDescent="0.2"/>
  <cols>
    <col min="3" max="10" width="6.6640625" customWidth="1"/>
    <col min="11" max="11" width="8.5" customWidth="1"/>
    <col min="12" max="18" width="6.6640625" customWidth="1"/>
  </cols>
  <sheetData>
    <row r="1" spans="1:19" ht="16" x14ac:dyDescent="0.2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" t="s">
        <v>2</v>
      </c>
      <c r="B2" s="2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6" x14ac:dyDescent="0.2">
      <c r="A4" s="7">
        <v>0</v>
      </c>
      <c r="B4" s="8">
        <f>Data!A1</f>
        <v>10854</v>
      </c>
      <c r="C4" s="9">
        <f>Data!B1/'Exposure based - quarter'!$B4*1000</f>
        <v>8.384005896443707</v>
      </c>
      <c r="D4" s="9">
        <f>Data!C1/'Exposure based - quarter'!$B4*1000</f>
        <v>34.733738713838221</v>
      </c>
      <c r="E4" s="9">
        <f>Data!D1/'Exposure based - quarter'!$B4*1000</f>
        <v>27.731711811313801</v>
      </c>
      <c r="F4" s="9">
        <f>Data!E1/'Exposure based - quarter'!$B4*1000</f>
        <v>15.662428597751983</v>
      </c>
      <c r="G4" s="9">
        <f>Data!F1/'Exposure based - quarter'!$B4*1000</f>
        <v>6.6334991708126037</v>
      </c>
      <c r="H4" s="9">
        <f>Data!G1/'Exposure based - quarter'!$B4*1000</f>
        <v>4.0538050488299247</v>
      </c>
      <c r="I4" s="9">
        <f>Data!H1/'Exposure based - quarter'!$B4*1000</f>
        <v>1.0134512622074812</v>
      </c>
      <c r="J4" s="9">
        <f>Data!I1/'Exposure based - quarter'!$B4*1000</f>
        <v>0.5527915975677169</v>
      </c>
      <c r="K4" s="9">
        <f>Data!J1/'Exposure based - quarter'!$B4*1000</f>
        <v>0.27639579878385845</v>
      </c>
      <c r="L4" s="9">
        <f>Data!K1/'Exposure based - quarter'!$B4*1000</f>
        <v>9.2131932927952825E-2</v>
      </c>
      <c r="M4" s="9">
        <f>Data!L1/'Exposure based - quarter'!$B4*1000</f>
        <v>9.2131932927952825E-2</v>
      </c>
      <c r="N4" s="9">
        <f>Data!M1/'Exposure based - quarter'!$B4*1000</f>
        <v>9.2131932927952825E-2</v>
      </c>
      <c r="O4" s="9">
        <f>Data!N1/'Exposure based - quarter'!$B4*1000</f>
        <v>9.2131932927952825E-2</v>
      </c>
      <c r="P4" s="9">
        <f>Data!O1/'Exposure based - quarter'!$B4*1000</f>
        <v>0</v>
      </c>
      <c r="Q4" s="9">
        <f>Data!P1/'Exposure based - quarter'!$B4*1000</f>
        <v>0</v>
      </c>
      <c r="R4" s="9">
        <f>Data!Q1/'Exposure based - quarter'!$B4*1000</f>
        <v>0</v>
      </c>
    </row>
    <row r="5" spans="1:19" ht="16" x14ac:dyDescent="0.2">
      <c r="A5" s="7">
        <v>1</v>
      </c>
      <c r="B5" s="8">
        <f>Data!A2</f>
        <v>10166</v>
      </c>
      <c r="C5" s="9">
        <f>Data!B2/'Exposure based - quarter'!$B5*1000</f>
        <v>6.1971276805036402</v>
      </c>
      <c r="D5" s="9">
        <f>Data!C2/'Exposure based - quarter'!$B5*1000</f>
        <v>54.101908321857167</v>
      </c>
      <c r="E5" s="9">
        <f>Data!D2/'Exposure based - quarter'!$B5*1000</f>
        <v>54.593743852055873</v>
      </c>
      <c r="F5" s="9">
        <f>Data!E2/'Exposure based - quarter'!$B5*1000</f>
        <v>39.740310840055088</v>
      </c>
      <c r="G5" s="9">
        <f>Data!F2/'Exposure based - quarter'!$B5*1000</f>
        <v>23.214637025378714</v>
      </c>
      <c r="H5" s="9">
        <f>Data!G2/'Exposure based - quarter'!$B5*1000</f>
        <v>10.230179028132993</v>
      </c>
      <c r="I5" s="9">
        <f>Data!H2/'Exposure based - quarter'!$B5*1000</f>
        <v>5.508557938225457</v>
      </c>
      <c r="J5" s="9">
        <f>Data!I2/'Exposure based - quarter'!$B5*1000</f>
        <v>2.5575447570332481</v>
      </c>
      <c r="K5" s="9">
        <f>Data!J2/'Exposure based - quarter'!$B5*1000</f>
        <v>1.2787723785166241</v>
      </c>
      <c r="L5" s="9">
        <f>Data!K2/'Exposure based - quarter'!$B5*1000</f>
        <v>0.49183553019870158</v>
      </c>
      <c r="M5" s="9">
        <f>Data!L2/'Exposure based - quarter'!$B5*1000</f>
        <v>0</v>
      </c>
      <c r="N5" s="9">
        <f>Data!M2/'Exposure based - quarter'!$B5*1000</f>
        <v>9.8367106039740304E-2</v>
      </c>
      <c r="O5" s="9">
        <f>Data!N2/'Exposure based - quarter'!$B5*1000</f>
        <v>0</v>
      </c>
      <c r="P5" s="9">
        <f>Data!O2/'Exposure based - quarter'!$B5*1000</f>
        <v>0</v>
      </c>
      <c r="Q5" s="9">
        <f>Data!P2/'Exposure based - quarter'!$B5*1000</f>
        <v>0</v>
      </c>
      <c r="R5" s="9"/>
    </row>
    <row r="6" spans="1:19" ht="16" x14ac:dyDescent="0.2">
      <c r="A6" s="7">
        <v>2</v>
      </c>
      <c r="B6" s="8">
        <f>Data!A3</f>
        <v>10066</v>
      </c>
      <c r="C6" s="9">
        <f>Data!B3/'Exposure based - quarter'!$B6*1000</f>
        <v>1.1921319292668389</v>
      </c>
      <c r="D6" s="9">
        <f>Data!C3/'Exposure based - quarter'!$B6*1000</f>
        <v>16.789191337174646</v>
      </c>
      <c r="E6" s="9">
        <f>Data!D3/'Exposure based - quarter'!$B6*1000</f>
        <v>27.220345718259487</v>
      </c>
      <c r="F6" s="9">
        <f>Data!E3/'Exposure based - quarter'!$B6*1000</f>
        <v>22.352473673753227</v>
      </c>
      <c r="G6" s="9">
        <f>Data!F3/'Exposure based - quarter'!$B6*1000</f>
        <v>16.491158354857937</v>
      </c>
      <c r="H6" s="9">
        <f>Data!G3/'Exposure based - quarter'!$B6*1000</f>
        <v>7.1527915756010332</v>
      </c>
      <c r="I6" s="9">
        <f>Data!H3/'Exposure based - quarter'!$B6*1000</f>
        <v>4.6691833896284525</v>
      </c>
      <c r="J6" s="9">
        <f>Data!I3/'Exposure based - quarter'!$B6*1000</f>
        <v>1.8875422213391615</v>
      </c>
      <c r="K6" s="9">
        <f>Data!J3/'Exposure based - quarter'!$B6*1000</f>
        <v>1.0927876018279357</v>
      </c>
      <c r="L6" s="9">
        <f>Data!K3/'Exposure based - quarter'!$B6*1000</f>
        <v>0.59606596463341943</v>
      </c>
      <c r="M6" s="9">
        <f>Data!L3/'Exposure based - quarter'!$B6*1000</f>
        <v>0.39737730975561297</v>
      </c>
      <c r="N6" s="9">
        <f>Data!M3/'Exposure based - quarter'!$B6*1000</f>
        <v>0</v>
      </c>
      <c r="O6" s="9">
        <f>Data!N3/'Exposure based - quarter'!$B6*1000</f>
        <v>0</v>
      </c>
      <c r="P6" s="9">
        <f>Data!O3/'Exposure based - quarter'!$B6*1000</f>
        <v>9.9344327438903243E-2</v>
      </c>
      <c r="Q6" s="9"/>
      <c r="R6" s="9"/>
    </row>
    <row r="7" spans="1:19" ht="16" x14ac:dyDescent="0.2">
      <c r="A7" s="7">
        <v>3</v>
      </c>
      <c r="B7" s="8">
        <f>Data!A4</f>
        <v>10352</v>
      </c>
      <c r="C7" s="9">
        <f>Data!B4/'Exposure based - quarter'!$B7*1000</f>
        <v>37.19088098918084</v>
      </c>
      <c r="D7" s="9">
        <f>Data!C4/'Exposure based - quarter'!$B7*1000</f>
        <v>87.519319938176196</v>
      </c>
      <c r="E7" s="9">
        <f>Data!D4/'Exposure based - quarter'!$B7*1000</f>
        <v>42.600463678516228</v>
      </c>
      <c r="F7" s="9">
        <f>Data!E4/'Exposure based - quarter'!$B7*1000</f>
        <v>22.700927357032459</v>
      </c>
      <c r="G7" s="9">
        <f>Data!F4/'Exposure based - quarter'!$B7*1000</f>
        <v>7.7279752704791349</v>
      </c>
      <c r="H7" s="9">
        <f>Data!G4/'Exposure based - quarter'!$B7*1000</f>
        <v>3.9605873261205566</v>
      </c>
      <c r="I7" s="9">
        <f>Data!H4/'Exposure based - quarter'!$B7*1000</f>
        <v>1.5455950540958268</v>
      </c>
      <c r="J7" s="9">
        <f>Data!I4/'Exposure based - quarter'!$B7*1000</f>
        <v>0.19319938176197834</v>
      </c>
      <c r="K7" s="9">
        <f>Data!J4/'Exposure based - quarter'!$B7*1000</f>
        <v>0.2897990726429675</v>
      </c>
      <c r="L7" s="9">
        <f>Data!K4/'Exposure based - quarter'!$B7*1000</f>
        <v>0.19319938176197834</v>
      </c>
      <c r="M7" s="9">
        <f>Data!L4/'Exposure based - quarter'!$B7*1000</f>
        <v>9.6599690880989172E-2</v>
      </c>
      <c r="N7" s="9">
        <f>Data!M4/'Exposure based - quarter'!$B7*1000</f>
        <v>0</v>
      </c>
      <c r="O7" s="9">
        <f>Data!N4/'Exposure based - quarter'!$B7*1000</f>
        <v>0</v>
      </c>
      <c r="P7" s="9"/>
      <c r="Q7" s="9"/>
      <c r="R7" s="9"/>
    </row>
    <row r="8" spans="1:19" ht="16" x14ac:dyDescent="0.2">
      <c r="A8" s="7">
        <v>4</v>
      </c>
      <c r="B8" s="8">
        <f>Data!A5</f>
        <v>9805</v>
      </c>
      <c r="C8" s="9">
        <f>Data!B5/'Exposure based - quarter'!$B8*1000</f>
        <v>9.3829678735339108</v>
      </c>
      <c r="D8" s="9">
        <f>Data!C5/'Exposure based - quarter'!$B8*1000</f>
        <v>36.817950025497197</v>
      </c>
      <c r="E8" s="9">
        <f>Data!D5/'Exposure based - quarter'!$B8*1000</f>
        <v>27.027027027027028</v>
      </c>
      <c r="F8" s="9">
        <f>Data!E5/'Exposure based - quarter'!$B8*1000</f>
        <v>16.114227434982151</v>
      </c>
      <c r="G8" s="9">
        <f>Data!F5/'Exposure based - quarter'!$B8*1000</f>
        <v>7.0372259051504331</v>
      </c>
      <c r="H8" s="9">
        <f>Data!G5/'Exposure based - quarter'!$B8*1000</f>
        <v>2.957674655787863</v>
      </c>
      <c r="I8" s="9">
        <f>Data!H5/'Exposure based - quarter'!$B8*1000</f>
        <v>1.7338092809790921</v>
      </c>
      <c r="J8" s="9">
        <f>Data!I5/'Exposure based - quarter'!$B8*1000</f>
        <v>0.91789903110657822</v>
      </c>
      <c r="K8" s="9">
        <f>Data!J5/'Exposure based - quarter'!$B8*1000</f>
        <v>0.20397756246812851</v>
      </c>
      <c r="L8" s="9">
        <f>Data!K5/'Exposure based - quarter'!$B8*1000</f>
        <v>0</v>
      </c>
      <c r="M8" s="9">
        <f>Data!L5/'Exposure based - quarter'!$B8*1000</f>
        <v>0</v>
      </c>
      <c r="N8" s="9">
        <f>Data!M5/'Exposure based - quarter'!$B8*1000</f>
        <v>0</v>
      </c>
      <c r="O8" s="9"/>
      <c r="P8" s="9"/>
      <c r="Q8" s="9"/>
      <c r="R8" s="9"/>
    </row>
    <row r="9" spans="1:19" ht="16" x14ac:dyDescent="0.2">
      <c r="A9" s="7">
        <v>5</v>
      </c>
      <c r="B9" s="8">
        <f>Data!A6</f>
        <v>10373</v>
      </c>
      <c r="C9" s="9">
        <f>Data!B6/'Exposure based - quarter'!$B9*1000</f>
        <v>6.6518847006651889</v>
      </c>
      <c r="D9" s="9">
        <f>Data!C6/'Exposure based - quarter'!$B9*1000</f>
        <v>53.022269353128316</v>
      </c>
      <c r="E9" s="9">
        <f>Data!D6/'Exposure based - quarter'!$B9*1000</f>
        <v>61.409428323532246</v>
      </c>
      <c r="F9" s="9">
        <f>Data!E6/'Exposure based - quarter'!$B9*1000</f>
        <v>35.669526655740867</v>
      </c>
      <c r="G9" s="9">
        <f>Data!F6/'Exposure based - quarter'!$B9*1000</f>
        <v>22.654969632700279</v>
      </c>
      <c r="H9" s="9">
        <f>Data!G6/'Exposure based - quarter'!$B9*1000</f>
        <v>11.761303383784826</v>
      </c>
      <c r="I9" s="9">
        <f>Data!H6/'Exposure based - quarter'!$B9*1000</f>
        <v>5.1094186831196371</v>
      </c>
      <c r="J9" s="9">
        <f>Data!I6/'Exposure based - quarter'!$B9*1000</f>
        <v>1.8316783958353418</v>
      </c>
      <c r="K9" s="9">
        <f>Data!J6/'Exposure based - quarter'!$B9*1000</f>
        <v>0.67482888267617847</v>
      </c>
      <c r="L9" s="9">
        <f>Data!K6/'Exposure based - quarter'!$B9*1000</f>
        <v>0.38561650438638773</v>
      </c>
      <c r="M9" s="9">
        <f>Data!L6/'Exposure based - quarter'!$B9*1000</f>
        <v>9.6404126096596932E-2</v>
      </c>
      <c r="N9" s="9"/>
      <c r="O9" s="9"/>
      <c r="P9" s="9"/>
      <c r="Q9" s="9"/>
      <c r="R9" s="9"/>
    </row>
    <row r="10" spans="1:19" ht="16" x14ac:dyDescent="0.2">
      <c r="A10" s="7">
        <v>6</v>
      </c>
      <c r="B10" s="8">
        <f>Data!A7</f>
        <v>8396</v>
      </c>
      <c r="C10" s="9">
        <f>Data!B7/'Exposure based - quarter'!$B10*1000</f>
        <v>0.71462601238685086</v>
      </c>
      <c r="D10" s="9">
        <f>Data!C7/'Exposure based - quarter'!$B10*1000</f>
        <v>17.031919961886612</v>
      </c>
      <c r="E10" s="9">
        <f>Data!D7/'Exposure based - quarter'!$B10*1000</f>
        <v>25.250119104335401</v>
      </c>
      <c r="F10" s="9">
        <f>Data!E7/'Exposure based - quarter'!$B10*1000</f>
        <v>23.820867079561697</v>
      </c>
      <c r="G10" s="9">
        <f>Data!F7/'Exposure based - quarter'!$B10*1000</f>
        <v>14.292520247737018</v>
      </c>
      <c r="H10" s="9">
        <f>Data!G7/'Exposure based - quarter'!$B10*1000</f>
        <v>10.123868508813722</v>
      </c>
      <c r="I10" s="9">
        <f>Data!H7/'Exposure based - quarter'!$B10*1000</f>
        <v>4.5259647451167222</v>
      </c>
      <c r="J10" s="9">
        <f>Data!I7/'Exposure based - quarter'!$B10*1000</f>
        <v>2.6202953787517864</v>
      </c>
      <c r="K10" s="9">
        <f>Data!J7/'Exposure based - quarter'!$B10*1000</f>
        <v>0.71462601238685086</v>
      </c>
      <c r="L10" s="9">
        <f>Data!K7/'Exposure based - quarter'!$B10*1000</f>
        <v>0.23820867079561694</v>
      </c>
      <c r="M10" s="9"/>
      <c r="N10" s="9"/>
      <c r="O10" s="9"/>
      <c r="P10" s="9"/>
      <c r="Q10" s="9"/>
      <c r="R10" s="9"/>
    </row>
    <row r="11" spans="1:19" ht="16" x14ac:dyDescent="0.2">
      <c r="A11" s="7">
        <v>7</v>
      </c>
      <c r="B11" s="8">
        <f>Data!A8</f>
        <v>8638</v>
      </c>
      <c r="C11" s="9">
        <f>Data!B8/'Exposure based - quarter'!$B11*1000</f>
        <v>36.466774716369528</v>
      </c>
      <c r="D11" s="9">
        <f>Data!C8/'Exposure based - quarter'!$B11*1000</f>
        <v>82.310720074091222</v>
      </c>
      <c r="E11" s="9">
        <f>Data!D8/'Exposure based - quarter'!$B11*1000</f>
        <v>48.738133827274837</v>
      </c>
      <c r="F11" s="9">
        <f>Data!E8/'Exposure based - quarter'!$B11*1000</f>
        <v>20.25931928687196</v>
      </c>
      <c r="G11" s="9">
        <f>Data!F8/'Exposure based - quarter'!$B11*1000</f>
        <v>10.071775874044917</v>
      </c>
      <c r="H11" s="9">
        <f>Data!G8/'Exposure based - quarter'!$B11*1000</f>
        <v>4.3991664737207685</v>
      </c>
      <c r="I11" s="9">
        <f>Data!H8/'Exposure based - quarter'!$B11*1000</f>
        <v>1.5049780041676315</v>
      </c>
      <c r="J11" s="9">
        <f>Data!I8/'Exposure based - quarter'!$B11*1000</f>
        <v>0.46307015512850197</v>
      </c>
      <c r="K11" s="9">
        <f>Data!J8/'Exposure based - quarter'!$B11*1000</f>
        <v>0.23153507756425099</v>
      </c>
      <c r="L11" s="9"/>
      <c r="M11" s="9"/>
      <c r="N11" s="9"/>
      <c r="O11" s="9"/>
      <c r="P11" s="9"/>
      <c r="Q11" s="9"/>
      <c r="R11" s="9"/>
    </row>
    <row r="12" spans="1:19" ht="16" x14ac:dyDescent="0.2">
      <c r="A12" s="7">
        <v>8</v>
      </c>
      <c r="B12" s="8">
        <f>Data!A9</f>
        <v>8303</v>
      </c>
      <c r="C12" s="9">
        <f>Data!B9/'Exposure based - quarter'!$B12*1000</f>
        <v>9.3941948693243393</v>
      </c>
      <c r="D12" s="9">
        <f>Data!C9/'Exposure based - quarter'!$B12*1000</f>
        <v>34.686257979043717</v>
      </c>
      <c r="E12" s="9">
        <f>Data!D9/'Exposure based - quarter'!$B12*1000</f>
        <v>28.784776586775866</v>
      </c>
      <c r="F12" s="9">
        <f>Data!E9/'Exposure based - quarter'!$B12*1000</f>
        <v>11.923401180296278</v>
      </c>
      <c r="G12" s="9">
        <f>Data!F9/'Exposure based - quarter'!$B12*1000</f>
        <v>7.9489341201975181</v>
      </c>
      <c r="H12" s="9">
        <f>Data!G9/'Exposure based - quarter'!$B12*1000</f>
        <v>3.8540286643381911</v>
      </c>
      <c r="I12" s="9">
        <f>Data!H9/'Exposure based - quarter'!$B12*1000</f>
        <v>1.3248223533662531</v>
      </c>
      <c r="J12" s="9">
        <f>Data!I9/'Exposure based - quarter'!$B12*1000</f>
        <v>0.72263037456341084</v>
      </c>
      <c r="K12" s="9"/>
      <c r="L12" s="9"/>
      <c r="M12" s="9"/>
      <c r="N12" s="9"/>
      <c r="O12" s="9"/>
      <c r="P12" s="9"/>
      <c r="Q12" s="9"/>
      <c r="R12" s="9"/>
    </row>
    <row r="13" spans="1:19" ht="16" x14ac:dyDescent="0.2">
      <c r="A13" s="7">
        <v>9</v>
      </c>
      <c r="B13" s="8">
        <f>Data!A10</f>
        <v>9668</v>
      </c>
      <c r="C13" s="9">
        <f>Data!B10/'Exposure based - quarter'!$B13*1000</f>
        <v>8.7918907736863883</v>
      </c>
      <c r="D13" s="9">
        <f>Data!C10/'Exposure based - quarter'!$B13*1000</f>
        <v>51.613570541994214</v>
      </c>
      <c r="E13" s="9">
        <f>Data!D10/'Exposure based - quarter'!$B13*1000</f>
        <v>57.405875051717011</v>
      </c>
      <c r="F13" s="9">
        <f>Data!E10/'Exposure based - quarter'!$B13*1000</f>
        <v>36.201903185767478</v>
      </c>
      <c r="G13" s="9">
        <f>Data!F10/'Exposure based - quarter'!$B13*1000</f>
        <v>23.376086057095574</v>
      </c>
      <c r="H13" s="9">
        <f>Data!G10/'Exposure based - quarter'!$B13*1000</f>
        <v>11.688043028547787</v>
      </c>
      <c r="I13" s="9">
        <f>Data!H10/'Exposure based - quarter'!$B13*1000</f>
        <v>6.7232105916425322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6" x14ac:dyDescent="0.2">
      <c r="A14" s="7">
        <v>10</v>
      </c>
      <c r="B14" s="8">
        <f>Data!A11</f>
        <v>9301</v>
      </c>
      <c r="C14" s="9">
        <f>Data!B11/'Exposure based - quarter'!$B14*1000</f>
        <v>1.9352757767981936</v>
      </c>
      <c r="D14" s="9">
        <f>Data!C11/'Exposure based - quarter'!$B14*1000</f>
        <v>15.482206214385549</v>
      </c>
      <c r="E14" s="9">
        <f>Data!D11/'Exposure based - quarter'!$B14*1000</f>
        <v>28.169014084507044</v>
      </c>
      <c r="F14" s="9">
        <f>Data!E11/'Exposure based - quarter'!$B14*1000</f>
        <v>23.868401247177722</v>
      </c>
      <c r="G14" s="9">
        <f>Data!F11/'Exposure based - quarter'!$B14*1000</f>
        <v>16.127298139984948</v>
      </c>
      <c r="H14" s="9">
        <f>Data!G11/'Exposure based - quarter'!$B14*1000</f>
        <v>9.0312869583915703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6" x14ac:dyDescent="0.2">
      <c r="A15" s="7">
        <v>11</v>
      </c>
      <c r="B15" s="8">
        <f>Data!A12</f>
        <v>8414</v>
      </c>
      <c r="C15" s="9">
        <f>Data!B12/'Exposure based - quarter'!$B15*1000</f>
        <v>39.33919657713335</v>
      </c>
      <c r="D15" s="9">
        <f>Data!C12/'Exposure based - quarter'!$B15*1000</f>
        <v>88.780603755645345</v>
      </c>
      <c r="E15" s="9">
        <f>Data!D12/'Exposure based - quarter'!$B15*1000</f>
        <v>44.925124792013314</v>
      </c>
      <c r="F15" s="9">
        <f>Data!E12/'Exposure based - quarter'!$B15*1000</f>
        <v>18.540527691942</v>
      </c>
      <c r="G15" s="9">
        <f>Data!F12/'Exposure based - quarter'!$B15*1000</f>
        <v>8.4383170905633467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6" x14ac:dyDescent="0.2">
      <c r="A16" s="7">
        <v>12</v>
      </c>
      <c r="B16" s="8">
        <f>Data!A13</f>
        <v>7735</v>
      </c>
      <c r="C16" s="9">
        <f>Data!B13/'Exposure based - quarter'!$B16*1000</f>
        <v>8.6619263089851337</v>
      </c>
      <c r="D16" s="9">
        <f>Data!C13/'Exposure based - quarter'!$B16*1000</f>
        <v>35.164835164835168</v>
      </c>
      <c r="E16" s="9">
        <f>Data!D13/'Exposure based - quarter'!$B16*1000</f>
        <v>23.52941176470588</v>
      </c>
      <c r="F16" s="9">
        <f>Data!E13/'Exposure based - quarter'!$B16*1000</f>
        <v>16.16031027795734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6" x14ac:dyDescent="0.2">
      <c r="A17" s="7">
        <v>13</v>
      </c>
      <c r="B17" s="8">
        <f>Data!A14</f>
        <v>8493</v>
      </c>
      <c r="C17" s="9">
        <f>Data!B14/'Exposure based - quarter'!$B17*1000</f>
        <v>7.0646414694454256</v>
      </c>
      <c r="D17" s="9">
        <f>Data!C14/'Exposure based - quarter'!$B17*1000</f>
        <v>49.334746261627224</v>
      </c>
      <c r="E17" s="9">
        <f>Data!D14/'Exposure based - quarter'!$B17*1000</f>
        <v>51.454138702460853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6" x14ac:dyDescent="0.2">
      <c r="A18" s="7">
        <v>14</v>
      </c>
      <c r="B18" s="8">
        <f>Data!A15</f>
        <v>8696</v>
      </c>
      <c r="C18" s="9">
        <f>Data!B15/'Exposure based - quarter'!$B18*1000</f>
        <v>1.2649494020239189</v>
      </c>
      <c r="D18" s="9">
        <f>Data!C15/'Exposure based - quarter'!$B18*1000</f>
        <v>19.434222631094759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6" x14ac:dyDescent="0.2">
      <c r="A19" s="7">
        <v>15</v>
      </c>
      <c r="B19" s="8">
        <f>Data!A16</f>
        <v>8772</v>
      </c>
      <c r="C19" s="9">
        <f>Data!B16/'Exposure based - quarter'!$B19*1000</f>
        <v>36.821705426356594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40</v>
      </c>
      <c r="B24" s="6"/>
      <c r="C24" s="9">
        <f>($B4*C4+$B8*C8+$B12*C12+$B16*C16)/($B16+$B12+$B8+$B4)</f>
        <v>8.9380603319072396</v>
      </c>
      <c r="D24" s="9">
        <f>($B4*D4+$B8*D8+$B12*D12+$B16*D16)/($B16+$B12+$B8+$B4)</f>
        <v>35.370738752486581</v>
      </c>
      <c r="E24" s="9">
        <f t="shared" ref="E24" si="0">($B4*E4+$B8*E8+$B12*E12+$B16*E16)/($B16+$B12+$B8+$B4)</f>
        <v>26.895931547537945</v>
      </c>
      <c r="F24" s="9">
        <f>($B4*F4+$B8*F8+$B12*F12+$B16*F16)/($B16+$B12+$B8+$B4)</f>
        <v>15.042101534185356</v>
      </c>
      <c r="G24" s="9">
        <f>($B4*G4+$B8*G8+$B12*G12)/($B12+$B8+$B4)</f>
        <v>7.1472964574269735</v>
      </c>
      <c r="H24" s="9">
        <f t="shared" ref="H24:J24" si="1">($B4*H4+$B8*H8+$B12*H12)/($B12+$B8+$B4)</f>
        <v>3.6254402320281747</v>
      </c>
      <c r="I24" s="9">
        <f t="shared" si="1"/>
        <v>1.3465920861818934</v>
      </c>
      <c r="J24" s="9">
        <f t="shared" si="1"/>
        <v>0.72508804640563496</v>
      </c>
      <c r="K24" s="9">
        <f t="shared" ref="I24:M27" si="2">($B4*K4+$B8*K8)/($B8+$B4)</f>
        <v>0.24202526743792052</v>
      </c>
      <c r="L24" s="9">
        <f>($B4*L4+$B8*L8)/($B8+$B4)</f>
        <v>4.8405053487584102E-2</v>
      </c>
      <c r="M24" s="9">
        <f t="shared" si="2"/>
        <v>4.8405053487584102E-2</v>
      </c>
      <c r="N24" s="9">
        <f>($B4*N4+$B8*N8)/($B8+$B4)</f>
        <v>4.8405053487584102E-2</v>
      </c>
      <c r="O24" s="9">
        <f>($B4*O4)/($B4)</f>
        <v>9.2131932927952825E-2</v>
      </c>
      <c r="P24" s="9">
        <f t="shared" ref="M24:R27" si="3">($B4*P4)/($B4)</f>
        <v>0</v>
      </c>
      <c r="Q24" s="9">
        <f t="shared" si="3"/>
        <v>0</v>
      </c>
      <c r="R24" s="9">
        <f t="shared" si="3"/>
        <v>0</v>
      </c>
    </row>
    <row r="25" spans="1:18" ht="16" x14ac:dyDescent="0.2">
      <c r="A25" s="6" t="s">
        <v>41</v>
      </c>
      <c r="B25" s="6"/>
      <c r="C25" s="9">
        <f>(B5*C5+B9*C9+B13*C13+B17*C17)/(B17+B13+B9+B5)</f>
        <v>7.1576227390180875</v>
      </c>
      <c r="D25" s="9">
        <f>($B5*D5+$B9*D9+$B13*D13+$B17*D17)/($B17+$B13+$B9+$B5)</f>
        <v>52.144702842377264</v>
      </c>
      <c r="E25" s="9">
        <f>($B5*E5+$B9*E9+$B13*E13+$B17*E17)/($B17+$B13+$B9+$B5)</f>
        <v>56.434108527131784</v>
      </c>
      <c r="F25" s="9">
        <f>($B5*F5+$B9*F9+$B13*F13)/($B13+$B9+$B5)</f>
        <v>37.20991823087364</v>
      </c>
      <c r="G25" s="9">
        <f t="shared" ref="G25:I25" si="4">($B5*G5+$B9*G9+$B13*G13)/($B13+$B9+$B5)</f>
        <v>23.074121892276626</v>
      </c>
      <c r="H25" s="9">
        <f t="shared" si="4"/>
        <v>11.222564306286623</v>
      </c>
      <c r="I25" s="9">
        <f t="shared" si="4"/>
        <v>5.7602542457046377</v>
      </c>
      <c r="J25" s="9">
        <f t="shared" si="2"/>
        <v>2.190953795218852</v>
      </c>
      <c r="K25" s="9">
        <f t="shared" si="2"/>
        <v>0.97375724231948979</v>
      </c>
      <c r="L25" s="9">
        <f t="shared" si="2"/>
        <v>0.43819075904377036</v>
      </c>
      <c r="M25" s="9">
        <f t="shared" si="2"/>
        <v>4.8687862115974485E-2</v>
      </c>
      <c r="N25" s="9">
        <f t="shared" si="3"/>
        <v>9.8367106039740304E-2</v>
      </c>
      <c r="O25" s="9">
        <f t="shared" si="3"/>
        <v>0</v>
      </c>
      <c r="P25" s="9">
        <f t="shared" si="3"/>
        <v>0</v>
      </c>
      <c r="Q25" s="9">
        <f t="shared" si="3"/>
        <v>0</v>
      </c>
    </row>
    <row r="26" spans="1:18" ht="16" x14ac:dyDescent="0.2">
      <c r="A26" s="6" t="s">
        <v>42</v>
      </c>
      <c r="B26" s="6"/>
      <c r="C26" s="9">
        <f>(B6*C6+B10*C10+B14*C14+B18*C18)/(B18+B14+B10+B6)</f>
        <v>1.2891192846759374</v>
      </c>
      <c r="D26" s="9">
        <f>($B6*D6+$B10*D10+$B14*D14+$B18*D18)/($B18+$B14+$B10+$B6)</f>
        <v>17.142543679201296</v>
      </c>
      <c r="E26" s="9">
        <f>($B6*E6+$B10*E10+$B14*E14)/($B14+$B10+$B6)</f>
        <v>26.942333321326945</v>
      </c>
      <c r="F26" s="9">
        <f t="shared" ref="F26:H26" si="5">($B6*F6+$B10*F10+$B14*F14)/($B14+$B10+$B6)</f>
        <v>23.304397939703922</v>
      </c>
      <c r="G26" s="9">
        <f t="shared" si="5"/>
        <v>15.70435471670929</v>
      </c>
      <c r="H26" s="9">
        <f t="shared" si="5"/>
        <v>8.6806180888232536</v>
      </c>
      <c r="I26" s="9">
        <f t="shared" si="2"/>
        <v>4.6040515653775325</v>
      </c>
      <c r="J26" s="9">
        <f t="shared" si="2"/>
        <v>2.2207778138879863</v>
      </c>
      <c r="K26" s="9">
        <f t="shared" si="2"/>
        <v>0.92081031307550643</v>
      </c>
      <c r="L26" s="9">
        <f>($B6*L6+$B10*L10)/($B10+$B6)</f>
        <v>0.43332250027082658</v>
      </c>
      <c r="M26" s="9">
        <f t="shared" si="3"/>
        <v>0.39737730975561297</v>
      </c>
      <c r="N26" s="9">
        <f t="shared" si="3"/>
        <v>0</v>
      </c>
      <c r="O26" s="9">
        <f t="shared" si="3"/>
        <v>0</v>
      </c>
      <c r="P26" s="9">
        <f t="shared" si="3"/>
        <v>9.9344327438903243E-2</v>
      </c>
      <c r="Q26" s="9"/>
      <c r="R26" s="9"/>
    </row>
    <row r="27" spans="1:18" ht="16" x14ac:dyDescent="0.2">
      <c r="A27" s="6" t="s">
        <v>43</v>
      </c>
      <c r="B27" s="6"/>
      <c r="C27" s="9">
        <f>(B7*C7+B11*C11+B15*C15+B19*C19)/(B19+B15+B11+B7)</f>
        <v>37.428129146395399</v>
      </c>
      <c r="D27" s="9">
        <f>($B7*D7+$B11*D11+$B15*D15)/($B15+$B11+$B7)</f>
        <v>86.264778864399361</v>
      </c>
      <c r="E27" s="9">
        <f>($B7*E7+$B11*E11+$B15*E15)/($B15+$B11+$B7)</f>
        <v>45.248868778280546</v>
      </c>
      <c r="F27" s="9">
        <f t="shared" ref="F27:G27" si="6">($B7*F7+$B11*F11+$B15*F15)/($B15+$B11+$B7)</f>
        <v>20.653919135892572</v>
      </c>
      <c r="G27" s="9">
        <f t="shared" si="6"/>
        <v>8.6848635235732008</v>
      </c>
      <c r="H27" s="9">
        <f>($B7*H7+$B11*H11)/($B11+$B7)</f>
        <v>4.1600842548709851</v>
      </c>
      <c r="I27" s="9">
        <f t="shared" si="2"/>
        <v>1.5271195365982095</v>
      </c>
      <c r="J27" s="9">
        <f t="shared" si="2"/>
        <v>0.31595576619273302</v>
      </c>
      <c r="K27" s="9">
        <f>($B7*K7+$B11*K11)/($B11+$B7)</f>
        <v>0.2632964718272775</v>
      </c>
      <c r="L27" s="9">
        <f>($B7*L7)/($B7)</f>
        <v>0.19319938176197834</v>
      </c>
      <c r="M27" s="9">
        <f>($B7*M7)/($B7)</f>
        <v>9.6599690880989172E-2</v>
      </c>
      <c r="N27" s="9">
        <f t="shared" si="3"/>
        <v>0</v>
      </c>
      <c r="O27" s="9">
        <f t="shared" si="3"/>
        <v>0</v>
      </c>
    </row>
    <row r="28" spans="1:18" ht="16" x14ac:dyDescent="0.2">
      <c r="A28" s="6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8" ht="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8" ht="16" x14ac:dyDescent="0.2">
      <c r="A32" s="3" t="s">
        <v>10</v>
      </c>
      <c r="B32" s="3" t="s">
        <v>44</v>
      </c>
      <c r="C32" s="11">
        <f>C24</f>
        <v>8.9380603319072396</v>
      </c>
      <c r="D32" s="11">
        <f t="shared" ref="D32:J32" si="7">D24</f>
        <v>35.370738752486581</v>
      </c>
      <c r="E32" s="11">
        <f t="shared" si="7"/>
        <v>26.895931547537945</v>
      </c>
      <c r="F32" s="11">
        <f t="shared" si="7"/>
        <v>15.042101534185356</v>
      </c>
      <c r="G32" s="11">
        <f t="shared" si="7"/>
        <v>7.1472964574269735</v>
      </c>
      <c r="H32" s="11">
        <f t="shared" si="7"/>
        <v>3.6254402320281747</v>
      </c>
      <c r="I32" s="11">
        <f t="shared" si="7"/>
        <v>1.3465920861818934</v>
      </c>
      <c r="J32" s="11">
        <f t="shared" si="7"/>
        <v>0.72508804640563496</v>
      </c>
      <c r="K32" s="16" cm="1">
        <f t="array" ref="K32">EXP(_xlfn.FORECAST.LINEAR(K$2-8,LN($J24:$N24),$J$2:$N$2-8))</f>
        <v>0.23162302122402201</v>
      </c>
      <c r="L32" s="16" cm="1">
        <f t="array" ref="L32">EXP(_xlfn.FORECAST.LINEAR(L$2-8,LN($J24:$N24),$J$2:$N$2-8))</f>
        <v>0.11475846049019141</v>
      </c>
      <c r="M32" s="16" cm="1">
        <f t="array" ref="M32">EXP(_xlfn.FORECAST.LINEAR(M$2-8,LN($J24:$N24),$J$2:$N$2-8))</f>
        <v>5.6857492767705055E-2</v>
      </c>
      <c r="N32" s="16" cm="1">
        <f t="array" ref="N32">EXP(_xlfn.FORECAST.LINEAR(N$2-8,LN($J24:$N24),$J$2:$N$2-8))</f>
        <v>2.8170249670663207E-2</v>
      </c>
      <c r="O32" s="17" cm="1">
        <f t="array" ref="O32">EXP(INTERCEPT(LN(J24:N24),J$2:N$2-8))*EXP(SLOPE(LN(J24:N24),J$2:N$2-8))^(12-8)/(1-EXP(SLOPE(LN(J24:N24),J$2:N$2-8)))</f>
        <v>2.7662573354402656E-2</v>
      </c>
      <c r="P32" s="9"/>
      <c r="Q32" s="9"/>
      <c r="R32" s="9"/>
    </row>
    <row r="33" spans="1:15" ht="16" x14ac:dyDescent="0.2">
      <c r="A33" s="3" t="s">
        <v>12</v>
      </c>
      <c r="B33" s="3" t="s">
        <v>45</v>
      </c>
      <c r="C33" s="11">
        <f t="shared" ref="C33:J35" si="8">C25</f>
        <v>7.1576227390180875</v>
      </c>
      <c r="D33" s="11">
        <f t="shared" si="8"/>
        <v>52.144702842377264</v>
      </c>
      <c r="E33" s="11">
        <f t="shared" si="8"/>
        <v>56.434108527131784</v>
      </c>
      <c r="F33" s="11">
        <f t="shared" si="8"/>
        <v>37.20991823087364</v>
      </c>
      <c r="G33" s="11">
        <f t="shared" si="8"/>
        <v>23.074121892276626</v>
      </c>
      <c r="H33" s="11">
        <f t="shared" si="8"/>
        <v>11.222564306286623</v>
      </c>
      <c r="I33" s="11">
        <f t="shared" si="8"/>
        <v>5.7602542457046377</v>
      </c>
      <c r="J33" s="11">
        <f t="shared" si="8"/>
        <v>2.190953795218852</v>
      </c>
      <c r="K33" s="16" cm="1">
        <f t="array" ref="K33">EXP(_xlfn.FORECAST.LINEAR(K$2-8,LN($J25:$N25),$J$2:$N$2-8))</f>
        <v>0.85086999927944018</v>
      </c>
      <c r="L33" s="16" cm="1">
        <f t="array" ref="L33">EXP(_xlfn.FORECAST.LINEAR(L$2-8,LN($J25:$N25),$J$2:$N$2-8))</f>
        <v>0.33900300411945472</v>
      </c>
      <c r="M33" s="16" cm="1">
        <f t="array" ref="M33">EXP(_xlfn.FORECAST.LINEAR(M$2-8,LN($J25:$N25),$J$2:$N$2-8))</f>
        <v>0.13506532948551214</v>
      </c>
      <c r="N33" s="16" cm="1">
        <f t="array" ref="N33">EXP(_xlfn.FORECAST.LINEAR(N$2-8,LN($J25:$N25),$J$2:$N$2-8))</f>
        <v>5.3812629998410771E-2</v>
      </c>
      <c r="O33" s="17" cm="1">
        <f t="array" ref="O33">EXP(INTERCEPT(LN(J25:N25),J$2:N$2-8))*EXP(SLOPE(LN(J25:N25),J$2:N$2-8))^(12-8)/(1-EXP(SLOPE(LN(J25:N25),J$2:N$2-8)))</f>
        <v>3.5639420790020193E-2</v>
      </c>
    </row>
    <row r="34" spans="1:15" ht="16" x14ac:dyDescent="0.2">
      <c r="A34" s="3"/>
      <c r="B34" s="3" t="s">
        <v>46</v>
      </c>
      <c r="C34" s="11">
        <f t="shared" si="8"/>
        <v>1.2891192846759374</v>
      </c>
      <c r="D34" s="11">
        <f t="shared" si="8"/>
        <v>17.142543679201296</v>
      </c>
      <c r="E34" s="11">
        <f t="shared" si="8"/>
        <v>26.942333321326945</v>
      </c>
      <c r="F34" s="11">
        <f t="shared" si="8"/>
        <v>23.304397939703922</v>
      </c>
      <c r="G34" s="11">
        <f t="shared" si="8"/>
        <v>15.70435471670929</v>
      </c>
      <c r="H34" s="11">
        <f t="shared" si="8"/>
        <v>8.6806180888232536</v>
      </c>
      <c r="I34" s="11">
        <f t="shared" si="8"/>
        <v>4.6040515653775325</v>
      </c>
      <c r="J34" s="11">
        <f t="shared" si="8"/>
        <v>2.2207778138879863</v>
      </c>
      <c r="K34" s="16" cm="1">
        <f t="array" ref="K34">EXP(_xlfn.FORECAST.LINEAR(K$2-8,LN($J26:$M26),$J$2:$M$2-8))</f>
        <v>1.0354655418737519</v>
      </c>
      <c r="L34" s="16" cm="1">
        <f t="array" ref="L34">EXP(_xlfn.FORECAST.LINEAR(L$2-8,LN($J26:$M26),$J$2:$M$2-8))</f>
        <v>0.57307194009227846</v>
      </c>
      <c r="M34" s="16" cm="1">
        <f t="array" ref="M34">EXP(_xlfn.FORECAST.LINEAR(M$2-8,LN($J26:$M26),$J$2:$M$2-8))</f>
        <v>0.31716308775166296</v>
      </c>
      <c r="N34" s="16" cm="1">
        <f t="array" ref="N34">EXP(_xlfn.FORECAST.LINEAR(N$2-8,LN($J26:$M26),$J$2:$M$2-8))</f>
        <v>0.17553193097531741</v>
      </c>
      <c r="O34" s="17" cm="1">
        <f t="array" ref="O34">EXP(INTERCEPT(LN(J26:M26),J$2:M$2-8))*EXP(SLOPE(LN(J26:M26),J$2:M$2-8))^(12-8)/(1-EXP(SLOPE(LN(J26:M26),J$2:M$2-8)))</f>
        <v>0.21754718024776834</v>
      </c>
    </row>
    <row r="35" spans="1:15" ht="16" x14ac:dyDescent="0.2">
      <c r="A35" s="3"/>
      <c r="B35" s="3" t="s">
        <v>47</v>
      </c>
      <c r="C35" s="11">
        <f t="shared" si="8"/>
        <v>37.428129146395399</v>
      </c>
      <c r="D35" s="11">
        <f t="shared" si="8"/>
        <v>86.264778864399361</v>
      </c>
      <c r="E35" s="11">
        <f t="shared" si="8"/>
        <v>45.248868778280546</v>
      </c>
      <c r="F35" s="11">
        <f t="shared" si="8"/>
        <v>20.653919135892572</v>
      </c>
      <c r="G35" s="11">
        <f t="shared" si="8"/>
        <v>8.6848635235732008</v>
      </c>
      <c r="H35" s="11">
        <f t="shared" si="8"/>
        <v>4.1600842548709851</v>
      </c>
      <c r="I35" s="11">
        <f t="shared" si="8"/>
        <v>1.5271195365982095</v>
      </c>
      <c r="J35" s="11">
        <f t="shared" si="8"/>
        <v>0.31595576619273302</v>
      </c>
      <c r="K35" s="16" cm="1">
        <f t="array" ref="K35">EXP(_xlfn.FORECAST.LINEAR(K$2-8,LN($J27:$M27),$J$2:$M$2-8))</f>
        <v>0.24081456267016993</v>
      </c>
      <c r="L35" s="16" cm="1">
        <f t="array" ref="L35">EXP(_xlfn.FORECAST.LINEAR(L$2-8,LN($J27:$M27),$J$2:$M$2-8))</f>
        <v>0.16362273617402798</v>
      </c>
      <c r="M35" s="16" cm="1">
        <f t="array" ref="M35">EXP(_xlfn.FORECAST.LINEAR(M$2-8,LN($J27:$M27),$J$2:$M$2-8))</f>
        <v>0.11117433886149236</v>
      </c>
      <c r="N35" s="16" cm="1">
        <f t="array" ref="N35">EXP(_xlfn.FORECAST.LINEAR(N$2-8,LN($J27:$M27),$J$2:$M$2-8))</f>
        <v>7.553799618742596E-2</v>
      </c>
      <c r="O35" s="17" cm="1">
        <f t="array" ref="O35">EXP(INTERCEPT(LN(J27:M27),J$2:M$2-8))*EXP(SLOPE(LN(J27:M27),J$2:M$2-8))^(12-8)/(1-EXP(SLOPE(LN(J27:M27),J$2:M$2-8)))</f>
        <v>0.16011712874688444</v>
      </c>
    </row>
    <row r="36" spans="1:15" ht="16" x14ac:dyDescent="0.2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1"/>
    </row>
    <row r="37" spans="1:15" ht="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5" ht="1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A3C8-6408-4D47-9F36-4F5253436546}">
  <dimension ref="A1:Z60"/>
  <sheetViews>
    <sheetView topLeftCell="K1" zoomScale="99" workbookViewId="0">
      <selection activeCell="U41" sqref="U41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'Chain Ladder'!A4</f>
        <v>0</v>
      </c>
      <c r="B4" s="23">
        <f>Data!A1</f>
        <v>10854</v>
      </c>
      <c r="C4" s="25">
        <f>Data!B1</f>
        <v>91</v>
      </c>
      <c r="D4" s="25">
        <f>Data!C1</f>
        <v>377</v>
      </c>
      <c r="E4" s="25">
        <f>Data!D1</f>
        <v>301</v>
      </c>
      <c r="F4" s="25">
        <f>Data!E1</f>
        <v>170</v>
      </c>
      <c r="G4" s="25">
        <f>Data!F1</f>
        <v>72</v>
      </c>
      <c r="H4" s="25">
        <f>Data!G1</f>
        <v>44</v>
      </c>
      <c r="I4" s="25">
        <f>Data!H1</f>
        <v>11</v>
      </c>
      <c r="J4" s="25">
        <f>Data!I1</f>
        <v>6</v>
      </c>
      <c r="K4" s="25">
        <f>Data!J1</f>
        <v>3</v>
      </c>
      <c r="L4" s="25">
        <f>Data!K1</f>
        <v>1</v>
      </c>
      <c r="M4" s="25">
        <f>Data!L1</f>
        <v>1</v>
      </c>
      <c r="N4" s="25">
        <f>Data!M1</f>
        <v>1</v>
      </c>
      <c r="O4" s="24">
        <f>$B4*'Exposure based - quarter'!O32/1000</f>
        <v>0.30024957118868645</v>
      </c>
      <c r="P4" s="21">
        <f>SUM(C4:N4)</f>
        <v>1078</v>
      </c>
      <c r="Q4" s="27">
        <f t="shared" ref="Q4:Q19" si="0">P4/B4</f>
        <v>9.9318223696333155E-2</v>
      </c>
      <c r="R4" s="20">
        <f t="shared" ref="R4:R19" si="1">S4-P4</f>
        <v>0.30024957118871498</v>
      </c>
      <c r="S4" s="20">
        <f>SUM(C4:O4)</f>
        <v>1078.3002495711887</v>
      </c>
      <c r="T4" s="27">
        <f>S4/B4</f>
        <v>9.9345886269687558E-2</v>
      </c>
    </row>
    <row r="5" spans="1:20" ht="16" x14ac:dyDescent="0.2">
      <c r="A5" s="7">
        <f>'Chain Ladder'!A5</f>
        <v>1</v>
      </c>
      <c r="B5" s="23">
        <f>Data!A2</f>
        <v>10166</v>
      </c>
      <c r="C5" s="25">
        <f>Data!B2</f>
        <v>63</v>
      </c>
      <c r="D5" s="25">
        <f>Data!C2</f>
        <v>550</v>
      </c>
      <c r="E5" s="25">
        <f>Data!D2</f>
        <v>555</v>
      </c>
      <c r="F5" s="25">
        <f>Data!E2</f>
        <v>404</v>
      </c>
      <c r="G5" s="25">
        <f>Data!F2</f>
        <v>236</v>
      </c>
      <c r="H5" s="25">
        <f>Data!G2</f>
        <v>104</v>
      </c>
      <c r="I5" s="25">
        <f>Data!H2</f>
        <v>56</v>
      </c>
      <c r="J5" s="25">
        <f>Data!I2</f>
        <v>26</v>
      </c>
      <c r="K5" s="25">
        <f>Data!J2</f>
        <v>13</v>
      </c>
      <c r="L5" s="25">
        <f>Data!K2</f>
        <v>5</v>
      </c>
      <c r="M5" s="25">
        <f>Data!L2</f>
        <v>0</v>
      </c>
      <c r="N5" s="25">
        <f>Data!M2</f>
        <v>1</v>
      </c>
      <c r="O5" s="24">
        <f>$B5*'Exposure based - quarter'!O33/1000</f>
        <v>0.36231035175134529</v>
      </c>
      <c r="P5" s="21">
        <f>SUM(C5:N5)</f>
        <v>2013</v>
      </c>
      <c r="Q5" s="27">
        <f t="shared" si="0"/>
        <v>0.19801298445799725</v>
      </c>
      <c r="R5" s="20">
        <f t="shared" si="1"/>
        <v>0.36231035175137549</v>
      </c>
      <c r="S5" s="20">
        <f t="shared" ref="S5:S19" si="2">SUM(C5:O5)</f>
        <v>2013.3623103517514</v>
      </c>
      <c r="T5" s="27">
        <f t="shared" ref="T5:T19" si="3">S5/B5</f>
        <v>0.19804862387878727</v>
      </c>
    </row>
    <row r="6" spans="1:20" ht="16" x14ac:dyDescent="0.2">
      <c r="A6" s="7">
        <f>'Chain Ladder'!A6</f>
        <v>2</v>
      </c>
      <c r="B6" s="23">
        <f>Data!A3</f>
        <v>10066</v>
      </c>
      <c r="C6" s="25">
        <f>Data!B3</f>
        <v>12</v>
      </c>
      <c r="D6" s="25">
        <f>Data!C3</f>
        <v>169</v>
      </c>
      <c r="E6" s="25">
        <f>Data!D3</f>
        <v>274</v>
      </c>
      <c r="F6" s="25">
        <f>Data!E3</f>
        <v>225</v>
      </c>
      <c r="G6" s="25">
        <f>Data!F3</f>
        <v>166</v>
      </c>
      <c r="H6" s="25">
        <f>Data!G3</f>
        <v>72</v>
      </c>
      <c r="I6" s="25">
        <f>Data!H3</f>
        <v>47</v>
      </c>
      <c r="J6" s="25">
        <f>Data!I3</f>
        <v>19</v>
      </c>
      <c r="K6" s="25">
        <f>Data!J3</f>
        <v>11</v>
      </c>
      <c r="L6" s="25">
        <f>Data!K3</f>
        <v>6</v>
      </c>
      <c r="M6" s="25">
        <f>Data!L3</f>
        <v>4</v>
      </c>
      <c r="N6" s="25">
        <f>Data!M3</f>
        <v>0</v>
      </c>
      <c r="O6" s="24">
        <f>$B6*'Exposure based - quarter'!O34/1000</f>
        <v>2.1898299163740362</v>
      </c>
      <c r="P6" s="21">
        <f>SUM(C6:N6)</f>
        <v>1005</v>
      </c>
      <c r="Q6" s="27">
        <f t="shared" si="0"/>
        <v>9.9841049076097754E-2</v>
      </c>
      <c r="R6" s="20">
        <f t="shared" si="1"/>
        <v>2.1898299163740376</v>
      </c>
      <c r="S6" s="20">
        <f t="shared" si="2"/>
        <v>1007.189829916374</v>
      </c>
      <c r="T6" s="27">
        <f t="shared" si="3"/>
        <v>0.10005859625634553</v>
      </c>
    </row>
    <row r="7" spans="1:20" ht="16" x14ac:dyDescent="0.2">
      <c r="A7" s="7">
        <f>'Chain Ladder'!A7</f>
        <v>3</v>
      </c>
      <c r="B7" s="23">
        <f>Data!A4</f>
        <v>10352</v>
      </c>
      <c r="C7" s="25">
        <f>Data!B4</f>
        <v>385</v>
      </c>
      <c r="D7" s="25">
        <f>Data!C4</f>
        <v>906</v>
      </c>
      <c r="E7" s="25">
        <f>Data!D4</f>
        <v>441</v>
      </c>
      <c r="F7" s="25">
        <f>Data!E4</f>
        <v>235</v>
      </c>
      <c r="G7" s="25">
        <f>Data!F4</f>
        <v>80</v>
      </c>
      <c r="H7" s="25">
        <f>Data!G4</f>
        <v>41</v>
      </c>
      <c r="I7" s="25">
        <f>Data!H4</f>
        <v>16</v>
      </c>
      <c r="J7" s="25">
        <f>Data!I4</f>
        <v>2</v>
      </c>
      <c r="K7" s="25">
        <f>Data!J4</f>
        <v>3</v>
      </c>
      <c r="L7" s="25">
        <f>Data!K4</f>
        <v>2</v>
      </c>
      <c r="M7" s="25">
        <f>Data!L4</f>
        <v>1</v>
      </c>
      <c r="N7" s="25">
        <f>Data!M4</f>
        <v>0</v>
      </c>
      <c r="O7" s="24">
        <f>$B7*'Exposure based - quarter'!O35/1000</f>
        <v>1.6575325167877477</v>
      </c>
      <c r="P7" s="21">
        <f>SUM(C7:N7)</f>
        <v>2112</v>
      </c>
      <c r="Q7" s="27">
        <f t="shared" si="0"/>
        <v>0.20401854714064915</v>
      </c>
      <c r="R7" s="20">
        <f t="shared" si="1"/>
        <v>1.6575325167877963</v>
      </c>
      <c r="S7" s="20">
        <f t="shared" si="2"/>
        <v>2113.6575325167878</v>
      </c>
      <c r="T7" s="27">
        <f t="shared" si="3"/>
        <v>0.20417866426939604</v>
      </c>
    </row>
    <row r="8" spans="1:20" ht="16" x14ac:dyDescent="0.2">
      <c r="A8" s="7">
        <f>'Chain Ladder'!A8</f>
        <v>4</v>
      </c>
      <c r="B8" s="23">
        <f>Data!A5</f>
        <v>9805</v>
      </c>
      <c r="C8" s="25">
        <f>Data!B5</f>
        <v>92</v>
      </c>
      <c r="D8" s="25">
        <f>Data!C5</f>
        <v>361</v>
      </c>
      <c r="E8" s="25">
        <f>Data!D5</f>
        <v>265</v>
      </c>
      <c r="F8" s="25">
        <f>Data!E5</f>
        <v>158</v>
      </c>
      <c r="G8" s="25">
        <f>Data!F5</f>
        <v>69</v>
      </c>
      <c r="H8" s="25">
        <f>Data!G5</f>
        <v>29</v>
      </c>
      <c r="I8" s="25">
        <f>Data!H5</f>
        <v>17</v>
      </c>
      <c r="J8" s="25">
        <f>Data!I5</f>
        <v>9</v>
      </c>
      <c r="K8" s="25">
        <f>Data!J5</f>
        <v>2</v>
      </c>
      <c r="L8" s="25">
        <f>Data!K5</f>
        <v>0</v>
      </c>
      <c r="M8" s="25">
        <f>Data!L5</f>
        <v>0</v>
      </c>
      <c r="N8" s="25">
        <f>Data!M5</f>
        <v>0</v>
      </c>
      <c r="O8" s="24">
        <f>$B8*'Exposure based - quarter'!O32/1000</f>
        <v>0.27123153173991804</v>
      </c>
      <c r="P8" s="21">
        <f>SUM(C8:N8)</f>
        <v>1002</v>
      </c>
      <c r="Q8" s="27">
        <f t="shared" si="0"/>
        <v>0.10219275879653238</v>
      </c>
      <c r="R8" s="20">
        <f t="shared" si="1"/>
        <v>0.27123153173988612</v>
      </c>
      <c r="S8" s="20">
        <f t="shared" si="2"/>
        <v>1002.2712315317399</v>
      </c>
      <c r="T8" s="27">
        <f t="shared" si="3"/>
        <v>0.10222042136988678</v>
      </c>
    </row>
    <row r="9" spans="1:20" ht="16" x14ac:dyDescent="0.2">
      <c r="A9" s="7">
        <f>'Chain Ladder'!A9</f>
        <v>5</v>
      </c>
      <c r="B9" s="23">
        <f>Data!A6</f>
        <v>10373</v>
      </c>
      <c r="C9" s="25">
        <f>Data!B6</f>
        <v>69</v>
      </c>
      <c r="D9" s="25">
        <f>Data!C6</f>
        <v>550</v>
      </c>
      <c r="E9" s="25">
        <f>Data!D6</f>
        <v>637</v>
      </c>
      <c r="F9" s="25">
        <f>Data!E6</f>
        <v>370</v>
      </c>
      <c r="G9" s="25">
        <f>Data!F6</f>
        <v>235</v>
      </c>
      <c r="H9" s="25">
        <f>Data!G6</f>
        <v>122</v>
      </c>
      <c r="I9" s="25">
        <f>Data!H6</f>
        <v>53</v>
      </c>
      <c r="J9" s="25">
        <f>Data!I6</f>
        <v>19</v>
      </c>
      <c r="K9" s="25">
        <f>Data!J6</f>
        <v>7</v>
      </c>
      <c r="L9" s="25">
        <f>Data!K6</f>
        <v>4</v>
      </c>
      <c r="M9" s="25">
        <f>Data!L6</f>
        <v>1</v>
      </c>
      <c r="N9" s="24">
        <f>$B9*'Exposure based - quarter'!N33/1000</f>
        <v>0.55819841097351486</v>
      </c>
      <c r="O9" s="24">
        <f>$B9*'Exposure based - quarter'!O33/1000</f>
        <v>0.36968771185487947</v>
      </c>
      <c r="P9" s="21">
        <f>SUM(C9:M9)</f>
        <v>2067</v>
      </c>
      <c r="Q9" s="27">
        <f t="shared" si="0"/>
        <v>0.19926732864166585</v>
      </c>
      <c r="R9" s="20">
        <f t="shared" si="1"/>
        <v>0.92788612282856775</v>
      </c>
      <c r="S9" s="20">
        <f t="shared" si="2"/>
        <v>2067.9278861228286</v>
      </c>
      <c r="T9" s="27">
        <f t="shared" si="3"/>
        <v>0.1993567806924543</v>
      </c>
    </row>
    <row r="10" spans="1:20" ht="16" x14ac:dyDescent="0.2">
      <c r="A10" s="7">
        <f>'Chain Ladder'!A10</f>
        <v>6</v>
      </c>
      <c r="B10" s="23">
        <f>Data!A7</f>
        <v>8396</v>
      </c>
      <c r="C10" s="25">
        <f>Data!B7</f>
        <v>6</v>
      </c>
      <c r="D10" s="25">
        <f>Data!C7</f>
        <v>143</v>
      </c>
      <c r="E10" s="25">
        <f>Data!D7</f>
        <v>212</v>
      </c>
      <c r="F10" s="25">
        <f>Data!E7</f>
        <v>200</v>
      </c>
      <c r="G10" s="25">
        <f>Data!F7</f>
        <v>120</v>
      </c>
      <c r="H10" s="25">
        <f>Data!G7</f>
        <v>85</v>
      </c>
      <c r="I10" s="25">
        <f>Data!H7</f>
        <v>38</v>
      </c>
      <c r="J10" s="25">
        <f>Data!I7</f>
        <v>22</v>
      </c>
      <c r="K10" s="25">
        <f>Data!J7</f>
        <v>6</v>
      </c>
      <c r="L10" s="25">
        <f>Data!K7</f>
        <v>2</v>
      </c>
      <c r="M10" s="24">
        <f>$B10*'Exposure based - quarter'!M34/1000</f>
        <v>2.6629012847629623</v>
      </c>
      <c r="N10" s="24">
        <f>$B10*'Exposure based - quarter'!N34/1000</f>
        <v>1.473766092468765</v>
      </c>
      <c r="O10" s="24">
        <f>$B10*'Exposure based - quarter'!O34/1000</f>
        <v>1.8265261253602629</v>
      </c>
      <c r="P10" s="21">
        <f>SUM(C10:L10)</f>
        <v>834</v>
      </c>
      <c r="Q10" s="27">
        <f t="shared" si="0"/>
        <v>9.9333015721772278E-2</v>
      </c>
      <c r="R10" s="20">
        <f t="shared" si="1"/>
        <v>5.9631935025919347</v>
      </c>
      <c r="S10" s="20">
        <f t="shared" si="2"/>
        <v>839.96319350259193</v>
      </c>
      <c r="T10" s="27">
        <f t="shared" si="3"/>
        <v>0.10004325792074702</v>
      </c>
    </row>
    <row r="11" spans="1:20" ht="16" x14ac:dyDescent="0.2">
      <c r="A11" s="7">
        <f>'Chain Ladder'!A11</f>
        <v>7</v>
      </c>
      <c r="B11" s="23">
        <f>Data!A8</f>
        <v>8638</v>
      </c>
      <c r="C11" s="25">
        <f>Data!B8</f>
        <v>315</v>
      </c>
      <c r="D11" s="25">
        <f>Data!C8</f>
        <v>711</v>
      </c>
      <c r="E11" s="25">
        <f>Data!D8</f>
        <v>421</v>
      </c>
      <c r="F11" s="25">
        <f>Data!E8</f>
        <v>175</v>
      </c>
      <c r="G11" s="25">
        <f>Data!F8</f>
        <v>87</v>
      </c>
      <c r="H11" s="25">
        <f>Data!G8</f>
        <v>38</v>
      </c>
      <c r="I11" s="25">
        <f>Data!H8</f>
        <v>13</v>
      </c>
      <c r="J11" s="25">
        <f>Data!I8</f>
        <v>4</v>
      </c>
      <c r="K11" s="25">
        <f>Data!J8</f>
        <v>2</v>
      </c>
      <c r="L11" s="24">
        <f>$B11*'Exposure based - quarter'!L35/1000</f>
        <v>1.4133731950712536</v>
      </c>
      <c r="M11" s="24">
        <f>$B11*'Exposure based - quarter'!M35/1000</f>
        <v>0.96032393908557101</v>
      </c>
      <c r="N11" s="24">
        <f>$B11*'Exposure based - quarter'!N35/1000</f>
        <v>0.65249721106698544</v>
      </c>
      <c r="O11" s="24">
        <f>$B11*'Exposure based - quarter'!O35/1000</f>
        <v>1.3830917581155877</v>
      </c>
      <c r="P11" s="21">
        <f>SUM(C11:K11)</f>
        <v>1766</v>
      </c>
      <c r="Q11" s="27">
        <f t="shared" si="0"/>
        <v>0.20444547348923361</v>
      </c>
      <c r="R11" s="20">
        <f t="shared" si="1"/>
        <v>4.4092861033393547</v>
      </c>
      <c r="S11" s="20">
        <f t="shared" si="2"/>
        <v>1770.4092861033394</v>
      </c>
      <c r="T11" s="27">
        <f t="shared" si="3"/>
        <v>0.20495592568920346</v>
      </c>
    </row>
    <row r="12" spans="1:20" ht="16" x14ac:dyDescent="0.2">
      <c r="A12" s="7">
        <f>'Chain Ladder'!A12</f>
        <v>8</v>
      </c>
      <c r="B12" s="23">
        <f>Data!A9</f>
        <v>8303</v>
      </c>
      <c r="C12" s="25">
        <f>Data!B9</f>
        <v>78</v>
      </c>
      <c r="D12" s="25">
        <f>Data!C9</f>
        <v>288</v>
      </c>
      <c r="E12" s="25">
        <f>Data!D9</f>
        <v>239</v>
      </c>
      <c r="F12" s="25">
        <f>Data!E9</f>
        <v>99</v>
      </c>
      <c r="G12" s="25">
        <f>Data!F9</f>
        <v>66</v>
      </c>
      <c r="H12" s="25">
        <f>Data!G9</f>
        <v>32</v>
      </c>
      <c r="I12" s="25">
        <f>Data!H9</f>
        <v>11</v>
      </c>
      <c r="J12" s="25">
        <f>Data!I9</f>
        <v>6</v>
      </c>
      <c r="K12" s="24">
        <f>$B12*'Exposure based - quarter'!K32/1000</f>
        <v>1.9231659452230547</v>
      </c>
      <c r="L12" s="24">
        <f>$B12*'Exposure based - quarter'!L32/1000</f>
        <v>0.95283949745005925</v>
      </c>
      <c r="M12" s="24">
        <f>$B12*'Exposure based - quarter'!M32/1000</f>
        <v>0.47208776245025508</v>
      </c>
      <c r="N12" s="24">
        <f>$B12*'Exposure based - quarter'!N32/1000</f>
        <v>0.23389758301551661</v>
      </c>
      <c r="O12" s="24">
        <f>$B12*'Exposure based - quarter'!O32/1000</f>
        <v>0.22968234656160524</v>
      </c>
      <c r="P12" s="21">
        <f>SUM(C12:J12)</f>
        <v>819</v>
      </c>
      <c r="Q12" s="27">
        <f t="shared" si="0"/>
        <v>9.8639046127905583E-2</v>
      </c>
      <c r="R12" s="20">
        <f t="shared" si="1"/>
        <v>3.811673134700527</v>
      </c>
      <c r="S12" s="20">
        <f t="shared" si="2"/>
        <v>822.81167313470053</v>
      </c>
      <c r="T12" s="27">
        <f t="shared" si="3"/>
        <v>9.9098117925412565E-2</v>
      </c>
    </row>
    <row r="13" spans="1:20" ht="16" x14ac:dyDescent="0.2">
      <c r="A13" s="7">
        <f>'Chain Ladder'!A13</f>
        <v>9</v>
      </c>
      <c r="B13" s="23">
        <f>Data!A10</f>
        <v>9668</v>
      </c>
      <c r="C13" s="25">
        <f>Data!B10</f>
        <v>85</v>
      </c>
      <c r="D13" s="25">
        <f>Data!C10</f>
        <v>499</v>
      </c>
      <c r="E13" s="25">
        <f>Data!D10</f>
        <v>555</v>
      </c>
      <c r="F13" s="25">
        <f>Data!E10</f>
        <v>350</v>
      </c>
      <c r="G13" s="25">
        <f>Data!F10</f>
        <v>226</v>
      </c>
      <c r="H13" s="25">
        <f>Data!G10</f>
        <v>113</v>
      </c>
      <c r="I13" s="25">
        <f>Data!H10</f>
        <v>65</v>
      </c>
      <c r="J13" s="24">
        <f>$B13*'Exposure based - quarter'!J33/1000</f>
        <v>21.18214129217586</v>
      </c>
      <c r="K13" s="24">
        <f>$B13*'Exposure based - quarter'!K33/1000</f>
        <v>8.2262111530336277</v>
      </c>
      <c r="L13" s="24">
        <f>$B13*'Exposure based - quarter'!L33/1000</f>
        <v>3.2774810438268882</v>
      </c>
      <c r="M13" s="24">
        <f>$B13*'Exposure based - quarter'!M33/1000</f>
        <v>1.3058116054659312</v>
      </c>
      <c r="N13" s="24">
        <f>$B13*'Exposure based - quarter'!N33/1000</f>
        <v>0.52026050682463532</v>
      </c>
      <c r="O13" s="24">
        <f>$B13*'Exposure based - quarter'!O33/1000</f>
        <v>0.34456192019791526</v>
      </c>
      <c r="P13" s="21">
        <f>SUM(C13:I13)</f>
        <v>1893</v>
      </c>
      <c r="Q13" s="27">
        <f t="shared" si="0"/>
        <v>0.19580057923045097</v>
      </c>
      <c r="R13" s="20">
        <f t="shared" si="1"/>
        <v>34.856467521524792</v>
      </c>
      <c r="S13" s="20">
        <f t="shared" si="2"/>
        <v>1927.8564675215248</v>
      </c>
      <c r="T13" s="27">
        <f t="shared" si="3"/>
        <v>0.19940592340934266</v>
      </c>
    </row>
    <row r="14" spans="1:20" ht="16" x14ac:dyDescent="0.2">
      <c r="A14" s="7">
        <f>'Chain Ladder'!A14</f>
        <v>10</v>
      </c>
      <c r="B14" s="23">
        <f>Data!A11</f>
        <v>9301</v>
      </c>
      <c r="C14" s="25">
        <f>Data!B11</f>
        <v>18</v>
      </c>
      <c r="D14" s="25">
        <f>Data!C11</f>
        <v>144</v>
      </c>
      <c r="E14" s="25">
        <f>Data!D11</f>
        <v>262</v>
      </c>
      <c r="F14" s="25">
        <f>Data!E11</f>
        <v>222</v>
      </c>
      <c r="G14" s="25">
        <f>Data!F11</f>
        <v>150</v>
      </c>
      <c r="H14" s="25">
        <f>Data!G11</f>
        <v>84</v>
      </c>
      <c r="I14" s="24">
        <f>$B14*'Exposure based - quarter'!I34/1000</f>
        <v>42.822283609576431</v>
      </c>
      <c r="J14" s="24">
        <f>$B14*'Exposure based - quarter'!J34/1000</f>
        <v>20.655454446972161</v>
      </c>
      <c r="K14" s="24">
        <f>$B14*'Exposure based - quarter'!K34/1000</f>
        <v>9.6308650049677667</v>
      </c>
      <c r="L14" s="24">
        <f>$B14*'Exposure based - quarter'!L34/1000</f>
        <v>5.3301421147982815</v>
      </c>
      <c r="M14" s="24">
        <f>$B14*'Exposure based - quarter'!M34/1000</f>
        <v>2.949933879178217</v>
      </c>
      <c r="N14" s="24">
        <f>$B14*'Exposure based - quarter'!N34/1000</f>
        <v>1.6326224900014272</v>
      </c>
      <c r="O14" s="24">
        <f>$B14*'Exposure based - quarter'!O34/1000</f>
        <v>2.0234063234844935</v>
      </c>
      <c r="P14" s="21">
        <f>SUM(C14:H14)</f>
        <v>880</v>
      </c>
      <c r="Q14" s="27">
        <f t="shared" si="0"/>
        <v>9.4613482421245024E-2</v>
      </c>
      <c r="R14" s="20">
        <f t="shared" si="1"/>
        <v>85.044707868978549</v>
      </c>
      <c r="S14" s="20">
        <f t="shared" si="2"/>
        <v>965.04470786897855</v>
      </c>
      <c r="T14" s="27">
        <f t="shared" si="3"/>
        <v>0.10375709148145131</v>
      </c>
    </row>
    <row r="15" spans="1:20" ht="16" x14ac:dyDescent="0.2">
      <c r="A15" s="7">
        <f>'Chain Ladder'!A15</f>
        <v>11</v>
      </c>
      <c r="B15" s="23">
        <f>Data!A12</f>
        <v>8414</v>
      </c>
      <c r="C15" s="25">
        <f>Data!B12</f>
        <v>331</v>
      </c>
      <c r="D15" s="25">
        <f>Data!C12</f>
        <v>747</v>
      </c>
      <c r="E15" s="25">
        <f>Data!D12</f>
        <v>378</v>
      </c>
      <c r="F15" s="25">
        <f>Data!E12</f>
        <v>156</v>
      </c>
      <c r="G15" s="25">
        <f>Data!F12</f>
        <v>71</v>
      </c>
      <c r="H15" s="24">
        <f>$B15*'Exposure based - quarter'!H35/1000</f>
        <v>35.002948920484471</v>
      </c>
      <c r="I15" s="24">
        <f>$B15*'Exposure based - quarter'!I35/1000</f>
        <v>12.849183780937336</v>
      </c>
      <c r="J15" s="24">
        <f>$B15*'Exposure based - quarter'!J35/1000</f>
        <v>2.6584518167456559</v>
      </c>
      <c r="K15" s="24">
        <f>$B15*'Exposure based - quarter'!K35/1000</f>
        <v>2.02621373030681</v>
      </c>
      <c r="L15" s="24">
        <f>$B15*'Exposure based - quarter'!L35/1000</f>
        <v>1.3767217021682714</v>
      </c>
      <c r="M15" s="24">
        <f>$B15*'Exposure based - quarter'!M35/1000</f>
        <v>0.93542088718059679</v>
      </c>
      <c r="N15" s="24">
        <f>$B15*'Exposure based - quarter'!N35/1000</f>
        <v>0.63557669992100208</v>
      </c>
      <c r="O15" s="24">
        <f>$B15*'Exposure based - quarter'!O35/1000</f>
        <v>1.3472255212762856</v>
      </c>
      <c r="P15" s="21">
        <f>SUM(C15:G15)</f>
        <v>1683</v>
      </c>
      <c r="Q15" s="27">
        <f t="shared" si="0"/>
        <v>0.20002376990729737</v>
      </c>
      <c r="R15" s="20">
        <f t="shared" si="1"/>
        <v>56.831743059020255</v>
      </c>
      <c r="S15" s="20">
        <f t="shared" si="2"/>
        <v>1739.8317430590203</v>
      </c>
      <c r="T15" s="27">
        <f t="shared" si="3"/>
        <v>0.20677819622759927</v>
      </c>
    </row>
    <row r="16" spans="1:20" ht="16" x14ac:dyDescent="0.2">
      <c r="A16" s="7">
        <f>'Chain Ladder'!A16</f>
        <v>12</v>
      </c>
      <c r="B16" s="23">
        <f>Data!A13</f>
        <v>7735</v>
      </c>
      <c r="C16" s="25">
        <f>Data!B13</f>
        <v>67</v>
      </c>
      <c r="D16" s="25">
        <f>Data!C13</f>
        <v>272</v>
      </c>
      <c r="E16" s="25">
        <f>Data!D13</f>
        <v>182</v>
      </c>
      <c r="F16" s="25">
        <f>Data!E13</f>
        <v>125</v>
      </c>
      <c r="G16" s="24">
        <f>$B16*'Exposure based - quarter'!G32/1000</f>
        <v>55.284338098197637</v>
      </c>
      <c r="H16" s="24">
        <f>$B16*'Exposure based - quarter'!H32/1000</f>
        <v>28.042780194737929</v>
      </c>
      <c r="I16" s="24">
        <f>$B16*'Exposure based - quarter'!I32/1000</f>
        <v>10.415889786616946</v>
      </c>
      <c r="J16" s="24">
        <f>$B16*'Exposure based - quarter'!J32/1000</f>
        <v>5.6085560389475866</v>
      </c>
      <c r="K16" s="24">
        <f>$B16*'Exposure based - quarter'!K32/1000</f>
        <v>1.7916040691678101</v>
      </c>
      <c r="L16" s="24">
        <f>$B16*'Exposure based - quarter'!L32/1000</f>
        <v>0.88765669189163054</v>
      </c>
      <c r="M16" s="24">
        <f>$B16*'Exposure based - quarter'!M32/1000</f>
        <v>0.43979270655819858</v>
      </c>
      <c r="N16" s="24">
        <f>$B16*'Exposure based - quarter'!N32/1000</f>
        <v>0.21789688120257991</v>
      </c>
      <c r="O16" s="24">
        <f>$B16*'Exposure based - quarter'!O32/1000</f>
        <v>0.21397000489630455</v>
      </c>
      <c r="P16" s="21">
        <f>SUM(C16:F16)</f>
        <v>646</v>
      </c>
      <c r="Q16" s="27">
        <f t="shared" si="0"/>
        <v>8.3516483516483511E-2</v>
      </c>
      <c r="R16" s="20">
        <f t="shared" si="1"/>
        <v>102.90248447221654</v>
      </c>
      <c r="S16" s="20">
        <f t="shared" si="2"/>
        <v>748.90248447221654</v>
      </c>
      <c r="T16" s="27">
        <f t="shared" si="3"/>
        <v>9.6819972136033161E-2</v>
      </c>
    </row>
    <row r="17" spans="1:23" ht="16" x14ac:dyDescent="0.2">
      <c r="A17" s="7">
        <f>'Chain Ladder'!A17</f>
        <v>13</v>
      </c>
      <c r="B17" s="23">
        <f>Data!A14</f>
        <v>8493</v>
      </c>
      <c r="C17" s="25">
        <f>Data!B14</f>
        <v>60</v>
      </c>
      <c r="D17" s="25">
        <f>Data!C14</f>
        <v>419</v>
      </c>
      <c r="E17" s="25">
        <f>Data!D14</f>
        <v>437</v>
      </c>
      <c r="F17" s="24">
        <f>$B17*'Exposure based - quarter'!F33/1000</f>
        <v>316.02383553480985</v>
      </c>
      <c r="G17" s="24">
        <f>$B17*'Exposure based - quarter'!G33/1000</f>
        <v>195.96851723110538</v>
      </c>
      <c r="H17" s="24">
        <f>$B17*'Exposure based - quarter'!H33/1000</f>
        <v>95.313238653292288</v>
      </c>
      <c r="I17" s="24">
        <f>$B17*'Exposure based - quarter'!I33/1000</f>
        <v>48.921839308769485</v>
      </c>
      <c r="J17" s="24">
        <f>$B17*'Exposure based - quarter'!J33/1000</f>
        <v>18.607770582793709</v>
      </c>
      <c r="K17" s="24">
        <f>$B17*'Exposure based - quarter'!K33/1000</f>
        <v>7.2264389038802852</v>
      </c>
      <c r="L17" s="24">
        <f>$B17*'Exposure based - quarter'!L33/1000</f>
        <v>2.8791525139865288</v>
      </c>
      <c r="M17" s="24">
        <f>$B17*'Exposure based - quarter'!M33/1000</f>
        <v>1.1471098433204547</v>
      </c>
      <c r="N17" s="24">
        <f>$B17*'Exposure based - quarter'!N33/1000</f>
        <v>0.45703066657650265</v>
      </c>
      <c r="O17" s="24">
        <f>$B17*'Exposure based - quarter'!O33/1000</f>
        <v>0.30268560076964152</v>
      </c>
      <c r="P17" s="21">
        <f>SUM(C17:E17)</f>
        <v>916</v>
      </c>
      <c r="Q17" s="27">
        <f t="shared" si="0"/>
        <v>0.10785352643353349</v>
      </c>
      <c r="R17" s="20">
        <f t="shared" si="1"/>
        <v>686.84761883930423</v>
      </c>
      <c r="S17" s="20">
        <f t="shared" si="2"/>
        <v>1602.8476188393042</v>
      </c>
      <c r="T17" s="27">
        <f t="shared" si="3"/>
        <v>0.18872572928756673</v>
      </c>
    </row>
    <row r="18" spans="1:23" ht="16" x14ac:dyDescent="0.2">
      <c r="A18" s="7">
        <f>'Chain Ladder'!A18</f>
        <v>14</v>
      </c>
      <c r="B18" s="23">
        <f>Data!A15</f>
        <v>8696</v>
      </c>
      <c r="C18" s="25">
        <f>Data!B15</f>
        <v>11</v>
      </c>
      <c r="D18" s="25">
        <f>Data!C15</f>
        <v>169</v>
      </c>
      <c r="E18" s="24">
        <f>$B18*'Exposure based - quarter'!E34/1000</f>
        <v>234.29053056225911</v>
      </c>
      <c r="F18" s="24">
        <f>$B18*'Exposure based - quarter'!F34/1000</f>
        <v>202.65504448366528</v>
      </c>
      <c r="G18" s="24">
        <f>$B18*'Exposure based - quarter'!G34/1000</f>
        <v>136.56506861650399</v>
      </c>
      <c r="H18" s="24">
        <f>$B18*'Exposure based - quarter'!H34/1000</f>
        <v>75.486654900407018</v>
      </c>
      <c r="I18" s="24">
        <f>$B18*'Exposure based - quarter'!I34/1000</f>
        <v>40.036832412523019</v>
      </c>
      <c r="J18" s="24">
        <f>$B18*'Exposure based - quarter'!J34/1000</f>
        <v>19.311883869569929</v>
      </c>
      <c r="K18" s="24">
        <f>$B18*'Exposure based - quarter'!K34/1000</f>
        <v>9.0044083521341474</v>
      </c>
      <c r="L18" s="24">
        <f>$B18*'Exposure based - quarter'!L34/1000</f>
        <v>4.983433591042453</v>
      </c>
      <c r="M18" s="24">
        <f>$B18*'Exposure based - quarter'!M34/1000</f>
        <v>2.7580502110884613</v>
      </c>
      <c r="N18" s="24">
        <f>$B18*'Exposure based - quarter'!N34/1000</f>
        <v>1.5264256717613602</v>
      </c>
      <c r="O18" s="24">
        <f>$B18*'Exposure based - quarter'!O34/1000</f>
        <v>1.8917902794345935</v>
      </c>
      <c r="P18" s="21">
        <f>SUM(C18:D18)</f>
        <v>180</v>
      </c>
      <c r="Q18" s="27">
        <f t="shared" si="0"/>
        <v>2.0699172033118676E-2</v>
      </c>
      <c r="R18" s="20">
        <f t="shared" si="1"/>
        <v>728.51012295038959</v>
      </c>
      <c r="S18" s="20">
        <f t="shared" si="2"/>
        <v>908.51012295038959</v>
      </c>
      <c r="T18" s="27">
        <f t="shared" si="3"/>
        <v>0.1044744851598884</v>
      </c>
    </row>
    <row r="19" spans="1:23" ht="16" x14ac:dyDescent="0.2">
      <c r="A19" s="7">
        <f>'Chain Ladder'!A19</f>
        <v>15</v>
      </c>
      <c r="B19" s="23">
        <f>Data!A16</f>
        <v>8772</v>
      </c>
      <c r="C19" s="25">
        <f>Data!B16</f>
        <v>323</v>
      </c>
      <c r="D19" s="24">
        <f>$B19*'Exposure based - quarter'!D35/1000</f>
        <v>756.71464019851123</v>
      </c>
      <c r="E19" s="24">
        <f>$B19*'Exposure based - quarter'!E35/1000</f>
        <v>396.92307692307696</v>
      </c>
      <c r="F19" s="24">
        <f>$B19*'Exposure based - quarter'!F35/1000</f>
        <v>181.17617866004963</v>
      </c>
      <c r="G19" s="24">
        <f>$B19*'Exposure based - quarter'!G35/1000</f>
        <v>76.183622828784124</v>
      </c>
      <c r="H19" s="24">
        <f>$B19*'Exposure based - quarter'!H35/1000</f>
        <v>36.492259083728285</v>
      </c>
      <c r="I19" s="24">
        <f>$B19*'Exposure based - quarter'!I35/1000</f>
        <v>13.395892575039493</v>
      </c>
      <c r="J19" s="24">
        <f>$B19*'Exposure based - quarter'!J35/1000</f>
        <v>2.7715639810426542</v>
      </c>
      <c r="K19" s="24">
        <f>$B19*'Exposure based - quarter'!K35/1000</f>
        <v>2.1124253437427307</v>
      </c>
      <c r="L19" s="24">
        <f>$B19*'Exposure based - quarter'!L35/1000</f>
        <v>1.4352986417185734</v>
      </c>
      <c r="M19" s="24">
        <f>$B19*'Exposure based - quarter'!M35/1000</f>
        <v>0.97522130049301092</v>
      </c>
      <c r="N19" s="24">
        <f>$B19*'Exposure based - quarter'!N35/1000</f>
        <v>0.66261930255610046</v>
      </c>
      <c r="O19" s="24">
        <f>$B19*'Exposure based - quarter'!O35/1000</f>
        <v>1.4045474533676705</v>
      </c>
      <c r="P19" s="21">
        <f>SUM(C19)</f>
        <v>323</v>
      </c>
      <c r="Q19" s="27">
        <f t="shared" si="0"/>
        <v>3.6821705426356592E-2</v>
      </c>
      <c r="R19" s="20">
        <f t="shared" si="1"/>
        <v>1470.2473462921103</v>
      </c>
      <c r="S19" s="20">
        <f t="shared" si="2"/>
        <v>1793.2473462921103</v>
      </c>
      <c r="T19" s="27">
        <f t="shared" si="3"/>
        <v>0.20442856204880419</v>
      </c>
    </row>
    <row r="20" spans="1:23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3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3185.1336837548465</v>
      </c>
      <c r="S21" s="3"/>
    </row>
    <row r="22" spans="1:23" ht="16" thickTop="1" x14ac:dyDescent="0.2"/>
    <row r="24" spans="1:23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3" ht="16" x14ac:dyDescent="0.2">
      <c r="C25" s="25">
        <v>91</v>
      </c>
      <c r="D25" s="25">
        <v>377</v>
      </c>
      <c r="E25" s="25">
        <v>301</v>
      </c>
      <c r="F25" s="25">
        <v>170</v>
      </c>
      <c r="G25" s="25">
        <v>72</v>
      </c>
      <c r="H25" s="25">
        <v>44</v>
      </c>
      <c r="I25" s="25">
        <v>11</v>
      </c>
      <c r="J25" s="25">
        <v>6</v>
      </c>
      <c r="K25" s="25">
        <v>3</v>
      </c>
      <c r="L25" s="25">
        <v>1</v>
      </c>
      <c r="M25" s="25">
        <v>1</v>
      </c>
      <c r="N25" s="25">
        <v>1</v>
      </c>
      <c r="O25" s="25">
        <v>1</v>
      </c>
      <c r="P25" s="21">
        <f>SUM(C25:N25)</f>
        <v>1078</v>
      </c>
      <c r="Q25" s="20">
        <f t="shared" ref="Q25:Q40" si="4">S25-P25</f>
        <v>1</v>
      </c>
      <c r="R25" s="26">
        <f>Q25/R4</f>
        <v>3.3305626250885565</v>
      </c>
      <c r="S25" s="29">
        <f t="shared" ref="S25:S40" si="5">SUM(C25:O25)</f>
        <v>1079</v>
      </c>
      <c r="T25" s="26">
        <f>S25/S4</f>
        <v>1.0006489383908512</v>
      </c>
      <c r="V25" s="42" t="s">
        <v>51</v>
      </c>
      <c r="W25" s="42"/>
    </row>
    <row r="26" spans="1:23" ht="16" x14ac:dyDescent="0.2">
      <c r="C26" s="25">
        <v>63</v>
      </c>
      <c r="D26" s="25">
        <v>550</v>
      </c>
      <c r="E26" s="25">
        <v>555</v>
      </c>
      <c r="F26" s="25">
        <v>404</v>
      </c>
      <c r="G26" s="25">
        <v>236</v>
      </c>
      <c r="H26" s="25">
        <v>104</v>
      </c>
      <c r="I26" s="25">
        <v>56</v>
      </c>
      <c r="J26" s="25">
        <v>26</v>
      </c>
      <c r="K26" s="25">
        <v>13</v>
      </c>
      <c r="L26" s="25">
        <v>5</v>
      </c>
      <c r="M26" s="25">
        <v>0</v>
      </c>
      <c r="N26" s="25">
        <v>1</v>
      </c>
      <c r="O26" s="25">
        <v>0</v>
      </c>
      <c r="P26" s="21">
        <f>SUM(C26:N26)</f>
        <v>2013</v>
      </c>
      <c r="Q26" s="20">
        <f t="shared" si="4"/>
        <v>0</v>
      </c>
      <c r="R26" s="26">
        <f t="shared" ref="R26:R40" si="6">Q26/R5</f>
        <v>0</v>
      </c>
      <c r="S26" s="29">
        <f t="shared" si="5"/>
        <v>2013</v>
      </c>
      <c r="T26" s="26">
        <f t="shared" ref="T26:T40" si="7">S26/S5</f>
        <v>0.99982004711725825</v>
      </c>
    </row>
    <row r="27" spans="1:23" ht="16" x14ac:dyDescent="0.2">
      <c r="C27" s="25">
        <v>12</v>
      </c>
      <c r="D27" s="25">
        <v>169</v>
      </c>
      <c r="E27" s="25">
        <v>274</v>
      </c>
      <c r="F27" s="25">
        <v>225</v>
      </c>
      <c r="G27" s="25">
        <v>166</v>
      </c>
      <c r="H27" s="25">
        <v>72</v>
      </c>
      <c r="I27" s="25">
        <v>47</v>
      </c>
      <c r="J27" s="25">
        <v>19</v>
      </c>
      <c r="K27" s="25">
        <v>11</v>
      </c>
      <c r="L27" s="25">
        <v>6</v>
      </c>
      <c r="M27" s="25">
        <v>4</v>
      </c>
      <c r="N27" s="25">
        <v>0</v>
      </c>
      <c r="O27" s="25">
        <v>1</v>
      </c>
      <c r="P27" s="21">
        <f>SUM(C27:N27)</f>
        <v>1005</v>
      </c>
      <c r="Q27" s="20">
        <f t="shared" si="4"/>
        <v>1</v>
      </c>
      <c r="R27" s="26">
        <f t="shared" si="6"/>
        <v>0.45665647022295652</v>
      </c>
      <c r="S27" s="29">
        <f t="shared" si="5"/>
        <v>1006</v>
      </c>
      <c r="T27" s="26">
        <f t="shared" si="7"/>
        <v>0.99881866369076344</v>
      </c>
    </row>
    <row r="28" spans="1:23" ht="16" x14ac:dyDescent="0.2">
      <c r="C28" s="25">
        <v>385</v>
      </c>
      <c r="D28" s="25">
        <v>906</v>
      </c>
      <c r="E28" s="25">
        <v>441</v>
      </c>
      <c r="F28" s="25">
        <v>235</v>
      </c>
      <c r="G28" s="25">
        <v>80</v>
      </c>
      <c r="H28" s="25">
        <v>41</v>
      </c>
      <c r="I28" s="25">
        <v>16</v>
      </c>
      <c r="J28" s="25">
        <v>2</v>
      </c>
      <c r="K28" s="25">
        <v>3</v>
      </c>
      <c r="L28" s="25">
        <v>2</v>
      </c>
      <c r="M28" s="25">
        <v>1</v>
      </c>
      <c r="N28" s="25">
        <v>0</v>
      </c>
      <c r="O28" s="25">
        <v>0</v>
      </c>
      <c r="P28" s="21">
        <f>SUM(C28:N28)</f>
        <v>2112</v>
      </c>
      <c r="Q28" s="20">
        <f t="shared" si="4"/>
        <v>0</v>
      </c>
      <c r="R28" s="26">
        <f t="shared" si="6"/>
        <v>0</v>
      </c>
      <c r="S28" s="29">
        <f t="shared" si="5"/>
        <v>2112</v>
      </c>
      <c r="T28" s="26">
        <f t="shared" si="7"/>
        <v>0.99921579892140133</v>
      </c>
    </row>
    <row r="29" spans="1:23" ht="16" x14ac:dyDescent="0.2">
      <c r="C29" s="25">
        <v>92</v>
      </c>
      <c r="D29" s="25">
        <v>361</v>
      </c>
      <c r="E29" s="25">
        <v>265</v>
      </c>
      <c r="F29" s="25">
        <v>158</v>
      </c>
      <c r="G29" s="25">
        <v>69</v>
      </c>
      <c r="H29" s="25">
        <v>29</v>
      </c>
      <c r="I29" s="25">
        <v>17</v>
      </c>
      <c r="J29" s="25">
        <v>9</v>
      </c>
      <c r="K29" s="25">
        <v>2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1002</v>
      </c>
      <c r="Q29" s="20">
        <f t="shared" si="4"/>
        <v>0</v>
      </c>
      <c r="R29" s="26">
        <f t="shared" si="6"/>
        <v>0</v>
      </c>
      <c r="S29" s="29">
        <f t="shared" si="5"/>
        <v>1002</v>
      </c>
      <c r="T29" s="26">
        <f t="shared" si="7"/>
        <v>0.99972938310189208</v>
      </c>
    </row>
    <row r="30" spans="1:23" ht="16" x14ac:dyDescent="0.2">
      <c r="C30" s="25">
        <v>69</v>
      </c>
      <c r="D30" s="25">
        <v>550</v>
      </c>
      <c r="E30" s="25">
        <v>637</v>
      </c>
      <c r="F30" s="25">
        <v>370</v>
      </c>
      <c r="G30" s="25">
        <v>235</v>
      </c>
      <c r="H30" s="25">
        <v>122</v>
      </c>
      <c r="I30" s="25">
        <v>53</v>
      </c>
      <c r="J30" s="25">
        <v>19</v>
      </c>
      <c r="K30" s="25">
        <v>7</v>
      </c>
      <c r="L30" s="25">
        <v>4</v>
      </c>
      <c r="M30" s="25">
        <v>1</v>
      </c>
      <c r="N30" s="25">
        <v>2</v>
      </c>
      <c r="O30" s="25">
        <v>1</v>
      </c>
      <c r="P30" s="21">
        <f>SUM(C30:M30)</f>
        <v>2067</v>
      </c>
      <c r="Q30" s="20">
        <f t="shared" si="4"/>
        <v>3</v>
      </c>
      <c r="R30" s="26">
        <f>Q30/R9</f>
        <v>3.2331553691683639</v>
      </c>
      <c r="S30" s="29">
        <f t="shared" si="5"/>
        <v>2070</v>
      </c>
      <c r="T30" s="26">
        <f t="shared" si="7"/>
        <v>1.0010020242442093</v>
      </c>
    </row>
    <row r="31" spans="1:23" ht="16" x14ac:dyDescent="0.2">
      <c r="C31" s="25">
        <v>6</v>
      </c>
      <c r="D31" s="25">
        <v>143</v>
      </c>
      <c r="E31" s="25">
        <v>212</v>
      </c>
      <c r="F31" s="25">
        <v>200</v>
      </c>
      <c r="G31" s="25">
        <v>120</v>
      </c>
      <c r="H31" s="25">
        <v>85</v>
      </c>
      <c r="I31" s="25">
        <v>38</v>
      </c>
      <c r="J31" s="25">
        <v>22</v>
      </c>
      <c r="K31" s="25">
        <v>6</v>
      </c>
      <c r="L31" s="25">
        <v>2</v>
      </c>
      <c r="M31" s="25">
        <v>3</v>
      </c>
      <c r="N31" s="25">
        <v>1</v>
      </c>
      <c r="O31" s="25">
        <v>0</v>
      </c>
      <c r="P31" s="21">
        <f>SUM(C31:L31)</f>
        <v>834</v>
      </c>
      <c r="Q31" s="20">
        <f t="shared" si="4"/>
        <v>4</v>
      </c>
      <c r="R31" s="26">
        <f t="shared" si="6"/>
        <v>0.67078151971110411</v>
      </c>
      <c r="S31" s="29">
        <f t="shared" si="5"/>
        <v>838</v>
      </c>
      <c r="T31" s="26">
        <f t="shared" si="7"/>
        <v>0.99766276246652486</v>
      </c>
    </row>
    <row r="32" spans="1:23" ht="16" x14ac:dyDescent="0.2">
      <c r="C32" s="25">
        <v>315</v>
      </c>
      <c r="D32" s="25">
        <v>711</v>
      </c>
      <c r="E32" s="25">
        <v>421</v>
      </c>
      <c r="F32" s="25">
        <v>175</v>
      </c>
      <c r="G32" s="25">
        <v>87</v>
      </c>
      <c r="H32" s="25">
        <v>38</v>
      </c>
      <c r="I32" s="25">
        <v>13</v>
      </c>
      <c r="J32" s="25">
        <v>4</v>
      </c>
      <c r="K32" s="25">
        <v>2</v>
      </c>
      <c r="L32" s="25">
        <v>0</v>
      </c>
      <c r="M32" s="25">
        <v>1</v>
      </c>
      <c r="N32" s="25">
        <v>0</v>
      </c>
      <c r="O32" s="25">
        <v>0</v>
      </c>
      <c r="P32" s="21">
        <f>SUM(C32:K32)</f>
        <v>1766</v>
      </c>
      <c r="Q32" s="20">
        <f t="shared" si="4"/>
        <v>1</v>
      </c>
      <c r="R32" s="26">
        <f t="shared" si="6"/>
        <v>0.22679408334212064</v>
      </c>
      <c r="S32" s="29">
        <f t="shared" si="5"/>
        <v>1767</v>
      </c>
      <c r="T32" s="26">
        <f t="shared" si="7"/>
        <v>0.99807429494970445</v>
      </c>
    </row>
    <row r="33" spans="1:26" ht="16" x14ac:dyDescent="0.2">
      <c r="C33" s="25">
        <v>78</v>
      </c>
      <c r="D33" s="25">
        <v>288</v>
      </c>
      <c r="E33" s="25">
        <v>239</v>
      </c>
      <c r="F33" s="25">
        <v>99</v>
      </c>
      <c r="G33" s="25">
        <v>66</v>
      </c>
      <c r="H33" s="25">
        <v>32</v>
      </c>
      <c r="I33" s="25">
        <v>11</v>
      </c>
      <c r="J33" s="25">
        <v>6</v>
      </c>
      <c r="K33" s="25">
        <v>3</v>
      </c>
      <c r="L33" s="25">
        <v>0</v>
      </c>
      <c r="M33" s="25">
        <v>0</v>
      </c>
      <c r="N33" s="25">
        <v>1</v>
      </c>
      <c r="O33" s="25">
        <v>0</v>
      </c>
      <c r="P33" s="21">
        <f>SUM(C33:J33)</f>
        <v>819</v>
      </c>
      <c r="Q33" s="20">
        <f t="shared" si="4"/>
        <v>4</v>
      </c>
      <c r="R33" s="26">
        <f t="shared" si="6"/>
        <v>1.0494079262948839</v>
      </c>
      <c r="S33" s="29">
        <f t="shared" si="5"/>
        <v>823</v>
      </c>
      <c r="T33" s="26">
        <f t="shared" si="7"/>
        <v>1.0002288821020027</v>
      </c>
    </row>
    <row r="34" spans="1:26" ht="16" x14ac:dyDescent="0.2">
      <c r="C34" s="25">
        <v>85</v>
      </c>
      <c r="D34" s="25">
        <v>499</v>
      </c>
      <c r="E34" s="25">
        <v>555</v>
      </c>
      <c r="F34" s="25">
        <v>350</v>
      </c>
      <c r="G34" s="25">
        <v>226</v>
      </c>
      <c r="H34" s="25">
        <v>113</v>
      </c>
      <c r="I34" s="25">
        <v>65</v>
      </c>
      <c r="J34" s="25">
        <v>23</v>
      </c>
      <c r="K34" s="25">
        <v>15</v>
      </c>
      <c r="L34" s="25">
        <v>4</v>
      </c>
      <c r="M34" s="25">
        <v>3</v>
      </c>
      <c r="N34" s="25">
        <v>0</v>
      </c>
      <c r="O34" s="25">
        <v>0</v>
      </c>
      <c r="P34" s="21">
        <f>SUM(C34:I34)</f>
        <v>1893</v>
      </c>
      <c r="Q34" s="20">
        <f t="shared" si="4"/>
        <v>45</v>
      </c>
      <c r="R34" s="26">
        <f t="shared" si="6"/>
        <v>1.2910086190521546</v>
      </c>
      <c r="S34" s="29">
        <f t="shared" si="5"/>
        <v>1938</v>
      </c>
      <c r="T34" s="26">
        <f t="shared" si="7"/>
        <v>1.0052615600016717</v>
      </c>
    </row>
    <row r="35" spans="1:26" ht="16" x14ac:dyDescent="0.2">
      <c r="C35" s="25">
        <v>18</v>
      </c>
      <c r="D35" s="25">
        <v>144</v>
      </c>
      <c r="E35" s="25">
        <v>262</v>
      </c>
      <c r="F35" s="25">
        <v>222</v>
      </c>
      <c r="G35" s="25">
        <v>150</v>
      </c>
      <c r="H35" s="25">
        <v>84</v>
      </c>
      <c r="I35" s="25">
        <v>35</v>
      </c>
      <c r="J35" s="25">
        <v>31</v>
      </c>
      <c r="K35" s="25">
        <v>9</v>
      </c>
      <c r="L35" s="25">
        <v>2</v>
      </c>
      <c r="M35" s="25">
        <v>2</v>
      </c>
      <c r="N35" s="25">
        <v>3</v>
      </c>
      <c r="O35" s="25">
        <v>0</v>
      </c>
      <c r="P35" s="21">
        <f>SUM(C35:H35)</f>
        <v>880</v>
      </c>
      <c r="Q35" s="20">
        <f t="shared" si="4"/>
        <v>82</v>
      </c>
      <c r="R35" s="26">
        <f t="shared" si="6"/>
        <v>0.96419873799003131</v>
      </c>
      <c r="S35" s="29">
        <f t="shared" si="5"/>
        <v>962</v>
      </c>
      <c r="T35" s="26">
        <f t="shared" si="7"/>
        <v>0.99684500848079682</v>
      </c>
    </row>
    <row r="36" spans="1:26" ht="16" x14ac:dyDescent="0.2">
      <c r="C36" s="25">
        <v>331</v>
      </c>
      <c r="D36" s="25">
        <v>747</v>
      </c>
      <c r="E36" s="25">
        <v>378</v>
      </c>
      <c r="F36" s="25">
        <v>156</v>
      </c>
      <c r="G36" s="25">
        <v>71</v>
      </c>
      <c r="H36" s="25">
        <v>27</v>
      </c>
      <c r="I36" s="25">
        <v>11</v>
      </c>
      <c r="J36" s="25">
        <v>6</v>
      </c>
      <c r="K36" s="25">
        <v>3</v>
      </c>
      <c r="L36" s="25">
        <v>0</v>
      </c>
      <c r="M36" s="25">
        <v>1</v>
      </c>
      <c r="N36" s="25">
        <v>0</v>
      </c>
      <c r="O36" s="25">
        <v>0</v>
      </c>
      <c r="P36" s="21">
        <f>SUM(C36:G36)</f>
        <v>1683</v>
      </c>
      <c r="Q36" s="20">
        <f t="shared" si="4"/>
        <v>48</v>
      </c>
      <c r="R36" s="26">
        <f>Q36/R15</f>
        <v>0.8445984130761498</v>
      </c>
      <c r="S36" s="29">
        <f t="shared" si="5"/>
        <v>1731</v>
      </c>
      <c r="T36" s="26">
        <f t="shared" si="7"/>
        <v>0.99492379473230441</v>
      </c>
    </row>
    <row r="37" spans="1:26" ht="16" x14ac:dyDescent="0.2">
      <c r="C37" s="25">
        <v>67</v>
      </c>
      <c r="D37" s="25">
        <v>272</v>
      </c>
      <c r="E37" s="25">
        <v>182</v>
      </c>
      <c r="F37" s="25">
        <v>125</v>
      </c>
      <c r="G37" s="25">
        <v>57</v>
      </c>
      <c r="H37" s="25">
        <v>27</v>
      </c>
      <c r="I37" s="25">
        <v>11</v>
      </c>
      <c r="J37" s="25">
        <v>2</v>
      </c>
      <c r="K37" s="25">
        <v>2</v>
      </c>
      <c r="L37" s="25">
        <v>2</v>
      </c>
      <c r="M37" s="25">
        <v>1</v>
      </c>
      <c r="N37" s="25">
        <v>0</v>
      </c>
      <c r="O37" s="25">
        <v>0</v>
      </c>
      <c r="P37" s="21">
        <f>SUM(C37:F37)</f>
        <v>646</v>
      </c>
      <c r="Q37" s="20">
        <f t="shared" si="4"/>
        <v>102</v>
      </c>
      <c r="R37" s="26">
        <f t="shared" si="6"/>
        <v>0.9912297115385954</v>
      </c>
      <c r="S37" s="29">
        <f t="shared" si="5"/>
        <v>748</v>
      </c>
      <c r="T37" s="26">
        <f t="shared" si="7"/>
        <v>0.99879492391742752</v>
      </c>
    </row>
    <row r="38" spans="1:26" ht="16" x14ac:dyDescent="0.2">
      <c r="C38" s="25">
        <v>60</v>
      </c>
      <c r="D38" s="25">
        <v>419</v>
      </c>
      <c r="E38" s="25">
        <v>437</v>
      </c>
      <c r="F38" s="25">
        <v>319</v>
      </c>
      <c r="G38" s="25">
        <v>200</v>
      </c>
      <c r="H38" s="25">
        <v>86</v>
      </c>
      <c r="I38" s="25">
        <v>41</v>
      </c>
      <c r="J38" s="25">
        <v>24</v>
      </c>
      <c r="K38" s="25">
        <v>9</v>
      </c>
      <c r="L38" s="25">
        <v>4</v>
      </c>
      <c r="M38" s="25">
        <v>1</v>
      </c>
      <c r="N38" s="25">
        <v>0</v>
      </c>
      <c r="O38" s="25">
        <v>0</v>
      </c>
      <c r="P38" s="21">
        <f>SUM(C38:E38)</f>
        <v>916</v>
      </c>
      <c r="Q38" s="20">
        <f t="shared" si="4"/>
        <v>684</v>
      </c>
      <c r="R38" s="26">
        <f t="shared" si="6"/>
        <v>0.99585407481776467</v>
      </c>
      <c r="S38" s="29">
        <f t="shared" si="5"/>
        <v>1600</v>
      </c>
      <c r="T38" s="26">
        <f t="shared" si="7"/>
        <v>0.99822340014993671</v>
      </c>
    </row>
    <row r="39" spans="1:26" ht="16" x14ac:dyDescent="0.2">
      <c r="C39" s="25">
        <v>11</v>
      </c>
      <c r="D39" s="25">
        <v>169</v>
      </c>
      <c r="E39" s="25">
        <v>247</v>
      </c>
      <c r="F39" s="25">
        <v>202</v>
      </c>
      <c r="G39" s="25">
        <v>139</v>
      </c>
      <c r="H39" s="25">
        <v>82</v>
      </c>
      <c r="I39" s="25">
        <v>38</v>
      </c>
      <c r="J39" s="25">
        <v>21</v>
      </c>
      <c r="K39" s="25">
        <v>12</v>
      </c>
      <c r="L39" s="25">
        <v>5</v>
      </c>
      <c r="M39" s="25">
        <v>4</v>
      </c>
      <c r="N39" s="25">
        <v>0</v>
      </c>
      <c r="O39" s="25">
        <v>1</v>
      </c>
      <c r="P39" s="21">
        <f>SUM(C39:D39)</f>
        <v>180</v>
      </c>
      <c r="Q39" s="20">
        <f t="shared" si="4"/>
        <v>751</v>
      </c>
      <c r="R39" s="26">
        <f t="shared" si="6"/>
        <v>1.030871056339655</v>
      </c>
      <c r="S39" s="29">
        <f t="shared" si="5"/>
        <v>931</v>
      </c>
      <c r="T39" s="26">
        <f t="shared" si="7"/>
        <v>1.0247546796469085</v>
      </c>
      <c r="U39" s="42" t="s">
        <v>52</v>
      </c>
      <c r="V39" s="42"/>
      <c r="W39" s="42"/>
      <c r="X39" s="42"/>
      <c r="Y39" s="42"/>
      <c r="Z39" s="42"/>
    </row>
    <row r="40" spans="1:26" ht="16" x14ac:dyDescent="0.2">
      <c r="C40" s="25">
        <v>323</v>
      </c>
      <c r="D40" s="25">
        <v>713</v>
      </c>
      <c r="E40" s="25">
        <v>344</v>
      </c>
      <c r="F40" s="25">
        <v>160</v>
      </c>
      <c r="G40" s="25">
        <v>66</v>
      </c>
      <c r="H40" s="25">
        <v>29</v>
      </c>
      <c r="I40" s="25">
        <v>9</v>
      </c>
      <c r="J40" s="25">
        <v>5</v>
      </c>
      <c r="K40" s="25">
        <v>1</v>
      </c>
      <c r="L40" s="25">
        <v>1</v>
      </c>
      <c r="M40" s="25">
        <v>1</v>
      </c>
      <c r="N40" s="25">
        <v>0</v>
      </c>
      <c r="O40" s="25">
        <v>0</v>
      </c>
      <c r="P40" s="21">
        <f>SUM(C40)</f>
        <v>323</v>
      </c>
      <c r="Q40" s="20">
        <f t="shared" si="4"/>
        <v>1329</v>
      </c>
      <c r="R40" s="26">
        <f t="shared" si="6"/>
        <v>0.9039295349531975</v>
      </c>
      <c r="S40" s="29">
        <f t="shared" si="5"/>
        <v>1652</v>
      </c>
      <c r="T40" s="41">
        <f t="shared" si="7"/>
        <v>0.92123376254582678</v>
      </c>
      <c r="U40" s="42" t="s">
        <v>53</v>
      </c>
      <c r="V40" s="42"/>
      <c r="W40" s="42"/>
      <c r="X40" s="42"/>
      <c r="Y40" s="42"/>
      <c r="Z40" s="42"/>
    </row>
    <row r="41" spans="1:26" ht="16" x14ac:dyDescent="0.2"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P41" s="6"/>
      <c r="Q41" s="3"/>
      <c r="R41" s="26"/>
      <c r="S41" s="3"/>
      <c r="U41" s="42" t="s">
        <v>54</v>
      </c>
      <c r="V41" s="42"/>
      <c r="W41" s="42"/>
      <c r="X41" s="42"/>
      <c r="Y41" s="42"/>
      <c r="Z41" s="42"/>
    </row>
    <row r="42" spans="1:26" ht="16" x14ac:dyDescent="0.2">
      <c r="A42" s="28" t="s">
        <v>38</v>
      </c>
      <c r="P42" s="6"/>
      <c r="Q42" s="20">
        <f>SUM(Q25:Q40)</f>
        <v>3055</v>
      </c>
      <c r="R42" s="26">
        <f>Q42/R21</f>
        <v>0.95914341541814463</v>
      </c>
      <c r="S42" s="3"/>
      <c r="T42" s="30">
        <f>AVERAGE(T25:T40)</f>
        <v>0.99595237027871764</v>
      </c>
      <c r="U42" s="30" t="s">
        <v>39</v>
      </c>
    </row>
    <row r="43" spans="1:26" x14ac:dyDescent="0.2">
      <c r="O43">
        <f t="shared" ref="O43:O47" si="8">IF(O4&gt;0,O25/O4,"")</f>
        <v>3.3305626250888731</v>
      </c>
    </row>
    <row r="44" spans="1:26" x14ac:dyDescent="0.2">
      <c r="O44">
        <f t="shared" si="8"/>
        <v>0</v>
      </c>
    </row>
    <row r="45" spans="1:26" x14ac:dyDescent="0.2">
      <c r="O45">
        <f t="shared" si="8"/>
        <v>0.4566564702229568</v>
      </c>
    </row>
    <row r="46" spans="1:26" x14ac:dyDescent="0.2">
      <c r="O46">
        <f t="shared" si="8"/>
        <v>0</v>
      </c>
    </row>
    <row r="47" spans="1:26" x14ac:dyDescent="0.2">
      <c r="O47">
        <f t="shared" si="8"/>
        <v>0</v>
      </c>
    </row>
    <row r="48" spans="1:26" x14ac:dyDescent="0.2">
      <c r="M48">
        <f t="shared" ref="M48:O48" si="9">IF(M9&gt;0,M30/M9,"")</f>
        <v>1</v>
      </c>
      <c r="N48">
        <f t="shared" si="9"/>
        <v>3.5829553805284751</v>
      </c>
      <c r="O48">
        <f t="shared" si="9"/>
        <v>2.7049857702399072</v>
      </c>
    </row>
    <row r="49" spans="3:15" x14ac:dyDescent="0.2">
      <c r="L49">
        <f t="shared" ref="L49:O49" si="10">IF(L10&gt;0,L31/L10,"")</f>
        <v>1</v>
      </c>
      <c r="M49">
        <f t="shared" si="10"/>
        <v>1.1265907666821546</v>
      </c>
      <c r="N49">
        <f t="shared" si="10"/>
        <v>0.67853372737383288</v>
      </c>
      <c r="O49">
        <f t="shared" si="10"/>
        <v>0</v>
      </c>
    </row>
    <row r="50" spans="3:15" x14ac:dyDescent="0.2">
      <c r="K50">
        <f t="shared" ref="K50:O50" si="11">IF(K11&gt;0,K32/K11,"")</f>
        <v>1</v>
      </c>
      <c r="L50">
        <f t="shared" si="11"/>
        <v>0</v>
      </c>
      <c r="M50">
        <f t="shared" si="11"/>
        <v>1.0413152888307762</v>
      </c>
      <c r="N50">
        <f t="shared" si="11"/>
        <v>0</v>
      </c>
      <c r="O50">
        <f t="shared" si="11"/>
        <v>0</v>
      </c>
    </row>
    <row r="51" spans="3:15" x14ac:dyDescent="0.2">
      <c r="J51">
        <f t="shared" ref="J51:O51" si="12">IF(J12&gt;0,J33/J12,"")</f>
        <v>1</v>
      </c>
      <c r="K51">
        <f t="shared" si="12"/>
        <v>1.5599277885778342</v>
      </c>
      <c r="L51">
        <f t="shared" si="12"/>
        <v>0</v>
      </c>
      <c r="M51">
        <f t="shared" si="12"/>
        <v>0</v>
      </c>
      <c r="N51">
        <f t="shared" si="12"/>
        <v>4.2753755173847212</v>
      </c>
      <c r="O51">
        <f t="shared" si="12"/>
        <v>0</v>
      </c>
    </row>
    <row r="52" spans="3:15" x14ac:dyDescent="0.2">
      <c r="I52">
        <f t="shared" ref="I52:O52" si="13">IF(I13&gt;0,I34/I13,"")</f>
        <v>1</v>
      </c>
      <c r="J52">
        <f t="shared" si="13"/>
        <v>1.0858203466188572</v>
      </c>
      <c r="K52">
        <f t="shared" si="13"/>
        <v>1.8234397003617349</v>
      </c>
      <c r="L52">
        <f t="shared" si="13"/>
        <v>1.2204494691232375</v>
      </c>
      <c r="M52">
        <f t="shared" si="13"/>
        <v>2.2974217624061928</v>
      </c>
      <c r="N52">
        <f t="shared" si="13"/>
        <v>0</v>
      </c>
      <c r="O52">
        <f t="shared" si="13"/>
        <v>0</v>
      </c>
    </row>
    <row r="53" spans="3:15" x14ac:dyDescent="0.2">
      <c r="H53">
        <f t="shared" ref="H53:O53" si="14">IF(H14&gt;0,H35/H14,"")</f>
        <v>1</v>
      </c>
      <c r="I53">
        <f t="shared" si="14"/>
        <v>0.81733146973443704</v>
      </c>
      <c r="J53">
        <f t="shared" si="14"/>
        <v>1.5008142318817015</v>
      </c>
      <c r="K53">
        <f t="shared" si="14"/>
        <v>0.93449549914339414</v>
      </c>
      <c r="L53">
        <f t="shared" si="14"/>
        <v>0.37522451689370945</v>
      </c>
      <c r="M53">
        <f t="shared" si="14"/>
        <v>0.67798129785781958</v>
      </c>
      <c r="N53">
        <f t="shared" si="14"/>
        <v>1.8375344076004843</v>
      </c>
      <c r="O53">
        <f t="shared" si="14"/>
        <v>0</v>
      </c>
    </row>
    <row r="54" spans="3:15" x14ac:dyDescent="0.2">
      <c r="G54">
        <f t="shared" ref="G54:O54" si="15">IF(G15&gt;0,G36/G15,"")</f>
        <v>1</v>
      </c>
      <c r="H54">
        <f t="shared" si="15"/>
        <v>0.7713635802896317</v>
      </c>
      <c r="I54">
        <f t="shared" si="15"/>
        <v>0.85608550609411238</v>
      </c>
      <c r="J54">
        <f t="shared" si="15"/>
        <v>2.2569526978844778</v>
      </c>
      <c r="K54">
        <f t="shared" si="15"/>
        <v>1.4805940533952155</v>
      </c>
      <c r="L54">
        <f t="shared" si="15"/>
        <v>0</v>
      </c>
      <c r="M54">
        <f t="shared" si="15"/>
        <v>1.0690374928595487</v>
      </c>
      <c r="N54">
        <f t="shared" si="15"/>
        <v>0</v>
      </c>
      <c r="O54">
        <f t="shared" si="15"/>
        <v>0</v>
      </c>
    </row>
    <row r="55" spans="3:15" x14ac:dyDescent="0.2">
      <c r="F55">
        <f t="shared" ref="F55:O55" si="16">IF(F16&gt;0,F37/F16,"")</f>
        <v>1</v>
      </c>
      <c r="G55">
        <f t="shared" si="16"/>
        <v>1.0310334167111661</v>
      </c>
      <c r="H55">
        <f t="shared" si="16"/>
        <v>0.96281466432726948</v>
      </c>
      <c r="I55">
        <f t="shared" si="16"/>
        <v>1.0560787628660933</v>
      </c>
      <c r="J55">
        <f t="shared" si="16"/>
        <v>0.35659802382491457</v>
      </c>
      <c r="K55">
        <f t="shared" si="16"/>
        <v>1.1163180718432888</v>
      </c>
      <c r="L55">
        <f t="shared" si="16"/>
        <v>2.2531233282744965</v>
      </c>
      <c r="M55">
        <f t="shared" si="16"/>
        <v>2.2737985079970127</v>
      </c>
      <c r="N55">
        <f t="shared" si="16"/>
        <v>0</v>
      </c>
      <c r="O55">
        <f t="shared" si="16"/>
        <v>0</v>
      </c>
    </row>
    <row r="56" spans="3:15" x14ac:dyDescent="0.2">
      <c r="E56">
        <f t="shared" ref="E56:O56" si="17">IF(E17&gt;0,E38/E17,"")</f>
        <v>1</v>
      </c>
      <c r="F56">
        <f t="shared" si="17"/>
        <v>1.0094175316243268</v>
      </c>
      <c r="G56">
        <f t="shared" si="17"/>
        <v>1.0205720940580487</v>
      </c>
      <c r="H56">
        <f t="shared" si="17"/>
        <v>0.90228808941043581</v>
      </c>
      <c r="I56">
        <f t="shared" si="17"/>
        <v>0.8380715152843925</v>
      </c>
      <c r="J56">
        <f t="shared" si="17"/>
        <v>1.2897837434750188</v>
      </c>
      <c r="K56">
        <f t="shared" si="17"/>
        <v>1.2454267059764927</v>
      </c>
      <c r="L56">
        <f t="shared" si="17"/>
        <v>1.3892977119372967</v>
      </c>
      <c r="M56">
        <f t="shared" si="17"/>
        <v>0.87175609713658575</v>
      </c>
      <c r="N56">
        <f t="shared" si="17"/>
        <v>0</v>
      </c>
      <c r="O56">
        <f t="shared" si="17"/>
        <v>0</v>
      </c>
    </row>
    <row r="57" spans="3:15" x14ac:dyDescent="0.2">
      <c r="D57">
        <f t="shared" ref="D57:O57" si="18">IF(D18&gt;0,D39/D18,"")</f>
        <v>1</v>
      </c>
      <c r="E57">
        <f t="shared" si="18"/>
        <v>1.0542466202421423</v>
      </c>
      <c r="F57">
        <f t="shared" si="18"/>
        <v>0.99676768725232456</v>
      </c>
      <c r="G57">
        <f t="shared" si="18"/>
        <v>1.0178298257977936</v>
      </c>
      <c r="H57">
        <f t="shared" si="18"/>
        <v>1.0862847228849435</v>
      </c>
      <c r="I57">
        <f t="shared" si="18"/>
        <v>0.94912603495860171</v>
      </c>
      <c r="J57">
        <f t="shared" si="18"/>
        <v>1.0874133327349833</v>
      </c>
      <c r="K57">
        <f t="shared" si="18"/>
        <v>1.3326805638657939</v>
      </c>
      <c r="L57">
        <f t="shared" si="18"/>
        <v>1.0033242961213178</v>
      </c>
      <c r="M57">
        <f t="shared" si="18"/>
        <v>1.4502999198195905</v>
      </c>
      <c r="N57">
        <f t="shared" si="18"/>
        <v>0</v>
      </c>
      <c r="O57">
        <f t="shared" si="18"/>
        <v>0.52859981937261769</v>
      </c>
    </row>
    <row r="58" spans="3:15" x14ac:dyDescent="0.2">
      <c r="C58">
        <f t="shared" ref="C58:O58" si="19">IF(C19&gt;0,C40/C19,"")</f>
        <v>1</v>
      </c>
      <c r="D58">
        <f t="shared" si="19"/>
        <v>0.94223101037526713</v>
      </c>
      <c r="E58">
        <f t="shared" si="19"/>
        <v>0.86666666666666659</v>
      </c>
      <c r="F58">
        <f t="shared" si="19"/>
        <v>0.88311830607828634</v>
      </c>
      <c r="G58">
        <f t="shared" si="19"/>
        <v>0.8663279265194449</v>
      </c>
      <c r="H58">
        <f t="shared" si="19"/>
        <v>0.79468908552529027</v>
      </c>
      <c r="I58">
        <f t="shared" si="19"/>
        <v>0.6718477286664466</v>
      </c>
      <c r="J58">
        <f t="shared" si="19"/>
        <v>1.8040355677154583</v>
      </c>
      <c r="K58">
        <f t="shared" si="19"/>
        <v>0.47338951076407298</v>
      </c>
      <c r="L58">
        <f t="shared" si="19"/>
        <v>0.69671911540488685</v>
      </c>
      <c r="M58">
        <f t="shared" si="19"/>
        <v>1.0254082837346379</v>
      </c>
      <c r="N58">
        <f t="shared" si="19"/>
        <v>0</v>
      </c>
      <c r="O58">
        <f t="shared" si="19"/>
        <v>0</v>
      </c>
    </row>
    <row r="59" spans="3:15" x14ac:dyDescent="0.2">
      <c r="C59" t="str">
        <f t="shared" ref="C59:O60" si="20">IF(C41&gt;0,C20/C41,"")</f>
        <v/>
      </c>
      <c r="D59" t="str">
        <f t="shared" si="20"/>
        <v/>
      </c>
      <c r="E59" t="str">
        <f t="shared" si="20"/>
        <v/>
      </c>
      <c r="F59" t="str">
        <f t="shared" si="20"/>
        <v/>
      </c>
      <c r="G59" t="str">
        <f t="shared" si="20"/>
        <v/>
      </c>
      <c r="H59" t="str">
        <f t="shared" si="20"/>
        <v/>
      </c>
      <c r="I59" t="str">
        <f t="shared" si="20"/>
        <v/>
      </c>
      <c r="J59" t="str">
        <f t="shared" si="20"/>
        <v/>
      </c>
      <c r="K59" t="str">
        <f t="shared" si="20"/>
        <v/>
      </c>
      <c r="L59" t="str">
        <f t="shared" si="20"/>
        <v/>
      </c>
      <c r="M59" t="str">
        <f t="shared" si="20"/>
        <v/>
      </c>
      <c r="N59" t="str">
        <f t="shared" si="20"/>
        <v/>
      </c>
      <c r="O59" t="str">
        <f t="shared" si="20"/>
        <v/>
      </c>
    </row>
    <row r="60" spans="3:15" x14ac:dyDescent="0.2">
      <c r="C60" t="str">
        <f t="shared" si="20"/>
        <v/>
      </c>
      <c r="D60" t="str">
        <f t="shared" si="20"/>
        <v/>
      </c>
      <c r="E60" t="str">
        <f t="shared" si="20"/>
        <v/>
      </c>
      <c r="F60" t="str">
        <f t="shared" si="20"/>
        <v/>
      </c>
      <c r="G60" t="str">
        <f t="shared" si="20"/>
        <v/>
      </c>
      <c r="H60" t="str">
        <f t="shared" si="20"/>
        <v/>
      </c>
      <c r="I60" t="str">
        <f t="shared" si="20"/>
        <v/>
      </c>
      <c r="J60" t="str">
        <f t="shared" si="20"/>
        <v/>
      </c>
      <c r="K60" t="str">
        <f t="shared" si="20"/>
        <v/>
      </c>
      <c r="L60" t="str">
        <f t="shared" si="20"/>
        <v/>
      </c>
      <c r="M60" t="str">
        <f t="shared" si="20"/>
        <v/>
      </c>
      <c r="N60" t="str">
        <f t="shared" si="20"/>
        <v/>
      </c>
      <c r="O60" t="str">
        <f t="shared" si="20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C8B-005F-0D48-956E-E197840B02AB}">
  <dimension ref="A1:S58"/>
  <sheetViews>
    <sheetView tabSelected="1" workbookViewId="0">
      <selection activeCell="H25" sqref="H25"/>
    </sheetView>
  </sheetViews>
  <sheetFormatPr baseColWidth="10" defaultRowHeight="15" x14ac:dyDescent="0.2"/>
  <cols>
    <col min="3" max="14" width="8" customWidth="1"/>
    <col min="15" max="18" width="6.6640625" customWidth="1"/>
  </cols>
  <sheetData>
    <row r="1" spans="1:19" ht="16" x14ac:dyDescent="0.2">
      <c r="A1" s="1" t="s">
        <v>0</v>
      </c>
      <c r="B1" s="2"/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6" x14ac:dyDescent="0.2">
      <c r="A4" s="7">
        <v>0</v>
      </c>
      <c r="B4" s="8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9"/>
    </row>
    <row r="5" spans="1:19" ht="16" x14ac:dyDescent="0.2">
      <c r="A5" s="7">
        <v>1</v>
      </c>
      <c r="B5" s="8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9"/>
    </row>
    <row r="6" spans="1:19" ht="16" x14ac:dyDescent="0.2">
      <c r="A6" s="7">
        <v>2</v>
      </c>
      <c r="B6" s="8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9"/>
    </row>
    <row r="7" spans="1:19" ht="16" x14ac:dyDescent="0.2">
      <c r="A7" s="7">
        <v>3</v>
      </c>
      <c r="B7" s="8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9"/>
    </row>
    <row r="8" spans="1:19" ht="16" x14ac:dyDescent="0.2">
      <c r="A8" s="7">
        <v>4</v>
      </c>
      <c r="B8" s="8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9"/>
    </row>
    <row r="9" spans="1:19" ht="16" x14ac:dyDescent="0.2">
      <c r="A9" s="7">
        <v>5</v>
      </c>
      <c r="B9" s="8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9"/>
    </row>
    <row r="10" spans="1:19" ht="16" x14ac:dyDescent="0.2">
      <c r="A10" s="7">
        <v>6</v>
      </c>
      <c r="B10" s="8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9"/>
    </row>
    <row r="11" spans="1:19" ht="16" x14ac:dyDescent="0.2">
      <c r="A11" s="7">
        <v>7</v>
      </c>
      <c r="B11" s="8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9"/>
    </row>
    <row r="12" spans="1:19" ht="16" x14ac:dyDescent="0.2">
      <c r="A12" s="7">
        <v>8</v>
      </c>
      <c r="B12" s="8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9"/>
    </row>
    <row r="13" spans="1:19" ht="16" x14ac:dyDescent="0.2">
      <c r="A13" s="7">
        <v>9</v>
      </c>
      <c r="B13" s="8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9"/>
    </row>
    <row r="14" spans="1:19" ht="16" x14ac:dyDescent="0.2">
      <c r="A14" s="7">
        <v>10</v>
      </c>
      <c r="B14" s="8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9"/>
    </row>
    <row r="15" spans="1:19" ht="16" x14ac:dyDescent="0.2">
      <c r="A15" s="7">
        <v>11</v>
      </c>
      <c r="B15" s="8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9"/>
    </row>
    <row r="16" spans="1:19" ht="16" x14ac:dyDescent="0.2">
      <c r="A16" s="7">
        <v>12</v>
      </c>
      <c r="B16" s="8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9"/>
    </row>
    <row r="17" spans="1:18" ht="16" x14ac:dyDescent="0.2">
      <c r="A17" s="7">
        <v>13</v>
      </c>
      <c r="B17" s="8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9"/>
    </row>
    <row r="18" spans="1:18" ht="16" x14ac:dyDescent="0.2">
      <c r="A18" s="7">
        <v>14</v>
      </c>
      <c r="B18" s="8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9"/>
    </row>
    <row r="19" spans="1:18" ht="16" x14ac:dyDescent="0.2">
      <c r="A19" s="7">
        <v>15</v>
      </c>
      <c r="B19" s="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36">
        <f>SUM(Data!$B1:C15)/SUM(Data!$B1:B15)</f>
        <v>4.7462863933452173</v>
      </c>
      <c r="D24" s="36">
        <f>SUM(Data!$B1:D14)/SUM(Data!$B1:C14)</f>
        <v>1.6607325819672132</v>
      </c>
      <c r="E24" s="36">
        <f>SUM(Data!$B1:E13)/SUM(Data!$B1:D13)</f>
        <v>1.2397311426437641</v>
      </c>
      <c r="F24" s="36">
        <f>SUM(Data!$B1:F12)/SUM(Data!$B1:E12)</f>
        <v>1.1103959703372044</v>
      </c>
      <c r="G24" s="36">
        <f>SUM(Data!$B1:G11)/SUM(Data!$B1:F11)</f>
        <v>1.0538445274508421</v>
      </c>
      <c r="H24" s="36">
        <f>SUM(Data!$B1:H10)/SUM(Data!$B1:G10)</f>
        <v>1.0232359837987637</v>
      </c>
      <c r="I24" s="36">
        <f>SUM(Data!$B1:I9)/SUM(Data!$B1:H9)</f>
        <v>1.0090349404333574</v>
      </c>
      <c r="J24" s="36">
        <f>SUM(Data!$B1:J8)/SUM(Data!$B1:I8)</f>
        <v>1.0039827133293788</v>
      </c>
      <c r="K24" s="36">
        <f>SUM(Data!$B1:K7)/SUM(Data!$B1:J7)</f>
        <v>1.0019837333862329</v>
      </c>
      <c r="L24" s="36">
        <f>SUM(Data!$B1:L6)/SUM(Data!$B1:K6)</f>
        <v>1.0007552870090635</v>
      </c>
      <c r="M24" s="36">
        <f>SUM(Data!$B1:L5)/SUM(Data!$B1:L5)</f>
        <v>1</v>
      </c>
      <c r="N24" s="36">
        <f>SUM(Data!$B1:M4)/SUM(Data!$B1:M4)</f>
        <v>1</v>
      </c>
      <c r="O24" s="36">
        <f>SUM(Data!$B1:O3)/SUM(Data!$B1:N3)</f>
        <v>1.0002440810349036</v>
      </c>
      <c r="P24" s="36">
        <f>SUM(Data!$B1:P2)/SUM(Data!$B1:O2)</f>
        <v>1</v>
      </c>
      <c r="Q24" s="36">
        <f>SUM(Data!$B1:Q1)/SUM(Data!$B1:P1)</f>
        <v>1</v>
      </c>
      <c r="R24" s="36"/>
    </row>
    <row r="25" spans="1:18" ht="16" x14ac:dyDescent="0.2">
      <c r="A25" s="6"/>
      <c r="B25" s="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  <c r="O25" s="33"/>
      <c r="P25" s="33"/>
      <c r="Q25" s="33"/>
      <c r="R25" s="33"/>
    </row>
    <row r="26" spans="1:18" ht="16" x14ac:dyDescent="0.2">
      <c r="A26" s="6" t="s">
        <v>8</v>
      </c>
      <c r="B26" s="6"/>
      <c r="C26" s="44">
        <f>SUM(Data!$B10:C15)/SUM(Data!$B10:B15)</f>
        <v>4.9335664335664333</v>
      </c>
      <c r="D26" s="44">
        <f>SUM(Data!$B9:D14)/SUM(Data!$B9:C14)</f>
        <v>1.6825132978723405</v>
      </c>
      <c r="E26" s="44">
        <f>SUM(Data!$B8:E13)/SUM(Data!$B8:D13)</f>
        <v>1.2015379113018598</v>
      </c>
      <c r="F26" s="44">
        <f>SUM(Data!$B7:F12)/SUM(Data!$B7:E12)</f>
        <v>1.1085318058486584</v>
      </c>
      <c r="G26" s="44">
        <f>SUM(Data!$B6:G11)/SUM(Data!$B6:F11)</f>
        <v>1.0629314922995221</v>
      </c>
      <c r="H26" s="44">
        <f>SUM(Data!$B5:H10)/SUM(Data!$B5:G10)</f>
        <v>1.0243209876543209</v>
      </c>
      <c r="I26" s="44">
        <f>SUM(Data!$B4:I9)/SUM(Data!$B4:H9)</f>
        <v>1.0072872590503057</v>
      </c>
      <c r="J26" s="44">
        <f>SUM(Data!$B3:J8)/SUM(Data!$B3:I8)</f>
        <v>1.0035489410417859</v>
      </c>
      <c r="K26" s="44">
        <f>SUM(Data!$B2:K7)/SUM(Data!$B2:J7)</f>
        <v>1.0021094704119018</v>
      </c>
      <c r="L26" s="44">
        <f>SUM(Data!$B1:L6)/SUM(Data!$B1:K6)</f>
        <v>1.0007552870090635</v>
      </c>
      <c r="M26" s="32"/>
      <c r="N26" s="32"/>
      <c r="O26" s="32"/>
      <c r="P26" s="32"/>
      <c r="Q26" s="32"/>
      <c r="R26" s="32"/>
    </row>
    <row r="27" spans="1:18" ht="16" x14ac:dyDescent="0.2">
      <c r="A27" s="6"/>
      <c r="B27" s="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  <c r="O27" s="33"/>
      <c r="P27" s="33"/>
      <c r="Q27" s="33"/>
      <c r="R27" s="33"/>
    </row>
    <row r="28" spans="1:18" ht="16" x14ac:dyDescent="0.2">
      <c r="A28" s="6" t="s">
        <v>9</v>
      </c>
      <c r="B28" s="6"/>
      <c r="C28" s="45">
        <f>SUM(Data!$B13:C15)/SUM(Data!$B13:B15)</f>
        <v>7.2318840579710146</v>
      </c>
      <c r="D28" s="45">
        <f>SUM(Data!$B12:D14)/SUM(Data!$B12:C14)</f>
        <v>1.5258438818565401</v>
      </c>
      <c r="E28" s="45">
        <f>SUM(Data!$B11:E13)/SUM(Data!$B11:D13)</f>
        <v>1.2094960433152853</v>
      </c>
      <c r="F28" s="45">
        <f>SUM(Data!$B10:F12)/SUM(Data!$B10:E12)</f>
        <v>1.1192954363490792</v>
      </c>
      <c r="G28" s="45">
        <f>SUM(Data!$B9:G11)/SUM(Data!$B9:F11)</f>
        <v>1.0697957939652545</v>
      </c>
      <c r="H28" s="45">
        <f>SUM(Data!$B8:H10)/SUM(Data!$B8:G10)</f>
        <v>1.0203335618003198</v>
      </c>
      <c r="I28" s="45">
        <f>SUM(Data!$B7:I9)/SUM(Data!$B7:H9)</f>
        <v>1.0094758661533907</v>
      </c>
      <c r="J28" s="45">
        <f>SUM(Data!$B6:J8)/SUM(Data!$B6:I8)</f>
        <v>1.0032292787944026</v>
      </c>
      <c r="K28" s="45">
        <f>SUM(Data!$B5:K7)/SUM(Data!$B5:J7)</f>
        <v>1.0015400410677617</v>
      </c>
      <c r="L28" s="45">
        <f>SUM(Data!$B4:L6)/SUM(Data!$B4:K6)</f>
        <v>1.0003861749372465</v>
      </c>
      <c r="M28" s="45">
        <f>SUM(Data!$B3:M5)/SUM(Data!$B3:L5)</f>
        <v>1</v>
      </c>
      <c r="N28" s="45">
        <f>SUM(Data!$B2:N4)/SUM(Data!$B2:M4)</f>
        <v>1</v>
      </c>
      <c r="O28" s="45">
        <f>SUM(Data!$B1:O3)/SUM(Data!$B1:N3)</f>
        <v>1.0002440810349036</v>
      </c>
      <c r="P28" s="32"/>
      <c r="Q28" s="33"/>
      <c r="R28" s="33"/>
    </row>
    <row r="29" spans="1:18" ht="16" x14ac:dyDescent="0.2">
      <c r="A29" s="6"/>
      <c r="B29" s="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  <c r="P29" s="33"/>
      <c r="Q29" s="33"/>
      <c r="R29" s="33"/>
    </row>
    <row r="30" spans="1:18" ht="16" x14ac:dyDescent="0.2">
      <c r="A30" s="10"/>
      <c r="B30" s="10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2"/>
      <c r="O30" s="33"/>
      <c r="P30" s="33"/>
      <c r="Q30" s="33"/>
      <c r="R30" s="33"/>
    </row>
    <row r="31" spans="1:18" ht="16" x14ac:dyDescent="0.2">
      <c r="A31" s="6" t="s">
        <v>10</v>
      </c>
      <c r="B31" s="6"/>
      <c r="C31" s="36">
        <f>C24</f>
        <v>4.7462863933452173</v>
      </c>
      <c r="D31" s="36">
        <f t="shared" ref="D31:R31" si="0">D24</f>
        <v>1.6607325819672132</v>
      </c>
      <c r="E31" s="36">
        <f t="shared" si="0"/>
        <v>1.2397311426437641</v>
      </c>
      <c r="F31" s="36">
        <f t="shared" si="0"/>
        <v>1.1103959703372044</v>
      </c>
      <c r="G31" s="36">
        <f t="shared" si="0"/>
        <v>1.0538445274508421</v>
      </c>
      <c r="H31" s="36">
        <f t="shared" si="0"/>
        <v>1.0232359837987637</v>
      </c>
      <c r="I31" s="36">
        <f t="shared" si="0"/>
        <v>1.0090349404333574</v>
      </c>
      <c r="J31" s="36">
        <f t="shared" si="0"/>
        <v>1.0039827133293788</v>
      </c>
      <c r="K31" s="36">
        <f t="shared" si="0"/>
        <v>1.0019837333862329</v>
      </c>
      <c r="L31" s="36">
        <f t="shared" si="0"/>
        <v>1.0007552870090635</v>
      </c>
      <c r="M31" s="36">
        <f t="shared" si="0"/>
        <v>1</v>
      </c>
      <c r="N31" s="36">
        <f t="shared" si="0"/>
        <v>1</v>
      </c>
      <c r="O31" s="36">
        <f t="shared" si="0"/>
        <v>1.0002440810349036</v>
      </c>
      <c r="P31" s="36">
        <f t="shared" si="0"/>
        <v>1</v>
      </c>
      <c r="Q31" s="36">
        <f t="shared" si="0"/>
        <v>1</v>
      </c>
      <c r="R31" s="36">
        <f t="shared" si="0"/>
        <v>0</v>
      </c>
    </row>
    <row r="32" spans="1:18" ht="16" x14ac:dyDescent="0.2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9" ht="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9" ht="16" x14ac:dyDescent="0.2">
      <c r="A34" s="3" t="s">
        <v>10</v>
      </c>
      <c r="B34" s="3"/>
      <c r="C34" s="36">
        <f>C31</f>
        <v>4.7462863933452173</v>
      </c>
      <c r="D34" s="36">
        <f t="shared" ref="D34:G34" si="1">D31</f>
        <v>1.6607325819672132</v>
      </c>
      <c r="E34" s="36">
        <f t="shared" si="1"/>
        <v>1.2397311426437641</v>
      </c>
      <c r="F34" s="36">
        <f t="shared" si="1"/>
        <v>1.1103959703372044</v>
      </c>
      <c r="G34" s="36">
        <f t="shared" si="1"/>
        <v>1.0538445274508421</v>
      </c>
      <c r="H34" s="37">
        <f>H43</f>
        <v>1.0223716965046787</v>
      </c>
      <c r="I34" s="37">
        <f t="shared" ref="I34:L34" si="2">I43</f>
        <v>1.0096522002343333</v>
      </c>
      <c r="J34" s="37">
        <f t="shared" si="2"/>
        <v>1.004164412356666</v>
      </c>
      <c r="K34" s="37">
        <f t="shared" si="2"/>
        <v>1.0017967230118854</v>
      </c>
      <c r="L34" s="37">
        <f t="shared" si="2"/>
        <v>1.0007751906643614</v>
      </c>
      <c r="M34" s="38">
        <f>B50</f>
        <v>1.0005882540749389</v>
      </c>
      <c r="N34" s="32"/>
      <c r="O34" s="32"/>
      <c r="P34" s="32"/>
      <c r="Q34" s="32"/>
      <c r="R34" s="32"/>
      <c r="S34" s="32"/>
    </row>
    <row r="35" spans="1:19" ht="16" x14ac:dyDescent="0.2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9" ht="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9" ht="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6"/>
      <c r="N37" s="6"/>
    </row>
    <row r="38" spans="1:19" ht="16" x14ac:dyDescent="0.2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9" ht="16" x14ac:dyDescent="0.2">
      <c r="A39" s="6"/>
      <c r="B39" s="6"/>
      <c r="C39" s="6"/>
      <c r="D39" s="6"/>
      <c r="E39" s="6"/>
      <c r="F39" s="6"/>
      <c r="G39" s="6" t="s">
        <v>57</v>
      </c>
      <c r="H39" s="6"/>
      <c r="I39" s="6"/>
      <c r="J39" s="6"/>
      <c r="K39" s="6"/>
      <c r="L39" s="6"/>
      <c r="M39" s="6"/>
      <c r="N39" s="6"/>
    </row>
    <row r="40" spans="1:19" ht="16" x14ac:dyDescent="0.2">
      <c r="A40" s="6" t="s">
        <v>15</v>
      </c>
      <c r="B40" s="6"/>
      <c r="C40" s="6"/>
      <c r="D40" s="6"/>
      <c r="E40" s="6"/>
      <c r="F40" s="6"/>
      <c r="G40" s="31">
        <f t="shared" ref="G40" si="3">LN(G31-1)</f>
        <v>-2.9216545063407944</v>
      </c>
      <c r="H40" s="31"/>
      <c r="I40" s="31">
        <f>LN(I31-1)</f>
        <v>-4.7066559478365573</v>
      </c>
      <c r="J40" s="31">
        <f t="shared" ref="J40:L40" si="4">LN(J31-1)</f>
        <v>-5.5257919509156999</v>
      </c>
      <c r="K40" s="31">
        <f t="shared" si="4"/>
        <v>-6.222774661088569</v>
      </c>
      <c r="L40" s="31">
        <f t="shared" si="4"/>
        <v>-7.1884127364969252</v>
      </c>
      <c r="M40" s="31"/>
      <c r="N40" s="6"/>
    </row>
    <row r="41" spans="1:19" ht="16" x14ac:dyDescent="0.2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9" ht="16" x14ac:dyDescent="0.2">
      <c r="A42" s="6" t="s">
        <v>17</v>
      </c>
      <c r="B42" s="6">
        <f>SLOPE(G40:L40,G2:L2)</f>
        <v>-0.84061071809183696</v>
      </c>
      <c r="C42" s="6"/>
      <c r="D42" s="6"/>
      <c r="E42" s="6"/>
      <c r="F42" s="6" t="s">
        <v>18</v>
      </c>
      <c r="G42" s="6">
        <f>_xlfn.FORECAST.LINEAR(G2,$G$40:$L$40,$G$2:$L$2)</f>
        <v>-2.9593479498785662</v>
      </c>
      <c r="H42" s="6">
        <f t="shared" ref="H42:L42" si="5">_xlfn.FORECAST.LINEAR(H2,$G$40:$L$40,$G$2:$L$2)</f>
        <v>-3.7999586679704027</v>
      </c>
      <c r="I42" s="6">
        <f t="shared" si="5"/>
        <v>-4.6405693860622401</v>
      </c>
      <c r="J42" s="6">
        <f t="shared" si="5"/>
        <v>-5.4811801041540775</v>
      </c>
      <c r="K42" s="6">
        <f t="shared" si="5"/>
        <v>-6.321790822245914</v>
      </c>
      <c r="L42" s="6">
        <f t="shared" si="5"/>
        <v>-7.1624015403377506</v>
      </c>
      <c r="M42" s="6"/>
      <c r="N42" s="6"/>
    </row>
    <row r="43" spans="1:19" ht="16" x14ac:dyDescent="0.2">
      <c r="A43" s="6" t="s">
        <v>19</v>
      </c>
      <c r="B43" s="6">
        <f>INTERCEPT(G40:L40,G2:L2)</f>
        <v>0.40309492248878165</v>
      </c>
      <c r="C43" s="6"/>
      <c r="D43" s="6"/>
      <c r="E43" s="6"/>
      <c r="F43" s="6" t="s">
        <v>20</v>
      </c>
      <c r="G43" s="14">
        <f t="shared" ref="G43:K43" si="6">EXP(G42)+1</f>
        <v>1.0518527167222635</v>
      </c>
      <c r="H43" s="14">
        <f t="shared" si="6"/>
        <v>1.0223716965046787</v>
      </c>
      <c r="I43" s="14">
        <f t="shared" si="6"/>
        <v>1.0096522002343333</v>
      </c>
      <c r="J43" s="14">
        <f t="shared" si="6"/>
        <v>1.004164412356666</v>
      </c>
      <c r="K43" s="14">
        <f t="shared" si="6"/>
        <v>1.0017967230118854</v>
      </c>
      <c r="L43" s="14">
        <f t="shared" ref="L43" si="7">EXP(L42)+1</f>
        <v>1.0007751906643614</v>
      </c>
      <c r="M43" s="6"/>
      <c r="N43" s="6"/>
    </row>
    <row r="44" spans="1:19" ht="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9" ht="1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9" ht="16" x14ac:dyDescent="0.2">
      <c r="A46" s="3" t="s">
        <v>21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9" ht="16" x14ac:dyDescent="0.2">
      <c r="A47" s="6" t="s">
        <v>22</v>
      </c>
      <c r="B47" s="6">
        <f>EXP(B43)</f>
        <v>1.4964489315790048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9" ht="16" x14ac:dyDescent="0.2">
      <c r="A48" s="6" t="s">
        <v>23</v>
      </c>
      <c r="B48" s="6">
        <f>EXP(B42)</f>
        <v>0.43144695049455717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6" x14ac:dyDescent="0.2">
      <c r="A49" s="6" t="s">
        <v>58</v>
      </c>
      <c r="B49" s="46">
        <f>B47*B48^(10)/(1-B48)</f>
        <v>5.8825407493896798E-4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6" x14ac:dyDescent="0.2">
      <c r="A50" s="6" t="s">
        <v>59</v>
      </c>
      <c r="B50" s="6">
        <f>1+(L34-1)*B48/(1-B48)</f>
        <v>1.0005882540749389</v>
      </c>
      <c r="C50" s="6" t="s">
        <v>60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6" x14ac:dyDescent="0.2">
      <c r="A51" s="6"/>
      <c r="B51" s="6"/>
      <c r="C51" s="6"/>
      <c r="D51" s="6"/>
      <c r="E51" s="6"/>
      <c r="F51" s="6"/>
      <c r="G51" s="6"/>
      <c r="H51" s="6"/>
      <c r="I51" s="7"/>
      <c r="J51" s="6"/>
      <c r="K51" s="6"/>
      <c r="L51" s="6"/>
      <c r="M51" s="6"/>
      <c r="N51" s="6"/>
    </row>
    <row r="52" spans="1:14" ht="1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6" x14ac:dyDescent="0.2">
      <c r="A53" s="3" t="s">
        <v>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6" x14ac:dyDescent="0.2">
      <c r="A54" s="6"/>
      <c r="B54" s="6"/>
      <c r="C54" s="3">
        <v>0</v>
      </c>
      <c r="D54" s="3">
        <v>1</v>
      </c>
      <c r="E54" s="3">
        <v>2</v>
      </c>
      <c r="F54" s="3">
        <v>3</v>
      </c>
      <c r="G54" s="3">
        <v>4</v>
      </c>
      <c r="H54" s="3">
        <v>5</v>
      </c>
      <c r="I54" s="3">
        <v>6</v>
      </c>
      <c r="J54" s="3">
        <v>7</v>
      </c>
      <c r="K54" s="3">
        <v>8</v>
      </c>
      <c r="L54" s="3">
        <v>9</v>
      </c>
      <c r="M54" s="3">
        <v>10</v>
      </c>
      <c r="N54" s="3" t="s">
        <v>62</v>
      </c>
    </row>
    <row r="55" spans="1:14" ht="16" x14ac:dyDescent="0.2">
      <c r="A55" s="6" t="s">
        <v>63</v>
      </c>
      <c r="B55" s="6"/>
      <c r="C55" s="48">
        <f>PRODUCT(C34:$M34)</f>
        <v>11.890293000572377</v>
      </c>
      <c r="D55" s="6">
        <f>PRODUCT(D34:$M34)</f>
        <v>2.5051781572312608</v>
      </c>
      <c r="E55" s="6">
        <f>PRODUCT(E34:$M34)</f>
        <v>1.5084777551987107</v>
      </c>
      <c r="F55" s="6">
        <f>PRODUCT(F34:$M34)</f>
        <v>1.2167781410910081</v>
      </c>
      <c r="G55" s="6">
        <f>PRODUCT(G34:$M34)</f>
        <v>1.0958056167310279</v>
      </c>
      <c r="H55" s="6">
        <f>PRODUCT(H34:$M34)</f>
        <v>1.0398171534673011</v>
      </c>
      <c r="I55" s="6">
        <f>PRODUCT(I34:$M34)</f>
        <v>1.0170637127595232</v>
      </c>
      <c r="J55" s="6">
        <f>PRODUCT(J34:$M34)</f>
        <v>1.0073406590145297</v>
      </c>
      <c r="K55" s="6">
        <f>PRODUCT(K34:$M34)</f>
        <v>1.0031630743121134</v>
      </c>
      <c r="L55" s="6">
        <f>PRODUCT(L34:$M34)</f>
        <v>1.0013639007483675</v>
      </c>
      <c r="M55" s="6">
        <f>PRODUCT(M34:$M34)</f>
        <v>1.0005882540749389</v>
      </c>
      <c r="N55" s="6">
        <v>1</v>
      </c>
    </row>
    <row r="56" spans="1:14" ht="16" x14ac:dyDescent="0.2">
      <c r="A56" s="6" t="s">
        <v>64</v>
      </c>
      <c r="B56" s="6"/>
      <c r="C56" s="49">
        <f>1/C55</f>
        <v>8.4102216821054093E-2</v>
      </c>
      <c r="D56" s="47">
        <f>1/D55-1/C55</f>
        <v>0.31507099052688414</v>
      </c>
      <c r="E56" s="47">
        <f t="shared" ref="E56:N56" si="8">1/E55-1/D55</f>
        <v>0.26374674394313713</v>
      </c>
      <c r="F56" s="47">
        <f t="shared" si="8"/>
        <v>0.1589225574043579</v>
      </c>
      <c r="G56" s="47">
        <f t="shared" si="8"/>
        <v>9.0728101211794421E-2</v>
      </c>
      <c r="H56" s="47">
        <f t="shared" si="8"/>
        <v>4.9136933255981674E-2</v>
      </c>
      <c r="I56" s="47">
        <f t="shared" si="8"/>
        <v>2.1515029281907627E-2</v>
      </c>
      <c r="J56" s="47">
        <f t="shared" si="8"/>
        <v>9.4902611441565199E-3</v>
      </c>
      <c r="K56" s="47">
        <f t="shared" si="8"/>
        <v>4.1340655908200796E-3</v>
      </c>
      <c r="L56" s="47">
        <f t="shared" si="8"/>
        <v>1.7910577630834146E-3</v>
      </c>
      <c r="M56" s="47">
        <f t="shared" si="8"/>
        <v>7.7413482129928823E-4</v>
      </c>
      <c r="N56" s="47">
        <f t="shared" si="8"/>
        <v>5.8790823552368199E-4</v>
      </c>
    </row>
    <row r="57" spans="1:14" ht="16" x14ac:dyDescent="0.2">
      <c r="A57" s="6"/>
      <c r="B57" s="6"/>
      <c r="C57" s="42" t="s">
        <v>66</v>
      </c>
      <c r="D57" s="42"/>
      <c r="E57" s="42"/>
      <c r="F57" s="42"/>
      <c r="G57" s="42"/>
      <c r="H57" s="6"/>
      <c r="I57" s="6"/>
      <c r="J57" s="6"/>
      <c r="K57" s="6"/>
      <c r="L57" s="6"/>
      <c r="M57" s="6"/>
      <c r="N57" s="6"/>
    </row>
    <row r="58" spans="1:14" x14ac:dyDescent="0.2">
      <c r="C58" s="42" t="s">
        <v>67</v>
      </c>
      <c r="D58" s="42"/>
      <c r="E58" s="42"/>
      <c r="F58" s="42"/>
      <c r="G58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30B6-F979-8549-8219-100A89D8DCA8}">
  <dimension ref="A1:Z60"/>
  <sheetViews>
    <sheetView topLeftCell="J1" zoomScale="99" workbookViewId="0">
      <selection activeCell="O14" sqref="O14"/>
    </sheetView>
  </sheetViews>
  <sheetFormatPr baseColWidth="10" defaultRowHeight="15" x14ac:dyDescent="0.2"/>
  <cols>
    <col min="3" max="15" width="7.33203125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48</v>
      </c>
      <c r="O2" s="3"/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'Chain Ladder'!A4</f>
        <v>0</v>
      </c>
      <c r="B4" s="23">
        <f>Data!A1</f>
        <v>10854</v>
      </c>
      <c r="C4" s="25">
        <f>Data!B1</f>
        <v>91</v>
      </c>
      <c r="D4" s="25">
        <f>Data!C1</f>
        <v>377</v>
      </c>
      <c r="E4" s="25">
        <f>Data!D1</f>
        <v>301</v>
      </c>
      <c r="F4" s="25">
        <f>Data!E1</f>
        <v>170</v>
      </c>
      <c r="G4" s="25">
        <f>Data!F1</f>
        <v>72</v>
      </c>
      <c r="H4" s="25">
        <f>Data!G1</f>
        <v>44</v>
      </c>
      <c r="I4" s="25">
        <f>Data!H1</f>
        <v>11</v>
      </c>
      <c r="J4" s="25">
        <f>Data!I1</f>
        <v>6</v>
      </c>
      <c r="K4" s="25">
        <f>Data!J1</f>
        <v>3</v>
      </c>
      <c r="L4" s="25">
        <f>Data!K1</f>
        <v>1</v>
      </c>
      <c r="M4" s="25">
        <f>Data!L1</f>
        <v>1</v>
      </c>
      <c r="N4" s="25">
        <f>Data!M1</f>
        <v>1</v>
      </c>
      <c r="P4" s="21">
        <f>SUM(C4:N4)</f>
        <v>1078</v>
      </c>
      <c r="Q4" s="27">
        <f t="shared" ref="Q4:Q19" si="0">P4/B4</f>
        <v>9.9318223696333155E-2</v>
      </c>
      <c r="R4" s="20">
        <f t="shared" ref="R4:R19" si="1">S4-P4</f>
        <v>0</v>
      </c>
      <c r="S4" s="20">
        <f>SUM(C4:N4)</f>
        <v>1078</v>
      </c>
      <c r="T4" s="27">
        <f>S4/B4</f>
        <v>9.9318223696333155E-2</v>
      </c>
    </row>
    <row r="5" spans="1:20" ht="16" x14ac:dyDescent="0.2">
      <c r="A5" s="7">
        <f>'Chain Ladder'!A5</f>
        <v>1</v>
      </c>
      <c r="B5" s="23">
        <f>Data!A2</f>
        <v>10166</v>
      </c>
      <c r="C5" s="25">
        <f>Data!B2</f>
        <v>63</v>
      </c>
      <c r="D5" s="25">
        <f>Data!C2</f>
        <v>550</v>
      </c>
      <c r="E5" s="25">
        <f>Data!D2</f>
        <v>555</v>
      </c>
      <c r="F5" s="25">
        <f>Data!E2</f>
        <v>404</v>
      </c>
      <c r="G5" s="25">
        <f>Data!F2</f>
        <v>236</v>
      </c>
      <c r="H5" s="25">
        <f>Data!G2</f>
        <v>104</v>
      </c>
      <c r="I5" s="25">
        <f>Data!H2</f>
        <v>56</v>
      </c>
      <c r="J5" s="25">
        <f>Data!I2</f>
        <v>26</v>
      </c>
      <c r="K5" s="25">
        <f>Data!J2</f>
        <v>13</v>
      </c>
      <c r="L5" s="25">
        <f>Data!K2</f>
        <v>5</v>
      </c>
      <c r="M5" s="25">
        <f>Data!L2</f>
        <v>0</v>
      </c>
      <c r="N5" s="24">
        <f>SUM($C5:M5)*('Chain Ladder'!M$34-1)</f>
        <v>1.1835671987770642</v>
      </c>
      <c r="O5" s="25"/>
      <c r="P5" s="21">
        <f>SUM(C5:O5)</f>
        <v>2013.1835671987772</v>
      </c>
      <c r="Q5" s="27">
        <f t="shared" si="0"/>
        <v>0.19803104143210479</v>
      </c>
      <c r="R5" s="20">
        <f t="shared" si="1"/>
        <v>0</v>
      </c>
      <c r="S5" s="20">
        <f>SUM(C5:O5)</f>
        <v>2013.1835671987772</v>
      </c>
      <c r="T5" s="27">
        <f t="shared" ref="T5:T19" si="2">S5/B5</f>
        <v>0.19803104143210479</v>
      </c>
    </row>
    <row r="6" spans="1:20" ht="16" x14ac:dyDescent="0.2">
      <c r="A6" s="7">
        <f>'Chain Ladder'!A6</f>
        <v>2</v>
      </c>
      <c r="B6" s="23">
        <f>Data!A3</f>
        <v>10066</v>
      </c>
      <c r="C6" s="25">
        <f>Data!B3</f>
        <v>12</v>
      </c>
      <c r="D6" s="25">
        <f>Data!C3</f>
        <v>169</v>
      </c>
      <c r="E6" s="25">
        <f>Data!D3</f>
        <v>274</v>
      </c>
      <c r="F6" s="25">
        <f>Data!E3</f>
        <v>225</v>
      </c>
      <c r="G6" s="25">
        <f>Data!F3</f>
        <v>166</v>
      </c>
      <c r="H6" s="25">
        <f>Data!G3</f>
        <v>72</v>
      </c>
      <c r="I6" s="25">
        <f>Data!H3</f>
        <v>47</v>
      </c>
      <c r="J6" s="25">
        <f>Data!I3</f>
        <v>19</v>
      </c>
      <c r="K6" s="25">
        <f>Data!J3</f>
        <v>11</v>
      </c>
      <c r="L6" s="25">
        <f>Data!K3</f>
        <v>6</v>
      </c>
      <c r="M6" s="25">
        <f>Data!L3</f>
        <v>4</v>
      </c>
      <c r="N6" s="24">
        <f>SUM($C6:M6)*('Chain Ladder'!M$34-1)</f>
        <v>0.59119534531359319</v>
      </c>
      <c r="O6" s="24"/>
      <c r="P6" s="21">
        <f>SUM(C6:N6)</f>
        <v>1005.5911953453136</v>
      </c>
      <c r="Q6" s="27">
        <f t="shared" si="0"/>
        <v>9.9899780980062941E-2</v>
      </c>
      <c r="R6" s="20">
        <f t="shared" si="1"/>
        <v>0</v>
      </c>
      <c r="S6" s="20">
        <f t="shared" ref="S6:S19" si="3">SUM(C6:O6)</f>
        <v>1005.5911953453136</v>
      </c>
      <c r="T6" s="27">
        <f t="shared" si="2"/>
        <v>9.9899780980062941E-2</v>
      </c>
    </row>
    <row r="7" spans="1:20" ht="16" x14ac:dyDescent="0.2">
      <c r="A7" s="7">
        <f>'Chain Ladder'!A7</f>
        <v>3</v>
      </c>
      <c r="B7" s="23">
        <f>Data!A4</f>
        <v>10352</v>
      </c>
      <c r="C7" s="25">
        <f>Data!B4</f>
        <v>385</v>
      </c>
      <c r="D7" s="25">
        <f>Data!C4</f>
        <v>906</v>
      </c>
      <c r="E7" s="25">
        <f>Data!D4</f>
        <v>441</v>
      </c>
      <c r="F7" s="25">
        <f>Data!E4</f>
        <v>235</v>
      </c>
      <c r="G7" s="25">
        <f>Data!F4</f>
        <v>80</v>
      </c>
      <c r="H7" s="25">
        <f>Data!G4</f>
        <v>41</v>
      </c>
      <c r="I7" s="25">
        <f>Data!H4</f>
        <v>16</v>
      </c>
      <c r="J7" s="25">
        <f>Data!I4</f>
        <v>2</v>
      </c>
      <c r="K7" s="25">
        <f>Data!J4</f>
        <v>3</v>
      </c>
      <c r="L7" s="25">
        <f>Data!K4</f>
        <v>2</v>
      </c>
      <c r="M7" s="25">
        <f>Data!L4</f>
        <v>1</v>
      </c>
      <c r="N7" s="24">
        <f>SUM($C7:M7)*('Chain Ladder'!M$34-1)</f>
        <v>1.242392606270954</v>
      </c>
      <c r="O7" s="24"/>
      <c r="P7" s="21">
        <f>SUM(C7:N7)</f>
        <v>2113.2423926062711</v>
      </c>
      <c r="Q7" s="27">
        <f t="shared" si="0"/>
        <v>0.20413856188236776</v>
      </c>
      <c r="R7" s="20">
        <f t="shared" si="1"/>
        <v>0</v>
      </c>
      <c r="S7" s="20">
        <f t="shared" si="3"/>
        <v>2113.2423926062711</v>
      </c>
      <c r="T7" s="27">
        <f t="shared" si="2"/>
        <v>0.20413856188236776</v>
      </c>
    </row>
    <row r="8" spans="1:20" ht="16" x14ac:dyDescent="0.2">
      <c r="A8" s="7">
        <f>'Chain Ladder'!A8</f>
        <v>4</v>
      </c>
      <c r="B8" s="23">
        <f>Data!A5</f>
        <v>9805</v>
      </c>
      <c r="C8" s="25">
        <f>Data!B5</f>
        <v>92</v>
      </c>
      <c r="D8" s="25">
        <f>Data!C5</f>
        <v>361</v>
      </c>
      <c r="E8" s="25">
        <f>Data!D5</f>
        <v>265</v>
      </c>
      <c r="F8" s="25">
        <f>Data!E5</f>
        <v>158</v>
      </c>
      <c r="G8" s="25">
        <f>Data!F5</f>
        <v>69</v>
      </c>
      <c r="H8" s="25">
        <f>Data!G5</f>
        <v>29</v>
      </c>
      <c r="I8" s="25">
        <f>Data!H5</f>
        <v>17</v>
      </c>
      <c r="J8" s="25">
        <f>Data!I5</f>
        <v>9</v>
      </c>
      <c r="K8" s="25">
        <f>Data!J5</f>
        <v>2</v>
      </c>
      <c r="L8" s="25">
        <f>Data!K5</f>
        <v>0</v>
      </c>
      <c r="M8" s="25">
        <f>Data!L5</f>
        <v>0</v>
      </c>
      <c r="N8" s="24">
        <f>SUM($C8:M8)*('Chain Ladder'!M$34-1)</f>
        <v>0.58943058308877649</v>
      </c>
      <c r="O8" s="24"/>
      <c r="P8" s="21">
        <f>SUM(C8:N8)</f>
        <v>1002.5894305830888</v>
      </c>
      <c r="Q8" s="27">
        <f t="shared" si="0"/>
        <v>0.10225287410332369</v>
      </c>
      <c r="R8" s="20">
        <f t="shared" si="1"/>
        <v>0</v>
      </c>
      <c r="S8" s="20">
        <f t="shared" si="3"/>
        <v>1002.5894305830888</v>
      </c>
      <c r="T8" s="27">
        <f t="shared" si="2"/>
        <v>0.10225287410332369</v>
      </c>
    </row>
    <row r="9" spans="1:20" ht="16" x14ac:dyDescent="0.2">
      <c r="A9" s="7">
        <f>'Chain Ladder'!A9</f>
        <v>5</v>
      </c>
      <c r="B9" s="23">
        <f>Data!A6</f>
        <v>10373</v>
      </c>
      <c r="C9" s="25">
        <f>Data!B6</f>
        <v>69</v>
      </c>
      <c r="D9" s="25">
        <f>Data!C6</f>
        <v>550</v>
      </c>
      <c r="E9" s="25">
        <f>Data!D6</f>
        <v>637</v>
      </c>
      <c r="F9" s="25">
        <f>Data!E6</f>
        <v>370</v>
      </c>
      <c r="G9" s="25">
        <f>Data!F6</f>
        <v>235</v>
      </c>
      <c r="H9" s="25">
        <f>Data!G6</f>
        <v>122</v>
      </c>
      <c r="I9" s="25">
        <f>Data!H6</f>
        <v>53</v>
      </c>
      <c r="J9" s="25">
        <f>Data!I6</f>
        <v>19</v>
      </c>
      <c r="K9" s="25">
        <f>Data!J6</f>
        <v>7</v>
      </c>
      <c r="L9" s="25">
        <f>Data!K6</f>
        <v>4</v>
      </c>
      <c r="M9" s="25">
        <f>Data!L6</f>
        <v>1</v>
      </c>
      <c r="N9" s="24">
        <f>SUM($C9:M9)*('Chain Ladder'!M$34-1)</f>
        <v>1.2159211728987036</v>
      </c>
      <c r="O9" s="24"/>
      <c r="P9" s="21">
        <f>SUM(C9:M9)</f>
        <v>2067</v>
      </c>
      <c r="Q9" s="27">
        <f t="shared" si="0"/>
        <v>0.19926732864166585</v>
      </c>
      <c r="R9" s="20">
        <f t="shared" si="1"/>
        <v>1.2159211728985611</v>
      </c>
      <c r="S9" s="20">
        <f t="shared" si="3"/>
        <v>2068.2159211728986</v>
      </c>
      <c r="T9" s="27">
        <f t="shared" si="2"/>
        <v>0.19938454845974149</v>
      </c>
    </row>
    <row r="10" spans="1:20" ht="16" x14ac:dyDescent="0.2">
      <c r="A10" s="7">
        <f>'Chain Ladder'!A10</f>
        <v>6</v>
      </c>
      <c r="B10" s="23">
        <f>Data!A7</f>
        <v>8396</v>
      </c>
      <c r="C10" s="25">
        <f>Data!B7</f>
        <v>6</v>
      </c>
      <c r="D10" s="25">
        <f>Data!C7</f>
        <v>143</v>
      </c>
      <c r="E10" s="25">
        <f>Data!D7</f>
        <v>212</v>
      </c>
      <c r="F10" s="25">
        <f>Data!E7</f>
        <v>200</v>
      </c>
      <c r="G10" s="25">
        <f>Data!F7</f>
        <v>120</v>
      </c>
      <c r="H10" s="25">
        <f>Data!G7</f>
        <v>85</v>
      </c>
      <c r="I10" s="25">
        <f>Data!H7</f>
        <v>38</v>
      </c>
      <c r="J10" s="25">
        <f>Data!I7</f>
        <v>22</v>
      </c>
      <c r="K10" s="25">
        <f>Data!J7</f>
        <v>6</v>
      </c>
      <c r="L10" s="25">
        <f>Data!K7</f>
        <v>2</v>
      </c>
      <c r="M10" s="24">
        <f>SUM($C10:L10)*('Chain Ladder'!L$34-1)</f>
        <v>0.64650901407739125</v>
      </c>
      <c r="N10" s="24">
        <f>SUM($C10:M10)*('Chain Ladder'!M$34-1)</f>
        <v>0.4909842100610573</v>
      </c>
      <c r="O10" s="24"/>
      <c r="P10" s="21">
        <f>SUM(C10:L10)</f>
        <v>834</v>
      </c>
      <c r="Q10" s="27">
        <f t="shared" si="0"/>
        <v>9.9333015721772278E-2</v>
      </c>
      <c r="R10" s="20">
        <f t="shared" si="1"/>
        <v>1.1374932241384386</v>
      </c>
      <c r="S10" s="20">
        <f t="shared" si="3"/>
        <v>835.13749322413844</v>
      </c>
      <c r="T10" s="27">
        <f t="shared" si="2"/>
        <v>9.9468496096252787E-2</v>
      </c>
    </row>
    <row r="11" spans="1:20" ht="16" x14ac:dyDescent="0.2">
      <c r="A11" s="7">
        <f>'Chain Ladder'!A11</f>
        <v>7</v>
      </c>
      <c r="B11" s="23">
        <f>Data!A8</f>
        <v>8638</v>
      </c>
      <c r="C11" s="25">
        <f>Data!B8</f>
        <v>315</v>
      </c>
      <c r="D11" s="25">
        <f>Data!C8</f>
        <v>711</v>
      </c>
      <c r="E11" s="25">
        <f>Data!D8</f>
        <v>421</v>
      </c>
      <c r="F11" s="25">
        <f>Data!E8</f>
        <v>175</v>
      </c>
      <c r="G11" s="25">
        <f>Data!F8</f>
        <v>87</v>
      </c>
      <c r="H11" s="25">
        <f>Data!G8</f>
        <v>38</v>
      </c>
      <c r="I11" s="25">
        <f>Data!H8</f>
        <v>13</v>
      </c>
      <c r="J11" s="25">
        <f>Data!I8</f>
        <v>4</v>
      </c>
      <c r="K11" s="25">
        <f>Data!J8</f>
        <v>2</v>
      </c>
      <c r="L11" s="24">
        <f>SUM($C11:K11)*('Chain Ladder'!K$34-1)</f>
        <v>3.173012838989584</v>
      </c>
      <c r="M11" s="24">
        <f>SUM($C11:L11)*('Chain Ladder'!L$34-1)</f>
        <v>1.3714464031928812</v>
      </c>
      <c r="N11" s="24">
        <f>SUM($C11:M11)*('Chain Ladder'!M$34-1)</f>
        <v>1.0415299930097026</v>
      </c>
      <c r="O11" s="24"/>
      <c r="P11" s="21">
        <f>SUM(C11:K11)</f>
        <v>1766</v>
      </c>
      <c r="Q11" s="27">
        <f t="shared" si="0"/>
        <v>0.20444547348923361</v>
      </c>
      <c r="R11" s="20">
        <f t="shared" si="1"/>
        <v>5.5859892351920735</v>
      </c>
      <c r="S11" s="20">
        <f t="shared" si="3"/>
        <v>1771.5859892351921</v>
      </c>
      <c r="T11" s="27">
        <f t="shared" si="2"/>
        <v>0.20509214971465525</v>
      </c>
    </row>
    <row r="12" spans="1:20" ht="16" x14ac:dyDescent="0.2">
      <c r="A12" s="7">
        <f>'Chain Ladder'!A12</f>
        <v>8</v>
      </c>
      <c r="B12" s="23">
        <f>Data!A9</f>
        <v>8303</v>
      </c>
      <c r="C12" s="25">
        <f>Data!B9</f>
        <v>78</v>
      </c>
      <c r="D12" s="25">
        <f>Data!C9</f>
        <v>288</v>
      </c>
      <c r="E12" s="25">
        <f>Data!D9</f>
        <v>239</v>
      </c>
      <c r="F12" s="25">
        <f>Data!E9</f>
        <v>99</v>
      </c>
      <c r="G12" s="25">
        <f>Data!F9</f>
        <v>66</v>
      </c>
      <c r="H12" s="25">
        <f>Data!G9</f>
        <v>32</v>
      </c>
      <c r="I12" s="25">
        <f>Data!H9</f>
        <v>11</v>
      </c>
      <c r="J12" s="25">
        <f>Data!I9</f>
        <v>6</v>
      </c>
      <c r="K12" s="24">
        <f>SUM($C12:J12)*('Chain Ladder'!J$34-1)</f>
        <v>3.4106537201094382</v>
      </c>
      <c r="L12" s="24">
        <f>SUM($C12:K12)*('Chain Ladder'!K$34-1)</f>
        <v>1.4776441467586205</v>
      </c>
      <c r="M12" s="24">
        <f>SUM($C12:L12)*('Chain Ladder'!L$34-1)</f>
        <v>0.63867051698298427</v>
      </c>
      <c r="N12" s="24">
        <f>SUM($C12:M12)*('Chain Ladder'!M$34-1)</f>
        <v>0.48503134904881684</v>
      </c>
      <c r="O12" s="24"/>
      <c r="P12" s="21">
        <f>SUM(C12:J12)</f>
        <v>819</v>
      </c>
      <c r="Q12" s="27">
        <f t="shared" si="0"/>
        <v>9.8639046127905583E-2</v>
      </c>
      <c r="R12" s="20">
        <f t="shared" si="1"/>
        <v>6.011999732899767</v>
      </c>
      <c r="S12" s="20">
        <f t="shared" si="3"/>
        <v>825.01199973289977</v>
      </c>
      <c r="T12" s="27">
        <f t="shared" si="2"/>
        <v>9.9363121731048984E-2</v>
      </c>
    </row>
    <row r="13" spans="1:20" ht="16" x14ac:dyDescent="0.2">
      <c r="A13" s="7">
        <f>'Chain Ladder'!A13</f>
        <v>9</v>
      </c>
      <c r="B13" s="23">
        <f>Data!A10</f>
        <v>9668</v>
      </c>
      <c r="C13" s="25">
        <f>Data!B10</f>
        <v>85</v>
      </c>
      <c r="D13" s="25">
        <f>Data!C10</f>
        <v>499</v>
      </c>
      <c r="E13" s="25">
        <f>Data!D10</f>
        <v>555</v>
      </c>
      <c r="F13" s="25">
        <f>Data!E10</f>
        <v>350</v>
      </c>
      <c r="G13" s="25">
        <f>Data!F10</f>
        <v>226</v>
      </c>
      <c r="H13" s="25">
        <f>Data!G10</f>
        <v>113</v>
      </c>
      <c r="I13" s="25">
        <f>Data!H10</f>
        <v>65</v>
      </c>
      <c r="J13" s="24">
        <f>SUM($C13:I13)*('Chain Ladder'!I$34-1)</f>
        <v>18.271615043592995</v>
      </c>
      <c r="K13" s="24">
        <f>SUM($C13:J13)*('Chain Ladder'!J$34-1)</f>
        <v>7.9593231306324848</v>
      </c>
      <c r="L13" s="24">
        <f>SUM($C13:K13)*('Chain Ladder'!K$34-1)</f>
        <v>3.4483263917400016</v>
      </c>
      <c r="M13" s="24">
        <f>SUM($C13:L13)*('Chain Ladder'!L$34-1)</f>
        <v>1.4904430164527411</v>
      </c>
      <c r="N13" s="24">
        <f>SUM($C13:M13)*('Chain Ladder'!M$34-1)</f>
        <v>1.1319006713593467</v>
      </c>
      <c r="O13" s="24"/>
      <c r="P13" s="21">
        <f>SUM(C13:I13)</f>
        <v>1893</v>
      </c>
      <c r="Q13" s="27">
        <f t="shared" si="0"/>
        <v>0.19580057923045097</v>
      </c>
      <c r="R13" s="20">
        <f t="shared" si="1"/>
        <v>32.301608253777658</v>
      </c>
      <c r="S13" s="20">
        <f t="shared" si="3"/>
        <v>1925.3016082537777</v>
      </c>
      <c r="T13" s="27">
        <f t="shared" si="2"/>
        <v>0.19914166407258768</v>
      </c>
    </row>
    <row r="14" spans="1:20" ht="16" x14ac:dyDescent="0.2">
      <c r="A14" s="7">
        <f>'Chain Ladder'!A14</f>
        <v>10</v>
      </c>
      <c r="B14" s="23">
        <f>Data!A11</f>
        <v>9301</v>
      </c>
      <c r="C14" s="25">
        <f>Data!B11</f>
        <v>18</v>
      </c>
      <c r="D14" s="25">
        <f>Data!C11</f>
        <v>144</v>
      </c>
      <c r="E14" s="25">
        <f>Data!D11</f>
        <v>262</v>
      </c>
      <c r="F14" s="25">
        <f>Data!E11</f>
        <v>222</v>
      </c>
      <c r="G14" s="25">
        <f>Data!F11</f>
        <v>150</v>
      </c>
      <c r="H14" s="25">
        <f>Data!G11</f>
        <v>84</v>
      </c>
      <c r="I14" s="24">
        <f>SUM($C14:H14)*('Chain Ladder'!H$34-1)</f>
        <v>19.687092924117291</v>
      </c>
      <c r="J14" s="24">
        <f>SUM($C14:I14)*('Chain Ladder'!I$34-1)</f>
        <v>8.6839599691488374</v>
      </c>
      <c r="K14" s="24">
        <f>SUM($C14:J14)*('Chain Ladder'!J$34-1)</f>
        <v>3.7828316371064048</v>
      </c>
      <c r="L14" s="24">
        <f>SUM($C14:K14)*('Chain Ladder'!K$34-1)</f>
        <v>1.6388878747163615</v>
      </c>
      <c r="M14" s="24">
        <f>SUM($C14:L14)*('Chain Ladder'!L$34-1)</f>
        <v>0.70836362632932859</v>
      </c>
      <c r="N14" s="24">
        <f>SUM($C14:M14)*('Chain Ladder'!M$34-1)</f>
        <v>0.53795901980673388</v>
      </c>
      <c r="O14" s="24"/>
      <c r="P14" s="21">
        <f>SUM(C14:H14)</f>
        <v>880</v>
      </c>
      <c r="Q14" s="27">
        <f t="shared" si="0"/>
        <v>9.4613482421245024E-2</v>
      </c>
      <c r="R14" s="20">
        <f t="shared" si="1"/>
        <v>35.03909505122499</v>
      </c>
      <c r="S14" s="20">
        <f t="shared" si="3"/>
        <v>915.03909505122499</v>
      </c>
      <c r="T14" s="27">
        <f t="shared" si="2"/>
        <v>9.8380721970887541E-2</v>
      </c>
    </row>
    <row r="15" spans="1:20" ht="16" x14ac:dyDescent="0.2">
      <c r="A15" s="7">
        <f>'Chain Ladder'!A15</f>
        <v>11</v>
      </c>
      <c r="B15" s="23">
        <f>Data!A12</f>
        <v>8414</v>
      </c>
      <c r="C15" s="25">
        <f>Data!B12</f>
        <v>331</v>
      </c>
      <c r="D15" s="25">
        <f>Data!C12</f>
        <v>747</v>
      </c>
      <c r="E15" s="25">
        <f>Data!D12</f>
        <v>378</v>
      </c>
      <c r="F15" s="25">
        <f>Data!E12</f>
        <v>156</v>
      </c>
      <c r="G15" s="25">
        <f>Data!F12</f>
        <v>71</v>
      </c>
      <c r="H15" s="24">
        <f>SUM($C15:G15)*('Chain Ladder'!G$34-1)</f>
        <v>90.620339699767285</v>
      </c>
      <c r="I15" s="24">
        <f>SUM($C15:H15)*('Chain Ladder'!H$34-1)</f>
        <v>39.678895954288407</v>
      </c>
      <c r="J15" s="24">
        <f>SUM($C15:I15)*('Chain Ladder'!I$34-1)</f>
        <v>17.502327307296525</v>
      </c>
      <c r="K15" s="24">
        <f>SUM($C15:J15)*('Chain Ladder'!J$34-1)</f>
        <v>7.6242126513996462</v>
      </c>
      <c r="L15" s="24">
        <f>SUM($C15:K15)*('Chain Ladder'!K$34-1)</f>
        <v>3.3031418966866624</v>
      </c>
      <c r="M15" s="24">
        <f>SUM($C15:L15)*('Chain Ladder'!L$34-1)</f>
        <v>1.4276910631377076</v>
      </c>
      <c r="N15" s="24">
        <f>SUM($C15:M15)*('Chain Ladder'!M$34-1)</f>
        <v>1.0842443857433786</v>
      </c>
      <c r="O15" s="24"/>
      <c r="P15" s="21">
        <f>SUM(C15:G15)</f>
        <v>1683</v>
      </c>
      <c r="Q15" s="27">
        <f t="shared" si="0"/>
        <v>0.20002376990729737</v>
      </c>
      <c r="R15" s="20">
        <f t="shared" si="1"/>
        <v>161.24085295831969</v>
      </c>
      <c r="S15" s="20">
        <f t="shared" si="3"/>
        <v>1844.2408529583197</v>
      </c>
      <c r="T15" s="27">
        <f t="shared" si="2"/>
        <v>0.21918717054413117</v>
      </c>
    </row>
    <row r="16" spans="1:20" ht="16" x14ac:dyDescent="0.2">
      <c r="A16" s="7">
        <f>'Chain Ladder'!A16</f>
        <v>12</v>
      </c>
      <c r="B16" s="23">
        <f>Data!A13</f>
        <v>7735</v>
      </c>
      <c r="C16" s="25">
        <f>Data!B13</f>
        <v>67</v>
      </c>
      <c r="D16" s="25">
        <f>Data!C13</f>
        <v>272</v>
      </c>
      <c r="E16" s="25">
        <f>Data!D13</f>
        <v>182</v>
      </c>
      <c r="F16" s="25">
        <f>Data!E13</f>
        <v>125</v>
      </c>
      <c r="G16" s="24">
        <f>SUM($C16:F16)*('Chain Ladder'!F$34-1)</f>
        <v>71.315796837834029</v>
      </c>
      <c r="H16" s="24">
        <f>SUM($C16:G16)*('Chain Ladder'!G$34-1)</f>
        <v>38.62353011375744</v>
      </c>
      <c r="I16" s="24">
        <f>SUM($C16:H16)*('Chain Ladder'!H$34-1)</f>
        <v>16.911645198512115</v>
      </c>
      <c r="J16" s="24">
        <f>SUM($C16:I16)*('Chain Ladder'!I$34-1)</f>
        <v>7.4597123344919716</v>
      </c>
      <c r="K16" s="24">
        <f>SUM($C16:J16)*('Chain Ladder'!J$34-1)</f>
        <v>3.249535456506139</v>
      </c>
      <c r="L16" s="24">
        <f>SUM($C16:K16)*('Chain Ladder'!K$34-1)</f>
        <v>1.4078406783661481</v>
      </c>
      <c r="M16" s="24">
        <f>SUM($C16:L16)*('Chain Ladder'!L$34-1)</f>
        <v>0.60849991241406953</v>
      </c>
      <c r="N16" s="24">
        <f>SUM($C16:M16)*('Chain Ladder'!M$34-1)</f>
        <v>0.46211861290936396</v>
      </c>
      <c r="O16" s="24"/>
      <c r="P16" s="21">
        <f>SUM(C16:F16)</f>
        <v>646</v>
      </c>
      <c r="Q16" s="27">
        <f t="shared" si="0"/>
        <v>8.3516483516483511E-2</v>
      </c>
      <c r="R16" s="20">
        <f t="shared" si="1"/>
        <v>140.03867914479122</v>
      </c>
      <c r="S16" s="20">
        <f t="shared" si="3"/>
        <v>786.03867914479122</v>
      </c>
      <c r="T16" s="27">
        <f t="shared" si="2"/>
        <v>0.10162103156364463</v>
      </c>
    </row>
    <row r="17" spans="1:20" ht="16" x14ac:dyDescent="0.2">
      <c r="A17" s="7">
        <f>'Chain Ladder'!A17</f>
        <v>13</v>
      </c>
      <c r="B17" s="23">
        <f>Data!A14</f>
        <v>8493</v>
      </c>
      <c r="C17" s="25">
        <f>Data!B14</f>
        <v>60</v>
      </c>
      <c r="D17" s="25">
        <f>Data!C14</f>
        <v>419</v>
      </c>
      <c r="E17" s="25">
        <f>Data!D14</f>
        <v>437</v>
      </c>
      <c r="F17" s="24">
        <f>SUM($C17:E17)*('Chain Ladder'!E$34-1)</f>
        <v>219.59372666168787</v>
      </c>
      <c r="G17" s="24">
        <f>SUM($C17:F17)*('Chain Ladder'!F$34-1)</f>
        <v>125.36497136365908</v>
      </c>
      <c r="H17" s="24">
        <f>SUM($C17:G17)*('Chain Ladder'!G$34-1)</f>
        <v>67.895725230203936</v>
      </c>
      <c r="I17" s="24">
        <f>SUM($C17:H17)*('Chain Ladder'!H$34-1)</f>
        <v>29.728727855973091</v>
      </c>
      <c r="J17" s="24">
        <f>SUM($C17:I17)*('Chain Ladder'!I$34-1)</f>
        <v>13.113316609519966</v>
      </c>
      <c r="K17" s="24">
        <f>SUM($C17:J17)*('Chain Ladder'!J$34-1)</f>
        <v>5.7123097197725938</v>
      </c>
      <c r="L17" s="24">
        <f>SUM($C17:K17)*('Chain Ladder'!K$34-1)</f>
        <v>2.4748220472008251</v>
      </c>
      <c r="M17" s="24">
        <f>SUM($C17:L17)*('Chain Ladder'!L$34-1)</f>
        <v>1.0696728842284891</v>
      </c>
      <c r="N17" s="24">
        <f>SUM($C17:M17)*('Chain Ladder'!M$34-1)</f>
        <v>0.81235138977318055</v>
      </c>
      <c r="O17" s="24"/>
      <c r="P17" s="21">
        <f>SUM(C17:E17)</f>
        <v>916</v>
      </c>
      <c r="Q17" s="27">
        <f t="shared" si="0"/>
        <v>0.10785352643353349</v>
      </c>
      <c r="R17" s="20">
        <f t="shared" si="1"/>
        <v>465.765623762019</v>
      </c>
      <c r="S17" s="20">
        <f t="shared" si="3"/>
        <v>1381.765623762019</v>
      </c>
      <c r="T17" s="43">
        <f t="shared" si="2"/>
        <v>0.16269464544472143</v>
      </c>
    </row>
    <row r="18" spans="1:20" ht="16" x14ac:dyDescent="0.2">
      <c r="A18" s="7">
        <f>'Chain Ladder'!A18</f>
        <v>14</v>
      </c>
      <c r="B18" s="23">
        <f>Data!A15</f>
        <v>8696</v>
      </c>
      <c r="C18" s="25">
        <f>Data!B15</f>
        <v>11</v>
      </c>
      <c r="D18" s="25">
        <f>Data!C15</f>
        <v>169</v>
      </c>
      <c r="E18" s="24">
        <f>SUM($C18:D18)*('Chain Ladder'!D$34-1)</f>
        <v>118.93186475409837</v>
      </c>
      <c r="F18" s="24">
        <f>SUM($C18:E18)*('Chain Ladder'!E$34-1)</f>
        <v>71.663277510131138</v>
      </c>
      <c r="G18" s="24">
        <f>SUM($C18:F18)*('Chain Ladder'!F$34-1)</f>
        <v>40.912210332513915</v>
      </c>
      <c r="H18" s="24">
        <f>SUM($C18:G18)*('Chain Ladder'!G$34-1)</f>
        <v>22.157418943118714</v>
      </c>
      <c r="I18" s="24">
        <f>SUM($C18:H18)*('Chain Ladder'!H$34-1)</f>
        <v>9.7018166536606376</v>
      </c>
      <c r="J18" s="24">
        <f>SUM($C18:I18)*('Chain Ladder'!I$34-1)</f>
        <v>4.2794630864570893</v>
      </c>
      <c r="K18" s="24">
        <f>SUM($C18:J18)*('Chain Ladder'!J$34-1)</f>
        <v>1.8641827473630812</v>
      </c>
      <c r="L18" s="24">
        <f>SUM($C18:K18)*('Chain Ladder'!K$34-1)</f>
        <v>0.80764538155491028</v>
      </c>
      <c r="M18" s="24">
        <f>SUM($C18:L18)*('Chain Ladder'!L$34-1)</f>
        <v>0.34908221611279144</v>
      </c>
      <c r="N18" s="24">
        <f>SUM($C18:M18)*('Chain Ladder'!M$34-1)</f>
        <v>0.26510667661624476</v>
      </c>
      <c r="O18" s="24"/>
      <c r="P18" s="21">
        <f>SUM(C18:D18)</f>
        <v>180</v>
      </c>
      <c r="Q18" s="27">
        <f t="shared" si="0"/>
        <v>2.0699172033118676E-2</v>
      </c>
      <c r="R18" s="20">
        <f t="shared" si="1"/>
        <v>270.93206830162683</v>
      </c>
      <c r="S18" s="20">
        <f t="shared" si="3"/>
        <v>450.93206830162683</v>
      </c>
      <c r="T18" s="43">
        <f t="shared" si="2"/>
        <v>5.1855113650141081E-2</v>
      </c>
    </row>
    <row r="19" spans="1:20" ht="16" x14ac:dyDescent="0.2">
      <c r="A19" s="7">
        <f>'Chain Ladder'!A19</f>
        <v>15</v>
      </c>
      <c r="B19" s="23">
        <f>Data!A16</f>
        <v>8772</v>
      </c>
      <c r="C19" s="25">
        <f>Data!B16</f>
        <v>323</v>
      </c>
      <c r="D19" s="24">
        <f>C19*('Chain Ladder'!C34-1)</f>
        <v>1210.0505050505051</v>
      </c>
      <c r="E19" s="24">
        <f>SUM($C19:D19)*('Chain Ladder'!D$34-1)</f>
        <v>1012.9364184881604</v>
      </c>
      <c r="F19" s="24">
        <f>SUM($C19:E19)*('Chain Ladder'!E$34-1)</f>
        <v>610.35235433600576</v>
      </c>
      <c r="G19" s="24">
        <f>SUM($C19:F19)*('Chain Ladder'!F$34-1)</f>
        <v>348.44713729440531</v>
      </c>
      <c r="H19" s="24">
        <f>SUM($C19:G19)*('Chain Ladder'!G$34-1)</f>
        <v>188.71356834090989</v>
      </c>
      <c r="I19" s="24">
        <f>SUM($C19:H19)*('Chain Ladder'!H$34-1)</f>
        <v>82.629860671121335</v>
      </c>
      <c r="J19" s="24">
        <f>SUM($C19:I19)*('Chain Ladder'!I$34-1)</f>
        <v>36.447961366877962</v>
      </c>
      <c r="K19" s="24">
        <f>SUM($C19:J19)*('Chain Ladder'!J$34-1)</f>
        <v>15.877146124174498</v>
      </c>
      <c r="L19" s="24">
        <f>SUM($C19:K19)*('Chain Ladder'!K$34-1)</f>
        <v>6.8786731116359059</v>
      </c>
      <c r="M19" s="24">
        <f>SUM($C19:L19)*('Chain Ladder'!L$34-1)</f>
        <v>2.9731148206436919</v>
      </c>
      <c r="N19" s="24">
        <f>SUM($C19:M19)*('Chain Ladder'!M$34-1)</f>
        <v>2.25789958043775</v>
      </c>
      <c r="O19" s="24"/>
      <c r="P19" s="21">
        <f>SUM(C19)</f>
        <v>323</v>
      </c>
      <c r="Q19" s="27">
        <f t="shared" si="0"/>
        <v>3.6821705426356592E-2</v>
      </c>
      <c r="R19" s="20">
        <f t="shared" si="1"/>
        <v>3517.5646391848773</v>
      </c>
      <c r="S19" s="20">
        <f t="shared" si="3"/>
        <v>3840.5646391848773</v>
      </c>
      <c r="T19" s="43">
        <f t="shared" si="2"/>
        <v>0.43782086630014561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4636.8339700217657</v>
      </c>
      <c r="S21" s="3"/>
    </row>
    <row r="22" spans="1:20" ht="16" thickTop="1" x14ac:dyDescent="0.2"/>
    <row r="24" spans="1:20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6" x14ac:dyDescent="0.2">
      <c r="C25" s="25">
        <v>91</v>
      </c>
      <c r="D25" s="25">
        <v>377</v>
      </c>
      <c r="E25" s="25">
        <v>301</v>
      </c>
      <c r="F25" s="25">
        <v>170</v>
      </c>
      <c r="G25" s="25">
        <v>72</v>
      </c>
      <c r="H25" s="25">
        <v>44</v>
      </c>
      <c r="I25" s="25">
        <v>11</v>
      </c>
      <c r="J25" s="25">
        <v>6</v>
      </c>
      <c r="K25" s="25">
        <v>3</v>
      </c>
      <c r="L25" s="25">
        <v>1</v>
      </c>
      <c r="M25" s="25">
        <v>1</v>
      </c>
      <c r="N25" s="25">
        <v>1</v>
      </c>
      <c r="O25" s="25">
        <v>1</v>
      </c>
      <c r="P25" s="21">
        <f>SUM(C25:N25)</f>
        <v>1078</v>
      </c>
      <c r="Q25" s="20">
        <f t="shared" ref="Q25:Q40" si="4">S25-P25</f>
        <v>1</v>
      </c>
      <c r="R25" s="26" t="e">
        <f>Q25/R4</f>
        <v>#DIV/0!</v>
      </c>
      <c r="S25" s="29">
        <f t="shared" ref="S25:S39" si="5">SUM(C25:O25)</f>
        <v>1079</v>
      </c>
      <c r="T25" s="26">
        <f>S25/S4</f>
        <v>1.0009276437847867</v>
      </c>
    </row>
    <row r="26" spans="1:20" ht="16" x14ac:dyDescent="0.2">
      <c r="C26" s="25">
        <v>63</v>
      </c>
      <c r="D26" s="25">
        <v>550</v>
      </c>
      <c r="E26" s="25">
        <v>555</v>
      </c>
      <c r="F26" s="25">
        <v>404</v>
      </c>
      <c r="G26" s="25">
        <v>236</v>
      </c>
      <c r="H26" s="25">
        <v>104</v>
      </c>
      <c r="I26" s="25">
        <v>56</v>
      </c>
      <c r="J26" s="25">
        <v>26</v>
      </c>
      <c r="K26" s="25">
        <v>13</v>
      </c>
      <c r="L26" s="25">
        <v>5</v>
      </c>
      <c r="M26" s="25">
        <v>0</v>
      </c>
      <c r="N26" s="25">
        <v>1</v>
      </c>
      <c r="O26" s="25">
        <v>0</v>
      </c>
      <c r="P26" s="21">
        <f>SUM(C26:N26)</f>
        <v>2013</v>
      </c>
      <c r="Q26" s="20">
        <f t="shared" si="4"/>
        <v>0</v>
      </c>
      <c r="R26" s="26" t="e">
        <f t="shared" ref="R26:R40" si="6">Q26/R5</f>
        <v>#DIV/0!</v>
      </c>
      <c r="S26" s="29">
        <f t="shared" si="5"/>
        <v>2013</v>
      </c>
      <c r="T26" s="26">
        <f t="shared" ref="T26:T40" si="7">S26/S5</f>
        <v>0.99990881745620819</v>
      </c>
    </row>
    <row r="27" spans="1:20" ht="16" x14ac:dyDescent="0.2">
      <c r="C27" s="25">
        <v>12</v>
      </c>
      <c r="D27" s="25">
        <v>169</v>
      </c>
      <c r="E27" s="25">
        <v>274</v>
      </c>
      <c r="F27" s="25">
        <v>225</v>
      </c>
      <c r="G27" s="25">
        <v>166</v>
      </c>
      <c r="H27" s="25">
        <v>72</v>
      </c>
      <c r="I27" s="25">
        <v>47</v>
      </c>
      <c r="J27" s="25">
        <v>19</v>
      </c>
      <c r="K27" s="25">
        <v>11</v>
      </c>
      <c r="L27" s="25">
        <v>6</v>
      </c>
      <c r="M27" s="25">
        <v>4</v>
      </c>
      <c r="N27" s="25">
        <v>0</v>
      </c>
      <c r="O27" s="25">
        <v>1</v>
      </c>
      <c r="P27" s="21">
        <f>SUM(C27:N27)</f>
        <v>1005</v>
      </c>
      <c r="Q27" s="20">
        <f t="shared" si="4"/>
        <v>1</v>
      </c>
      <c r="R27" s="26" t="e">
        <f t="shared" si="6"/>
        <v>#DIV/0!</v>
      </c>
      <c r="S27" s="29">
        <f t="shared" si="5"/>
        <v>1006</v>
      </c>
      <c r="T27" s="26">
        <f t="shared" si="7"/>
        <v>1.0004065316567792</v>
      </c>
    </row>
    <row r="28" spans="1:20" ht="16" x14ac:dyDescent="0.2">
      <c r="C28" s="25">
        <v>385</v>
      </c>
      <c r="D28" s="25">
        <v>906</v>
      </c>
      <c r="E28" s="25">
        <v>441</v>
      </c>
      <c r="F28" s="25">
        <v>235</v>
      </c>
      <c r="G28" s="25">
        <v>80</v>
      </c>
      <c r="H28" s="25">
        <v>41</v>
      </c>
      <c r="I28" s="25">
        <v>16</v>
      </c>
      <c r="J28" s="25">
        <v>2</v>
      </c>
      <c r="K28" s="25">
        <v>3</v>
      </c>
      <c r="L28" s="25">
        <v>2</v>
      </c>
      <c r="M28" s="25">
        <v>1</v>
      </c>
      <c r="N28" s="25">
        <v>0</v>
      </c>
      <c r="O28" s="25">
        <v>0</v>
      </c>
      <c r="P28" s="21">
        <f>SUM(C28:N28)</f>
        <v>2112</v>
      </c>
      <c r="Q28" s="20">
        <f t="shared" si="4"/>
        <v>0</v>
      </c>
      <c r="R28" s="26" t="e">
        <f t="shared" si="6"/>
        <v>#DIV/0!</v>
      </c>
      <c r="S28" s="29">
        <f t="shared" si="5"/>
        <v>2112</v>
      </c>
      <c r="T28" s="26">
        <f t="shared" si="7"/>
        <v>0.99941209176447632</v>
      </c>
    </row>
    <row r="29" spans="1:20" ht="16" x14ac:dyDescent="0.2">
      <c r="C29" s="25">
        <v>92</v>
      </c>
      <c r="D29" s="25">
        <v>361</v>
      </c>
      <c r="E29" s="25">
        <v>265</v>
      </c>
      <c r="F29" s="25">
        <v>158</v>
      </c>
      <c r="G29" s="25">
        <v>69</v>
      </c>
      <c r="H29" s="25">
        <v>29</v>
      </c>
      <c r="I29" s="25">
        <v>17</v>
      </c>
      <c r="J29" s="25">
        <v>9</v>
      </c>
      <c r="K29" s="25">
        <v>2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1002</v>
      </c>
      <c r="Q29" s="20">
        <f t="shared" si="4"/>
        <v>0</v>
      </c>
      <c r="R29" s="26" t="e">
        <f t="shared" si="6"/>
        <v>#DIV/0!</v>
      </c>
      <c r="S29" s="29">
        <f t="shared" si="5"/>
        <v>1002</v>
      </c>
      <c r="T29" s="26">
        <f t="shared" si="7"/>
        <v>0.99941209176447632</v>
      </c>
    </row>
    <row r="30" spans="1:20" ht="16" x14ac:dyDescent="0.2">
      <c r="C30" s="25">
        <v>69</v>
      </c>
      <c r="D30" s="25">
        <v>550</v>
      </c>
      <c r="E30" s="25">
        <v>637</v>
      </c>
      <c r="F30" s="25">
        <v>370</v>
      </c>
      <c r="G30" s="25">
        <v>235</v>
      </c>
      <c r="H30" s="25">
        <v>122</v>
      </c>
      <c r="I30" s="25">
        <v>53</v>
      </c>
      <c r="J30" s="25">
        <v>19</v>
      </c>
      <c r="K30" s="25">
        <v>7</v>
      </c>
      <c r="L30" s="25">
        <v>4</v>
      </c>
      <c r="M30" s="25">
        <v>1</v>
      </c>
      <c r="N30" s="25">
        <v>2</v>
      </c>
      <c r="O30" s="25">
        <v>1</v>
      </c>
      <c r="P30" s="21">
        <f>SUM(C30:M30)</f>
        <v>2067</v>
      </c>
      <c r="Q30" s="20">
        <f t="shared" si="4"/>
        <v>3</v>
      </c>
      <c r="R30" s="26">
        <f>Q30/R9</f>
        <v>2.4672652034247262</v>
      </c>
      <c r="S30" s="29">
        <f t="shared" si="5"/>
        <v>2070</v>
      </c>
      <c r="T30" s="26">
        <f t="shared" si="7"/>
        <v>1.0008626172967905</v>
      </c>
    </row>
    <row r="31" spans="1:20" ht="16" x14ac:dyDescent="0.2">
      <c r="C31" s="25">
        <v>6</v>
      </c>
      <c r="D31" s="25">
        <v>143</v>
      </c>
      <c r="E31" s="25">
        <v>212</v>
      </c>
      <c r="F31" s="25">
        <v>200</v>
      </c>
      <c r="G31" s="25">
        <v>120</v>
      </c>
      <c r="H31" s="25">
        <v>85</v>
      </c>
      <c r="I31" s="25">
        <v>38</v>
      </c>
      <c r="J31" s="25">
        <v>22</v>
      </c>
      <c r="K31" s="25">
        <v>6</v>
      </c>
      <c r="L31" s="25">
        <v>2</v>
      </c>
      <c r="M31" s="25">
        <v>3</v>
      </c>
      <c r="N31" s="25">
        <v>1</v>
      </c>
      <c r="O31" s="25">
        <v>0</v>
      </c>
      <c r="P31" s="21">
        <f>SUM(C31:L31)</f>
        <v>834</v>
      </c>
      <c r="Q31" s="20">
        <f t="shared" si="4"/>
        <v>4</v>
      </c>
      <c r="R31" s="26">
        <f t="shared" si="6"/>
        <v>3.5165044636021325</v>
      </c>
      <c r="S31" s="29">
        <f t="shared" si="5"/>
        <v>838</v>
      </c>
      <c r="T31" s="26">
        <f t="shared" si="7"/>
        <v>1.0034275874321132</v>
      </c>
    </row>
    <row r="32" spans="1:20" ht="16" x14ac:dyDescent="0.2">
      <c r="C32" s="25">
        <v>315</v>
      </c>
      <c r="D32" s="25">
        <v>711</v>
      </c>
      <c r="E32" s="25">
        <v>421</v>
      </c>
      <c r="F32" s="25">
        <v>175</v>
      </c>
      <c r="G32" s="25">
        <v>87</v>
      </c>
      <c r="H32" s="25">
        <v>38</v>
      </c>
      <c r="I32" s="25">
        <v>13</v>
      </c>
      <c r="J32" s="25">
        <v>4</v>
      </c>
      <c r="K32" s="25">
        <v>2</v>
      </c>
      <c r="L32" s="25">
        <v>0</v>
      </c>
      <c r="M32" s="25">
        <v>1</v>
      </c>
      <c r="N32" s="25">
        <v>0</v>
      </c>
      <c r="O32" s="25">
        <v>0</v>
      </c>
      <c r="P32" s="21">
        <f>SUM(C32:K32)</f>
        <v>1766</v>
      </c>
      <c r="Q32" s="20">
        <f t="shared" si="4"/>
        <v>1</v>
      </c>
      <c r="R32" s="26">
        <f t="shared" si="6"/>
        <v>0.17901932100046647</v>
      </c>
      <c r="S32" s="29">
        <f t="shared" si="5"/>
        <v>1767</v>
      </c>
      <c r="T32" s="26">
        <f t="shared" si="7"/>
        <v>0.99741136514791928</v>
      </c>
    </row>
    <row r="33" spans="1:26" ht="16" x14ac:dyDescent="0.2">
      <c r="C33" s="25">
        <v>78</v>
      </c>
      <c r="D33" s="25">
        <v>288</v>
      </c>
      <c r="E33" s="25">
        <v>239</v>
      </c>
      <c r="F33" s="25">
        <v>99</v>
      </c>
      <c r="G33" s="25">
        <v>66</v>
      </c>
      <c r="H33" s="25">
        <v>32</v>
      </c>
      <c r="I33" s="25">
        <v>11</v>
      </c>
      <c r="J33" s="25">
        <v>6</v>
      </c>
      <c r="K33" s="25">
        <v>3</v>
      </c>
      <c r="L33" s="25">
        <v>0</v>
      </c>
      <c r="M33" s="25">
        <v>0</v>
      </c>
      <c r="N33" s="25">
        <v>1</v>
      </c>
      <c r="O33" s="25">
        <v>0</v>
      </c>
      <c r="P33" s="21">
        <f>SUM(C33:J33)</f>
        <v>819</v>
      </c>
      <c r="Q33" s="20">
        <f t="shared" si="4"/>
        <v>4</v>
      </c>
      <c r="R33" s="26">
        <f t="shared" si="6"/>
        <v>0.66533602423676097</v>
      </c>
      <c r="S33" s="29">
        <f t="shared" si="5"/>
        <v>823</v>
      </c>
      <c r="T33" s="26">
        <f t="shared" si="7"/>
        <v>0.99756124791693801</v>
      </c>
    </row>
    <row r="34" spans="1:26" ht="16" x14ac:dyDescent="0.2">
      <c r="C34" s="25">
        <v>85</v>
      </c>
      <c r="D34" s="25">
        <v>499</v>
      </c>
      <c r="E34" s="25">
        <v>555</v>
      </c>
      <c r="F34" s="25">
        <v>350</v>
      </c>
      <c r="G34" s="25">
        <v>226</v>
      </c>
      <c r="H34" s="25">
        <v>113</v>
      </c>
      <c r="I34" s="25">
        <v>65</v>
      </c>
      <c r="J34" s="25">
        <v>23</v>
      </c>
      <c r="K34" s="25">
        <v>15</v>
      </c>
      <c r="L34" s="25">
        <v>4</v>
      </c>
      <c r="M34" s="25">
        <v>3</v>
      </c>
      <c r="N34" s="25">
        <v>0</v>
      </c>
      <c r="O34" s="25">
        <v>0</v>
      </c>
      <c r="P34" s="21">
        <f>SUM(C34:I34)</f>
        <v>1893</v>
      </c>
      <c r="Q34" s="20">
        <f t="shared" si="4"/>
        <v>45</v>
      </c>
      <c r="R34" s="26">
        <f t="shared" si="6"/>
        <v>1.393119489483539</v>
      </c>
      <c r="S34" s="29">
        <f t="shared" si="5"/>
        <v>1938</v>
      </c>
      <c r="T34" s="26">
        <f t="shared" si="7"/>
        <v>1.0065955337552226</v>
      </c>
    </row>
    <row r="35" spans="1:26" ht="16" x14ac:dyDescent="0.2">
      <c r="C35" s="25">
        <v>18</v>
      </c>
      <c r="D35" s="25">
        <v>144</v>
      </c>
      <c r="E35" s="25">
        <v>262</v>
      </c>
      <c r="F35" s="25">
        <v>222</v>
      </c>
      <c r="G35" s="25">
        <v>150</v>
      </c>
      <c r="H35" s="25">
        <v>84</v>
      </c>
      <c r="I35" s="25">
        <v>35</v>
      </c>
      <c r="J35" s="25">
        <v>31</v>
      </c>
      <c r="K35" s="25">
        <v>9</v>
      </c>
      <c r="L35" s="25">
        <v>2</v>
      </c>
      <c r="M35" s="25">
        <v>2</v>
      </c>
      <c r="N35" s="25">
        <v>3</v>
      </c>
      <c r="O35" s="25">
        <v>0</v>
      </c>
      <c r="P35" s="21">
        <f>SUM(C35:H35)</f>
        <v>880</v>
      </c>
      <c r="Q35" s="20">
        <f t="shared" si="4"/>
        <v>82</v>
      </c>
      <c r="R35" s="26">
        <f t="shared" si="6"/>
        <v>2.3402430879028433</v>
      </c>
      <c r="S35" s="29">
        <f t="shared" si="5"/>
        <v>962</v>
      </c>
      <c r="T35" s="26">
        <f t="shared" si="7"/>
        <v>1.0513212005943267</v>
      </c>
    </row>
    <row r="36" spans="1:26" ht="16" x14ac:dyDescent="0.2">
      <c r="C36" s="25">
        <v>331</v>
      </c>
      <c r="D36" s="25">
        <v>747</v>
      </c>
      <c r="E36" s="25">
        <v>378</v>
      </c>
      <c r="F36" s="25">
        <v>156</v>
      </c>
      <c r="G36" s="25">
        <v>71</v>
      </c>
      <c r="H36" s="25">
        <v>27</v>
      </c>
      <c r="I36" s="25">
        <v>11</v>
      </c>
      <c r="J36" s="25">
        <v>6</v>
      </c>
      <c r="K36" s="25">
        <v>3</v>
      </c>
      <c r="L36" s="25">
        <v>0</v>
      </c>
      <c r="M36" s="25">
        <v>1</v>
      </c>
      <c r="N36" s="25">
        <v>0</v>
      </c>
      <c r="O36" s="25">
        <v>0</v>
      </c>
      <c r="P36" s="21">
        <f>SUM(C36:G36)</f>
        <v>1683</v>
      </c>
      <c r="Q36" s="20">
        <f t="shared" si="4"/>
        <v>48</v>
      </c>
      <c r="R36" s="26">
        <f>Q36/R15</f>
        <v>0.29769130539397398</v>
      </c>
      <c r="S36" s="29">
        <f t="shared" si="5"/>
        <v>1731</v>
      </c>
      <c r="T36" s="26">
        <f t="shared" si="7"/>
        <v>0.9385975791737442</v>
      </c>
    </row>
    <row r="37" spans="1:26" ht="16" x14ac:dyDescent="0.2">
      <c r="C37" s="25">
        <v>67</v>
      </c>
      <c r="D37" s="25">
        <v>272</v>
      </c>
      <c r="E37" s="25">
        <v>182</v>
      </c>
      <c r="F37" s="25">
        <v>125</v>
      </c>
      <c r="G37" s="25">
        <v>57</v>
      </c>
      <c r="H37" s="25">
        <v>27</v>
      </c>
      <c r="I37" s="25">
        <v>11</v>
      </c>
      <c r="J37" s="25">
        <v>2</v>
      </c>
      <c r="K37" s="25">
        <v>2</v>
      </c>
      <c r="L37" s="25">
        <v>2</v>
      </c>
      <c r="M37" s="25">
        <v>1</v>
      </c>
      <c r="N37" s="25">
        <v>0</v>
      </c>
      <c r="O37" s="25">
        <v>0</v>
      </c>
      <c r="P37" s="21">
        <f>SUM(C37:F37)</f>
        <v>646</v>
      </c>
      <c r="Q37" s="20">
        <f t="shared" si="4"/>
        <v>102</v>
      </c>
      <c r="R37" s="26">
        <f t="shared" si="6"/>
        <v>0.72837019474125708</v>
      </c>
      <c r="S37" s="29">
        <f t="shared" si="5"/>
        <v>748</v>
      </c>
      <c r="T37" s="26">
        <f t="shared" si="7"/>
        <v>0.9516071153315544</v>
      </c>
    </row>
    <row r="38" spans="1:26" ht="16" x14ac:dyDescent="0.2">
      <c r="C38" s="25">
        <v>60</v>
      </c>
      <c r="D38" s="25">
        <v>419</v>
      </c>
      <c r="E38" s="25">
        <v>437</v>
      </c>
      <c r="F38" s="25">
        <v>319</v>
      </c>
      <c r="G38" s="25">
        <v>200</v>
      </c>
      <c r="H38" s="25">
        <v>86</v>
      </c>
      <c r="I38" s="25">
        <v>41</v>
      </c>
      <c r="J38" s="25">
        <v>24</v>
      </c>
      <c r="K38" s="25">
        <v>9</v>
      </c>
      <c r="L38" s="25">
        <v>4</v>
      </c>
      <c r="M38" s="25">
        <v>1</v>
      </c>
      <c r="N38" s="25">
        <v>0</v>
      </c>
      <c r="O38" s="25">
        <v>0</v>
      </c>
      <c r="P38" s="21">
        <f>SUM(C38:E38)</f>
        <v>916</v>
      </c>
      <c r="Q38" s="20">
        <f t="shared" si="4"/>
        <v>684</v>
      </c>
      <c r="R38" s="26">
        <f t="shared" si="6"/>
        <v>1.4685497707522677</v>
      </c>
      <c r="S38" s="29">
        <f t="shared" si="5"/>
        <v>1600</v>
      </c>
      <c r="T38" s="26">
        <f t="shared" si="7"/>
        <v>1.1579387795477298</v>
      </c>
    </row>
    <row r="39" spans="1:26" ht="16" x14ac:dyDescent="0.2">
      <c r="C39" s="25">
        <v>11</v>
      </c>
      <c r="D39" s="25">
        <v>169</v>
      </c>
      <c r="E39" s="25">
        <v>247</v>
      </c>
      <c r="F39" s="25">
        <v>202</v>
      </c>
      <c r="G39" s="25">
        <v>139</v>
      </c>
      <c r="H39" s="25">
        <v>82</v>
      </c>
      <c r="I39" s="25">
        <v>38</v>
      </c>
      <c r="J39" s="25">
        <v>21</v>
      </c>
      <c r="K39" s="25">
        <v>12</v>
      </c>
      <c r="L39" s="25">
        <v>5</v>
      </c>
      <c r="M39" s="25">
        <v>4</v>
      </c>
      <c r="N39" s="25">
        <v>0</v>
      </c>
      <c r="O39" s="25">
        <v>1</v>
      </c>
      <c r="P39" s="21">
        <f>SUM(C39:D39)</f>
        <v>180</v>
      </c>
      <c r="Q39" s="20">
        <f t="shared" si="4"/>
        <v>751</v>
      </c>
      <c r="R39" s="26">
        <f t="shared" si="6"/>
        <v>2.7719125488087917</v>
      </c>
      <c r="S39" s="29">
        <f t="shared" si="5"/>
        <v>931</v>
      </c>
      <c r="T39" s="41">
        <f t="shared" si="7"/>
        <v>2.0646125335607257</v>
      </c>
      <c r="U39" s="42" t="s">
        <v>55</v>
      </c>
      <c r="V39" s="42"/>
      <c r="W39" s="42"/>
      <c r="X39" s="42"/>
      <c r="Y39" s="42"/>
      <c r="Z39" s="42"/>
    </row>
    <row r="40" spans="1:26" ht="16" x14ac:dyDescent="0.2">
      <c r="C40" s="25">
        <v>323</v>
      </c>
      <c r="D40" s="25">
        <v>713</v>
      </c>
      <c r="E40" s="25">
        <v>344</v>
      </c>
      <c r="F40" s="25">
        <v>160</v>
      </c>
      <c r="G40" s="25">
        <v>66</v>
      </c>
      <c r="H40" s="25">
        <v>29</v>
      </c>
      <c r="I40" s="25">
        <v>9</v>
      </c>
      <c r="J40" s="25">
        <v>5</v>
      </c>
      <c r="K40" s="25">
        <v>1</v>
      </c>
      <c r="L40" s="25">
        <v>1</v>
      </c>
      <c r="M40" s="25">
        <v>1</v>
      </c>
      <c r="N40" s="25">
        <v>0</v>
      </c>
      <c r="O40" s="25">
        <v>0</v>
      </c>
      <c r="P40" s="21">
        <f>SUM(C40)</f>
        <v>323</v>
      </c>
      <c r="Q40" s="20">
        <f t="shared" si="4"/>
        <v>1329</v>
      </c>
      <c r="R40" s="26">
        <f t="shared" si="6"/>
        <v>0.37781821695477591</v>
      </c>
      <c r="S40" s="29">
        <f>SUM(C40:O40)</f>
        <v>1652</v>
      </c>
      <c r="T40" s="41">
        <f t="shared" si="7"/>
        <v>0.43014508417455538</v>
      </c>
      <c r="U40" s="42" t="s">
        <v>56</v>
      </c>
      <c r="V40" s="42"/>
      <c r="W40" s="42"/>
      <c r="X40" s="42"/>
      <c r="Y40" s="42"/>
      <c r="Z40" s="42"/>
    </row>
    <row r="41" spans="1:26" ht="16" x14ac:dyDescent="0.2"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P41" s="6"/>
      <c r="Q41" s="3"/>
      <c r="R41" s="26"/>
      <c r="S41" s="3"/>
    </row>
    <row r="42" spans="1:26" ht="16" x14ac:dyDescent="0.2">
      <c r="A42" s="28" t="s">
        <v>38</v>
      </c>
      <c r="P42" s="6"/>
      <c r="Q42" s="20">
        <f>SUM(Q25:Q40)</f>
        <v>3055</v>
      </c>
      <c r="R42" s="26">
        <f>Q42/R21</f>
        <v>0.65885473142909612</v>
      </c>
      <c r="S42" s="3"/>
      <c r="T42" s="30">
        <f>AVERAGE(T25:T40)</f>
        <v>1.0375092387723965</v>
      </c>
      <c r="U42" s="30" t="s">
        <v>39</v>
      </c>
    </row>
    <row r="43" spans="1:26" x14ac:dyDescent="0.2">
      <c r="O43" t="e">
        <f>IF(#REF!&gt;0,O25/#REF!,"")</f>
        <v>#REF!</v>
      </c>
    </row>
    <row r="44" spans="1:26" x14ac:dyDescent="0.2">
      <c r="O44" t="e">
        <f>IF(#REF!&gt;0,O26/#REF!,"")</f>
        <v>#REF!</v>
      </c>
    </row>
    <row r="45" spans="1:26" x14ac:dyDescent="0.2">
      <c r="O45" t="str">
        <f t="shared" ref="O45:O47" si="8">IF(O6&gt;0,O27/O6,"")</f>
        <v/>
      </c>
    </row>
    <row r="46" spans="1:26" x14ac:dyDescent="0.2">
      <c r="O46" t="str">
        <f t="shared" si="8"/>
        <v/>
      </c>
    </row>
    <row r="47" spans="1:26" x14ac:dyDescent="0.2">
      <c r="O47" t="str">
        <f t="shared" si="8"/>
        <v/>
      </c>
    </row>
    <row r="48" spans="1:26" x14ac:dyDescent="0.2">
      <c r="M48">
        <f t="shared" ref="M48:O48" si="9">IF(M9&gt;0,M30/M9,"")</f>
        <v>1</v>
      </c>
      <c r="N48">
        <f t="shared" si="9"/>
        <v>1.6448434689496247</v>
      </c>
      <c r="O48" t="str">
        <f t="shared" si="9"/>
        <v/>
      </c>
    </row>
    <row r="49" spans="3:18" x14ac:dyDescent="0.2">
      <c r="L49">
        <f t="shared" ref="L49:O49" si="10">IF(L10&gt;0,L31/L10,"")</f>
        <v>1</v>
      </c>
      <c r="M49">
        <f t="shared" si="10"/>
        <v>4.6403065304219888</v>
      </c>
      <c r="N49">
        <f t="shared" si="10"/>
        <v>2.0367253763122912</v>
      </c>
      <c r="O49" t="str">
        <f t="shared" si="10"/>
        <v/>
      </c>
    </row>
    <row r="50" spans="3:18" x14ac:dyDescent="0.2">
      <c r="K50">
        <f t="shared" ref="K50:O50" si="11">IF(K11&gt;0,K32/K11,"")</f>
        <v>1</v>
      </c>
      <c r="L50">
        <f t="shared" si="11"/>
        <v>0</v>
      </c>
      <c r="M50">
        <f t="shared" si="11"/>
        <v>0.72915718592566769</v>
      </c>
      <c r="N50">
        <f t="shared" si="11"/>
        <v>0</v>
      </c>
      <c r="O50" t="str">
        <f t="shared" si="11"/>
        <v/>
      </c>
    </row>
    <row r="51" spans="3:18" x14ac:dyDescent="0.2">
      <c r="J51">
        <f t="shared" ref="J51:O51" si="12">IF(J12&gt;0,J33/J12,"")</f>
        <v>1</v>
      </c>
      <c r="K51">
        <f t="shared" si="12"/>
        <v>0.87959677123238955</v>
      </c>
      <c r="L51">
        <f t="shared" si="12"/>
        <v>0</v>
      </c>
      <c r="M51">
        <f t="shared" si="12"/>
        <v>0</v>
      </c>
      <c r="N51">
        <f t="shared" si="12"/>
        <v>2.0617224061106065</v>
      </c>
      <c r="O51" t="str">
        <f t="shared" si="12"/>
        <v/>
      </c>
    </row>
    <row r="52" spans="3:18" x14ac:dyDescent="0.2">
      <c r="I52">
        <f t="shared" ref="I52:O52" si="13">IF(I13&gt;0,I34/I13,"")</f>
        <v>1</v>
      </c>
      <c r="J52">
        <f t="shared" si="13"/>
        <v>1.2587830875993105</v>
      </c>
      <c r="K52">
        <f t="shared" si="13"/>
        <v>1.8845823638282204</v>
      </c>
      <c r="L52">
        <f t="shared" si="13"/>
        <v>1.1599830020677444</v>
      </c>
      <c r="M52">
        <f t="shared" si="13"/>
        <v>2.0128243528155871</v>
      </c>
      <c r="N52">
        <f t="shared" si="13"/>
        <v>0</v>
      </c>
      <c r="O52" t="str">
        <f t="shared" si="13"/>
        <v/>
      </c>
    </row>
    <row r="53" spans="3:18" x14ac:dyDescent="0.2">
      <c r="H53">
        <f t="shared" ref="H53:O53" si="14">IF(H14&gt;0,H35/H14,"")</f>
        <v>1</v>
      </c>
      <c r="I53">
        <f t="shared" si="14"/>
        <v>1.7778145374182661</v>
      </c>
      <c r="J53">
        <f t="shared" si="14"/>
        <v>3.5697999656991142</v>
      </c>
      <c r="K53">
        <f t="shared" si="14"/>
        <v>2.3791701200015223</v>
      </c>
      <c r="L53">
        <f t="shared" si="14"/>
        <v>1.2203397382179884</v>
      </c>
      <c r="M53">
        <f t="shared" si="14"/>
        <v>2.8234086642249059</v>
      </c>
      <c r="N53">
        <f t="shared" si="14"/>
        <v>5.5766329581717473</v>
      </c>
      <c r="O53" t="str">
        <f t="shared" si="14"/>
        <v/>
      </c>
    </row>
    <row r="54" spans="3:18" x14ac:dyDescent="0.2">
      <c r="G54">
        <f t="shared" ref="G54:O54" si="15">IF(G15&gt;0,G36/G15,"")</f>
        <v>1</v>
      </c>
      <c r="H54">
        <f t="shared" si="15"/>
        <v>0.29794635607693859</v>
      </c>
      <c r="I54">
        <f t="shared" si="15"/>
        <v>0.27722545538243848</v>
      </c>
      <c r="J54">
        <f t="shared" si="15"/>
        <v>0.34281155269554736</v>
      </c>
      <c r="K54">
        <f t="shared" si="15"/>
        <v>0.393483253572323</v>
      </c>
      <c r="L54">
        <f t="shared" si="15"/>
        <v>0</v>
      </c>
      <c r="M54">
        <f t="shared" si="15"/>
        <v>0.70043164506630051</v>
      </c>
      <c r="N54">
        <f t="shared" si="15"/>
        <v>0</v>
      </c>
      <c r="O54" t="str">
        <f t="shared" si="15"/>
        <v/>
      </c>
    </row>
    <row r="55" spans="3:18" x14ac:dyDescent="0.2">
      <c r="F55">
        <f t="shared" ref="F55:O55" si="16">IF(F16&gt;0,F37/F16,"")</f>
        <v>1</v>
      </c>
      <c r="G55">
        <f t="shared" si="16"/>
        <v>0.79926191008722913</v>
      </c>
      <c r="H55">
        <f t="shared" si="16"/>
        <v>0.69905572899414448</v>
      </c>
      <c r="I55">
        <f t="shared" si="16"/>
        <v>0.65043937895337223</v>
      </c>
      <c r="J55">
        <f t="shared" si="16"/>
        <v>0.26810685322977751</v>
      </c>
      <c r="K55">
        <f t="shared" si="16"/>
        <v>0.61547258885747802</v>
      </c>
      <c r="L55">
        <f t="shared" si="16"/>
        <v>1.4206152945666231</v>
      </c>
      <c r="M55">
        <f t="shared" si="16"/>
        <v>1.6433856104148854</v>
      </c>
      <c r="N55">
        <f t="shared" si="16"/>
        <v>0</v>
      </c>
      <c r="O55" t="str">
        <f t="shared" si="16"/>
        <v/>
      </c>
      <c r="P55" s="42" t="s">
        <v>68</v>
      </c>
      <c r="Q55" s="42"/>
      <c r="R55" s="42"/>
    </row>
    <row r="56" spans="3:18" x14ac:dyDescent="0.2">
      <c r="E56">
        <f t="shared" ref="E56:O56" si="17">IF(E17&gt;0,E38/E17,"")</f>
        <v>1</v>
      </c>
      <c r="F56">
        <f t="shared" si="17"/>
        <v>1.4526826647077227</v>
      </c>
      <c r="G56">
        <f t="shared" si="17"/>
        <v>1.5953419669346025</v>
      </c>
      <c r="H56">
        <f t="shared" si="17"/>
        <v>1.2666482272398238</v>
      </c>
      <c r="I56">
        <f t="shared" si="17"/>
        <v>1.3791373851795103</v>
      </c>
      <c r="J56">
        <f t="shared" si="17"/>
        <v>1.83020060558719</v>
      </c>
      <c r="K56">
        <f t="shared" si="17"/>
        <v>1.575544821886564</v>
      </c>
      <c r="L56">
        <f t="shared" si="17"/>
        <v>1.6162778267327318</v>
      </c>
      <c r="M56">
        <f t="shared" si="17"/>
        <v>0.93486524221024703</v>
      </c>
      <c r="N56">
        <f t="shared" si="17"/>
        <v>0</v>
      </c>
      <c r="O56" t="str">
        <f t="shared" si="17"/>
        <v/>
      </c>
    </row>
    <row r="57" spans="3:18" x14ac:dyDescent="0.2">
      <c r="D57">
        <f t="shared" ref="D57:O57" si="18">IF(D18&gt;0,D39/D18,"")</f>
        <v>1</v>
      </c>
      <c r="E57">
        <f t="shared" si="18"/>
        <v>2.076819366371605</v>
      </c>
      <c r="F57">
        <f t="shared" si="18"/>
        <v>2.8187379508485777</v>
      </c>
      <c r="G57">
        <f t="shared" si="18"/>
        <v>3.3975187082359461</v>
      </c>
      <c r="H57">
        <f t="shared" si="18"/>
        <v>3.7007920557220952</v>
      </c>
      <c r="I57">
        <f t="shared" si="18"/>
        <v>3.9167922211415984</v>
      </c>
      <c r="J57">
        <f t="shared" si="18"/>
        <v>4.9071576447188425</v>
      </c>
      <c r="K57">
        <f t="shared" si="18"/>
        <v>6.437137140644718</v>
      </c>
      <c r="L57">
        <f t="shared" si="18"/>
        <v>6.1908358720182433</v>
      </c>
      <c r="M57">
        <f t="shared" si="18"/>
        <v>11.458618673108131</v>
      </c>
      <c r="N57">
        <f t="shared" si="18"/>
        <v>0</v>
      </c>
      <c r="O57" t="str">
        <f t="shared" si="18"/>
        <v/>
      </c>
    </row>
    <row r="58" spans="3:18" x14ac:dyDescent="0.2">
      <c r="C58">
        <f t="shared" ref="C58:O58" si="19">IF(C19&gt;0,C40/C19,"")</f>
        <v>1</v>
      </c>
      <c r="D58">
        <f t="shared" si="19"/>
        <v>0.58923160399014984</v>
      </c>
      <c r="E58">
        <f t="shared" si="19"/>
        <v>0.33960670553580341</v>
      </c>
      <c r="F58">
        <f t="shared" si="19"/>
        <v>0.26214365990946636</v>
      </c>
      <c r="G58">
        <f t="shared" si="19"/>
        <v>0.18941180149296552</v>
      </c>
      <c r="H58">
        <f t="shared" si="19"/>
        <v>0.15367204517913455</v>
      </c>
      <c r="I58">
        <f t="shared" si="19"/>
        <v>0.10891946236992081</v>
      </c>
      <c r="J58">
        <f t="shared" si="19"/>
        <v>0.13718188377316881</v>
      </c>
      <c r="K58">
        <f t="shared" si="19"/>
        <v>6.2983611297587214E-2</v>
      </c>
      <c r="L58">
        <f t="shared" si="19"/>
        <v>0.14537687483773701</v>
      </c>
      <c r="M58">
        <f t="shared" si="19"/>
        <v>0.33634758841351975</v>
      </c>
      <c r="N58">
        <f t="shared" si="19"/>
        <v>0</v>
      </c>
      <c r="O58" t="str">
        <f t="shared" si="19"/>
        <v/>
      </c>
    </row>
    <row r="59" spans="3:18" x14ac:dyDescent="0.2">
      <c r="C59" t="str">
        <f t="shared" ref="C59:O60" si="20">IF(C41&gt;0,C20/C41,"")</f>
        <v/>
      </c>
      <c r="D59" t="str">
        <f t="shared" si="20"/>
        <v/>
      </c>
      <c r="E59" t="str">
        <f t="shared" si="20"/>
        <v/>
      </c>
      <c r="F59" t="str">
        <f t="shared" si="20"/>
        <v/>
      </c>
      <c r="G59" t="str">
        <f t="shared" si="20"/>
        <v/>
      </c>
      <c r="H59" t="str">
        <f t="shared" si="20"/>
        <v/>
      </c>
      <c r="I59" t="str">
        <f t="shared" si="20"/>
        <v/>
      </c>
      <c r="J59" t="str">
        <f t="shared" si="20"/>
        <v/>
      </c>
      <c r="K59" t="str">
        <f t="shared" si="20"/>
        <v/>
      </c>
      <c r="L59" t="str">
        <f t="shared" si="20"/>
        <v/>
      </c>
      <c r="M59" t="str">
        <f t="shared" si="20"/>
        <v/>
      </c>
      <c r="N59" t="str">
        <f t="shared" si="20"/>
        <v/>
      </c>
      <c r="O59" t="str">
        <f t="shared" si="20"/>
        <v/>
      </c>
    </row>
    <row r="60" spans="3:18" x14ac:dyDescent="0.2">
      <c r="C60" t="str">
        <f t="shared" si="20"/>
        <v/>
      </c>
      <c r="D60" t="str">
        <f t="shared" si="20"/>
        <v/>
      </c>
      <c r="E60" t="str">
        <f t="shared" si="20"/>
        <v/>
      </c>
      <c r="F60" t="str">
        <f t="shared" si="20"/>
        <v/>
      </c>
      <c r="G60" t="str">
        <f t="shared" si="20"/>
        <v/>
      </c>
      <c r="H60" t="str">
        <f t="shared" si="20"/>
        <v/>
      </c>
      <c r="I60" t="str">
        <f t="shared" si="20"/>
        <v/>
      </c>
      <c r="J60" t="str">
        <f t="shared" si="20"/>
        <v/>
      </c>
      <c r="K60" t="str">
        <f t="shared" si="20"/>
        <v/>
      </c>
      <c r="L60" t="str">
        <f t="shared" si="20"/>
        <v/>
      </c>
      <c r="M60" t="str">
        <f t="shared" si="20"/>
        <v/>
      </c>
      <c r="N60" t="str">
        <f t="shared" si="20"/>
        <v/>
      </c>
      <c r="O60" t="str">
        <f t="shared" si="20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FD9F-C8E6-8D44-9112-B2E98B9293A1}">
  <dimension ref="A1:S46"/>
  <sheetViews>
    <sheetView workbookViewId="0">
      <selection activeCell="L24" sqref="L24"/>
    </sheetView>
  </sheetViews>
  <sheetFormatPr baseColWidth="10" defaultRowHeight="15" x14ac:dyDescent="0.2"/>
  <cols>
    <col min="3" max="8" width="8.33203125" style="33" customWidth="1"/>
    <col min="9" max="9" width="9.83203125" style="33" customWidth="1"/>
    <col min="10" max="19" width="8.33203125" style="33" customWidth="1"/>
  </cols>
  <sheetData>
    <row r="1" spans="1:19" ht="16" x14ac:dyDescent="0.2">
      <c r="A1" s="1" t="s">
        <v>0</v>
      </c>
      <c r="B1" s="2" t="s">
        <v>1</v>
      </c>
      <c r="C1" s="34" t="s">
        <v>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9" ht="16" x14ac:dyDescent="0.2">
      <c r="A2" s="1" t="s">
        <v>2</v>
      </c>
      <c r="B2" s="2" t="s">
        <v>3</v>
      </c>
      <c r="C2" s="39">
        <v>0</v>
      </c>
      <c r="D2" s="39">
        <v>1</v>
      </c>
      <c r="E2" s="39">
        <v>2</v>
      </c>
      <c r="F2" s="39">
        <v>3</v>
      </c>
      <c r="G2" s="39">
        <v>4</v>
      </c>
      <c r="H2" s="39">
        <v>5</v>
      </c>
      <c r="I2" s="39">
        <v>6</v>
      </c>
      <c r="J2" s="39">
        <v>7</v>
      </c>
      <c r="K2" s="39">
        <v>8</v>
      </c>
      <c r="L2" s="39">
        <v>9</v>
      </c>
      <c r="M2" s="39">
        <v>10</v>
      </c>
      <c r="N2" s="39">
        <v>11</v>
      </c>
      <c r="O2" s="39">
        <v>12</v>
      </c>
      <c r="P2" s="39">
        <v>13</v>
      </c>
      <c r="Q2" s="39">
        <v>14</v>
      </c>
      <c r="R2" s="39">
        <v>15</v>
      </c>
      <c r="S2" s="34" t="s">
        <v>5</v>
      </c>
    </row>
    <row r="3" spans="1:19" ht="16" x14ac:dyDescent="0.2">
      <c r="A3" s="4"/>
      <c r="B3" s="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9" ht="16" x14ac:dyDescent="0.2">
      <c r="A4" s="7">
        <v>0</v>
      </c>
      <c r="B4" s="8">
        <v>1</v>
      </c>
      <c r="C4" s="32">
        <f>SUM(Data!$B1:C1)/SUM(Data!$B1:B1)</f>
        <v>5.1428571428571432</v>
      </c>
      <c r="D4" s="32">
        <f>SUM(Data!$B1:D1)/SUM(Data!$B1:C1)</f>
        <v>1.6431623931623931</v>
      </c>
      <c r="E4" s="32">
        <f>SUM(Data!$B1:E1)/SUM(Data!$B1:D1)</f>
        <v>1.2210663198959688</v>
      </c>
      <c r="F4" s="32">
        <f>SUM(Data!$B1:F1)/SUM(Data!$B1:E1)</f>
        <v>1.0766773162939298</v>
      </c>
      <c r="G4" s="32">
        <f>SUM(Data!$B1:G1)/SUM(Data!$B1:F1)</f>
        <v>1.043521266073195</v>
      </c>
      <c r="H4" s="32">
        <f>SUM(Data!$B1:H1)/SUM(Data!$B1:G1)</f>
        <v>1.0104265402843602</v>
      </c>
      <c r="I4" s="32">
        <f>SUM(Data!$B1:I1)/SUM(Data!$B1:H1)</f>
        <v>1.0056285178236397</v>
      </c>
      <c r="J4" s="32">
        <f>SUM(Data!$B1:J1)/SUM(Data!$B1:I1)</f>
        <v>1.0027985074626866</v>
      </c>
      <c r="K4" s="32">
        <f>SUM(Data!$B1:K1)/SUM(Data!$B1:J1)</f>
        <v>1.0009302325581395</v>
      </c>
      <c r="L4" s="32">
        <f>SUM(Data!$B1:L1)/SUM(Data!$B1:K1)</f>
        <v>1.0009293680297398</v>
      </c>
      <c r="M4" s="32">
        <f>SUM(Data!$B1:M1)/SUM(Data!$B1:L1)</f>
        <v>1.000928505106778</v>
      </c>
      <c r="N4" s="32">
        <f>SUM(Data!$B1:N1)/SUM(Data!$B1:M1)</f>
        <v>1.0009276437847867</v>
      </c>
      <c r="O4" s="32">
        <f>SUM(Data!$B1:O1)/SUM(Data!$B1:N1)</f>
        <v>1</v>
      </c>
      <c r="P4" s="32">
        <f>SUM(Data!$B1:P1)/SUM(Data!$B1:O1)</f>
        <v>1</v>
      </c>
      <c r="Q4" s="32">
        <f>SUM(Data!$B1:Q1)/SUM(Data!$B1:P1)</f>
        <v>1</v>
      </c>
      <c r="R4" s="32"/>
    </row>
    <row r="5" spans="1:19" ht="16" x14ac:dyDescent="0.2">
      <c r="A5" s="7">
        <v>1</v>
      </c>
      <c r="B5" s="8">
        <v>1</v>
      </c>
      <c r="C5" s="32">
        <f>SUM(Data!$B2:C2)/SUM(Data!$B2:B2)</f>
        <v>9.7301587301587293</v>
      </c>
      <c r="D5" s="32">
        <f>SUM(Data!$B2:D2)/SUM(Data!$B2:C2)</f>
        <v>1.9053833605220227</v>
      </c>
      <c r="E5" s="32">
        <f>SUM(Data!$B2:E2)/SUM(Data!$B2:D2)</f>
        <v>1.345890410958904</v>
      </c>
      <c r="F5" s="32">
        <f>SUM(Data!$B2:F2)/SUM(Data!$B2:E2)</f>
        <v>1.1501272264631044</v>
      </c>
      <c r="G5" s="32">
        <f>SUM(Data!$B2:G2)/SUM(Data!$B2:F2)</f>
        <v>1.0575221238938053</v>
      </c>
      <c r="H5" s="32">
        <f>SUM(Data!$B2:H2)/SUM(Data!$B2:G2)</f>
        <v>1.0292887029288702</v>
      </c>
      <c r="I5" s="32">
        <f>SUM(Data!$B2:I2)/SUM(Data!$B2:H2)</f>
        <v>1.0132113821138211</v>
      </c>
      <c r="J5" s="32">
        <f>SUM(Data!$B2:J2)/SUM(Data!$B2:I2)</f>
        <v>1.006519558676028</v>
      </c>
      <c r="K5" s="32">
        <f>SUM(Data!$B2:K2)/SUM(Data!$B2:J2)</f>
        <v>1.0024912805181863</v>
      </c>
      <c r="L5" s="32">
        <f>SUM(Data!$B2:L2)/SUM(Data!$B2:K2)</f>
        <v>1</v>
      </c>
      <c r="M5" s="32">
        <f>SUM(Data!$B2:M2)/SUM(Data!$B2:L2)</f>
        <v>1.0004970178926442</v>
      </c>
      <c r="N5" s="32">
        <f>SUM(Data!$B2:N2)/SUM(Data!$B2:M2)</f>
        <v>1</v>
      </c>
      <c r="O5" s="32">
        <f>SUM(Data!$B2:O2)/SUM(Data!$B2:N2)</f>
        <v>1</v>
      </c>
      <c r="P5" s="32">
        <f>SUM(Data!$B2:P2)/SUM(Data!$B2:O2)</f>
        <v>1</v>
      </c>
      <c r="Q5" s="32"/>
      <c r="R5" s="32"/>
    </row>
    <row r="6" spans="1:19" ht="16" x14ac:dyDescent="0.2">
      <c r="A6" s="7">
        <v>2</v>
      </c>
      <c r="B6" s="8">
        <v>1</v>
      </c>
      <c r="C6" s="32">
        <f>SUM(Data!$B3:C3)/SUM(Data!$B3:B3)</f>
        <v>15.083333333333334</v>
      </c>
      <c r="D6" s="32">
        <f>SUM(Data!$B3:D3)/SUM(Data!$B3:C3)</f>
        <v>2.5138121546961325</v>
      </c>
      <c r="E6" s="32">
        <f>SUM(Data!$B3:E3)/SUM(Data!$B3:D3)</f>
        <v>1.4945054945054945</v>
      </c>
      <c r="F6" s="32">
        <f>SUM(Data!$B3:F3)/SUM(Data!$B3:E3)</f>
        <v>1.2441176470588236</v>
      </c>
      <c r="G6" s="32">
        <f>SUM(Data!$B3:G3)/SUM(Data!$B3:F3)</f>
        <v>1.0851063829787233</v>
      </c>
      <c r="H6" s="32">
        <f>SUM(Data!$B3:H3)/SUM(Data!$B3:G3)</f>
        <v>1.05119825708061</v>
      </c>
      <c r="I6" s="32">
        <f>SUM(Data!$B3:I3)/SUM(Data!$B3:H3)</f>
        <v>1.0196891191709845</v>
      </c>
      <c r="J6" s="32">
        <f>SUM(Data!$B3:J3)/SUM(Data!$B3:I3)</f>
        <v>1.0111788617886179</v>
      </c>
      <c r="K6" s="32">
        <f>SUM(Data!$B3:K3)/SUM(Data!$B3:J3)</f>
        <v>1.0060301507537688</v>
      </c>
      <c r="L6" s="32">
        <f>SUM(Data!$B3:L3)/SUM(Data!$B3:K3)</f>
        <v>1.0039960039960041</v>
      </c>
      <c r="M6" s="32">
        <f>SUM(Data!$B3:M3)/SUM(Data!$B3:L3)</f>
        <v>1</v>
      </c>
      <c r="N6" s="32">
        <f>SUM(Data!$B3:N3)/SUM(Data!$B3:M3)</f>
        <v>1</v>
      </c>
      <c r="O6" s="32">
        <f>SUM(Data!$B3:O3)/SUM(Data!$B3:N3)</f>
        <v>1.0009950248756219</v>
      </c>
      <c r="P6" s="32"/>
      <c r="Q6" s="32"/>
      <c r="R6" s="32"/>
    </row>
    <row r="7" spans="1:19" ht="16" x14ac:dyDescent="0.2">
      <c r="A7" s="7">
        <v>3</v>
      </c>
      <c r="B7" s="8">
        <v>1</v>
      </c>
      <c r="C7" s="32">
        <f>SUM(Data!$B4:C4)/SUM(Data!$B4:B4)</f>
        <v>3.3532467532467534</v>
      </c>
      <c r="D7" s="32">
        <f>SUM(Data!$B4:D4)/SUM(Data!$B4:C4)</f>
        <v>1.3415956622773044</v>
      </c>
      <c r="E7" s="32">
        <f>SUM(Data!$B4:E4)/SUM(Data!$B4:D4)</f>
        <v>1.1356812933025404</v>
      </c>
      <c r="F7" s="32">
        <f>SUM(Data!$B4:F4)/SUM(Data!$B4:E4)</f>
        <v>1.0406710726995425</v>
      </c>
      <c r="G7" s="32">
        <f>SUM(Data!$B4:G4)/SUM(Data!$B4:F4)</f>
        <v>1.020029311187103</v>
      </c>
      <c r="H7" s="32">
        <f>SUM(Data!$B4:H4)/SUM(Data!$B4:G4)</f>
        <v>1.0076628352490422</v>
      </c>
      <c r="I7" s="32">
        <f>SUM(Data!$B4:I4)/SUM(Data!$B4:H4)</f>
        <v>1.0009505703422052</v>
      </c>
      <c r="J7" s="32">
        <f>SUM(Data!$B4:J4)/SUM(Data!$B4:I4)</f>
        <v>1.0014245014245013</v>
      </c>
      <c r="K7" s="32">
        <f>SUM(Data!$B4:K4)/SUM(Data!$B4:J4)</f>
        <v>1.0009483167377904</v>
      </c>
      <c r="L7" s="32">
        <f>SUM(Data!$B4:L4)/SUM(Data!$B4:K4)</f>
        <v>1.0004737091425864</v>
      </c>
      <c r="M7" s="32">
        <f>SUM(Data!$B4:M4)/SUM(Data!$B4:L4)</f>
        <v>1</v>
      </c>
      <c r="N7" s="32">
        <f>SUM(Data!$B4:N4)/SUM(Data!$B4:M4)</f>
        <v>1</v>
      </c>
      <c r="O7" s="32"/>
      <c r="P7" s="32"/>
      <c r="Q7" s="32"/>
      <c r="R7" s="32"/>
    </row>
    <row r="8" spans="1:19" ht="16" x14ac:dyDescent="0.2">
      <c r="A8" s="7">
        <v>4</v>
      </c>
      <c r="B8" s="8">
        <v>1</v>
      </c>
      <c r="C8" s="32">
        <f>SUM(Data!$B5:C5)/SUM(Data!$B5:B5)</f>
        <v>4.9239130434782608</v>
      </c>
      <c r="D8" s="32">
        <f>SUM(Data!$B5:D5)/SUM(Data!$B5:C5)</f>
        <v>1.5849889624724063</v>
      </c>
      <c r="E8" s="32">
        <f>SUM(Data!$B5:E5)/SUM(Data!$B5:D5)</f>
        <v>1.2200557103064067</v>
      </c>
      <c r="F8" s="32">
        <f>SUM(Data!$B5:F5)/SUM(Data!$B5:E5)</f>
        <v>1.0787671232876712</v>
      </c>
      <c r="G8" s="32">
        <f>SUM(Data!$B5:G5)/SUM(Data!$B5:F5)</f>
        <v>1.0306878306878307</v>
      </c>
      <c r="H8" s="32">
        <f>SUM(Data!$B5:H5)/SUM(Data!$B5:G5)</f>
        <v>1.017453798767967</v>
      </c>
      <c r="I8" s="32">
        <f>SUM(Data!$B5:I5)/SUM(Data!$B5:H5)</f>
        <v>1.0090817356205852</v>
      </c>
      <c r="J8" s="32">
        <f>SUM(Data!$B5:J5)/SUM(Data!$B5:I5)</f>
        <v>1.002</v>
      </c>
      <c r="K8" s="32">
        <f>SUM(Data!$B5:K5)/SUM(Data!$B5:J5)</f>
        <v>1</v>
      </c>
      <c r="L8" s="32">
        <f>SUM(Data!$B5:L5)/SUM(Data!$B5:K5)</f>
        <v>1</v>
      </c>
      <c r="M8" s="32">
        <f>SUM(Data!$B5:M5)/SUM(Data!$B5:L5)</f>
        <v>1</v>
      </c>
      <c r="N8" s="32"/>
      <c r="O8" s="32"/>
      <c r="P8" s="32"/>
      <c r="Q8" s="32"/>
      <c r="R8" s="32"/>
    </row>
    <row r="9" spans="1:19" ht="16" x14ac:dyDescent="0.2">
      <c r="A9" s="7">
        <v>5</v>
      </c>
      <c r="B9" s="8">
        <v>1</v>
      </c>
      <c r="C9" s="32">
        <f>SUM(Data!$B6:C6)/SUM(Data!$B6:B6)</f>
        <v>8.9710144927536231</v>
      </c>
      <c r="D9" s="32">
        <f>SUM(Data!$B6:D6)/SUM(Data!$B6:C6)</f>
        <v>2.0290791599353795</v>
      </c>
      <c r="E9" s="32">
        <f>SUM(Data!$B6:E6)/SUM(Data!$B6:D6)</f>
        <v>1.2945859872611465</v>
      </c>
      <c r="F9" s="32">
        <f>SUM(Data!$B6:F6)/SUM(Data!$B6:E6)</f>
        <v>1.1445264452644526</v>
      </c>
      <c r="G9" s="32">
        <f>SUM(Data!$B6:G6)/SUM(Data!$B6:F6)</f>
        <v>1.0655561526061257</v>
      </c>
      <c r="H9" s="32">
        <f>SUM(Data!$B6:H6)/SUM(Data!$B6:G6)</f>
        <v>1.0267271810388301</v>
      </c>
      <c r="I9" s="32">
        <f>SUM(Data!$B6:I6)/SUM(Data!$B6:H6)</f>
        <v>1.0093320235756384</v>
      </c>
      <c r="J9" s="32">
        <f>SUM(Data!$B6:J6)/SUM(Data!$B6:I6)</f>
        <v>1.0034063260340633</v>
      </c>
      <c r="K9" s="32">
        <f>SUM(Data!$B6:K6)/SUM(Data!$B6:J6)</f>
        <v>1.0019398642095054</v>
      </c>
      <c r="L9" s="32">
        <f>SUM(Data!$B6:L6)/SUM(Data!$B6:K6)</f>
        <v>1.000484027105518</v>
      </c>
      <c r="M9" s="32"/>
      <c r="N9" s="32"/>
      <c r="O9" s="32"/>
      <c r="P9" s="32"/>
      <c r="Q9" s="32"/>
      <c r="R9" s="32"/>
    </row>
    <row r="10" spans="1:19" ht="16" x14ac:dyDescent="0.2">
      <c r="A10" s="7">
        <v>6</v>
      </c>
      <c r="B10" s="8">
        <v>1</v>
      </c>
      <c r="C10" s="32">
        <f>SUM(Data!$B7:C7)/SUM(Data!$B7:B7)</f>
        <v>24.833333333333332</v>
      </c>
      <c r="D10" s="32">
        <f>SUM(Data!$B7:D7)/SUM(Data!$B7:C7)</f>
        <v>2.4228187919463089</v>
      </c>
      <c r="E10" s="32">
        <f>SUM(Data!$B7:E7)/SUM(Data!$B7:D7)</f>
        <v>1.554016620498615</v>
      </c>
      <c r="F10" s="32">
        <f>SUM(Data!$B7:F7)/SUM(Data!$B7:E7)</f>
        <v>1.213903743315508</v>
      </c>
      <c r="G10" s="32">
        <f>SUM(Data!$B7:G7)/SUM(Data!$B7:F7)</f>
        <v>1.1248164464023496</v>
      </c>
      <c r="H10" s="32">
        <f>SUM(Data!$B7:H7)/SUM(Data!$B7:G7)</f>
        <v>1.0496083550913837</v>
      </c>
      <c r="I10" s="32">
        <f>SUM(Data!$B7:I7)/SUM(Data!$B7:H7)</f>
        <v>1.027363184079602</v>
      </c>
      <c r="J10" s="32">
        <f>SUM(Data!$B7:J7)/SUM(Data!$B7:I7)</f>
        <v>1.0072639225181599</v>
      </c>
      <c r="K10" s="32">
        <f>SUM(Data!$B7:K7)/SUM(Data!$B7:J7)</f>
        <v>1.0024038461538463</v>
      </c>
      <c r="L10" s="32"/>
      <c r="M10" s="32"/>
      <c r="N10" s="32"/>
      <c r="O10" s="32"/>
      <c r="P10" s="32"/>
      <c r="Q10" s="32"/>
      <c r="R10" s="32"/>
    </row>
    <row r="11" spans="1:19" ht="16" x14ac:dyDescent="0.2">
      <c r="A11" s="7">
        <v>7</v>
      </c>
      <c r="B11" s="8">
        <v>1</v>
      </c>
      <c r="C11" s="32">
        <f>SUM(Data!$B8:C8)/SUM(Data!$B8:B8)</f>
        <v>3.2571428571428571</v>
      </c>
      <c r="D11" s="32">
        <f>SUM(Data!$B8:D8)/SUM(Data!$B8:C8)</f>
        <v>1.4103313840155944</v>
      </c>
      <c r="E11" s="32">
        <f>SUM(Data!$B8:E8)/SUM(Data!$B8:D8)</f>
        <v>1.1209398756046993</v>
      </c>
      <c r="F11" s="32">
        <f>SUM(Data!$B8:F8)/SUM(Data!$B8:E8)</f>
        <v>1.0536374845869296</v>
      </c>
      <c r="G11" s="32">
        <f>SUM(Data!$B8:G8)/SUM(Data!$B8:F8)</f>
        <v>1.0222352252779403</v>
      </c>
      <c r="H11" s="32">
        <f>SUM(Data!$B8:H8)/SUM(Data!$B8:G8)</f>
        <v>1.0074413279908414</v>
      </c>
      <c r="I11" s="32">
        <f>SUM(Data!$B8:I8)/SUM(Data!$B8:H8)</f>
        <v>1.0022727272727272</v>
      </c>
      <c r="J11" s="32">
        <f>SUM(Data!$B8:J8)/SUM(Data!$B8:I8)</f>
        <v>1.0011337868480725</v>
      </c>
      <c r="K11" s="32"/>
      <c r="L11" s="32"/>
      <c r="M11" s="32"/>
      <c r="N11" s="32"/>
      <c r="O11" s="32"/>
      <c r="P11" s="32"/>
      <c r="Q11" s="32"/>
      <c r="R11" s="32"/>
    </row>
    <row r="12" spans="1:19" ht="16" x14ac:dyDescent="0.2">
      <c r="A12" s="7">
        <v>8</v>
      </c>
      <c r="B12" s="8">
        <v>1</v>
      </c>
      <c r="C12" s="32">
        <f>SUM(Data!$B9:C9)/SUM(Data!$B9:B9)</f>
        <v>4.6923076923076925</v>
      </c>
      <c r="D12" s="32">
        <f>SUM(Data!$B9:D9)/SUM(Data!$B9:C9)</f>
        <v>1.6530054644808743</v>
      </c>
      <c r="E12" s="32">
        <f>SUM(Data!$B9:E9)/SUM(Data!$B9:D9)</f>
        <v>1.1636363636363636</v>
      </c>
      <c r="F12" s="32">
        <f>SUM(Data!$B9:F9)/SUM(Data!$B9:E9)</f>
        <v>1.09375</v>
      </c>
      <c r="G12" s="32">
        <f>SUM(Data!$B9:G9)/SUM(Data!$B9:F9)</f>
        <v>1.0415584415584416</v>
      </c>
      <c r="H12" s="32">
        <f>SUM(Data!$B9:H9)/SUM(Data!$B9:G9)</f>
        <v>1.013715710723192</v>
      </c>
      <c r="I12" s="32">
        <f>SUM(Data!$B9:I9)/SUM(Data!$B9:H9)</f>
        <v>1.0073800738007379</v>
      </c>
      <c r="J12" s="32"/>
      <c r="K12" s="32"/>
      <c r="L12" s="32"/>
      <c r="M12" s="32"/>
      <c r="N12" s="32"/>
      <c r="O12" s="32"/>
      <c r="P12" s="32"/>
      <c r="Q12" s="32"/>
      <c r="R12" s="32"/>
    </row>
    <row r="13" spans="1:19" ht="16" x14ac:dyDescent="0.2">
      <c r="A13" s="7">
        <v>9</v>
      </c>
      <c r="B13" s="8">
        <v>1</v>
      </c>
      <c r="C13" s="32">
        <f>SUM(Data!$B10:C10)/SUM(Data!$B10:B10)</f>
        <v>6.8705882352941172</v>
      </c>
      <c r="D13" s="32">
        <f>SUM(Data!$B10:D10)/SUM(Data!$B10:C10)</f>
        <v>1.9503424657534247</v>
      </c>
      <c r="E13" s="32">
        <f>SUM(Data!$B10:E10)/SUM(Data!$B10:D10)</f>
        <v>1.3072870939420544</v>
      </c>
      <c r="F13" s="32">
        <f>SUM(Data!$B10:F10)/SUM(Data!$B10:E10)</f>
        <v>1.1517797179314977</v>
      </c>
      <c r="G13" s="32">
        <f>SUM(Data!$B10:G10)/SUM(Data!$B10:F10)</f>
        <v>1.0658892128279884</v>
      </c>
      <c r="H13" s="32">
        <f>SUM(Data!$B10:H10)/SUM(Data!$B10:G10)</f>
        <v>1.0355579868708971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19" ht="16" x14ac:dyDescent="0.2">
      <c r="A14" s="7">
        <v>10</v>
      </c>
      <c r="B14" s="8">
        <v>1</v>
      </c>
      <c r="C14" s="32">
        <f>SUM(Data!$B11:C11)/SUM(Data!$B11:B11)</f>
        <v>9</v>
      </c>
      <c r="D14" s="32">
        <f>SUM(Data!$B11:D11)/SUM(Data!$B11:C11)</f>
        <v>2.617283950617284</v>
      </c>
      <c r="E14" s="32">
        <f>SUM(Data!$B11:E11)/SUM(Data!$B11:D11)</f>
        <v>1.5235849056603774</v>
      </c>
      <c r="F14" s="32">
        <f>SUM(Data!$B11:F11)/SUM(Data!$B11:E11)</f>
        <v>1.2321981424148607</v>
      </c>
      <c r="G14" s="32">
        <f>SUM(Data!$B11:G11)/SUM(Data!$B11:F11)</f>
        <v>1.1055276381909547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1:19" ht="16" x14ac:dyDescent="0.2">
      <c r="A15" s="7">
        <v>11</v>
      </c>
      <c r="B15" s="8">
        <v>1</v>
      </c>
      <c r="C15" s="32">
        <f>SUM(Data!$B12:C12)/SUM(Data!$B12:B12)</f>
        <v>3.2567975830815712</v>
      </c>
      <c r="D15" s="32">
        <f>SUM(Data!$B12:D12)/SUM(Data!$B12:C12)</f>
        <v>1.3506493506493507</v>
      </c>
      <c r="E15" s="32">
        <f>SUM(Data!$B12:E12)/SUM(Data!$B12:D12)</f>
        <v>1.1071428571428572</v>
      </c>
      <c r="F15" s="32">
        <f>SUM(Data!$B12:F12)/SUM(Data!$B12:E12)</f>
        <v>1.0440446650124069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9" ht="16" x14ac:dyDescent="0.2">
      <c r="A16" s="7">
        <v>12</v>
      </c>
      <c r="B16" s="8">
        <v>1</v>
      </c>
      <c r="C16" s="32">
        <f>SUM(Data!$B13:C13)/SUM(Data!$B13:B13)</f>
        <v>5.0597014925373136</v>
      </c>
      <c r="D16" s="32">
        <f>SUM(Data!$B13:D13)/SUM(Data!$B13:C13)</f>
        <v>1.5368731563421829</v>
      </c>
      <c r="E16" s="32">
        <f>SUM(Data!$B13:E13)/SUM(Data!$B13:D13)</f>
        <v>1.2399232245681382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18" ht="16" x14ac:dyDescent="0.2">
      <c r="A17" s="7">
        <v>13</v>
      </c>
      <c r="B17" s="8">
        <v>1</v>
      </c>
      <c r="C17" s="32">
        <f>SUM(Data!$B14:C14)/SUM(Data!$B14:B14)</f>
        <v>7.9833333333333334</v>
      </c>
      <c r="D17" s="32">
        <f>SUM(Data!$B14:D14)/SUM(Data!$B14:C14)</f>
        <v>1.9123173277661796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1:18" ht="16" x14ac:dyDescent="0.2">
      <c r="A18" s="7">
        <v>14</v>
      </c>
      <c r="B18" s="8">
        <v>1</v>
      </c>
      <c r="C18" s="32">
        <f>SUM(Data!$B15:C15)/SUM(Data!$B15:B15)</f>
        <v>16.363636363636363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1:18" ht="16" x14ac:dyDescent="0.2">
      <c r="A19" s="7">
        <v>15</v>
      </c>
      <c r="B19" s="8">
        <v>1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ht="16" x14ac:dyDescent="0.2">
      <c r="A20" s="6"/>
      <c r="B20" s="6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8" ht="16" x14ac:dyDescent="0.2">
      <c r="A21" s="10"/>
      <c r="B21" s="10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ht="16" x14ac:dyDescent="0.2">
      <c r="A22" s="3" t="s">
        <v>6</v>
      </c>
      <c r="B22" s="3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8" ht="16" x14ac:dyDescent="0.2">
      <c r="A23" s="6"/>
      <c r="B23" s="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8" ht="16" x14ac:dyDescent="0.2">
      <c r="A24" s="6" t="s">
        <v>40</v>
      </c>
      <c r="B24" s="6"/>
      <c r="C24" s="32">
        <f>SUM(Data!$B1:C1,Data!$B5:C5,Data!$B9:C9,Data!$B13:C13)/SUM(Data!B1,Data!B5,Data!B9,Data!B13)</f>
        <v>4.9573170731707314</v>
      </c>
      <c r="D24" s="32">
        <f>SUM(Data!$B1:D1,Data!$B5:D5,Data!$B9:D9,Data!$B13:D13)/SUM(Data!C1,Data!C5,Data!C9,Data!C13)</f>
        <v>2.0130970724191064</v>
      </c>
      <c r="E24" s="32">
        <f>SUM(Data!$B1:E1,Data!$B5:E5,Data!$B9:E9,Data!$B13:E13)/SUM(Data!D1,Data!D5,Data!D9,Data!D13)</f>
        <v>3.2066869300911853</v>
      </c>
      <c r="F24" s="32">
        <f>SUM(Data!$B1:F1,Data!$B5:F5,Data!$B9:F9)/SUM(Data!$B1:E1,Data!$B5:E5,Data!$B9:E9)</f>
        <v>1.0821754664549423</v>
      </c>
      <c r="G24" s="32">
        <f>SUM(Data!$B1:G1,Data!$B5:G5,Data!$B9:G9)/SUM(Data!$B1:F1,Data!$B5:F5,Data!$B9:F9)</f>
        <v>1.0385179750550257</v>
      </c>
      <c r="H24" s="40">
        <f>SUM(Data!$B1:H1,Data!$B5:H5,Data!$B9:H9)/SUM(Data!$B1:G1,Data!$B5:G5,Data!$B9:G9)</f>
        <v>1.0137760508654186</v>
      </c>
      <c r="I24" s="40">
        <f>SUM(Data!$B1:I1,Data!$B5:I5,Data!$B9:I9)/SUM(Data!$B1:H1,Data!$B5:H5,Data!$B9:H9)</f>
        <v>1.0073170731707317</v>
      </c>
      <c r="J24" s="40">
        <f>SUM(Data!$B1:J1,Data!$B5:J5)/SUM(Data!$B1:I1,Data!$B5:I5)</f>
        <v>1.0024131274131274</v>
      </c>
      <c r="K24" s="40">
        <f>SUM(Data!$B1:K1,Data!$B5:K5)/SUM(Data!$B1:J1,Data!$B5:J5)</f>
        <v>1.0004814636494945</v>
      </c>
      <c r="L24" s="40">
        <f>SUM(Data!$B1:L1,Data!$B5:L5)/SUM(Data!$B1:K1,Data!$B5:K5)</f>
        <v>1.0004812319538017</v>
      </c>
      <c r="M24" s="40">
        <f>SUM(Data!$B1:M1,Data!$B5:M5)/SUM(Data!$B1:L1,Data!$B5:L5)</f>
        <v>1.0004810004810005</v>
      </c>
      <c r="N24" s="40">
        <f>SUM(Data!$B1:N1)/SUM(Data!$B1:M1)</f>
        <v>1.0009276437847867</v>
      </c>
      <c r="O24" s="32">
        <f>SUM(Data!$B1:O1)/SUM(Data!$B1:N1)</f>
        <v>1</v>
      </c>
      <c r="P24" s="32">
        <f>SUM(Data!$B1:P1)/SUM(Data!$B1:O1)</f>
        <v>1</v>
      </c>
      <c r="Q24" s="32">
        <f>SUM(Data!$B1:Q1)/SUM(Data!$B1:P1)</f>
        <v>1</v>
      </c>
      <c r="R24" s="32"/>
    </row>
    <row r="25" spans="1:18" ht="16" x14ac:dyDescent="0.2">
      <c r="A25" s="6" t="s">
        <v>41</v>
      </c>
      <c r="B25" s="6"/>
      <c r="C25" s="32">
        <f>SUM(Data!$B2:C2,Data!$B6:C6,Data!$B10:C10,Data!$B14:C14)/SUM(Data!B2,Data!B6,Data!B10,Data!B14)</f>
        <v>8.2851985559566792</v>
      </c>
      <c r="D25" s="32">
        <f>SUM(Data!$B2:D2,Data!$B6:D6,Data!$B10:D10,Data!$B14:D14)/SUM(Data!C2,Data!C6,Data!C10,Data!C14)</f>
        <v>2.219524281466799</v>
      </c>
      <c r="E25" s="32">
        <f>SUM(Data!$B2:E2,Data!$B6:E6,Data!$B10:E10)/SUM(Data!$B2:D2,Data!$B6:D6,Data!$B10:D10)</f>
        <v>1.315464496211058</v>
      </c>
      <c r="F25" s="32">
        <f>SUM(Data!$B2:F2,Data!$B6:F6,Data!$B10:F10)/SUM(Data!$B2:E2,Data!$B6:E6,Data!$B10:E10)</f>
        <v>1.1487091956475357</v>
      </c>
      <c r="G25" s="32">
        <f>SUM(Data!$B2:G2,Data!$B6:G6,Data!$B10:G10)/SUM(Data!$B2:F2,Data!$B6:F6,Data!$B10:F10)</f>
        <v>1.062964338781575</v>
      </c>
      <c r="H25" s="40">
        <f>SUM(Data!$B2:H2,Data!$B6:H6,Data!$B10:H10)/SUM(Data!$B2:G2,Data!$B6:G6,Data!$B10:G10)</f>
        <v>1.0304036344574523</v>
      </c>
      <c r="I25" s="40">
        <f>SUM(Data!$B2:I2,Data!$B6:I6)/SUM(Data!$B2:H2,Data!$B6:H6)</f>
        <v>1.0112387612387612</v>
      </c>
      <c r="J25" s="40">
        <f>SUM(Data!$B2:J2,Data!$B6:J6)/SUM(Data!$B2:I2,Data!$B6:I6)</f>
        <v>1.004939491232403</v>
      </c>
      <c r="K25" s="40">
        <f>SUM(Data!$B2:K2,Data!$B6:K6)/SUM(Data!$B2:J2,Data!$B6:J6)</f>
        <v>1.0022118456623248</v>
      </c>
      <c r="L25" s="32">
        <f>SUM(Data!$B2:L2,Data!$B6:L6)/SUM(Data!$B2:K2,Data!$B6:K6)</f>
        <v>1.0002452182442374</v>
      </c>
      <c r="M25" s="32">
        <f>SUM(Data!$B2:M2)/SUM(Data!$B2:L2)</f>
        <v>1.0004970178926442</v>
      </c>
      <c r="N25" s="32">
        <f>SUM(Data!$B2:N2)/SUM(Data!$B2:M2)</f>
        <v>1</v>
      </c>
      <c r="O25" s="32">
        <f>SUM(Data!$B2:O2)/SUM(Data!$B2:N2)</f>
        <v>1</v>
      </c>
      <c r="P25" s="32">
        <f>SUM(Data!$B2:P2)/SUM(Data!$B2:O2)</f>
        <v>1</v>
      </c>
      <c r="Q25" s="32"/>
    </row>
    <row r="26" spans="1:18" ht="16" x14ac:dyDescent="0.2">
      <c r="A26" s="6" t="s">
        <v>42</v>
      </c>
      <c r="B26" s="6"/>
      <c r="C26" s="32">
        <f>SUM(Data!$B3:C3,Data!$B7:C7,Data!$B11:C11,Data!$B15:C15)/SUM(Data!B3,Data!B7,Data!B11,Data!B15)</f>
        <v>14.297872340425531</v>
      </c>
      <c r="D26" s="32">
        <f>SUM(Data!$B3:D3,Data!$B7:D7,Data!$B11:D11)/SUM(Data!$B3:C3,Data!$B7:C7,Data!$B11:C11)</f>
        <v>2.5203252032520327</v>
      </c>
      <c r="E26" s="32">
        <f>SUM(Data!$B3:E3,Data!$B7:E7,Data!$B11:E11)/SUM(Data!$B3:D3,Data!$B7:D7,Data!$B11:D11)</f>
        <v>1.5217741935483871</v>
      </c>
      <c r="F26" s="32">
        <f>SUM(Data!$B3:F3,Data!$B7:F7,Data!$B11:F11)/SUM(Data!$B3:E3,Data!$B7:E7,Data!$B11:E11)</f>
        <v>1.2310545839957605</v>
      </c>
      <c r="G26" s="32">
        <f>SUM(Data!$B3:G3,Data!$B7:G7,Data!$B11:G11)/SUM(Data!$B3:F3,Data!$B7:F7,Data!$B11:F11)</f>
        <v>1.1037451571244081</v>
      </c>
      <c r="H26" s="40">
        <f>SUM(Data!$B3:H3,Data!$B7:H7)/SUM(Data!$B3:G3,Data!$B7:G7)</f>
        <v>1.0504750593824228</v>
      </c>
      <c r="I26" s="40">
        <f>SUM(Data!$B3:I3,Data!$B7:I7)/SUM(Data!$B3:H3,Data!$B7:H7)</f>
        <v>1.0231769361221028</v>
      </c>
      <c r="J26" s="40">
        <f>SUM(Data!$B3:J3,Data!$B7:J7)/SUM(Data!$B3:I3,Data!$B7:I7)</f>
        <v>1.0093922651933702</v>
      </c>
      <c r="K26" s="40">
        <f>SUM(Data!$B3:K3,Data!$B7:K7)/SUM(Data!$B3:J3,Data!$B7:J7)</f>
        <v>1.0043787629994527</v>
      </c>
      <c r="L26" s="40">
        <f>SUM(Data!$B3:L3)/SUM(Data!$B3:K3)</f>
        <v>1.0039960039960041</v>
      </c>
      <c r="M26" s="32">
        <f>SUM(Data!$B3:M3)/SUM(Data!$B3:L3)</f>
        <v>1</v>
      </c>
      <c r="N26" s="32">
        <f>SUM(Data!$B3:N3)/SUM(Data!$B3:M3)</f>
        <v>1</v>
      </c>
      <c r="O26" s="32">
        <f>SUM(Data!$B3:O3)/SUM(Data!$B3:N3)</f>
        <v>1.0009950248756219</v>
      </c>
      <c r="P26" s="32"/>
      <c r="Q26" s="32"/>
      <c r="R26" s="32"/>
    </row>
    <row r="27" spans="1:18" ht="16" x14ac:dyDescent="0.2">
      <c r="A27" s="6" t="s">
        <v>43</v>
      </c>
      <c r="B27" s="6"/>
      <c r="C27" s="32">
        <f>SUM(Data!$B4:C4,Data!$B8:C8,Data!$B12:C12)/SUM(Data!B4,Data!B8,Data!B12)</f>
        <v>3.2929194956353056</v>
      </c>
      <c r="D27" s="32">
        <f>SUM(Data!$B4:D4,Data!$B8:D8,Data!$B12:D12)/SUM(Data!$B4:C4,Data!$B8:C8,Data!$B12:C12)</f>
        <v>1.3652430044182622</v>
      </c>
      <c r="E27" s="32">
        <f>SUM(Data!$B4:E4,Data!$B8:E8,Data!$B12:E12)/SUM(Data!$B4:D4,Data!$B8:D8,Data!$B12:D12)</f>
        <v>1.1221143473570658</v>
      </c>
      <c r="F27" s="32">
        <f>SUM(Data!$B4:F4,Data!$B8:F8,Data!$B12:F12)/SUM(Data!$B4:E4,Data!$B8:E8,Data!$B12:E12)</f>
        <v>1.0457604306864066</v>
      </c>
      <c r="G27" s="32">
        <f>SUM(Data!$B4:G4,Data!$B8:G8)/SUM(Data!$B4:F4,Data!$B8:F8)</f>
        <v>1.0210330138445154</v>
      </c>
      <c r="H27" s="40">
        <f>SUM(Data!$B4:H4,Data!$B8:H8)/SUM(Data!$B4:G4,Data!$B8:G8)</f>
        <v>1.0075619295958278</v>
      </c>
      <c r="I27" s="40">
        <f>SUM(Data!$B4:I4,Data!$B8:I8)/SUM(Data!$B4:H4,Data!$B8:H8)</f>
        <v>1.0015527950310559</v>
      </c>
      <c r="J27" s="40">
        <f>SUM(Data!$B4:J4,Data!$B8:J8)/SUM(Data!$B4:I4,Data!$B8:I8)</f>
        <v>1.0012919896640826</v>
      </c>
      <c r="K27" s="40">
        <f>SUM(Data!$B4:K4)/SUM(Data!$B4:J4)</f>
        <v>1.0009483167377904</v>
      </c>
      <c r="L27" s="40">
        <f>SUM(Data!$B4:L4)/SUM(Data!$B4:K4)</f>
        <v>1.0004737091425864</v>
      </c>
      <c r="M27" s="32">
        <f>SUM(Data!$B4:M4)/SUM(Data!$B4:L4)</f>
        <v>1</v>
      </c>
      <c r="N27" s="32">
        <f>SUM(Data!$B4:N4)/SUM(Data!$B4:M4)</f>
        <v>1</v>
      </c>
      <c r="O27" s="32"/>
    </row>
    <row r="28" spans="1:18" ht="16" x14ac:dyDescent="0.2">
      <c r="A28" s="6"/>
      <c r="B28" s="6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8" ht="16" x14ac:dyDescent="0.2">
      <c r="A29" s="6"/>
      <c r="B29" s="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8" ht="16" x14ac:dyDescent="0.2">
      <c r="A30" s="10"/>
      <c r="B30" s="10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2"/>
    </row>
    <row r="31" spans="1:18" ht="16" x14ac:dyDescent="0.2">
      <c r="A31" s="6"/>
      <c r="B31" s="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8" ht="16" x14ac:dyDescent="0.2">
      <c r="A32" s="3" t="s">
        <v>10</v>
      </c>
      <c r="B32" s="3" t="s">
        <v>44</v>
      </c>
      <c r="C32" s="36">
        <f>C24</f>
        <v>4.9573170731707314</v>
      </c>
      <c r="D32" s="36">
        <f t="shared" ref="D32:F32" si="0">D24</f>
        <v>2.0130970724191064</v>
      </c>
      <c r="E32" s="36">
        <f t="shared" si="0"/>
        <v>3.2066869300911853</v>
      </c>
      <c r="F32" s="36">
        <f t="shared" si="0"/>
        <v>1.0821754664549423</v>
      </c>
      <c r="G32" s="36">
        <f>G24</f>
        <v>1.0385179750550257</v>
      </c>
      <c r="H32" s="36">
        <f t="shared" ref="C32:H35" si="1">H24</f>
        <v>1.0137760508654186</v>
      </c>
      <c r="I32" s="37" cm="1">
        <f t="array" ref="I32">EXP(_xlfn.FORECAST.LINEAR(I$2-8,LN($H24:$N24-1),$H$2:$N$2-8))+1</f>
        <v>1.0046779778569639</v>
      </c>
      <c r="J32" s="37" cm="1">
        <f t="array" ref="J32">EXP(_xlfn.FORECAST.LINEAR(J$2-8,LN($H24:$N24-1),$H$2:$N$2-8))+1</f>
        <v>1.0027231017775946</v>
      </c>
      <c r="K32" s="37" cm="1">
        <f t="array" ref="K32">EXP(_xlfn.FORECAST.LINEAR(K$2-8,LN($H24:$N24-1),$H$2:$N$2-8))+1</f>
        <v>1.0015851471550041</v>
      </c>
      <c r="L32" s="37" cm="1">
        <f t="array" ref="L32">EXP(_xlfn.FORECAST.LINEAR(L$2-8,LN($H24:$N24-1),$H$2:$N$2-8))+1</f>
        <v>1.0009227313953859</v>
      </c>
      <c r="M32" s="37" cm="1">
        <f t="array" ref="M32">EXP(_xlfn.FORECAST.LINEAR(M$2-8,LN($H24:$N24-1),$H$2:$N$2-8))+1</f>
        <v>1.0005371319787839</v>
      </c>
      <c r="N32" s="37" cm="1">
        <f t="array" ref="N32">EXP(_xlfn.FORECAST.LINEAR(N$2-8,LN($H24:$N24-1),$H$2:$N$2-8))+1</f>
        <v>1.0003126703654768</v>
      </c>
      <c r="O32" s="38" cm="1">
        <f t="array" ref="O32">EXP(INTERCEPT(LN(H24:N24-1),H$2:N$2-8))*EXP(SLOPE(LN(J24:N24-1),J$2:N$2-8))^(12-8)/(1-EXP(SLOPE(LN(J24:N24-1),J$2:N$2-8)))+1</f>
        <v>1.0042354678605763</v>
      </c>
      <c r="P32" s="32"/>
      <c r="Q32" s="32"/>
      <c r="R32" s="32"/>
    </row>
    <row r="33" spans="1:15" ht="16" x14ac:dyDescent="0.2">
      <c r="A33" s="3" t="s">
        <v>12</v>
      </c>
      <c r="B33" s="3" t="s">
        <v>45</v>
      </c>
      <c r="C33" s="36">
        <f t="shared" si="1"/>
        <v>8.2851985559566792</v>
      </c>
      <c r="D33" s="36">
        <f t="shared" si="1"/>
        <v>2.219524281466799</v>
      </c>
      <c r="E33" s="36">
        <f t="shared" si="1"/>
        <v>1.315464496211058</v>
      </c>
      <c r="F33" s="36">
        <f t="shared" si="1"/>
        <v>1.1487091956475357</v>
      </c>
      <c r="G33" s="36">
        <f t="shared" si="1"/>
        <v>1.062964338781575</v>
      </c>
      <c r="H33" s="36">
        <f t="shared" si="1"/>
        <v>1.0304036344574523</v>
      </c>
      <c r="I33" s="37" cm="1">
        <f t="array" ref="I33">EXP(_xlfn.FORECAST.LINEAR(I$2-8,LN($H25:$K25-1),$H$2:$K$2-8))+1</f>
        <v>1.0120669540833569</v>
      </c>
      <c r="J33" s="37" cm="1">
        <f t="array" ref="J33">EXP(_xlfn.FORECAST.LINEAR(J$2-8,LN($H25:$K25-1),$H$2:$K$2-8))+1</f>
        <v>1.0050634069424842</v>
      </c>
      <c r="K33" s="37" cm="1">
        <f t="array" ref="K33">EXP(_xlfn.FORECAST.LINEAR(K$2-8,LN($H25:$K25-1),$H$2:$K$2-8))+1</f>
        <v>1.0021246529727463</v>
      </c>
      <c r="L33" s="37" cm="1">
        <f t="array" ref="L33">EXP(_xlfn.FORECAST.LINEAR(L$2-8,LN($H25:$K25-1),$H$2:$K$2-8))+1</f>
        <v>1.0008915242851062</v>
      </c>
      <c r="M33" s="37" cm="1">
        <f t="array" ref="M33">EXP(_xlfn.FORECAST.LINEAR(M$2-8,LN($H25:$K25-1),$H$2:$K$2-8))+1</f>
        <v>1.0003740919393094</v>
      </c>
      <c r="N33" s="37" cm="1">
        <f t="array" ref="N33">EXP(_xlfn.FORECAST.LINEAR(N$2-8,LN($H25:$K25-1),$H$2:$K$2-8))+1</f>
        <v>1.0001569724811699</v>
      </c>
      <c r="O33" s="38" cm="1">
        <f t="array" ref="O33">EXP(INTERCEPT(LN(H25:K25-1),H$2:K$2-8))*EXP(SLOPE(LN(J25:K25-1),J$2:K$2-8))^(12-8)/(1-EXP(SLOPE(LN(J25:K25-1),J$2:K$2-8)))+1</f>
        <v>1.0001546937222012</v>
      </c>
    </row>
    <row r="34" spans="1:15" ht="16" x14ac:dyDescent="0.2">
      <c r="A34" s="3"/>
      <c r="B34" s="3" t="s">
        <v>46</v>
      </c>
      <c r="C34" s="36">
        <f t="shared" si="1"/>
        <v>14.297872340425531</v>
      </c>
      <c r="D34" s="36">
        <f t="shared" si="1"/>
        <v>2.5203252032520327</v>
      </c>
      <c r="E34" s="36">
        <f t="shared" si="1"/>
        <v>1.5217741935483871</v>
      </c>
      <c r="F34" s="36">
        <f t="shared" si="1"/>
        <v>1.2310545839957605</v>
      </c>
      <c r="G34" s="36">
        <f t="shared" si="1"/>
        <v>1.1037451571244081</v>
      </c>
      <c r="H34" s="36">
        <f t="shared" si="1"/>
        <v>1.0504750593824228</v>
      </c>
      <c r="I34" s="37" cm="1">
        <f t="array" ref="I34">EXP(_xlfn.FORECAST.LINEAR(I$2-8,LN($H26:$L26-1),$H$2:$L$2-8))+1</f>
        <v>1.0223581958359667</v>
      </c>
      <c r="J34" s="37" cm="1">
        <f t="array" ref="J34">EXP(_xlfn.FORECAST.LINEAR(J$2-8,LN($H26:$L26-1),$H$2:$L$2-8))+1</f>
        <v>1.0113966211738412</v>
      </c>
      <c r="K34" s="37" cm="1">
        <f t="array" ref="K34">EXP(_xlfn.FORECAST.LINEAR(K$2-8,LN($H26:$L26-1),$H$2:$L$2-8))+1</f>
        <v>1.0058091885021916</v>
      </c>
      <c r="L34" s="37" cm="1">
        <f t="array" ref="L34">EXP(_xlfn.FORECAST.LINEAR(L$2-8,LN($H26:$L26-1),$H$2:$L$2-8))+1</f>
        <v>1.0029611119417967</v>
      </c>
      <c r="M34" s="37" cm="1">
        <f t="array" ref="M34">EXP(_xlfn.FORECAST.LINEAR(M$2-8,LN($H26:$L26-1),$H$2:$L$2-8))+1</f>
        <v>1.0015093646777935</v>
      </c>
      <c r="N34" s="37" cm="1">
        <f t="array" ref="N34">EXP(_xlfn.FORECAST.LINEAR(N$2-8,LN($H26:$L26-1),$H$2:$L$2-8))+1</f>
        <v>1.0007693669727284</v>
      </c>
      <c r="O34" s="38" cm="1">
        <f t="array" ref="O34">EXP(INTERCEPT(LN(H26:L26-1),H$2:L$2-8))*EXP(SLOPE(LN(J26:L26-1),J$2:L$2-8))^(12-8)/(1-EXP(SLOPE(LN(J26:L26-1),J$2:L$2-8)))+1</f>
        <v>1.0030240234507533</v>
      </c>
    </row>
    <row r="35" spans="1:15" ht="16" x14ac:dyDescent="0.2">
      <c r="A35" s="3"/>
      <c r="B35" s="3" t="s">
        <v>47</v>
      </c>
      <c r="C35" s="36">
        <f t="shared" si="1"/>
        <v>3.2929194956353056</v>
      </c>
      <c r="D35" s="36">
        <f t="shared" si="1"/>
        <v>1.3652430044182622</v>
      </c>
      <c r="E35" s="36">
        <f t="shared" si="1"/>
        <v>1.1221143473570658</v>
      </c>
      <c r="F35" s="36">
        <f t="shared" si="1"/>
        <v>1.0457604306864066</v>
      </c>
      <c r="G35" s="36">
        <f t="shared" si="1"/>
        <v>1.0210330138445154</v>
      </c>
      <c r="H35" s="36">
        <f t="shared" si="1"/>
        <v>1.0075619295958278</v>
      </c>
      <c r="I35" s="37" cm="1">
        <f t="array" ref="I35">EXP(_xlfn.FORECAST.LINEAR(I$2-8,LN($H27:$L27-1),$H$2:$L$2-8))+1</f>
        <v>1.0026837029346951</v>
      </c>
      <c r="J35" s="37" cm="1">
        <f t="array" ref="J35">EXP(_xlfn.FORECAST.LINEAR(J$2-8,LN($H27:$L27-1),$H$2:$L$2-8))+1</f>
        <v>1.0014678923151905</v>
      </c>
      <c r="K35" s="37" cm="1">
        <f t="array" ref="K35">EXP(_xlfn.FORECAST.LINEAR(K$2-8,LN($H27:$L27-1),$H$2:$L$2-8))+1</f>
        <v>1.0008028861246672</v>
      </c>
      <c r="L35" s="37" cm="1">
        <f t="array" ref="L35">EXP(_xlfn.FORECAST.LINEAR(L$2-8,LN($H27:$L27-1),$H$2:$L$2-8))+1</f>
        <v>1.00043915083042</v>
      </c>
      <c r="M35" s="37" cm="1">
        <f t="array" ref="M35">EXP(_xlfn.FORECAST.LINEAR(M$2-8,LN($H27:$L27-1),$H$2:$L$2-8))+1</f>
        <v>1.0002402002549722</v>
      </c>
      <c r="N35" s="37" cm="1">
        <f t="array" ref="N35">EXP(_xlfn.FORECAST.LINEAR(N$2-8,LN($H27:$L27-1),$H$2:$L$2-8))+1</f>
        <v>1.0001313811986499</v>
      </c>
      <c r="O35" s="38" cm="1">
        <f t="array" ref="O35">EXP(INTERCEPT(LN(H27:L27-1),H$2:L$2-8))*EXP(SLOPE(LN(J27:L27-1),J$2:L$2-8))^(12-8)/(1-EXP(SLOPE(LN(J27:L27-1),J$2:L$2-8)))+1</f>
        <v>1.0002736094862021</v>
      </c>
    </row>
    <row r="36" spans="1:15" ht="16" x14ac:dyDescent="0.2">
      <c r="A36" s="3"/>
      <c r="B36" s="3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ht="16" x14ac:dyDescent="0.2">
      <c r="A37" s="6"/>
      <c r="B37" s="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5" ht="16" x14ac:dyDescent="0.2">
      <c r="A38" s="6"/>
      <c r="B38" s="6"/>
      <c r="C38" s="3">
        <v>0</v>
      </c>
      <c r="D38" s="3">
        <v>1</v>
      </c>
      <c r="E38" s="3">
        <v>2</v>
      </c>
      <c r="F38" s="3">
        <v>3</v>
      </c>
      <c r="G38" s="3">
        <v>4</v>
      </c>
      <c r="H38" s="3">
        <v>5</v>
      </c>
      <c r="I38" s="3">
        <v>6</v>
      </c>
      <c r="J38" s="3">
        <v>7</v>
      </c>
      <c r="K38" s="3">
        <v>8</v>
      </c>
      <c r="L38" s="3">
        <v>9</v>
      </c>
      <c r="M38" s="3">
        <v>10</v>
      </c>
      <c r="N38" s="3">
        <v>12</v>
      </c>
      <c r="O38" s="3" t="s">
        <v>69</v>
      </c>
    </row>
    <row r="39" spans="1:15" ht="16" x14ac:dyDescent="0.2">
      <c r="A39" s="6" t="s">
        <v>63</v>
      </c>
      <c r="B39" s="6"/>
      <c r="C39" s="6">
        <f>PRODUCT(C32:$O32)</f>
        <v>37.010297301128531</v>
      </c>
      <c r="D39" s="6">
        <f>PRODUCT(D32:$O32)</f>
        <v>7.4657918295019439</v>
      </c>
      <c r="E39" s="6">
        <f>PRODUCT(E32:$O32)</f>
        <v>3.7086099482179566</v>
      </c>
      <c r="F39" s="6">
        <f>PRODUCT(F32:$O32)</f>
        <v>1.1565238606291073</v>
      </c>
      <c r="G39" s="6">
        <f>PRODUCT(G32:$O32)</f>
        <v>1.0687027164067204</v>
      </c>
      <c r="H39" s="6">
        <f>PRODUCT(H32:$O32)</f>
        <v>1.0290652083803324</v>
      </c>
      <c r="I39" s="6">
        <f>PRODUCT(I32:$O32)</f>
        <v>1.0150813954441535</v>
      </c>
      <c r="J39" s="6">
        <f>PRODUCT(J32:$O32)</f>
        <v>1.0103549772329843</v>
      </c>
      <c r="K39" s="6">
        <f>PRODUCT(K32:$O32)</f>
        <v>1.0076111495206008</v>
      </c>
      <c r="L39" s="6">
        <f>PRODUCT(L32:$O32)</f>
        <v>1.006016465382612</v>
      </c>
      <c r="M39" s="6">
        <f>PRODUCT(M32:$O32)</f>
        <v>1.0050890381719328</v>
      </c>
      <c r="N39" s="6">
        <f>PRODUCT(N32:$O32)</f>
        <v>1.0045494625313369</v>
      </c>
      <c r="O39" s="6">
        <f>PRODUCT(O32:$O32)</f>
        <v>1.0042354678605763</v>
      </c>
    </row>
    <row r="40" spans="1:15" ht="16" x14ac:dyDescent="0.2">
      <c r="A40" s="6" t="s">
        <v>64</v>
      </c>
      <c r="B40" s="6"/>
      <c r="C40" s="50">
        <f>1/C39</f>
        <v>2.7019507351255665E-2</v>
      </c>
      <c r="D40" s="47">
        <f>1/D39-1/C39</f>
        <v>0.1069247577497861</v>
      </c>
      <c r="E40" s="47">
        <f t="shared" ref="E40:O40" si="2">1/E39-1/D39</f>
        <v>0.13569854284119418</v>
      </c>
      <c r="F40" s="47">
        <f t="shared" si="2"/>
        <v>0.5950172600792194</v>
      </c>
      <c r="G40" s="47">
        <f t="shared" si="2"/>
        <v>7.10538444146257E-2</v>
      </c>
      <c r="H40" s="47">
        <f t="shared" si="2"/>
        <v>3.6041805137853045E-2</v>
      </c>
      <c r="I40" s="47">
        <f t="shared" si="2"/>
        <v>1.3386956194060051E-2</v>
      </c>
      <c r="J40" s="47">
        <f t="shared" si="2"/>
        <v>4.6084756138369265E-3</v>
      </c>
      <c r="K40" s="47">
        <f t="shared" si="2"/>
        <v>2.6951931142578101E-3</v>
      </c>
      <c r="L40" s="47">
        <f t="shared" si="2"/>
        <v>1.5731734963021493E-3</v>
      </c>
      <c r="M40" s="47">
        <f t="shared" si="2"/>
        <v>9.1721301503222552E-4</v>
      </c>
      <c r="N40" s="47">
        <f t="shared" si="2"/>
        <v>5.344123340166318E-4</v>
      </c>
      <c r="O40" s="47">
        <f t="shared" si="2"/>
        <v>3.112543255847644E-4</v>
      </c>
    </row>
    <row r="41" spans="1:15" ht="16" x14ac:dyDescent="0.2">
      <c r="C41" s="6">
        <f>PRODUCT(C33:$O33)</f>
        <v>31.073299453203688</v>
      </c>
      <c r="D41" s="6">
        <f>PRODUCT(D33:$O33)</f>
        <v>3.7504592368354772</v>
      </c>
      <c r="E41" s="6">
        <f>PRODUCT(E33:$O33)</f>
        <v>1.6897581468930554</v>
      </c>
      <c r="F41" s="6">
        <f>PRODUCT(F33:$O33)</f>
        <v>1.2845334494089937</v>
      </c>
      <c r="G41" s="6">
        <f>PRODUCT(G33:$O33)</f>
        <v>1.1182407647436765</v>
      </c>
      <c r="H41" s="6">
        <f>PRODUCT(H33:$O33)</f>
        <v>1.0520021452699557</v>
      </c>
      <c r="I41" s="6">
        <f>PRODUCT(I33:$O33)</f>
        <v>1.0209612137323987</v>
      </c>
      <c r="J41" s="6">
        <f>PRODUCT(J33:$O33)</f>
        <v>1.0087882126900363</v>
      </c>
      <c r="K41" s="6">
        <f>PRODUCT(K33:$O33)</f>
        <v>1.0037060405560716</v>
      </c>
      <c r="L41" s="6">
        <f>PRODUCT(L33:$O33)</f>
        <v>1.0015780348069816</v>
      </c>
      <c r="M41" s="6">
        <f>PRODUCT(M33:$O33)</f>
        <v>1.0006858990262362</v>
      </c>
      <c r="N41" s="6">
        <f>PRODUCT(N33:$O33)</f>
        <v>1.0003116904860285</v>
      </c>
      <c r="O41" s="6">
        <f>PRODUCT(O33:$O33)</f>
        <v>1.0001546937222012</v>
      </c>
    </row>
    <row r="42" spans="1:15" ht="16" x14ac:dyDescent="0.2">
      <c r="C42" s="50">
        <f>1/C41</f>
        <v>3.2181970295944835E-2</v>
      </c>
      <c r="D42" s="47">
        <f>1/D41-1/C41</f>
        <v>0.23445204352785809</v>
      </c>
      <c r="E42" s="47">
        <f t="shared" ref="E42" si="3">1/E41-1/D41</f>
        <v>0.32516665412308166</v>
      </c>
      <c r="F42" s="47">
        <f t="shared" ref="F42" si="4">1/F41-1/E41</f>
        <v>0.1866920995712319</v>
      </c>
      <c r="G42" s="47">
        <f t="shared" ref="G42" si="5">1/G41-1/F41</f>
        <v>0.11576903327504307</v>
      </c>
      <c r="H42" s="47">
        <f t="shared" ref="H42" si="6">1/H41-1/G41</f>
        <v>5.6306602984561471E-2</v>
      </c>
      <c r="I42" s="47">
        <f t="shared" ref="I42" si="7">1/I41-1/H41</f>
        <v>2.8900734275262074E-2</v>
      </c>
      <c r="J42" s="47">
        <f t="shared" ref="J42" si="8">1/J41-1/I41</f>
        <v>1.1819209114950602E-2</v>
      </c>
      <c r="K42" s="47">
        <f t="shared" ref="K42" si="9">1/K41-1/J41</f>
        <v>5.0192962990535106E-3</v>
      </c>
      <c r="L42" s="47">
        <f t="shared" ref="L42" si="10">1/L41-1/K41</f>
        <v>2.1168079964619668E-3</v>
      </c>
      <c r="M42" s="47">
        <f t="shared" ref="M42" si="11">1/M41-1/L41</f>
        <v>8.9011964532370591E-4</v>
      </c>
      <c r="N42" s="47">
        <f t="shared" ref="N42" si="12">1/N41-1/M41</f>
        <v>3.7383552588610147E-4</v>
      </c>
      <c r="O42" s="47">
        <f t="shared" ref="O42" si="13">1/O41-1/N41</f>
        <v>1.5692356958618703E-4</v>
      </c>
    </row>
    <row r="43" spans="1:15" ht="16" x14ac:dyDescent="0.2">
      <c r="C43" s="6">
        <f>PRODUCT(C34:$O34)</f>
        <v>82.079500762148484</v>
      </c>
      <c r="D43" s="6">
        <f>PRODUCT(D34:$O34)</f>
        <v>5.7406793687812199</v>
      </c>
      <c r="E43" s="6">
        <f>PRODUCT(E34:$O34)</f>
        <v>2.2777534269680322</v>
      </c>
      <c r="F43" s="6">
        <f>PRODUCT(F34:$O34)</f>
        <v>1.4967749069636247</v>
      </c>
      <c r="G43" s="6">
        <f>PRODUCT(G34:$O34)</f>
        <v>1.2158477182265863</v>
      </c>
      <c r="H43" s="6">
        <f>PRODUCT(H34:$O34)</f>
        <v>1.1015656199065365</v>
      </c>
      <c r="I43" s="6">
        <f>PRODUCT(I34:$O34)</f>
        <v>1.0486356720873982</v>
      </c>
      <c r="J43" s="6">
        <f>PRODUCT(J34:$O34)</f>
        <v>1.0257028078402062</v>
      </c>
      <c r="K43" s="6">
        <f>PRODUCT(K34:$O34)</f>
        <v>1.0141449816687749</v>
      </c>
      <c r="L43" s="6">
        <f>PRODUCT(L34:$O34)</f>
        <v>1.0082876486533163</v>
      </c>
      <c r="M43" s="6">
        <f>PRODUCT(M34:$O34)</f>
        <v>1.0053108108062208</v>
      </c>
      <c r="N43" s="6">
        <f>PRODUCT(N34:$O34)</f>
        <v>1.0037957170072496</v>
      </c>
      <c r="O43" s="6">
        <f>PRODUCT(O34:$O34)</f>
        <v>1.0030240234507533</v>
      </c>
    </row>
    <row r="44" spans="1:15" ht="16" x14ac:dyDescent="0.2">
      <c r="C44" s="50">
        <f>1/C43</f>
        <v>1.2183309970388571E-2</v>
      </c>
      <c r="D44" s="47">
        <f>1/D43-1/C43</f>
        <v>0.16201210067006075</v>
      </c>
      <c r="E44" s="47">
        <f t="shared" ref="E44" si="14">1/E43-1/D43</f>
        <v>0.26483367308751238</v>
      </c>
      <c r="F44" s="47">
        <f t="shared" ref="F44" si="15">1/F43-1/E43</f>
        <v>0.22907404610644461</v>
      </c>
      <c r="G44" s="47">
        <f t="shared" ref="G44" si="16">1/G43-1/F43</f>
        <v>0.15436829073015423</v>
      </c>
      <c r="H44" s="47">
        <f t="shared" ref="H44" si="17">1/H43-1/G43</f>
        <v>8.5327426756805602E-2</v>
      </c>
      <c r="I44" s="47">
        <f t="shared" ref="I44" si="18">1/I43-1/H43</f>
        <v>4.5821200725840949E-2</v>
      </c>
      <c r="J44" s="47">
        <f t="shared" ref="J44" si="19">1/J43-1/I43</f>
        <v>2.1321223787343246E-2</v>
      </c>
      <c r="K44" s="47">
        <f t="shared" ref="K44" si="20">1/K43-1/J43</f>
        <v>1.1111036341841407E-2</v>
      </c>
      <c r="L44" s="47">
        <f t="shared" ref="L44" si="21">1/L43-1/K43</f>
        <v>5.7281637312176503E-3</v>
      </c>
      <c r="M44" s="47">
        <f t="shared" ref="M44" si="22">1/M43-1/L43</f>
        <v>2.9367729990064095E-3</v>
      </c>
      <c r="N44" s="47">
        <f t="shared" ref="N44" si="23">1/N43-1/M43</f>
        <v>1.5013910738541636E-3</v>
      </c>
      <c r="O44" s="47">
        <f t="shared" ref="O44" si="24">1/O43-1/N43</f>
        <v>7.6645771614003433E-4</v>
      </c>
    </row>
    <row r="45" spans="1:15" ht="16" x14ac:dyDescent="0.2">
      <c r="C45" s="6">
        <f>PRODUCT(C35:$O35)</f>
        <v>5.4599958469076109</v>
      </c>
      <c r="D45" s="6">
        <f>PRODUCT(D35:$O35)</f>
        <v>1.6581018315645792</v>
      </c>
      <c r="E45" s="6">
        <f>PRODUCT(E35:$O35)</f>
        <v>1.2145104030553935</v>
      </c>
      <c r="F45" s="6">
        <f>PRODUCT(F35:$O35)</f>
        <v>1.082341034063016</v>
      </c>
      <c r="G45" s="6">
        <f>PRODUCT(G35:$O35)</f>
        <v>1.0349799077333599</v>
      </c>
      <c r="H45" s="6">
        <f>PRODUCT(H35:$O35)</f>
        <v>1.0136595915114737</v>
      </c>
      <c r="I45" s="6">
        <f>PRODUCT(I35:$O35)</f>
        <v>1.0060518978898814</v>
      </c>
      <c r="J45" s="6">
        <f>PRODUCT(J35:$O35)</f>
        <v>1.0033591799141925</v>
      </c>
      <c r="K45" s="6">
        <f>PRODUCT(K35:$O35)</f>
        <v>1.0018885154616688</v>
      </c>
      <c r="L45" s="6">
        <f>PRODUCT(L35:$O35)</f>
        <v>1.0010847583995337</v>
      </c>
      <c r="M45" s="6">
        <f>PRODUCT(M35:$O35)</f>
        <v>1.0006453241744668</v>
      </c>
      <c r="N45" s="6">
        <f>PRODUCT(N35:$O35)</f>
        <v>1.0004050266319942</v>
      </c>
      <c r="O45" s="6">
        <f>PRODUCT(O35:$O35)</f>
        <v>1.0002736094862021</v>
      </c>
    </row>
    <row r="46" spans="1:15" ht="16" x14ac:dyDescent="0.2">
      <c r="C46" s="50">
        <f>1/C45</f>
        <v>0.18315032246157698</v>
      </c>
      <c r="D46" s="47">
        <f>1/D45-1/C45</f>
        <v>0.41994894500404273</v>
      </c>
      <c r="E46" s="47">
        <f t="shared" ref="E46" si="25">1/E45-1/D45</f>
        <v>0.22027778841159562</v>
      </c>
      <c r="F46" s="47">
        <f t="shared" ref="F46" si="26">1/F45-1/E45</f>
        <v>0.10054615180722892</v>
      </c>
      <c r="G46" s="47">
        <f t="shared" ref="G46" si="27">1/G45-1/F45</f>
        <v>4.2279123904806593E-2</v>
      </c>
      <c r="H46" s="47">
        <f t="shared" ref="H46" si="28">1/H45-1/G45</f>
        <v>2.0322147016919367E-2</v>
      </c>
      <c r="I46" s="47">
        <f t="shared" ref="I46" si="29">1/I45-1/H45</f>
        <v>7.4600286517806369E-3</v>
      </c>
      <c r="J46" s="47">
        <f t="shared" ref="J46" si="30">1/J45-1/I45</f>
        <v>2.6675591391694953E-3</v>
      </c>
      <c r="K46" s="47">
        <f t="shared" ref="K46" si="31">1/K45-1/J45</f>
        <v>1.4629779091829276E-3</v>
      </c>
      <c r="L46" s="47">
        <f t="shared" ref="L46" si="32">1/L45-1/K45</f>
        <v>8.0137271989544345E-4</v>
      </c>
      <c r="M46" s="47">
        <f t="shared" ref="M46" si="33">1/M45-1/L45</f>
        <v>4.3867497405702949E-4</v>
      </c>
      <c r="N46" s="47">
        <f t="shared" ref="N46" si="34">1/N45-1/M45</f>
        <v>2.4004534790644794E-4</v>
      </c>
      <c r="O46" s="47">
        <f t="shared" ref="O46" si="35">1/O45-1/N45</f>
        <v>1.3132800730919492E-4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E8D1-D6EA-C343-A482-29E3CD7BCE10}">
  <dimension ref="A1:Z60"/>
  <sheetViews>
    <sheetView topLeftCell="F1" zoomScale="99" workbookViewId="0">
      <selection activeCell="N3" sqref="N3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65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'Chain Ladder'!A4</f>
        <v>0</v>
      </c>
      <c r="B4" s="23">
        <f>Data!A1</f>
        <v>10854</v>
      </c>
      <c r="C4" s="25">
        <f>Data!B1</f>
        <v>91</v>
      </c>
      <c r="D4" s="25">
        <f>Data!C1</f>
        <v>377</v>
      </c>
      <c r="E4" s="25">
        <f>Data!D1</f>
        <v>301</v>
      </c>
      <c r="F4" s="25">
        <f>Data!E1</f>
        <v>170</v>
      </c>
      <c r="G4" s="25">
        <f>Data!F1</f>
        <v>72</v>
      </c>
      <c r="H4" s="25">
        <f>Data!G1</f>
        <v>44</v>
      </c>
      <c r="I4" s="25">
        <f>Data!H1</f>
        <v>11</v>
      </c>
      <c r="J4" s="25">
        <f>Data!I1</f>
        <v>6</v>
      </c>
      <c r="K4" s="25">
        <f>Data!J1</f>
        <v>3</v>
      </c>
      <c r="L4" s="25">
        <f>Data!K1</f>
        <v>1</v>
      </c>
      <c r="M4" s="25">
        <f>Data!L1</f>
        <v>1</v>
      </c>
      <c r="N4" s="25">
        <f>Data!M1</f>
        <v>1</v>
      </c>
      <c r="O4" s="24">
        <f>SUM($C4:N4)*('Chain Ladder - quarter'!N32-1)</f>
        <v>0.33705865398396329</v>
      </c>
      <c r="P4" s="21">
        <f>SUM(C4:N4)</f>
        <v>1078</v>
      </c>
      <c r="Q4" s="27">
        <f t="shared" ref="Q4:Q19" si="0">P4/B4</f>
        <v>9.9318223696333155E-2</v>
      </c>
      <c r="R4" s="20">
        <f t="shared" ref="R4:R19" si="1">S4-P4</f>
        <v>0.33705865398405876</v>
      </c>
      <c r="S4" s="20">
        <f>SUM(C4:O4)</f>
        <v>1078.3370586539841</v>
      </c>
      <c r="T4" s="27">
        <f>S4/B4</f>
        <v>9.9349277561634794E-2</v>
      </c>
    </row>
    <row r="5" spans="1:20" ht="16" x14ac:dyDescent="0.2">
      <c r="A5" s="7">
        <f>'Chain Ladder'!A5</f>
        <v>1</v>
      </c>
      <c r="B5" s="23">
        <f>Data!A2</f>
        <v>10166</v>
      </c>
      <c r="C5" s="25">
        <f>Data!B2</f>
        <v>63</v>
      </c>
      <c r="D5" s="25">
        <f>Data!C2</f>
        <v>550</v>
      </c>
      <c r="E5" s="25">
        <f>Data!D2</f>
        <v>555</v>
      </c>
      <c r="F5" s="25">
        <f>Data!E2</f>
        <v>404</v>
      </c>
      <c r="G5" s="25">
        <f>Data!F2</f>
        <v>236</v>
      </c>
      <c r="H5" s="25">
        <f>Data!G2</f>
        <v>104</v>
      </c>
      <c r="I5" s="25">
        <f>Data!H2</f>
        <v>56</v>
      </c>
      <c r="J5" s="25">
        <f>Data!I2</f>
        <v>26</v>
      </c>
      <c r="K5" s="25">
        <f>Data!J2</f>
        <v>13</v>
      </c>
      <c r="L5" s="25">
        <f>Data!K2</f>
        <v>5</v>
      </c>
      <c r="M5" s="25">
        <f>Data!L2</f>
        <v>0</v>
      </c>
      <c r="N5" s="25">
        <f>Data!M2</f>
        <v>1</v>
      </c>
      <c r="O5" s="24">
        <f>SUM($C5:N5)*('Chain Ladder - quarter'!N33-1)</f>
        <v>0.31598560459492653</v>
      </c>
      <c r="P5" s="21">
        <f>SUM(C5:N5)</f>
        <v>2013</v>
      </c>
      <c r="Q5" s="27">
        <f t="shared" si="0"/>
        <v>0.19801298445799725</v>
      </c>
      <c r="R5" s="20">
        <f t="shared" si="1"/>
        <v>0.31598560459497094</v>
      </c>
      <c r="S5" s="20">
        <f t="shared" ref="S5:S19" si="2">SUM(C5:O5)</f>
        <v>2013.315985604595</v>
      </c>
      <c r="T5" s="27">
        <f t="shared" ref="T5:T19" si="3">S5/B5</f>
        <v>0.19804406704747146</v>
      </c>
    </row>
    <row r="6" spans="1:20" ht="16" x14ac:dyDescent="0.2">
      <c r="A6" s="7">
        <f>'Chain Ladder'!A6</f>
        <v>2</v>
      </c>
      <c r="B6" s="23">
        <f>Data!A3</f>
        <v>10066</v>
      </c>
      <c r="C6" s="25">
        <f>Data!B3</f>
        <v>12</v>
      </c>
      <c r="D6" s="25">
        <f>Data!C3</f>
        <v>169</v>
      </c>
      <c r="E6" s="25">
        <f>Data!D3</f>
        <v>274</v>
      </c>
      <c r="F6" s="25">
        <f>Data!E3</f>
        <v>225</v>
      </c>
      <c r="G6" s="25">
        <f>Data!F3</f>
        <v>166</v>
      </c>
      <c r="H6" s="25">
        <f>Data!G3</f>
        <v>72</v>
      </c>
      <c r="I6" s="25">
        <f>Data!H3</f>
        <v>47</v>
      </c>
      <c r="J6" s="25">
        <f>Data!I3</f>
        <v>19</v>
      </c>
      <c r="K6" s="25">
        <f>Data!J3</f>
        <v>11</v>
      </c>
      <c r="L6" s="25">
        <f>Data!K3</f>
        <v>6</v>
      </c>
      <c r="M6" s="25">
        <f>Data!L3</f>
        <v>4</v>
      </c>
      <c r="N6" s="25">
        <f>Data!M3</f>
        <v>0</v>
      </c>
      <c r="O6" s="24">
        <f>SUM($C6:N6)*('Chain Ladder - quarter'!N34-1)</f>
        <v>0.77321380759208913</v>
      </c>
      <c r="P6" s="21">
        <f>SUM(C6:N6)</f>
        <v>1005</v>
      </c>
      <c r="Q6" s="27">
        <f t="shared" si="0"/>
        <v>9.9841049076097754E-2</v>
      </c>
      <c r="R6" s="20">
        <f t="shared" si="1"/>
        <v>0.77321380759212843</v>
      </c>
      <c r="S6" s="20">
        <f t="shared" si="2"/>
        <v>1005.7732138075921</v>
      </c>
      <c r="T6" s="27">
        <f t="shared" si="3"/>
        <v>9.9917863481779473E-2</v>
      </c>
    </row>
    <row r="7" spans="1:20" ht="16" x14ac:dyDescent="0.2">
      <c r="A7" s="7">
        <f>'Chain Ladder'!A7</f>
        <v>3</v>
      </c>
      <c r="B7" s="23">
        <f>Data!A4</f>
        <v>10352</v>
      </c>
      <c r="C7" s="25">
        <f>Data!B4</f>
        <v>385</v>
      </c>
      <c r="D7" s="25">
        <f>Data!C4</f>
        <v>906</v>
      </c>
      <c r="E7" s="25">
        <f>Data!D4</f>
        <v>441</v>
      </c>
      <c r="F7" s="25">
        <f>Data!E4</f>
        <v>235</v>
      </c>
      <c r="G7" s="25">
        <f>Data!F4</f>
        <v>80</v>
      </c>
      <c r="H7" s="25">
        <f>Data!G4</f>
        <v>41</v>
      </c>
      <c r="I7" s="25">
        <f>Data!H4</f>
        <v>16</v>
      </c>
      <c r="J7" s="25">
        <f>Data!I4</f>
        <v>2</v>
      </c>
      <c r="K7" s="25">
        <f>Data!J4</f>
        <v>3</v>
      </c>
      <c r="L7" s="25">
        <f>Data!K4</f>
        <v>2</v>
      </c>
      <c r="M7" s="25">
        <f>Data!L4</f>
        <v>1</v>
      </c>
      <c r="N7" s="25">
        <f>Data!M4</f>
        <v>0</v>
      </c>
      <c r="O7" s="24">
        <f>SUM($C7:N7)*('Chain Ladder - quarter'!N35-1)</f>
        <v>0.27747709154850497</v>
      </c>
      <c r="P7" s="21">
        <f>SUM(C7:N7)</f>
        <v>2112</v>
      </c>
      <c r="Q7" s="27">
        <f t="shared" si="0"/>
        <v>0.20401854714064915</v>
      </c>
      <c r="R7" s="20">
        <f t="shared" si="1"/>
        <v>0.27747709154846234</v>
      </c>
      <c r="S7" s="20">
        <f t="shared" si="2"/>
        <v>2112.2774770915485</v>
      </c>
      <c r="T7" s="27">
        <f t="shared" si="3"/>
        <v>0.20404535134191928</v>
      </c>
    </row>
    <row r="8" spans="1:20" ht="16" x14ac:dyDescent="0.2">
      <c r="A8" s="7">
        <f>'Chain Ladder'!A8</f>
        <v>4</v>
      </c>
      <c r="B8" s="23">
        <f>Data!A5</f>
        <v>9805</v>
      </c>
      <c r="C8" s="25">
        <f>Data!B5</f>
        <v>92</v>
      </c>
      <c r="D8" s="25">
        <f>Data!C5</f>
        <v>361</v>
      </c>
      <c r="E8" s="25">
        <f>Data!D5</f>
        <v>265</v>
      </c>
      <c r="F8" s="25">
        <f>Data!E5</f>
        <v>158</v>
      </c>
      <c r="G8" s="25">
        <f>Data!F5</f>
        <v>69</v>
      </c>
      <c r="H8" s="25">
        <f>Data!G5</f>
        <v>29</v>
      </c>
      <c r="I8" s="25">
        <f>Data!H5</f>
        <v>17</v>
      </c>
      <c r="J8" s="25">
        <f>Data!I5</f>
        <v>9</v>
      </c>
      <c r="K8" s="25">
        <f>Data!J5</f>
        <v>2</v>
      </c>
      <c r="L8" s="25">
        <f>Data!K5</f>
        <v>0</v>
      </c>
      <c r="M8" s="25">
        <f>Data!L5</f>
        <v>0</v>
      </c>
      <c r="N8" s="25">
        <f>Data!M5</f>
        <v>0</v>
      </c>
      <c r="O8" s="24">
        <f>SUM($C8:N8)*('Chain Ladder - quarter'!N32-1)</f>
        <v>0.3132957062077284</v>
      </c>
      <c r="P8" s="21">
        <f>SUM(C8:N8)</f>
        <v>1002</v>
      </c>
      <c r="Q8" s="27">
        <f t="shared" si="0"/>
        <v>0.10219275879653238</v>
      </c>
      <c r="R8" s="20">
        <f t="shared" si="1"/>
        <v>0.31329570620778213</v>
      </c>
      <c r="S8" s="20">
        <f t="shared" si="2"/>
        <v>1002.3132957062078</v>
      </c>
      <c r="T8" s="27">
        <f t="shared" si="3"/>
        <v>0.10222471144377437</v>
      </c>
    </row>
    <row r="9" spans="1:20" ht="16" x14ac:dyDescent="0.2">
      <c r="A9" s="7">
        <f>'Chain Ladder'!A9</f>
        <v>5</v>
      </c>
      <c r="B9" s="23">
        <f>Data!A6</f>
        <v>10373</v>
      </c>
      <c r="C9" s="25">
        <f>Data!B6</f>
        <v>69</v>
      </c>
      <c r="D9" s="25">
        <f>Data!C6</f>
        <v>550</v>
      </c>
      <c r="E9" s="25">
        <f>Data!D6</f>
        <v>637</v>
      </c>
      <c r="F9" s="25">
        <f>Data!E6</f>
        <v>370</v>
      </c>
      <c r="G9" s="25">
        <f>Data!F6</f>
        <v>235</v>
      </c>
      <c r="H9" s="25">
        <f>Data!G6</f>
        <v>122</v>
      </c>
      <c r="I9" s="25">
        <f>Data!H6</f>
        <v>53</v>
      </c>
      <c r="J9" s="25">
        <f>Data!I6</f>
        <v>19</v>
      </c>
      <c r="K9" s="25">
        <f>Data!J6</f>
        <v>7</v>
      </c>
      <c r="L9" s="25">
        <f>Data!K6</f>
        <v>4</v>
      </c>
      <c r="M9" s="25">
        <f>Data!L6</f>
        <v>1</v>
      </c>
      <c r="N9" s="24">
        <f>SUM($C9:M9)*('Chain Ladder - quarter'!M33-1)</f>
        <v>0.7732480385524747</v>
      </c>
      <c r="O9" s="24">
        <f>SUM($C9:N9)*('Chain Ladder - quarter'!N33-1)</f>
        <v>0.32458349724127022</v>
      </c>
      <c r="P9" s="21">
        <f>SUM(C9:M9)</f>
        <v>2067</v>
      </c>
      <c r="Q9" s="27">
        <f t="shared" si="0"/>
        <v>0.19926732864166585</v>
      </c>
      <c r="R9" s="20">
        <f t="shared" si="1"/>
        <v>1.09783153579383</v>
      </c>
      <c r="S9" s="20">
        <f t="shared" si="2"/>
        <v>2068.0978315357938</v>
      </c>
      <c r="T9" s="27">
        <f t="shared" si="3"/>
        <v>0.19937316413147535</v>
      </c>
    </row>
    <row r="10" spans="1:20" ht="16" x14ac:dyDescent="0.2">
      <c r="A10" s="7">
        <f>'Chain Ladder'!A10</f>
        <v>6</v>
      </c>
      <c r="B10" s="23">
        <f>Data!A7</f>
        <v>8396</v>
      </c>
      <c r="C10" s="25">
        <f>Data!B7</f>
        <v>6</v>
      </c>
      <c r="D10" s="25">
        <f>Data!C7</f>
        <v>143</v>
      </c>
      <c r="E10" s="25">
        <f>Data!D7</f>
        <v>212</v>
      </c>
      <c r="F10" s="25">
        <f>Data!E7</f>
        <v>200</v>
      </c>
      <c r="G10" s="25">
        <f>Data!F7</f>
        <v>120</v>
      </c>
      <c r="H10" s="25">
        <f>Data!G7</f>
        <v>85</v>
      </c>
      <c r="I10" s="25">
        <f>Data!H7</f>
        <v>38</v>
      </c>
      <c r="J10" s="25">
        <f>Data!I7</f>
        <v>22</v>
      </c>
      <c r="K10" s="25">
        <f>Data!J7</f>
        <v>6</v>
      </c>
      <c r="L10" s="25">
        <f>Data!K7</f>
        <v>2</v>
      </c>
      <c r="M10" s="24">
        <f>SUM($C10:L10)*('Chain Ladder - quarter'!L34-1)</f>
        <v>2.4695673594584582</v>
      </c>
      <c r="N10" s="24">
        <f>SUM($C10:M10)*('Chain Ladder - quarter'!M34-1)</f>
        <v>1.2625376190215782</v>
      </c>
      <c r="O10" s="24">
        <f>SUM($C10:N10)*('Chain Ladder - quarter'!N34-1)</f>
        <v>0.64452341356472265</v>
      </c>
      <c r="P10" s="21">
        <f>SUM(C10:L10)</f>
        <v>834</v>
      </c>
      <c r="Q10" s="27">
        <f t="shared" si="0"/>
        <v>9.9333015721772278E-2</v>
      </c>
      <c r="R10" s="20">
        <f t="shared" si="1"/>
        <v>4.3766283920447222</v>
      </c>
      <c r="S10" s="20">
        <f t="shared" si="2"/>
        <v>838.37662839204472</v>
      </c>
      <c r="T10" s="27">
        <f t="shared" si="3"/>
        <v>9.9854291137689941E-2</v>
      </c>
    </row>
    <row r="11" spans="1:20" ht="16" x14ac:dyDescent="0.2">
      <c r="A11" s="7">
        <f>'Chain Ladder'!A11</f>
        <v>7</v>
      </c>
      <c r="B11" s="23">
        <f>Data!A8</f>
        <v>8638</v>
      </c>
      <c r="C11" s="25">
        <f>Data!B8</f>
        <v>315</v>
      </c>
      <c r="D11" s="25">
        <f>Data!C8</f>
        <v>711</v>
      </c>
      <c r="E11" s="25">
        <f>Data!D8</f>
        <v>421</v>
      </c>
      <c r="F11" s="25">
        <f>Data!E8</f>
        <v>175</v>
      </c>
      <c r="G11" s="25">
        <f>Data!F8</f>
        <v>87</v>
      </c>
      <c r="H11" s="25">
        <f>Data!G8</f>
        <v>38</v>
      </c>
      <c r="I11" s="25">
        <f>Data!H8</f>
        <v>13</v>
      </c>
      <c r="J11" s="25">
        <f>Data!I8</f>
        <v>4</v>
      </c>
      <c r="K11" s="25">
        <f>Data!J8</f>
        <v>2</v>
      </c>
      <c r="L11" s="24">
        <f>SUM($C11:K11)*('Chain Ladder - quarter'!K35-1)</f>
        <v>1.4178968961622189</v>
      </c>
      <c r="M11" s="24">
        <f>SUM($C11:L11)*('Chain Ladder - quarter'!L35-1)</f>
        <v>0.77616303712113688</v>
      </c>
      <c r="N11" s="24">
        <f>SUM($C11:M11)*('Chain Ladder - quarter'!M35-1)</f>
        <v>0.42472066403626568</v>
      </c>
      <c r="O11" s="24">
        <f>SUM($C11:N11)*('Chain Ladder - quarter'!N35-1)</f>
        <v>0.23236325534953015</v>
      </c>
      <c r="P11" s="21">
        <f>SUM(C11:K11)</f>
        <v>1766</v>
      </c>
      <c r="Q11" s="27">
        <f t="shared" si="0"/>
        <v>0.20444547348923361</v>
      </c>
      <c r="R11" s="20">
        <f t="shared" si="1"/>
        <v>2.8511438526691109</v>
      </c>
      <c r="S11" s="20">
        <f t="shared" si="2"/>
        <v>1768.8511438526691</v>
      </c>
      <c r="T11" s="27">
        <f t="shared" si="3"/>
        <v>0.20477554339577092</v>
      </c>
    </row>
    <row r="12" spans="1:20" ht="16" x14ac:dyDescent="0.2">
      <c r="A12" s="7">
        <f>'Chain Ladder'!A12</f>
        <v>8</v>
      </c>
      <c r="B12" s="23">
        <f>Data!A9</f>
        <v>8303</v>
      </c>
      <c r="C12" s="25">
        <f>Data!B9</f>
        <v>78</v>
      </c>
      <c r="D12" s="25">
        <f>Data!C9</f>
        <v>288</v>
      </c>
      <c r="E12" s="25">
        <f>Data!D9</f>
        <v>239</v>
      </c>
      <c r="F12" s="25">
        <f>Data!E9</f>
        <v>99</v>
      </c>
      <c r="G12" s="25">
        <f>Data!F9</f>
        <v>66</v>
      </c>
      <c r="H12" s="25">
        <f>Data!G9</f>
        <v>32</v>
      </c>
      <c r="I12" s="25">
        <f>Data!H9</f>
        <v>11</v>
      </c>
      <c r="J12" s="25">
        <f>Data!I9</f>
        <v>6</v>
      </c>
      <c r="K12" s="24">
        <f>SUM($C12:J12)*('Chain Ladder - quarter'!J32-1)</f>
        <v>2.2302203558499816</v>
      </c>
      <c r="L12" s="24">
        <f>SUM($C12:K12)*('Chain Ladder - quarter'!K32-1)</f>
        <v>1.30177074740049</v>
      </c>
      <c r="M12" s="24">
        <f>SUM($C12:L12)*('Chain Ladder - quarter'!L32-1)</f>
        <v>0.75897609190024551</v>
      </c>
      <c r="N12" s="24">
        <f>SUM($C12:M12)*('Chain Ladder - quarter'!M32-1)</f>
        <v>0.44221590632445146</v>
      </c>
      <c r="O12" s="24">
        <f>SUM($C12:N12)*('Chain Ladder - quarter'!N32-1)</f>
        <v>0.2575569554156853</v>
      </c>
      <c r="P12" s="21">
        <f>SUM(C12:J12)</f>
        <v>819</v>
      </c>
      <c r="Q12" s="27">
        <f t="shared" si="0"/>
        <v>9.8639046127905583E-2</v>
      </c>
      <c r="R12" s="20">
        <f t="shared" si="1"/>
        <v>4.990740056890786</v>
      </c>
      <c r="S12" s="20">
        <f t="shared" si="2"/>
        <v>823.99074005689079</v>
      </c>
      <c r="T12" s="27">
        <f t="shared" si="3"/>
        <v>9.9240122854015511E-2</v>
      </c>
    </row>
    <row r="13" spans="1:20" ht="16" x14ac:dyDescent="0.2">
      <c r="A13" s="7">
        <f>'Chain Ladder'!A13</f>
        <v>9</v>
      </c>
      <c r="B13" s="23">
        <f>Data!A10</f>
        <v>9668</v>
      </c>
      <c r="C13" s="25">
        <f>Data!B10</f>
        <v>85</v>
      </c>
      <c r="D13" s="25">
        <f>Data!C10</f>
        <v>499</v>
      </c>
      <c r="E13" s="25">
        <f>Data!D10</f>
        <v>555</v>
      </c>
      <c r="F13" s="25">
        <f>Data!E10</f>
        <v>350</v>
      </c>
      <c r="G13" s="25">
        <f>Data!F10</f>
        <v>226</v>
      </c>
      <c r="H13" s="25">
        <f>Data!G10</f>
        <v>113</v>
      </c>
      <c r="I13" s="25">
        <f>Data!H10</f>
        <v>65</v>
      </c>
      <c r="J13" s="24">
        <f>SUM($C13:I13)*('Chain Ladder - quarter'!I33-1)</f>
        <v>22.842744079794603</v>
      </c>
      <c r="K13" s="24">
        <f>SUM($C13:J13)*('Chain Ladder - quarter'!J33-1)</f>
        <v>9.7006914510816014</v>
      </c>
      <c r="L13" s="24">
        <f>SUM($C13:K13)*('Chain Ladder - quarter'!K33-1)</f>
        <v>4.0911115844528627</v>
      </c>
      <c r="M13" s="24">
        <f>SUM($C13:L13)*('Chain Ladder - quarter'!L33-1)</f>
        <v>1.7203160601332068</v>
      </c>
      <c r="N13" s="24">
        <f>SUM($C13:M13)*('Chain Ladder - quarter'!M33-1)</f>
        <v>0.72250428625989804</v>
      </c>
      <c r="O13" s="24">
        <f>SUM($C13:N13)*('Chain Ladder - quarter'!N33-1)</f>
        <v>0.30328297818259625</v>
      </c>
      <c r="P13" s="21">
        <f>SUM(C13:I13)</f>
        <v>1893</v>
      </c>
      <c r="Q13" s="27">
        <f t="shared" si="0"/>
        <v>0.19580057923045097</v>
      </c>
      <c r="R13" s="20">
        <f t="shared" si="1"/>
        <v>39.380650439904684</v>
      </c>
      <c r="S13" s="20">
        <f t="shared" si="2"/>
        <v>1932.3806504399047</v>
      </c>
      <c r="T13" s="27">
        <f t="shared" si="3"/>
        <v>0.19987387778650234</v>
      </c>
    </row>
    <row r="14" spans="1:20" ht="16" x14ac:dyDescent="0.2">
      <c r="A14" s="7">
        <f>'Chain Ladder'!A14</f>
        <v>10</v>
      </c>
      <c r="B14" s="23">
        <f>Data!A11</f>
        <v>9301</v>
      </c>
      <c r="C14" s="25">
        <f>Data!B11</f>
        <v>18</v>
      </c>
      <c r="D14" s="25">
        <f>Data!C11</f>
        <v>144</v>
      </c>
      <c r="E14" s="25">
        <f>Data!D11</f>
        <v>262</v>
      </c>
      <c r="F14" s="25">
        <f>Data!E11</f>
        <v>222</v>
      </c>
      <c r="G14" s="25">
        <f>Data!F11</f>
        <v>150</v>
      </c>
      <c r="H14" s="25">
        <f>Data!G11</f>
        <v>84</v>
      </c>
      <c r="I14" s="24">
        <f>SUM($C14:H14)*('Chain Ladder - quarter'!H34-1)</f>
        <v>44.418052256532064</v>
      </c>
      <c r="J14" s="24">
        <f>SUM($C14:I14)*('Chain Ladder - quarter'!I34-1)</f>
        <v>20.668319846654402</v>
      </c>
      <c r="K14" s="24">
        <f>SUM($C14:J14)*('Chain Ladder - quarter'!J34-1)</f>
        <v>10.770791359419952</v>
      </c>
      <c r="L14" s="24">
        <f>SUM($C14:K14)*('Chain Ladder - quarter'!K34-1)</f>
        <v>5.5527544437244369</v>
      </c>
      <c r="M14" s="24">
        <f>SUM($C14:L14)*('Chain Ladder - quarter'!L34-1)</f>
        <v>2.8468423888742334</v>
      </c>
      <c r="N14" s="24">
        <f>SUM($C14:M14)*('Chain Ladder - quarter'!M34-1)</f>
        <v>1.4554150943131774</v>
      </c>
      <c r="O14" s="24">
        <f>SUM($C14:N14)*('Chain Ladder - quarter'!N34-1)</f>
        <v>0.74298705290643663</v>
      </c>
      <c r="P14" s="21">
        <f>SUM(C14:H14)</f>
        <v>880</v>
      </c>
      <c r="Q14" s="27">
        <f t="shared" si="0"/>
        <v>9.4613482421245024E-2</v>
      </c>
      <c r="R14" s="20">
        <f t="shared" si="1"/>
        <v>86.455162442424694</v>
      </c>
      <c r="S14" s="20">
        <f t="shared" si="2"/>
        <v>966.45516244242469</v>
      </c>
      <c r="T14" s="27">
        <f t="shared" si="3"/>
        <v>0.1039087369575771</v>
      </c>
    </row>
    <row r="15" spans="1:20" ht="16" x14ac:dyDescent="0.2">
      <c r="A15" s="7">
        <f>'Chain Ladder'!A15</f>
        <v>11</v>
      </c>
      <c r="B15" s="23">
        <f>Data!A12</f>
        <v>8414</v>
      </c>
      <c r="C15" s="25">
        <f>Data!B12</f>
        <v>331</v>
      </c>
      <c r="D15" s="25">
        <f>Data!C12</f>
        <v>747</v>
      </c>
      <c r="E15" s="25">
        <f>Data!D12</f>
        <v>378</v>
      </c>
      <c r="F15" s="25">
        <f>Data!E12</f>
        <v>156</v>
      </c>
      <c r="G15" s="25">
        <f>Data!F12</f>
        <v>71</v>
      </c>
      <c r="H15" s="24">
        <f>SUM($C15:G15)*('Chain Ladder - quarter'!G35-1)</f>
        <v>35.398562300319405</v>
      </c>
      <c r="I15" s="24">
        <f>SUM($C15:H15)*('Chain Ladder - quarter'!H35-1)</f>
        <v>12.994408945686724</v>
      </c>
      <c r="J15" s="24">
        <f>SUM($C15:I15)*('Chain Ladder - quarter'!I35-1)</f>
        <v>4.6465443980433907</v>
      </c>
      <c r="K15" s="24">
        <f>SUM($C15:J15)*('Chain Ladder - quarter'!J35-1)</f>
        <v>2.5483190638809572</v>
      </c>
      <c r="L15" s="24">
        <f>SUM($C15:K15)*('Chain Ladder - quarter'!K35-1)</f>
        <v>1.3958880490021333</v>
      </c>
      <c r="M15" s="24">
        <f>SUM($C15:L15)*('Chain Ladder - quarter'!L35-1)</f>
        <v>0.76411529676600709</v>
      </c>
      <c r="N15" s="24">
        <f>SUM($C15:M15)*('Chain Ladder - quarter'!M35-1)</f>
        <v>0.4181280745427664</v>
      </c>
      <c r="O15" s="24">
        <f>SUM($C15:N15)*('Chain Ladder - quarter'!N35-1)</f>
        <v>0.2287564716782704</v>
      </c>
      <c r="P15" s="21">
        <f>SUM(C15:G15)</f>
        <v>1683</v>
      </c>
      <c r="Q15" s="27">
        <f t="shared" si="0"/>
        <v>0.20002376990729737</v>
      </c>
      <c r="R15" s="20">
        <f t="shared" si="1"/>
        <v>58.394722599919533</v>
      </c>
      <c r="S15" s="20">
        <f t="shared" si="2"/>
        <v>1741.3947225999195</v>
      </c>
      <c r="T15" s="27">
        <f t="shared" si="3"/>
        <v>0.20696395562157352</v>
      </c>
    </row>
    <row r="16" spans="1:20" ht="16" x14ac:dyDescent="0.2">
      <c r="A16" s="7">
        <f>'Chain Ladder'!A16</f>
        <v>12</v>
      </c>
      <c r="B16" s="23">
        <f>Data!A13</f>
        <v>7735</v>
      </c>
      <c r="C16" s="25">
        <f>Data!B13</f>
        <v>67</v>
      </c>
      <c r="D16" s="25">
        <f>Data!C13</f>
        <v>272</v>
      </c>
      <c r="E16" s="25">
        <f>Data!D13</f>
        <v>182</v>
      </c>
      <c r="F16" s="25">
        <f>Data!E13</f>
        <v>125</v>
      </c>
      <c r="G16" s="24">
        <f>SUM($C16:F16)*('Chain Ladder - quarter'!F32-1)</f>
        <v>53.085351329892752</v>
      </c>
      <c r="H16" s="24">
        <f>SUM($C16:G16)*('Chain Ladder - quarter'!G32-1)</f>
        <v>26.927352123858718</v>
      </c>
      <c r="I16" s="24">
        <f>SUM($C16:H16)*('Chain Ladder - quarter'!H32-1)</f>
        <v>10.001587931718916</v>
      </c>
      <c r="J16" s="24">
        <f>SUM($C16:I16)*('Chain Ladder - quarter'!I32-1)</f>
        <v>3.4430585575101977</v>
      </c>
      <c r="K16" s="24">
        <f>SUM($C16:J16)*('Chain Ladder - quarter'!J32-1)</f>
        <v>2.0136176240851267</v>
      </c>
      <c r="L16" s="24">
        <f>SUM($C16:K16)*('Chain Ladder - quarter'!K32-1)</f>
        <v>1.1753405947570934</v>
      </c>
      <c r="M16" s="24">
        <f>SUM($C16:L16)*('Chain Ladder - quarter'!L32-1)</f>
        <v>0.68526306420834637</v>
      </c>
      <c r="N16" s="24">
        <f>SUM($C16:M16)*('Chain Ladder - quarter'!M32-1)</f>
        <v>0.399267157745192</v>
      </c>
      <c r="O16" s="24">
        <f>SUM($C16:N16)*('Chain Ladder - quarter'!N32-1)</f>
        <v>0.23254259305380351</v>
      </c>
      <c r="P16" s="21">
        <f>SUM(C16:F16)</f>
        <v>646</v>
      </c>
      <c r="Q16" s="27">
        <f t="shared" si="0"/>
        <v>8.3516483516483511E-2</v>
      </c>
      <c r="R16" s="20">
        <f t="shared" si="1"/>
        <v>97.963380976830194</v>
      </c>
      <c r="S16" s="20">
        <f t="shared" si="2"/>
        <v>743.96338097683019</v>
      </c>
      <c r="T16" s="27">
        <f t="shared" si="3"/>
        <v>9.6181432576190065E-2</v>
      </c>
    </row>
    <row r="17" spans="1:20" ht="16" x14ac:dyDescent="0.2">
      <c r="A17" s="7">
        <f>'Chain Ladder'!A17</f>
        <v>13</v>
      </c>
      <c r="B17" s="23">
        <f>Data!A14</f>
        <v>8493</v>
      </c>
      <c r="C17" s="25">
        <f>Data!B14</f>
        <v>60</v>
      </c>
      <c r="D17" s="25">
        <f>Data!C14</f>
        <v>419</v>
      </c>
      <c r="E17" s="25">
        <f>Data!D14</f>
        <v>437</v>
      </c>
      <c r="F17" s="24">
        <f>SUM($C17:E17)*('Chain Ladder - quarter'!E33-1)</f>
        <v>288.96547852932912</v>
      </c>
      <c r="G17" s="24">
        <f>SUM($C17:F17)*('Chain Ladder - quarter'!F33-1)</f>
        <v>179.18944709514449</v>
      </c>
      <c r="H17" s="24">
        <f>SUM($C17:G17)*('Chain Ladder - quarter'!G33-1)</f>
        <v>87.152399663205159</v>
      </c>
      <c r="I17" s="24">
        <f>SUM($C17:H17)*('Chain Ladder - quarter'!H33-1)</f>
        <v>44.733090092618468</v>
      </c>
      <c r="J17" s="24">
        <f>SUM($C17:I17)*('Chain Ladder - quarter'!I33-1)</f>
        <v>18.293990080907363</v>
      </c>
      <c r="K17" s="24">
        <f>SUM($C17:J17)*('Chain Ladder - quarter'!J33-1)</f>
        <v>7.7689594807046234</v>
      </c>
      <c r="L17" s="24">
        <f>SUM($C17:K17)*('Chain Ladder - quarter'!K33-1)</f>
        <v>3.2764344986059504</v>
      </c>
      <c r="M17" s="24">
        <f>SUM($C17:L17)*('Chain Ladder - quarter'!L33-1)</f>
        <v>1.3777436209137579</v>
      </c>
      <c r="N17" s="24">
        <f>SUM($C17:M17)*('Chain Ladder - quarter'!M33-1)</f>
        <v>0.57862952892525166</v>
      </c>
      <c r="O17" s="24">
        <f>SUM($C17:N17)*('Chain Ladder - quarter'!N33-1)</f>
        <v>0.24288919821538138</v>
      </c>
      <c r="P17" s="21">
        <f>SUM(C17:E17)</f>
        <v>916</v>
      </c>
      <c r="Q17" s="27">
        <f t="shared" si="0"/>
        <v>0.10785352643353349</v>
      </c>
      <c r="R17" s="20">
        <f t="shared" si="1"/>
        <v>631.57906178856979</v>
      </c>
      <c r="S17" s="20">
        <f t="shared" si="2"/>
        <v>1547.5790617885698</v>
      </c>
      <c r="T17" s="27">
        <f t="shared" si="3"/>
        <v>0.18221818695261624</v>
      </c>
    </row>
    <row r="18" spans="1:20" ht="16" x14ac:dyDescent="0.2">
      <c r="A18" s="7">
        <f>'Chain Ladder'!A18</f>
        <v>14</v>
      </c>
      <c r="B18" s="23">
        <f>Data!A15</f>
        <v>8696</v>
      </c>
      <c r="C18" s="25">
        <f>Data!B15</f>
        <v>11</v>
      </c>
      <c r="D18" s="25">
        <f>Data!C15</f>
        <v>169</v>
      </c>
      <c r="E18" s="24">
        <f>SUM($C18:D18)*('Chain Ladder - quarter'!D34-1)</f>
        <v>273.65853658536588</v>
      </c>
      <c r="F18" s="24">
        <f>SUM($C18:E18)*('Chain Ladder - quarter'!E34-1)</f>
        <v>236.70731707317071</v>
      </c>
      <c r="G18" s="24">
        <f>SUM($C18:F18)*('Chain Ladder - quarter'!F34-1)</f>
        <v>159.51219512195127</v>
      </c>
      <c r="H18" s="24">
        <f>SUM($C18:G18)*('Chain Ladder - quarter'!G34-1)</f>
        <v>88.170731707317117</v>
      </c>
      <c r="I18" s="24">
        <f>SUM($C18:H18)*('Chain Ladder - quarter'!H34-1)</f>
        <v>47.348067898731252</v>
      </c>
      <c r="J18" s="24">
        <f>SUM($C18:I18)*('Chain Ladder - quarter'!I34-1)</f>
        <v>22.031695712370521</v>
      </c>
      <c r="K18" s="24">
        <f>SUM($C18:J18)*('Chain Ladder - quarter'!J34-1)</f>
        <v>11.481281476809629</v>
      </c>
      <c r="L18" s="24">
        <f>SUM($C18:K18)*('Chain Ladder - quarter'!K34-1)</f>
        <v>5.9190392435044874</v>
      </c>
      <c r="M18" s="24">
        <f>SUM($C18:L18)*('Chain Ladder - quarter'!L34-1)</f>
        <v>3.0346329899141642</v>
      </c>
      <c r="N18" s="24">
        <f>SUM($C18:M18)*('Chain Ladder - quarter'!M34-1)</f>
        <v>1.5514208571863863</v>
      </c>
      <c r="O18" s="24">
        <f>SUM($C18:N18)*('Chain Ladder - quarter'!N34-1)</f>
        <v>0.79199783965580828</v>
      </c>
      <c r="P18" s="21">
        <f>SUM(C18:D18)</f>
        <v>180</v>
      </c>
      <c r="Q18" s="27">
        <f t="shared" si="0"/>
        <v>2.0699172033118676E-2</v>
      </c>
      <c r="R18" s="20">
        <f t="shared" si="1"/>
        <v>850.20691650597746</v>
      </c>
      <c r="S18" s="20">
        <f t="shared" si="2"/>
        <v>1030.2069165059775</v>
      </c>
      <c r="T18" s="27">
        <f t="shared" si="3"/>
        <v>0.11846905663592197</v>
      </c>
    </row>
    <row r="19" spans="1:20" ht="16" x14ac:dyDescent="0.2">
      <c r="A19" s="7">
        <f>'Chain Ladder'!A19</f>
        <v>15</v>
      </c>
      <c r="B19" s="23">
        <f>Data!A16</f>
        <v>8772</v>
      </c>
      <c r="C19" s="25">
        <f>Data!B16</f>
        <v>323</v>
      </c>
      <c r="D19" s="24">
        <f>C19*('Chain Ladder - quarter'!C35-1)</f>
        <v>740.61299709020375</v>
      </c>
      <c r="E19" s="24">
        <f>SUM($C19:D19)*('Chain Ladder - quarter'!D35-1)</f>
        <v>388.47720659553841</v>
      </c>
      <c r="F19" s="24">
        <f>SUM($C19:E19)*('Chain Ladder - quarter'!E35-1)</f>
        <v>177.32104752667323</v>
      </c>
      <c r="G19" s="24">
        <f>SUM($C19:F19)*('Chain Ladder - quarter'!F35-1)</f>
        <v>74.562560620756742</v>
      </c>
      <c r="H19" s="24">
        <f>SUM($C19:G19)*('Chain Ladder - quarter'!G35-1)</f>
        <v>35.839704774978784</v>
      </c>
      <c r="I19" s="24">
        <f>SUM($C19:H19)*('Chain Ladder - quarter'!H35-1)</f>
        <v>13.156347322460419</v>
      </c>
      <c r="J19" s="24">
        <f>SUM($C19:I19)*('Chain Ladder - quarter'!I35-1)</f>
        <v>4.7044503682626688</v>
      </c>
      <c r="K19" s="24">
        <f>SUM($C19:J19)*('Chain Ladder - quarter'!J35-1)</f>
        <v>2.5800766185670687</v>
      </c>
      <c r="L19" s="24">
        <f>SUM($C19:K19)*('Chain Ladder - quarter'!K35-1)</f>
        <v>1.4132838263520711</v>
      </c>
      <c r="M19" s="24">
        <f>SUM($C19:L19)*('Chain Ladder - quarter'!L35-1)</f>
        <v>0.77363782228782463</v>
      </c>
      <c r="N19" s="24">
        <f>SUM($C19:M19)*('Chain Ladder - quarter'!M35-1)</f>
        <v>0.42333885265187315</v>
      </c>
      <c r="O19" s="24">
        <f>SUM($C19:N19)*('Chain Ladder - quarter'!N35-1)</f>
        <v>0.23160727096086131</v>
      </c>
      <c r="P19" s="21">
        <f>SUM(C19)</f>
        <v>323</v>
      </c>
      <c r="Q19" s="27">
        <f t="shared" si="0"/>
        <v>3.6821705426356592E-2</v>
      </c>
      <c r="R19" s="20">
        <f t="shared" si="1"/>
        <v>1440.096258689694</v>
      </c>
      <c r="S19" s="20">
        <f t="shared" si="2"/>
        <v>1763.096258689694</v>
      </c>
      <c r="T19" s="27">
        <f t="shared" si="3"/>
        <v>0.20099136555970062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3219.4095281446462</v>
      </c>
      <c r="S21" s="3"/>
    </row>
    <row r="22" spans="1:20" ht="16" thickTop="1" x14ac:dyDescent="0.2"/>
    <row r="24" spans="1:20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6" x14ac:dyDescent="0.2">
      <c r="C25" s="25">
        <v>91</v>
      </c>
      <c r="D25" s="25">
        <v>377</v>
      </c>
      <c r="E25" s="25">
        <v>301</v>
      </c>
      <c r="F25" s="25">
        <v>170</v>
      </c>
      <c r="G25" s="25">
        <v>72</v>
      </c>
      <c r="H25" s="25">
        <v>44</v>
      </c>
      <c r="I25" s="25">
        <v>11</v>
      </c>
      <c r="J25" s="25">
        <v>6</v>
      </c>
      <c r="K25" s="25">
        <v>3</v>
      </c>
      <c r="L25" s="25">
        <v>1</v>
      </c>
      <c r="M25" s="25">
        <v>1</v>
      </c>
      <c r="N25" s="25">
        <v>1</v>
      </c>
      <c r="O25" s="25">
        <v>1</v>
      </c>
      <c r="P25" s="21">
        <f>SUM(C25:N25)</f>
        <v>1078</v>
      </c>
      <c r="Q25" s="20">
        <f t="shared" ref="Q25:Q40" si="4">S25-P25</f>
        <v>1</v>
      </c>
      <c r="R25" s="26">
        <f>Q25/R4</f>
        <v>2.9668426791002824</v>
      </c>
      <c r="S25" s="29">
        <f t="shared" ref="S25:S39" si="5">SUM(C25:O25)</f>
        <v>1079</v>
      </c>
      <c r="T25" s="26">
        <f>S25/S4</f>
        <v>1.0006147811954487</v>
      </c>
    </row>
    <row r="26" spans="1:20" ht="16" x14ac:dyDescent="0.2">
      <c r="C26" s="25">
        <v>63</v>
      </c>
      <c r="D26" s="25">
        <v>550</v>
      </c>
      <c r="E26" s="25">
        <v>555</v>
      </c>
      <c r="F26" s="25">
        <v>404</v>
      </c>
      <c r="G26" s="25">
        <v>236</v>
      </c>
      <c r="H26" s="25">
        <v>104</v>
      </c>
      <c r="I26" s="25">
        <v>56</v>
      </c>
      <c r="J26" s="25">
        <v>26</v>
      </c>
      <c r="K26" s="25">
        <v>13</v>
      </c>
      <c r="L26" s="25">
        <v>5</v>
      </c>
      <c r="M26" s="25">
        <v>0</v>
      </c>
      <c r="N26" s="25">
        <v>1</v>
      </c>
      <c r="O26" s="25">
        <v>0</v>
      </c>
      <c r="P26" s="21">
        <f>SUM(C26:N26)</f>
        <v>2013</v>
      </c>
      <c r="Q26" s="20">
        <f t="shared" si="4"/>
        <v>0</v>
      </c>
      <c r="R26" s="26">
        <f t="shared" ref="R26:R40" si="6">Q26/R5</f>
        <v>0</v>
      </c>
      <c r="S26" s="29">
        <f t="shared" si="5"/>
        <v>2013</v>
      </c>
      <c r="T26" s="26">
        <f t="shared" ref="T26:T40" si="7">S26/S5</f>
        <v>0.99984305215532276</v>
      </c>
    </row>
    <row r="27" spans="1:20" ht="16" x14ac:dyDescent="0.2">
      <c r="C27" s="25">
        <v>12</v>
      </c>
      <c r="D27" s="25">
        <v>169</v>
      </c>
      <c r="E27" s="25">
        <v>274</v>
      </c>
      <c r="F27" s="25">
        <v>225</v>
      </c>
      <c r="G27" s="25">
        <v>166</v>
      </c>
      <c r="H27" s="25">
        <v>72</v>
      </c>
      <c r="I27" s="25">
        <v>47</v>
      </c>
      <c r="J27" s="25">
        <v>19</v>
      </c>
      <c r="K27" s="25">
        <v>11</v>
      </c>
      <c r="L27" s="25">
        <v>6</v>
      </c>
      <c r="M27" s="25">
        <v>4</v>
      </c>
      <c r="N27" s="25">
        <v>0</v>
      </c>
      <c r="O27" s="25">
        <v>1</v>
      </c>
      <c r="P27" s="21">
        <f>SUM(C27:N27)</f>
        <v>1005</v>
      </c>
      <c r="Q27" s="20">
        <f t="shared" si="4"/>
        <v>1</v>
      </c>
      <c r="R27" s="26">
        <f t="shared" si="6"/>
        <v>1.2933033401383613</v>
      </c>
      <c r="S27" s="29">
        <f t="shared" si="5"/>
        <v>1006</v>
      </c>
      <c r="T27" s="26">
        <f t="shared" si="7"/>
        <v>1.0002254844226257</v>
      </c>
    </row>
    <row r="28" spans="1:20" ht="16" x14ac:dyDescent="0.2">
      <c r="C28" s="25">
        <v>385</v>
      </c>
      <c r="D28" s="25">
        <v>906</v>
      </c>
      <c r="E28" s="25">
        <v>441</v>
      </c>
      <c r="F28" s="25">
        <v>235</v>
      </c>
      <c r="G28" s="25">
        <v>80</v>
      </c>
      <c r="H28" s="25">
        <v>41</v>
      </c>
      <c r="I28" s="25">
        <v>16</v>
      </c>
      <c r="J28" s="25">
        <v>2</v>
      </c>
      <c r="K28" s="25">
        <v>3</v>
      </c>
      <c r="L28" s="25">
        <v>2</v>
      </c>
      <c r="M28" s="25">
        <v>1</v>
      </c>
      <c r="N28" s="25">
        <v>0</v>
      </c>
      <c r="O28" s="25">
        <v>0</v>
      </c>
      <c r="P28" s="21">
        <f>SUM(C28:N28)</f>
        <v>2112</v>
      </c>
      <c r="Q28" s="20">
        <f t="shared" si="4"/>
        <v>0</v>
      </c>
      <c r="R28" s="26">
        <f t="shared" si="6"/>
        <v>0</v>
      </c>
      <c r="S28" s="29">
        <f t="shared" si="5"/>
        <v>2112</v>
      </c>
      <c r="T28" s="26">
        <f t="shared" si="7"/>
        <v>0.99986863606010201</v>
      </c>
    </row>
    <row r="29" spans="1:20" ht="16" x14ac:dyDescent="0.2">
      <c r="C29" s="25">
        <v>92</v>
      </c>
      <c r="D29" s="25">
        <v>361</v>
      </c>
      <c r="E29" s="25">
        <v>265</v>
      </c>
      <c r="F29" s="25">
        <v>158</v>
      </c>
      <c r="G29" s="25">
        <v>69</v>
      </c>
      <c r="H29" s="25">
        <v>29</v>
      </c>
      <c r="I29" s="25">
        <v>17</v>
      </c>
      <c r="J29" s="25">
        <v>9</v>
      </c>
      <c r="K29" s="25">
        <v>2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1002</v>
      </c>
      <c r="Q29" s="20">
        <f t="shared" si="4"/>
        <v>0</v>
      </c>
      <c r="R29" s="26">
        <f t="shared" si="6"/>
        <v>0</v>
      </c>
      <c r="S29" s="29">
        <f t="shared" si="5"/>
        <v>1002</v>
      </c>
      <c r="T29" s="26">
        <f t="shared" si="7"/>
        <v>0.99968742736672267</v>
      </c>
    </row>
    <row r="30" spans="1:20" ht="16" x14ac:dyDescent="0.2">
      <c r="C30" s="25">
        <v>69</v>
      </c>
      <c r="D30" s="25">
        <v>550</v>
      </c>
      <c r="E30" s="25">
        <v>637</v>
      </c>
      <c r="F30" s="25">
        <v>370</v>
      </c>
      <c r="G30" s="25">
        <v>235</v>
      </c>
      <c r="H30" s="25">
        <v>122</v>
      </c>
      <c r="I30" s="25">
        <v>53</v>
      </c>
      <c r="J30" s="25">
        <v>19</v>
      </c>
      <c r="K30" s="25">
        <v>7</v>
      </c>
      <c r="L30" s="25">
        <v>4</v>
      </c>
      <c r="M30" s="25">
        <v>1</v>
      </c>
      <c r="N30" s="25">
        <v>2</v>
      </c>
      <c r="O30" s="25">
        <v>1</v>
      </c>
      <c r="P30" s="21">
        <f>SUM(C30:M30)</f>
        <v>2067</v>
      </c>
      <c r="Q30" s="20">
        <f t="shared" si="4"/>
        <v>3</v>
      </c>
      <c r="R30" s="26">
        <f>Q30/R9</f>
        <v>2.7326597043240635</v>
      </c>
      <c r="S30" s="29">
        <f t="shared" si="5"/>
        <v>2070</v>
      </c>
      <c r="T30" s="26">
        <f t="shared" si="7"/>
        <v>1.0009197671576269</v>
      </c>
    </row>
    <row r="31" spans="1:20" ht="16" x14ac:dyDescent="0.2">
      <c r="C31" s="25">
        <v>6</v>
      </c>
      <c r="D31" s="25">
        <v>143</v>
      </c>
      <c r="E31" s="25">
        <v>212</v>
      </c>
      <c r="F31" s="25">
        <v>200</v>
      </c>
      <c r="G31" s="25">
        <v>120</v>
      </c>
      <c r="H31" s="25">
        <v>85</v>
      </c>
      <c r="I31" s="25">
        <v>38</v>
      </c>
      <c r="J31" s="25">
        <v>22</v>
      </c>
      <c r="K31" s="25">
        <v>6</v>
      </c>
      <c r="L31" s="25">
        <v>2</v>
      </c>
      <c r="M31" s="25">
        <v>3</v>
      </c>
      <c r="N31" s="25">
        <v>1</v>
      </c>
      <c r="O31" s="25">
        <v>0</v>
      </c>
      <c r="P31" s="21">
        <f>SUM(C31:L31)</f>
        <v>834</v>
      </c>
      <c r="Q31" s="20">
        <f t="shared" si="4"/>
        <v>4</v>
      </c>
      <c r="R31" s="26">
        <f t="shared" si="6"/>
        <v>0.91394554019497987</v>
      </c>
      <c r="S31" s="29">
        <f t="shared" si="5"/>
        <v>838</v>
      </c>
      <c r="T31" s="26">
        <f t="shared" si="7"/>
        <v>0.99955076468106341</v>
      </c>
    </row>
    <row r="32" spans="1:20" ht="16" x14ac:dyDescent="0.2">
      <c r="C32" s="25">
        <v>315</v>
      </c>
      <c r="D32" s="25">
        <v>711</v>
      </c>
      <c r="E32" s="25">
        <v>421</v>
      </c>
      <c r="F32" s="25">
        <v>175</v>
      </c>
      <c r="G32" s="25">
        <v>87</v>
      </c>
      <c r="H32" s="25">
        <v>38</v>
      </c>
      <c r="I32" s="25">
        <v>13</v>
      </c>
      <c r="J32" s="25">
        <v>4</v>
      </c>
      <c r="K32" s="25">
        <v>2</v>
      </c>
      <c r="L32" s="25">
        <v>0</v>
      </c>
      <c r="M32" s="25">
        <v>1</v>
      </c>
      <c r="N32" s="25">
        <v>0</v>
      </c>
      <c r="O32" s="25">
        <v>0</v>
      </c>
      <c r="P32" s="21">
        <f>SUM(C32:K32)</f>
        <v>1766</v>
      </c>
      <c r="Q32" s="20">
        <f t="shared" si="4"/>
        <v>1</v>
      </c>
      <c r="R32" s="26">
        <f t="shared" si="6"/>
        <v>0.35073642428243162</v>
      </c>
      <c r="S32" s="29">
        <f t="shared" si="5"/>
        <v>1767</v>
      </c>
      <c r="T32" s="26">
        <f t="shared" si="7"/>
        <v>0.99895347674726476</v>
      </c>
    </row>
    <row r="33" spans="1:26" ht="16" x14ac:dyDescent="0.2">
      <c r="C33" s="25">
        <v>78</v>
      </c>
      <c r="D33" s="25">
        <v>288</v>
      </c>
      <c r="E33" s="25">
        <v>239</v>
      </c>
      <c r="F33" s="25">
        <v>99</v>
      </c>
      <c r="G33" s="25">
        <v>66</v>
      </c>
      <c r="H33" s="25">
        <v>32</v>
      </c>
      <c r="I33" s="25">
        <v>11</v>
      </c>
      <c r="J33" s="25">
        <v>6</v>
      </c>
      <c r="K33" s="25">
        <v>3</v>
      </c>
      <c r="L33" s="25">
        <v>0</v>
      </c>
      <c r="M33" s="25">
        <v>0</v>
      </c>
      <c r="N33" s="25">
        <v>1</v>
      </c>
      <c r="O33" s="25">
        <v>0</v>
      </c>
      <c r="P33" s="21">
        <f>SUM(C33:J33)</f>
        <v>819</v>
      </c>
      <c r="Q33" s="20">
        <f t="shared" si="4"/>
        <v>4</v>
      </c>
      <c r="R33" s="26">
        <f t="shared" si="6"/>
        <v>0.80148433987803935</v>
      </c>
      <c r="S33" s="29">
        <f t="shared" si="5"/>
        <v>823</v>
      </c>
      <c r="T33" s="26">
        <f t="shared" si="7"/>
        <v>0.99879763205006111</v>
      </c>
    </row>
    <row r="34" spans="1:26" ht="16" x14ac:dyDescent="0.2">
      <c r="C34" s="25">
        <v>85</v>
      </c>
      <c r="D34" s="25">
        <v>499</v>
      </c>
      <c r="E34" s="25">
        <v>555</v>
      </c>
      <c r="F34" s="25">
        <v>350</v>
      </c>
      <c r="G34" s="25">
        <v>226</v>
      </c>
      <c r="H34" s="25">
        <v>113</v>
      </c>
      <c r="I34" s="25">
        <v>65</v>
      </c>
      <c r="J34" s="25">
        <v>23</v>
      </c>
      <c r="K34" s="25">
        <v>15</v>
      </c>
      <c r="L34" s="25">
        <v>4</v>
      </c>
      <c r="M34" s="25">
        <v>3</v>
      </c>
      <c r="N34" s="25">
        <v>0</v>
      </c>
      <c r="O34" s="25">
        <v>0</v>
      </c>
      <c r="P34" s="21">
        <f>SUM(C34:I34)</f>
        <v>1893</v>
      </c>
      <c r="Q34" s="20">
        <f t="shared" si="4"/>
        <v>45</v>
      </c>
      <c r="R34" s="26">
        <f t="shared" si="6"/>
        <v>1.1426931626909136</v>
      </c>
      <c r="S34" s="29">
        <f t="shared" si="5"/>
        <v>1938</v>
      </c>
      <c r="T34" s="26">
        <f t="shared" si="7"/>
        <v>1.0029079930803571</v>
      </c>
    </row>
    <row r="35" spans="1:26" ht="16" x14ac:dyDescent="0.2">
      <c r="C35" s="25">
        <v>18</v>
      </c>
      <c r="D35" s="25">
        <v>144</v>
      </c>
      <c r="E35" s="25">
        <v>262</v>
      </c>
      <c r="F35" s="25">
        <v>222</v>
      </c>
      <c r="G35" s="25">
        <v>150</v>
      </c>
      <c r="H35" s="25">
        <v>84</v>
      </c>
      <c r="I35" s="25">
        <v>35</v>
      </c>
      <c r="J35" s="25">
        <v>31</v>
      </c>
      <c r="K35" s="25">
        <v>9</v>
      </c>
      <c r="L35" s="25">
        <v>2</v>
      </c>
      <c r="M35" s="25">
        <v>2</v>
      </c>
      <c r="N35" s="25">
        <v>3</v>
      </c>
      <c r="O35" s="25">
        <v>0</v>
      </c>
      <c r="P35" s="21">
        <f>SUM(C35:H35)</f>
        <v>880</v>
      </c>
      <c r="Q35" s="20">
        <f t="shared" si="4"/>
        <v>82</v>
      </c>
      <c r="R35" s="26">
        <f t="shared" si="6"/>
        <v>0.94846852036867513</v>
      </c>
      <c r="S35" s="29">
        <f t="shared" si="5"/>
        <v>962</v>
      </c>
      <c r="T35" s="26">
        <f t="shared" si="7"/>
        <v>0.99539020265444533</v>
      </c>
    </row>
    <row r="36" spans="1:26" ht="16" x14ac:dyDescent="0.2">
      <c r="C36" s="25">
        <v>331</v>
      </c>
      <c r="D36" s="25">
        <v>747</v>
      </c>
      <c r="E36" s="25">
        <v>378</v>
      </c>
      <c r="F36" s="25">
        <v>156</v>
      </c>
      <c r="G36" s="25">
        <v>71</v>
      </c>
      <c r="H36" s="25">
        <v>27</v>
      </c>
      <c r="I36" s="25">
        <v>11</v>
      </c>
      <c r="J36" s="25">
        <v>6</v>
      </c>
      <c r="K36" s="25">
        <v>3</v>
      </c>
      <c r="L36" s="25">
        <v>0</v>
      </c>
      <c r="M36" s="25">
        <v>1</v>
      </c>
      <c r="N36" s="25">
        <v>0</v>
      </c>
      <c r="O36" s="25">
        <v>0</v>
      </c>
      <c r="P36" s="21">
        <f>SUM(C36:G36)</f>
        <v>1683</v>
      </c>
      <c r="Q36" s="20">
        <f t="shared" si="4"/>
        <v>48</v>
      </c>
      <c r="R36" s="26">
        <f>Q36/R15</f>
        <v>0.821992088717725</v>
      </c>
      <c r="S36" s="29">
        <f t="shared" si="5"/>
        <v>1731</v>
      </c>
      <c r="T36" s="26">
        <f t="shared" si="7"/>
        <v>0.9940308061894203</v>
      </c>
    </row>
    <row r="37" spans="1:26" ht="16" x14ac:dyDescent="0.2">
      <c r="C37" s="25">
        <v>67</v>
      </c>
      <c r="D37" s="25">
        <v>272</v>
      </c>
      <c r="E37" s="25">
        <v>182</v>
      </c>
      <c r="F37" s="25">
        <v>125</v>
      </c>
      <c r="G37" s="25">
        <v>57</v>
      </c>
      <c r="H37" s="25">
        <v>27</v>
      </c>
      <c r="I37" s="25">
        <v>11</v>
      </c>
      <c r="J37" s="25">
        <v>2</v>
      </c>
      <c r="K37" s="25">
        <v>2</v>
      </c>
      <c r="L37" s="25">
        <v>2</v>
      </c>
      <c r="M37" s="25">
        <v>1</v>
      </c>
      <c r="N37" s="25">
        <v>0</v>
      </c>
      <c r="O37" s="25">
        <v>0</v>
      </c>
      <c r="P37" s="21">
        <f>SUM(C37:F37)</f>
        <v>646</v>
      </c>
      <c r="Q37" s="20">
        <f t="shared" si="4"/>
        <v>102</v>
      </c>
      <c r="R37" s="26">
        <f t="shared" si="6"/>
        <v>1.0412053869815348</v>
      </c>
      <c r="S37" s="29">
        <f t="shared" si="5"/>
        <v>748</v>
      </c>
      <c r="T37" s="26">
        <f t="shared" si="7"/>
        <v>1.0054258302577603</v>
      </c>
    </row>
    <row r="38" spans="1:26" ht="16" x14ac:dyDescent="0.2">
      <c r="C38" s="25">
        <v>60</v>
      </c>
      <c r="D38" s="25">
        <v>419</v>
      </c>
      <c r="E38" s="25">
        <v>437</v>
      </c>
      <c r="F38" s="25">
        <v>319</v>
      </c>
      <c r="G38" s="25">
        <v>200</v>
      </c>
      <c r="H38" s="25">
        <v>86</v>
      </c>
      <c r="I38" s="25">
        <v>41</v>
      </c>
      <c r="J38" s="25">
        <v>24</v>
      </c>
      <c r="K38" s="25">
        <v>9</v>
      </c>
      <c r="L38" s="25">
        <v>4</v>
      </c>
      <c r="M38" s="25">
        <v>1</v>
      </c>
      <c r="N38" s="25">
        <v>0</v>
      </c>
      <c r="O38" s="25">
        <v>0</v>
      </c>
      <c r="P38" s="21">
        <f>SUM(C38:E38)</f>
        <v>916</v>
      </c>
      <c r="Q38" s="20">
        <f t="shared" si="4"/>
        <v>684</v>
      </c>
      <c r="R38" s="26">
        <f t="shared" si="6"/>
        <v>1.0829998037980855</v>
      </c>
      <c r="S38" s="29">
        <f t="shared" si="5"/>
        <v>1600</v>
      </c>
      <c r="T38" s="26">
        <f t="shared" si="7"/>
        <v>1.0338728660174856</v>
      </c>
    </row>
    <row r="39" spans="1:26" ht="16" x14ac:dyDescent="0.2">
      <c r="C39" s="25">
        <v>11</v>
      </c>
      <c r="D39" s="25">
        <v>169</v>
      </c>
      <c r="E39" s="25">
        <v>247</v>
      </c>
      <c r="F39" s="25">
        <v>202</v>
      </c>
      <c r="G39" s="25">
        <v>139</v>
      </c>
      <c r="H39" s="25">
        <v>82</v>
      </c>
      <c r="I39" s="25">
        <v>38</v>
      </c>
      <c r="J39" s="25">
        <v>21</v>
      </c>
      <c r="K39" s="25">
        <v>12</v>
      </c>
      <c r="L39" s="25">
        <v>5</v>
      </c>
      <c r="M39" s="25">
        <v>4</v>
      </c>
      <c r="N39" s="25">
        <v>0</v>
      </c>
      <c r="O39" s="25">
        <v>1</v>
      </c>
      <c r="P39" s="21">
        <f>SUM(C39:D39)</f>
        <v>180</v>
      </c>
      <c r="Q39" s="20">
        <f t="shared" si="4"/>
        <v>751</v>
      </c>
      <c r="R39" s="26">
        <f t="shared" si="6"/>
        <v>0.88331438549843888</v>
      </c>
      <c r="S39" s="29">
        <f t="shared" si="5"/>
        <v>931</v>
      </c>
      <c r="T39" s="41">
        <f t="shared" si="7"/>
        <v>0.90370195063100045</v>
      </c>
      <c r="U39" s="42" t="s">
        <v>55</v>
      </c>
      <c r="V39" s="42"/>
      <c r="W39" s="42"/>
      <c r="X39" s="42"/>
      <c r="Y39" s="42"/>
      <c r="Z39" s="42"/>
    </row>
    <row r="40" spans="1:26" ht="16" x14ac:dyDescent="0.2">
      <c r="C40" s="25">
        <v>323</v>
      </c>
      <c r="D40" s="25">
        <v>713</v>
      </c>
      <c r="E40" s="25">
        <v>344</v>
      </c>
      <c r="F40" s="25">
        <v>160</v>
      </c>
      <c r="G40" s="25">
        <v>66</v>
      </c>
      <c r="H40" s="25">
        <v>29</v>
      </c>
      <c r="I40" s="25">
        <v>9</v>
      </c>
      <c r="J40" s="25">
        <v>5</v>
      </c>
      <c r="K40" s="25">
        <v>1</v>
      </c>
      <c r="L40" s="25">
        <v>1</v>
      </c>
      <c r="M40" s="25">
        <v>1</v>
      </c>
      <c r="N40" s="25">
        <v>0</v>
      </c>
      <c r="O40" s="25">
        <v>0</v>
      </c>
      <c r="P40" s="21">
        <f>SUM(C40)</f>
        <v>323</v>
      </c>
      <c r="Q40" s="20">
        <f t="shared" si="4"/>
        <v>1329</v>
      </c>
      <c r="R40" s="26">
        <f t="shared" si="6"/>
        <v>0.9228549772146637</v>
      </c>
      <c r="S40" s="29">
        <f>SUM(C40:O40)</f>
        <v>1652</v>
      </c>
      <c r="T40" s="41">
        <f t="shared" si="7"/>
        <v>0.93698797887969032</v>
      </c>
      <c r="U40" s="42" t="s">
        <v>56</v>
      </c>
      <c r="V40" s="42"/>
      <c r="W40" s="42"/>
      <c r="X40" s="42"/>
      <c r="Y40" s="42"/>
      <c r="Z40" s="42"/>
    </row>
    <row r="41" spans="1:26" ht="16" x14ac:dyDescent="0.2"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P41" s="6"/>
      <c r="Q41" s="3"/>
      <c r="R41" s="26"/>
      <c r="S41" s="3"/>
    </row>
    <row r="42" spans="1:26" ht="16" x14ac:dyDescent="0.2">
      <c r="A42" s="28" t="s">
        <v>38</v>
      </c>
      <c r="P42" s="6"/>
      <c r="Q42" s="20">
        <f>SUM(Q25:Q40)</f>
        <v>3055</v>
      </c>
      <c r="R42" s="26">
        <f>Q42/R21</f>
        <v>0.94893177562302988</v>
      </c>
      <c r="S42" s="3"/>
      <c r="T42" s="30">
        <f>AVERAGE(T25:T40)</f>
        <v>0.9919236655966498</v>
      </c>
      <c r="U42" s="30" t="s">
        <v>39</v>
      </c>
    </row>
    <row r="43" spans="1:26" x14ac:dyDescent="0.2">
      <c r="O43">
        <f t="shared" ref="O43:O47" si="8">IF(O4&gt;0,O25/O4,"")</f>
        <v>2.9668426791011231</v>
      </c>
    </row>
    <row r="44" spans="1:26" x14ac:dyDescent="0.2">
      <c r="O44">
        <f t="shared" si="8"/>
        <v>0</v>
      </c>
    </row>
    <row r="45" spans="1:26" x14ac:dyDescent="0.2">
      <c r="O45">
        <f t="shared" si="8"/>
        <v>1.2933033401384271</v>
      </c>
    </row>
    <row r="46" spans="1:26" x14ac:dyDescent="0.2">
      <c r="O46">
        <f t="shared" si="8"/>
        <v>0</v>
      </c>
    </row>
    <row r="47" spans="1:26" x14ac:dyDescent="0.2">
      <c r="O47">
        <f t="shared" si="8"/>
        <v>0</v>
      </c>
    </row>
    <row r="48" spans="1:26" x14ac:dyDescent="0.2">
      <c r="M48">
        <f t="shared" ref="M48:O48" si="9">IF(M9&gt;0,M30/M9,"")</f>
        <v>1</v>
      </c>
      <c r="N48">
        <f t="shared" si="9"/>
        <v>2.5864921736419957</v>
      </c>
      <c r="O48">
        <f t="shared" si="9"/>
        <v>3.0808713582153486</v>
      </c>
    </row>
    <row r="49" spans="3:15" x14ac:dyDescent="0.2">
      <c r="L49">
        <f t="shared" ref="L49:O49" si="10">IF(L10&gt;0,L31/L10,"")</f>
        <v>1</v>
      </c>
      <c r="M49">
        <f t="shared" si="10"/>
        <v>1.2147876787041185</v>
      </c>
      <c r="N49">
        <f t="shared" si="10"/>
        <v>0.79205560684596821</v>
      </c>
      <c r="O49">
        <f t="shared" si="10"/>
        <v>0</v>
      </c>
    </row>
    <row r="50" spans="3:15" x14ac:dyDescent="0.2">
      <c r="K50">
        <f t="shared" ref="K50:O50" si="11">IF(K11&gt;0,K32/K11,"")</f>
        <v>1</v>
      </c>
      <c r="L50">
        <f t="shared" si="11"/>
        <v>0</v>
      </c>
      <c r="M50">
        <f t="shared" si="11"/>
        <v>1.2883891040587243</v>
      </c>
      <c r="N50">
        <f t="shared" si="11"/>
        <v>0</v>
      </c>
      <c r="O50">
        <f t="shared" si="11"/>
        <v>0</v>
      </c>
    </row>
    <row r="51" spans="3:15" x14ac:dyDescent="0.2">
      <c r="J51">
        <f t="shared" ref="J51:O51" si="12">IF(J12&gt;0,J33/J12,"")</f>
        <v>1</v>
      </c>
      <c r="K51">
        <f t="shared" si="12"/>
        <v>1.3451585589427733</v>
      </c>
      <c r="L51">
        <f t="shared" si="12"/>
        <v>0</v>
      </c>
      <c r="M51">
        <f t="shared" si="12"/>
        <v>0</v>
      </c>
      <c r="N51">
        <f t="shared" si="12"/>
        <v>2.2613388295135302</v>
      </c>
      <c r="O51">
        <f t="shared" si="12"/>
        <v>0</v>
      </c>
    </row>
    <row r="52" spans="3:15" x14ac:dyDescent="0.2">
      <c r="I52">
        <f t="shared" ref="I52:O52" si="13">IF(I13&gt;0,I34/I13,"")</f>
        <v>1</v>
      </c>
      <c r="J52">
        <f t="shared" si="13"/>
        <v>1.0068842832391796</v>
      </c>
      <c r="K52">
        <f t="shared" si="13"/>
        <v>1.5462815280376265</v>
      </c>
      <c r="L52">
        <f t="shared" si="13"/>
        <v>0.97772938171642465</v>
      </c>
      <c r="M52">
        <f t="shared" si="13"/>
        <v>1.7438656009336477</v>
      </c>
      <c r="N52">
        <f t="shared" si="13"/>
        <v>0</v>
      </c>
      <c r="O52">
        <f t="shared" si="13"/>
        <v>0</v>
      </c>
    </row>
    <row r="53" spans="3:15" x14ac:dyDescent="0.2">
      <c r="H53">
        <f t="shared" ref="H53:O53" si="14">IF(H14&gt;0,H35/H14,"")</f>
        <v>1</v>
      </c>
      <c r="I53">
        <f t="shared" si="14"/>
        <v>0.78796791443850267</v>
      </c>
      <c r="J53">
        <f t="shared" si="14"/>
        <v>1.4998800207273739</v>
      </c>
      <c r="K53">
        <f t="shared" si="14"/>
        <v>0.83559319827774325</v>
      </c>
      <c r="L53">
        <f t="shared" si="14"/>
        <v>0.36018160361122081</v>
      </c>
      <c r="M53">
        <f t="shared" si="14"/>
        <v>0.70253274568912394</v>
      </c>
      <c r="N53">
        <f t="shared" si="14"/>
        <v>2.0612676148007969</v>
      </c>
      <c r="O53">
        <f t="shared" si="14"/>
        <v>0</v>
      </c>
    </row>
    <row r="54" spans="3:15" x14ac:dyDescent="0.2">
      <c r="G54">
        <f t="shared" ref="G54:O54" si="15">IF(G15&gt;0,G36/G15,"")</f>
        <v>1</v>
      </c>
      <c r="H54">
        <f t="shared" si="15"/>
        <v>0.76274284167061712</v>
      </c>
      <c r="I54">
        <f t="shared" si="15"/>
        <v>0.84651791751184391</v>
      </c>
      <c r="J54">
        <f t="shared" si="15"/>
        <v>1.2912821843532873</v>
      </c>
      <c r="K54">
        <f t="shared" si="15"/>
        <v>1.1772466181809889</v>
      </c>
      <c r="L54">
        <f t="shared" si="15"/>
        <v>0</v>
      </c>
      <c r="M54">
        <f t="shared" si="15"/>
        <v>1.3087030245727789</v>
      </c>
      <c r="N54">
        <f t="shared" si="15"/>
        <v>0</v>
      </c>
      <c r="O54">
        <f t="shared" si="15"/>
        <v>0</v>
      </c>
    </row>
    <row r="55" spans="3:15" x14ac:dyDescent="0.2">
      <c r="F55">
        <f t="shared" ref="F55:O55" si="16">IF(F16&gt;0,F37/F16,"")</f>
        <v>1</v>
      </c>
      <c r="G55">
        <f t="shared" si="16"/>
        <v>1.0737425404944598</v>
      </c>
      <c r="H55">
        <f t="shared" si="16"/>
        <v>1.002697921273771</v>
      </c>
      <c r="I55">
        <f t="shared" si="16"/>
        <v>1.0998253552433142</v>
      </c>
      <c r="J55">
        <f t="shared" si="16"/>
        <v>0.58087888038891611</v>
      </c>
      <c r="K55">
        <f t="shared" si="16"/>
        <v>0.99323723435758382</v>
      </c>
      <c r="L55">
        <f t="shared" si="16"/>
        <v>1.7016344104181462</v>
      </c>
      <c r="M55">
        <f t="shared" si="16"/>
        <v>1.4592935942859477</v>
      </c>
      <c r="N55">
        <f t="shared" si="16"/>
        <v>0</v>
      </c>
      <c r="O55">
        <f t="shared" si="16"/>
        <v>0</v>
      </c>
    </row>
    <row r="56" spans="3:15" x14ac:dyDescent="0.2">
      <c r="E56">
        <f t="shared" ref="E56:O56" si="17">IF(E17&gt;0,E38/E17,"")</f>
        <v>1</v>
      </c>
      <c r="F56">
        <f t="shared" si="17"/>
        <v>1.103938095386098</v>
      </c>
      <c r="G56">
        <f t="shared" si="17"/>
        <v>1.1161371567478844</v>
      </c>
      <c r="H56">
        <f t="shared" si="17"/>
        <v>0.98677718952480331</v>
      </c>
      <c r="I56">
        <f t="shared" si="17"/>
        <v>0.91654745771219426</v>
      </c>
      <c r="J56">
        <f t="shared" si="17"/>
        <v>1.3119062541226449</v>
      </c>
      <c r="K56">
        <f t="shared" si="17"/>
        <v>1.1584562929376643</v>
      </c>
      <c r="L56">
        <f t="shared" si="17"/>
        <v>1.2208393000689959</v>
      </c>
      <c r="M56">
        <f t="shared" si="17"/>
        <v>0.72582444572435922</v>
      </c>
      <c r="N56">
        <f t="shared" si="17"/>
        <v>0</v>
      </c>
      <c r="O56">
        <f t="shared" si="17"/>
        <v>0</v>
      </c>
    </row>
    <row r="57" spans="3:15" x14ac:dyDescent="0.2">
      <c r="D57">
        <f t="shared" ref="D57:O57" si="18">IF(D18&gt;0,D39/D18,"")</f>
        <v>1</v>
      </c>
      <c r="E57">
        <f t="shared" si="18"/>
        <v>0.90258467023172895</v>
      </c>
      <c r="F57">
        <f t="shared" si="18"/>
        <v>0.85337454920144262</v>
      </c>
      <c r="G57">
        <f t="shared" si="18"/>
        <v>0.87140672782874595</v>
      </c>
      <c r="H57">
        <f t="shared" si="18"/>
        <v>0.93001383125864412</v>
      </c>
      <c r="I57">
        <f t="shared" si="18"/>
        <v>0.80256706738857775</v>
      </c>
      <c r="J57">
        <f t="shared" si="18"/>
        <v>0.95317220581476914</v>
      </c>
      <c r="K57">
        <f t="shared" si="18"/>
        <v>1.0451794971003978</v>
      </c>
      <c r="L57">
        <f t="shared" si="18"/>
        <v>0.84473168605647708</v>
      </c>
      <c r="M57">
        <f t="shared" si="18"/>
        <v>1.3181165608145391</v>
      </c>
      <c r="N57">
        <f t="shared" si="18"/>
        <v>0</v>
      </c>
      <c r="O57">
        <f t="shared" si="18"/>
        <v>1.262629706710547</v>
      </c>
    </row>
    <row r="58" spans="3:15" x14ac:dyDescent="0.2">
      <c r="C58">
        <f t="shared" ref="C58:O58" si="19">IF(C19&gt;0,C40/C19,"")</f>
        <v>1</v>
      </c>
      <c r="D58">
        <f t="shared" si="19"/>
        <v>0.96271602416013147</v>
      </c>
      <c r="E58">
        <f t="shared" si="19"/>
        <v>0.88550883850993689</v>
      </c>
      <c r="F58">
        <f t="shared" si="19"/>
        <v>0.90231815247951463</v>
      </c>
      <c r="G58">
        <f t="shared" si="19"/>
        <v>0.88516273382417754</v>
      </c>
      <c r="H58">
        <f t="shared" si="19"/>
        <v>0.80915845099946604</v>
      </c>
      <c r="I58">
        <f t="shared" si="19"/>
        <v>0.68408045025044806</v>
      </c>
      <c r="J58">
        <f t="shared" si="19"/>
        <v>1.0628234137044317</v>
      </c>
      <c r="K58">
        <f t="shared" si="19"/>
        <v>0.38758538905537743</v>
      </c>
      <c r="L58">
        <f t="shared" si="19"/>
        <v>0.70757195501286685</v>
      </c>
      <c r="M58">
        <f t="shared" si="19"/>
        <v>1.2925945076505831</v>
      </c>
      <c r="N58">
        <f t="shared" si="19"/>
        <v>0</v>
      </c>
      <c r="O58">
        <f t="shared" si="19"/>
        <v>0</v>
      </c>
    </row>
    <row r="59" spans="3:15" x14ac:dyDescent="0.2">
      <c r="C59" t="str">
        <f t="shared" ref="C59:O60" si="20">IF(C41&gt;0,C20/C41,"")</f>
        <v/>
      </c>
      <c r="D59" t="str">
        <f t="shared" si="20"/>
        <v/>
      </c>
      <c r="E59" t="str">
        <f t="shared" si="20"/>
        <v/>
      </c>
      <c r="F59" t="str">
        <f t="shared" si="20"/>
        <v/>
      </c>
      <c r="G59" t="str">
        <f t="shared" si="20"/>
        <v/>
      </c>
      <c r="H59" t="str">
        <f t="shared" si="20"/>
        <v/>
      </c>
      <c r="I59" t="str">
        <f t="shared" si="20"/>
        <v/>
      </c>
      <c r="J59" t="str">
        <f t="shared" si="20"/>
        <v/>
      </c>
      <c r="K59" t="str">
        <f t="shared" si="20"/>
        <v/>
      </c>
      <c r="L59" t="str">
        <f t="shared" si="20"/>
        <v/>
      </c>
      <c r="M59" t="str">
        <f t="shared" si="20"/>
        <v/>
      </c>
      <c r="N59" t="str">
        <f t="shared" si="20"/>
        <v/>
      </c>
      <c r="O59" t="str">
        <f t="shared" si="20"/>
        <v/>
      </c>
    </row>
    <row r="60" spans="3:15" x14ac:dyDescent="0.2">
      <c r="C60" t="str">
        <f t="shared" si="20"/>
        <v/>
      </c>
      <c r="D60" t="str">
        <f t="shared" si="20"/>
        <v/>
      </c>
      <c r="E60" t="str">
        <f t="shared" si="20"/>
        <v/>
      </c>
      <c r="F60" t="str">
        <f t="shared" si="20"/>
        <v/>
      </c>
      <c r="G60" t="str">
        <f t="shared" si="20"/>
        <v/>
      </c>
      <c r="H60" t="str">
        <f t="shared" si="20"/>
        <v/>
      </c>
      <c r="I60" t="str">
        <f t="shared" si="20"/>
        <v/>
      </c>
      <c r="J60" t="str">
        <f t="shared" si="20"/>
        <v/>
      </c>
      <c r="K60" t="str">
        <f t="shared" si="20"/>
        <v/>
      </c>
      <c r="L60" t="str">
        <f t="shared" si="20"/>
        <v/>
      </c>
      <c r="M60" t="str">
        <f t="shared" si="20"/>
        <v/>
      </c>
      <c r="N60" t="str">
        <f t="shared" si="20"/>
        <v/>
      </c>
      <c r="O60" t="str">
        <f t="shared" si="20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Exposure based</vt:lpstr>
      <vt:lpstr>Exposure based IBNR</vt:lpstr>
      <vt:lpstr>Exposure based - quarter</vt:lpstr>
      <vt:lpstr>Exposure based IBNR - quarter</vt:lpstr>
      <vt:lpstr>Chain Ladder</vt:lpstr>
      <vt:lpstr>Chain Ladder IBNR</vt:lpstr>
      <vt:lpstr>Chain Ladder - quarter</vt:lpstr>
      <vt:lpstr>Chain Ladder IBNR -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2023-08-03T03:12:42Z</dcterms:created>
  <dcterms:modified xsi:type="dcterms:W3CDTF">2023-08-13T11:23:31Z</dcterms:modified>
</cp:coreProperties>
</file>