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BE4A1F2-75E6-485D-9F0C-A4849BBBA285}" xr6:coauthVersionLast="43" xr6:coauthVersionMax="43" xr10:uidLastSave="{00000000-0000-0000-0000-000000000000}"/>
  <bookViews>
    <workbookView xWindow="-19320" yWindow="-120" windowWidth="19440" windowHeight="15000" xr2:uid="{00000000-000D-0000-FFFF-FFFF00000000}"/>
  </bookViews>
  <sheets>
    <sheet name="Мой расчет" sheetId="3" r:id="rId1"/>
    <sheet name="Мой расчет (14.05.19)" sheetId="4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3" l="1"/>
  <c r="C18" i="3"/>
  <c r="C17" i="3"/>
  <c r="C15" i="3"/>
  <c r="C9" i="3"/>
  <c r="H13" i="3" l="1"/>
  <c r="C14" i="4"/>
  <c r="P12" i="4"/>
  <c r="O12" i="4"/>
  <c r="N12" i="4"/>
  <c r="M12" i="4"/>
  <c r="B7" i="4"/>
  <c r="E2" i="4"/>
  <c r="G2" i="4" s="1"/>
  <c r="G4" i="4" s="1"/>
  <c r="J2" i="4" l="1"/>
  <c r="C11" i="4"/>
  <c r="J5" i="4" s="1"/>
  <c r="C9" i="4"/>
  <c r="J3" i="4" s="1"/>
  <c r="N12" i="3"/>
  <c r="O12" i="3"/>
  <c r="P12" i="3"/>
  <c r="C10" i="4" l="1"/>
  <c r="J4" i="4" s="1"/>
  <c r="J6" i="4" s="1"/>
  <c r="C31" i="1"/>
  <c r="C13" i="4" l="1"/>
  <c r="C12" i="4"/>
  <c r="C14" i="3"/>
  <c r="M12" i="3"/>
  <c r="B7" i="3"/>
  <c r="E2" i="3"/>
  <c r="G2" i="3" s="1"/>
  <c r="G4" i="3" s="1"/>
  <c r="M7" i="4" l="1"/>
  <c r="M8" i="4"/>
  <c r="C15" i="4"/>
  <c r="C16" i="4" s="1"/>
  <c r="C17" i="4" s="1"/>
  <c r="M4" i="4" s="1"/>
  <c r="M5" i="4" s="1"/>
  <c r="J3" i="3"/>
  <c r="J5" i="3"/>
  <c r="J2" i="3"/>
  <c r="M9" i="4" l="1"/>
  <c r="C10" i="3"/>
  <c r="J4" i="3" s="1"/>
  <c r="J6" i="3" s="1"/>
  <c r="C18" i="4" l="1"/>
  <c r="M10" i="4"/>
  <c r="C12" i="3"/>
  <c r="C13" i="3" s="1"/>
  <c r="M8" i="3" l="1"/>
  <c r="M7" i="3"/>
  <c r="C16" i="3"/>
  <c r="D44" i="1"/>
  <c r="M4" i="3" l="1"/>
  <c r="M9" i="3" s="1"/>
  <c r="N13" i="1"/>
  <c r="O13" i="1"/>
  <c r="P13" i="1"/>
  <c r="M13" i="1"/>
  <c r="M5" i="3" l="1"/>
  <c r="E3" i="1"/>
  <c r="E4" i="1"/>
  <c r="E5" i="1"/>
  <c r="G2" i="1"/>
  <c r="E2" i="1"/>
  <c r="C22" i="1"/>
  <c r="M10" i="3" l="1"/>
  <c r="G3" i="1"/>
  <c r="G4" i="1"/>
  <c r="G5" i="1"/>
  <c r="C9" i="1"/>
  <c r="G7" i="1" l="1"/>
  <c r="C11" i="1" s="1"/>
  <c r="J2" i="1" l="1"/>
  <c r="C15" i="1"/>
  <c r="J5" i="1" s="1"/>
  <c r="J3" i="1"/>
  <c r="C13" i="1" l="1"/>
  <c r="J4" i="1" s="1"/>
  <c r="J6" i="1" s="1"/>
  <c r="C18" i="1" l="1"/>
  <c r="C20" i="1" s="1"/>
  <c r="C24" i="1" l="1"/>
  <c r="C26" i="1" s="1"/>
  <c r="C28" i="1" s="1"/>
  <c r="M9" i="1"/>
  <c r="M7" i="1"/>
  <c r="M11" i="1"/>
  <c r="M10" i="1"/>
  <c r="N4" i="1" l="1"/>
  <c r="O4" i="1"/>
  <c r="P4" i="1"/>
  <c r="N10" i="1" l="1"/>
  <c r="N11" i="1" s="1"/>
  <c r="N5" i="1"/>
  <c r="P10" i="1"/>
  <c r="P5" i="1"/>
  <c r="O5" i="1"/>
  <c r="O10" i="1"/>
  <c r="O11" i="1" l="1"/>
  <c r="P11" i="1" s="1"/>
</calcChain>
</file>

<file path=xl/sharedStrings.xml><?xml version="1.0" encoding="utf-8"?>
<sst xmlns="http://schemas.openxmlformats.org/spreadsheetml/2006/main" count="145" uniqueCount="52">
  <si>
    <t xml:space="preserve">Исполнитель </t>
  </si>
  <si>
    <t xml:space="preserve">Месячна я тарифная ставка, руб. </t>
  </si>
  <si>
    <t xml:space="preserve">Часовая тарифная ставка, руб. </t>
  </si>
  <si>
    <t xml:space="preserve">Плановый фонд рабочего времени, дн. </t>
  </si>
  <si>
    <t xml:space="preserve">Заработная плата, руб. </t>
  </si>
  <si>
    <t>Зд=</t>
  </si>
  <si>
    <t>Нд</t>
  </si>
  <si>
    <t>Нсз</t>
  </si>
  <si>
    <t>Нпз</t>
  </si>
  <si>
    <t>Зпз=</t>
  </si>
  <si>
    <t xml:space="preserve">Статья затрат </t>
  </si>
  <si>
    <t xml:space="preserve">Сумма, млн. р. </t>
  </si>
  <si>
    <t>Основная заработная плата команды разработчиков</t>
  </si>
  <si>
    <t xml:space="preserve">Дополнительная заработная плата команды разработчиков </t>
  </si>
  <si>
    <t xml:space="preserve">Отчисления на социальные нужды </t>
  </si>
  <si>
    <t xml:space="preserve">Прочие затраты </t>
  </si>
  <si>
    <t xml:space="preserve">Общая сумма затрат на разработку </t>
  </si>
  <si>
    <t>Выполняемые работы</t>
  </si>
  <si>
    <t xml:space="preserve">Программист </t>
  </si>
  <si>
    <t>Ведущий программист</t>
  </si>
  <si>
    <t>Бизнес-аналитик</t>
  </si>
  <si>
    <t>Тестировщик</t>
  </si>
  <si>
    <t>№</t>
  </si>
  <si>
    <t>Зреал=</t>
  </si>
  <si>
    <t>Зр=</t>
  </si>
  <si>
    <t>НДС=</t>
  </si>
  <si>
    <t>Цгод. Подписки</t>
  </si>
  <si>
    <t>Пед=</t>
  </si>
  <si>
    <t>П=</t>
  </si>
  <si>
    <t>N</t>
  </si>
  <si>
    <t>ЧП=</t>
  </si>
  <si>
    <t>Зсоц=</t>
  </si>
  <si>
    <t>Показатель</t>
  </si>
  <si>
    <t>Расчетный период</t>
  </si>
  <si>
    <t>РЕЗУЛЬТАТ</t>
  </si>
  <si>
    <t xml:space="preserve"> </t>
  </si>
  <si>
    <t>Экономический эффект</t>
  </si>
  <si>
    <t>–</t>
  </si>
  <si>
    <t>Дисконтированный результат</t>
  </si>
  <si>
    <t>ЗАТРАТЫ</t>
  </si>
  <si>
    <t>Инвестиции в разработку</t>
  </si>
  <si>
    <t>программного средства</t>
  </si>
  <si>
    <t xml:space="preserve">– </t>
  </si>
  <si>
    <t>Дисконтированные инвестиции</t>
  </si>
  <si>
    <t>Чистый дисконтированный доход по годам</t>
  </si>
  <si>
    <t>Чистый дисконтированный доход</t>
  </si>
  <si>
    <t>нарастающим итогом</t>
  </si>
  <si>
    <t>Коэффициент дисконтирования</t>
  </si>
  <si>
    <t>Eн</t>
  </si>
  <si>
    <t>Рц=</t>
  </si>
  <si>
    <t>Инвестиции в разработку программного средства</t>
  </si>
  <si>
    <t>Нприб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</si>
</sst>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3" fontId="0" fillId="0" borderId="0" xfId="0" applyNumberFormat="1"/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Border="1"/>
    <xf numFmtId="4" fontId="1" fillId="0" borderId="0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" fontId="2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1D56-7545-4FB6-AE08-0B4D75C2FFC2}">
  <dimension ref="A1:Q18"/>
  <sheetViews>
    <sheetView tabSelected="1" zoomScale="70" zoomScaleNormal="70" workbookViewId="0">
      <selection activeCell="I9" sqref="I9"/>
    </sheetView>
  </sheetViews>
  <sheetFormatPr defaultRowHeight="15" x14ac:dyDescent="0.25"/>
  <cols>
    <col min="2" max="2" width="17.42578125" customWidth="1"/>
    <col min="3" max="3" width="14.7109375" bestFit="1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57.5703125" bestFit="1" customWidth="1"/>
    <col min="10" max="10" width="15" bestFit="1" customWidth="1"/>
    <col min="11" max="11" width="16.7109375" customWidth="1"/>
    <col min="12" max="12" width="26.7109375" bestFit="1" customWidth="1"/>
    <col min="13" max="13" width="11.28515625" bestFit="1" customWidth="1"/>
    <col min="14" max="14" width="12.42578125" customWidth="1"/>
    <col min="15" max="15" width="11.85546875" customWidth="1"/>
    <col min="16" max="16" width="15" bestFit="1" customWidth="1"/>
  </cols>
  <sheetData>
    <row r="1" spans="1:17" s="2" customFormat="1" ht="50.25" customHeight="1" thickBot="1" x14ac:dyDescent="0.3">
      <c r="A1" s="7" t="s">
        <v>22</v>
      </c>
      <c r="B1" s="7" t="s">
        <v>0</v>
      </c>
      <c r="C1" s="7" t="s">
        <v>17</v>
      </c>
      <c r="D1" s="7" t="s">
        <v>1</v>
      </c>
      <c r="E1" s="7" t="s">
        <v>2</v>
      </c>
      <c r="F1" s="7" t="s">
        <v>3</v>
      </c>
      <c r="G1" s="7" t="s">
        <v>4</v>
      </c>
      <c r="I1" s="5" t="s">
        <v>10</v>
      </c>
      <c r="J1" s="5" t="s">
        <v>11</v>
      </c>
      <c r="L1" s="52" t="s">
        <v>32</v>
      </c>
      <c r="M1" s="19"/>
      <c r="N1" s="54" t="s">
        <v>33</v>
      </c>
      <c r="O1" s="54"/>
      <c r="P1" s="20"/>
    </row>
    <row r="2" spans="1:17" s="3" customFormat="1" ht="29.25" customHeight="1" thickBot="1" x14ac:dyDescent="0.3">
      <c r="A2" s="8">
        <v>1</v>
      </c>
      <c r="B2" s="8" t="s">
        <v>18</v>
      </c>
      <c r="C2" s="8"/>
      <c r="D2" s="8">
        <v>1500</v>
      </c>
      <c r="E2" s="7">
        <f>D2/168</f>
        <v>8.9285714285714288</v>
      </c>
      <c r="F2" s="8">
        <v>120</v>
      </c>
      <c r="G2" s="16">
        <f>E2*F2</f>
        <v>1071.4285714285716</v>
      </c>
      <c r="I2" s="6" t="s">
        <v>12</v>
      </c>
      <c r="J2" s="17">
        <f>G4</f>
        <v>1607.1428571428573</v>
      </c>
      <c r="L2" s="53"/>
      <c r="M2" s="25">
        <v>2019</v>
      </c>
      <c r="N2" s="25"/>
      <c r="O2" s="25"/>
      <c r="P2" s="25"/>
    </row>
    <row r="3" spans="1:17" s="3" customFormat="1" ht="19.5" thickBot="1" x14ac:dyDescent="0.3">
      <c r="A3" s="55"/>
      <c r="B3" s="55"/>
      <c r="C3" s="55"/>
      <c r="D3" s="55"/>
      <c r="E3" s="55"/>
      <c r="F3" s="55"/>
      <c r="G3" s="13">
        <v>0.5</v>
      </c>
      <c r="I3" s="6" t="s">
        <v>13</v>
      </c>
      <c r="J3" s="17">
        <f>C9</f>
        <v>241.07142857142858</v>
      </c>
      <c r="L3" s="43" t="s">
        <v>34</v>
      </c>
      <c r="M3" s="22"/>
      <c r="N3" s="54"/>
      <c r="O3" s="54"/>
      <c r="P3" s="24"/>
    </row>
    <row r="4" spans="1:17" ht="38.25" thickBot="1" x14ac:dyDescent="0.35">
      <c r="A4" s="45"/>
      <c r="B4" s="11"/>
      <c r="C4" s="11"/>
      <c r="D4" s="11"/>
      <c r="E4" s="11"/>
      <c r="F4" s="11"/>
      <c r="G4" s="16">
        <f>SUM(G2:G2)+SUM(G2:G2)*G3</f>
        <v>1607.1428571428573</v>
      </c>
      <c r="I4" s="6" t="s">
        <v>14</v>
      </c>
      <c r="J4" s="17">
        <f>C10</f>
        <v>639.482142857143</v>
      </c>
      <c r="L4" s="43" t="s">
        <v>36</v>
      </c>
      <c r="M4" s="30">
        <f>$C$17</f>
        <v>13199.985972619048</v>
      </c>
      <c r="N4" s="30"/>
      <c r="O4" s="30"/>
      <c r="P4" s="30"/>
    </row>
    <row r="5" spans="1:17" ht="38.25" thickBot="1" x14ac:dyDescent="0.35">
      <c r="A5" s="34"/>
      <c r="B5" s="35"/>
      <c r="C5" s="36"/>
      <c r="D5" s="36"/>
      <c r="E5" s="36"/>
      <c r="F5" s="36"/>
      <c r="G5" s="37"/>
      <c r="I5" s="6" t="s">
        <v>15</v>
      </c>
      <c r="J5" s="17">
        <f>C11</f>
        <v>1928.5714285714287</v>
      </c>
      <c r="L5" s="43" t="s">
        <v>38</v>
      </c>
      <c r="M5" s="30">
        <f>M4*M12</f>
        <v>13199.985972619048</v>
      </c>
      <c r="N5" s="30"/>
      <c r="O5" s="30"/>
      <c r="P5" s="30"/>
    </row>
    <row r="6" spans="1:17" ht="19.5" thickBot="1" x14ac:dyDescent="0.3">
      <c r="A6" s="38" t="s">
        <v>6</v>
      </c>
      <c r="B6" s="39" t="s">
        <v>7</v>
      </c>
      <c r="C6" s="39" t="s">
        <v>8</v>
      </c>
      <c r="D6" s="39" t="s">
        <v>26</v>
      </c>
      <c r="E6" s="39" t="s">
        <v>29</v>
      </c>
      <c r="F6" s="39" t="s">
        <v>48</v>
      </c>
      <c r="G6" s="46" t="s">
        <v>51</v>
      </c>
      <c r="I6" s="6" t="s">
        <v>16</v>
      </c>
      <c r="J6" s="17">
        <f>SUM(J2:J5)</f>
        <v>4416.2678571428578</v>
      </c>
      <c r="K6" s="12"/>
      <c r="L6" s="43" t="s">
        <v>39</v>
      </c>
      <c r="M6" s="23"/>
      <c r="N6" s="54"/>
      <c r="O6" s="54"/>
      <c r="P6" s="25"/>
    </row>
    <row r="7" spans="1:17" ht="75" x14ac:dyDescent="0.25">
      <c r="A7" s="5">
        <v>15</v>
      </c>
      <c r="B7" s="5">
        <f>34+0.6</f>
        <v>34.6</v>
      </c>
      <c r="C7" s="5">
        <v>120</v>
      </c>
      <c r="D7" s="5">
        <v>199</v>
      </c>
      <c r="E7" s="5">
        <v>100</v>
      </c>
      <c r="F7" s="5">
        <v>0.14000000000000001</v>
      </c>
      <c r="G7" s="47">
        <v>18</v>
      </c>
      <c r="L7" s="26" t="s">
        <v>50</v>
      </c>
      <c r="M7" s="51">
        <f>$C$13</f>
        <v>4857.8946428571435</v>
      </c>
      <c r="N7" s="44"/>
      <c r="O7" s="44"/>
      <c r="P7" s="44"/>
    </row>
    <row r="8" spans="1:17" ht="38.25" thickBot="1" x14ac:dyDescent="0.3">
      <c r="L8" s="43" t="s">
        <v>43</v>
      </c>
      <c r="M8" s="31">
        <f>$C$13</f>
        <v>4857.8946428571435</v>
      </c>
      <c r="N8" s="25"/>
      <c r="O8" s="25"/>
      <c r="P8" s="25"/>
    </row>
    <row r="9" spans="1:17" ht="57" thickBot="1" x14ac:dyDescent="0.3">
      <c r="B9" s="5" t="s">
        <v>5</v>
      </c>
      <c r="C9" s="17">
        <f>G4*A7/100</f>
        <v>241.07142857142858</v>
      </c>
      <c r="D9" s="15"/>
      <c r="L9" s="43" t="s">
        <v>44</v>
      </c>
      <c r="M9" s="31">
        <f>-$C$13+M4*M12</f>
        <v>8342.0913297619045</v>
      </c>
      <c r="N9" s="30"/>
      <c r="O9" s="30"/>
      <c r="P9" s="30"/>
    </row>
    <row r="10" spans="1:17" ht="56.25" x14ac:dyDescent="0.25">
      <c r="B10" s="5" t="s">
        <v>31</v>
      </c>
      <c r="C10" s="17">
        <f>(G4+C9)*B7/100</f>
        <v>639.482142857143</v>
      </c>
      <c r="L10" s="26" t="s">
        <v>45</v>
      </c>
      <c r="M10" s="56">
        <f>-$C$13+M9</f>
        <v>3484.196686904761</v>
      </c>
      <c r="N10" s="56"/>
      <c r="O10" s="56"/>
      <c r="P10" s="56"/>
      <c r="Q10" s="14"/>
    </row>
    <row r="11" spans="1:17" ht="19.5" thickBot="1" x14ac:dyDescent="0.3">
      <c r="B11" s="5" t="s">
        <v>9</v>
      </c>
      <c r="C11" s="17">
        <f>G4*C7/100</f>
        <v>1928.5714285714287</v>
      </c>
      <c r="H11">
        <v>1500</v>
      </c>
      <c r="L11" s="43" t="s">
        <v>46</v>
      </c>
      <c r="M11" s="53"/>
      <c r="N11" s="53"/>
      <c r="O11" s="53"/>
      <c r="P11" s="53"/>
    </row>
    <row r="12" spans="1:17" ht="38.25" thickBot="1" x14ac:dyDescent="0.3">
      <c r="B12" s="5" t="s">
        <v>23</v>
      </c>
      <c r="C12" s="40">
        <f>J6*10/100</f>
        <v>441.6267857142858</v>
      </c>
      <c r="H12">
        <v>1.5</v>
      </c>
      <c r="L12" s="43" t="s">
        <v>47</v>
      </c>
      <c r="M12" s="25">
        <f>(1+$F$7)^(1-M13)</f>
        <v>1</v>
      </c>
      <c r="N12" s="29">
        <f t="shared" ref="N12:P12" si="0">(1+$F$7)^(1-N13)</f>
        <v>0.8771929824561403</v>
      </c>
      <c r="O12" s="29">
        <f t="shared" si="0"/>
        <v>0.76946752847029842</v>
      </c>
      <c r="P12" s="29">
        <f t="shared" si="0"/>
        <v>0.67497151620201612</v>
      </c>
    </row>
    <row r="13" spans="1:17" x14ac:dyDescent="0.25">
      <c r="B13" s="5" t="s">
        <v>24</v>
      </c>
      <c r="C13" s="17">
        <f>J6+C12</f>
        <v>4857.8946428571435</v>
      </c>
      <c r="H13">
        <f>H11*H12</f>
        <v>2250</v>
      </c>
      <c r="M13" s="32">
        <v>1</v>
      </c>
      <c r="N13" s="32">
        <v>2</v>
      </c>
      <c r="O13" s="32">
        <v>3</v>
      </c>
      <c r="P13" s="32">
        <v>4</v>
      </c>
    </row>
    <row r="14" spans="1:17" x14ac:dyDescent="0.25">
      <c r="B14" s="5" t="s">
        <v>25</v>
      </c>
      <c r="C14" s="40">
        <f>D7*20/120</f>
        <v>33.166666666666664</v>
      </c>
    </row>
    <row r="15" spans="1:17" x14ac:dyDescent="0.25">
      <c r="B15" s="5" t="s">
        <v>27</v>
      </c>
      <c r="C15" s="40">
        <f>D7-C14-(C13/1000)</f>
        <v>160.97543869047621</v>
      </c>
    </row>
    <row r="16" spans="1:17" x14ac:dyDescent="0.25">
      <c r="B16" s="5" t="s">
        <v>28</v>
      </c>
      <c r="C16" s="40">
        <f>C15*E7</f>
        <v>16097.54386904762</v>
      </c>
    </row>
    <row r="17" spans="2:3" x14ac:dyDescent="0.25">
      <c r="B17" s="5" t="s">
        <v>30</v>
      </c>
      <c r="C17" s="40">
        <f>C16-(C16*G7/100)</f>
        <v>13199.985972619048</v>
      </c>
    </row>
    <row r="18" spans="2:3" x14ac:dyDescent="0.25">
      <c r="B18" s="5" t="s">
        <v>49</v>
      </c>
      <c r="C18" s="41">
        <f>M9/C13</f>
        <v>1.7172236005628048</v>
      </c>
    </row>
  </sheetData>
  <mergeCells count="9">
    <mergeCell ref="P10:P11"/>
    <mergeCell ref="M10:M11"/>
    <mergeCell ref="N10:N11"/>
    <mergeCell ref="O10:O11"/>
    <mergeCell ref="L1:L2"/>
    <mergeCell ref="N1:O1"/>
    <mergeCell ref="A3:F3"/>
    <mergeCell ref="N3:O3"/>
    <mergeCell ref="N6:O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D8E4-BD89-49F8-AC1A-525F5DC45502}">
  <dimension ref="A1:Q18"/>
  <sheetViews>
    <sheetView zoomScale="70" zoomScaleNormal="70" workbookViewId="0">
      <selection activeCell="C13" sqref="C13"/>
    </sheetView>
  </sheetViews>
  <sheetFormatPr defaultRowHeight="15" x14ac:dyDescent="0.25"/>
  <cols>
    <col min="2" max="2" width="17.42578125" customWidth="1"/>
    <col min="3" max="3" width="14.7109375" bestFit="1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57.5703125" bestFit="1" customWidth="1"/>
    <col min="10" max="10" width="15" bestFit="1" customWidth="1"/>
    <col min="11" max="11" width="16.7109375" customWidth="1"/>
    <col min="12" max="12" width="26.7109375" bestFit="1" customWidth="1"/>
    <col min="13" max="13" width="11.28515625" bestFit="1" customWidth="1"/>
    <col min="14" max="14" width="12.42578125" customWidth="1"/>
    <col min="15" max="15" width="11.85546875" customWidth="1"/>
    <col min="16" max="16" width="15" bestFit="1" customWidth="1"/>
  </cols>
  <sheetData>
    <row r="1" spans="1:17" s="2" customFormat="1" ht="50.25" customHeight="1" thickBot="1" x14ac:dyDescent="0.3">
      <c r="A1" s="7" t="s">
        <v>22</v>
      </c>
      <c r="B1" s="7" t="s">
        <v>0</v>
      </c>
      <c r="C1" s="7" t="s">
        <v>17</v>
      </c>
      <c r="D1" s="7" t="s">
        <v>1</v>
      </c>
      <c r="E1" s="7" t="s">
        <v>2</v>
      </c>
      <c r="F1" s="7" t="s">
        <v>3</v>
      </c>
      <c r="G1" s="7" t="s">
        <v>4</v>
      </c>
      <c r="I1" s="5" t="s">
        <v>10</v>
      </c>
      <c r="J1" s="5" t="s">
        <v>11</v>
      </c>
      <c r="L1" s="52" t="s">
        <v>32</v>
      </c>
      <c r="M1" s="19"/>
      <c r="N1" s="54" t="s">
        <v>33</v>
      </c>
      <c r="O1" s="54"/>
      <c r="P1" s="20"/>
    </row>
    <row r="2" spans="1:17" s="3" customFormat="1" ht="29.25" customHeight="1" thickBot="1" x14ac:dyDescent="0.3">
      <c r="A2" s="8">
        <v>1</v>
      </c>
      <c r="B2" s="8" t="s">
        <v>18</v>
      </c>
      <c r="C2" s="8"/>
      <c r="D2" s="8">
        <v>1150</v>
      </c>
      <c r="E2" s="7">
        <f>D2/168</f>
        <v>6.8452380952380949</v>
      </c>
      <c r="F2" s="8">
        <v>120</v>
      </c>
      <c r="G2" s="16">
        <f>E2*F2</f>
        <v>821.42857142857133</v>
      </c>
      <c r="I2" s="6" t="s">
        <v>12</v>
      </c>
      <c r="J2" s="17">
        <f>G4</f>
        <v>1232.1428571428569</v>
      </c>
      <c r="L2" s="53"/>
      <c r="M2" s="25">
        <v>2019</v>
      </c>
      <c r="N2" s="25"/>
      <c r="O2" s="25"/>
      <c r="P2" s="25"/>
    </row>
    <row r="3" spans="1:17" s="3" customFormat="1" ht="19.5" thickBot="1" x14ac:dyDescent="0.3">
      <c r="A3" s="55"/>
      <c r="B3" s="55"/>
      <c r="C3" s="55"/>
      <c r="D3" s="55"/>
      <c r="E3" s="55"/>
      <c r="F3" s="55"/>
      <c r="G3" s="13">
        <v>0.5</v>
      </c>
      <c r="I3" s="6" t="s">
        <v>13</v>
      </c>
      <c r="J3" s="17">
        <f>C9</f>
        <v>184.82142857142856</v>
      </c>
      <c r="L3" s="50" t="s">
        <v>34</v>
      </c>
      <c r="M3" s="22"/>
      <c r="N3" s="54"/>
      <c r="O3" s="54"/>
      <c r="P3" s="24"/>
    </row>
    <row r="4" spans="1:17" ht="38.25" thickBot="1" x14ac:dyDescent="0.35">
      <c r="A4" s="48"/>
      <c r="B4" s="11"/>
      <c r="C4" s="11"/>
      <c r="D4" s="11"/>
      <c r="E4" s="11"/>
      <c r="F4" s="11"/>
      <c r="G4" s="16">
        <f>SUM(G2:G2)+SUM(G2:G2)*G3</f>
        <v>1232.1428571428569</v>
      </c>
      <c r="I4" s="6" t="s">
        <v>14</v>
      </c>
      <c r="J4" s="17">
        <f>C10</f>
        <v>490.26964285714274</v>
      </c>
      <c r="L4" s="50" t="s">
        <v>36</v>
      </c>
      <c r="M4" s="30">
        <f>$C$17</f>
        <v>13292.933690119051</v>
      </c>
      <c r="N4" s="30"/>
      <c r="O4" s="30"/>
      <c r="P4" s="30"/>
    </row>
    <row r="5" spans="1:17" ht="38.25" thickBot="1" x14ac:dyDescent="0.35">
      <c r="A5" s="34"/>
      <c r="B5" s="35"/>
      <c r="C5" s="36"/>
      <c r="D5" s="36"/>
      <c r="E5" s="36"/>
      <c r="F5" s="36"/>
      <c r="G5" s="37"/>
      <c r="I5" s="6" t="s">
        <v>15</v>
      </c>
      <c r="J5" s="17">
        <f>C11</f>
        <v>1478.5714285714284</v>
      </c>
      <c r="L5" s="50" t="s">
        <v>38</v>
      </c>
      <c r="M5" s="30">
        <f>M4*M12</f>
        <v>13292.933690119051</v>
      </c>
      <c r="N5" s="30"/>
      <c r="O5" s="30"/>
      <c r="P5" s="30"/>
    </row>
    <row r="6" spans="1:17" ht="19.5" thickBot="1" x14ac:dyDescent="0.3">
      <c r="A6" s="38" t="s">
        <v>6</v>
      </c>
      <c r="B6" s="39" t="s">
        <v>7</v>
      </c>
      <c r="C6" s="39" t="s">
        <v>8</v>
      </c>
      <c r="D6" s="39" t="s">
        <v>26</v>
      </c>
      <c r="E6" s="39" t="s">
        <v>29</v>
      </c>
      <c r="F6" s="39" t="s">
        <v>48</v>
      </c>
      <c r="G6" s="46" t="s">
        <v>51</v>
      </c>
      <c r="I6" s="6" t="s">
        <v>16</v>
      </c>
      <c r="J6" s="17">
        <f>SUM(J2:J5)</f>
        <v>3385.8053571428563</v>
      </c>
      <c r="K6" s="12"/>
      <c r="L6" s="50" t="s">
        <v>39</v>
      </c>
      <c r="M6" s="23"/>
      <c r="N6" s="54"/>
      <c r="O6" s="54"/>
      <c r="P6" s="25"/>
    </row>
    <row r="7" spans="1:17" ht="75" x14ac:dyDescent="0.25">
      <c r="A7" s="5">
        <v>15</v>
      </c>
      <c r="B7" s="5">
        <f>34+0.6</f>
        <v>34.6</v>
      </c>
      <c r="C7" s="5">
        <v>120</v>
      </c>
      <c r="D7" s="5">
        <v>199</v>
      </c>
      <c r="E7" s="5">
        <v>100</v>
      </c>
      <c r="F7" s="5">
        <v>0.14000000000000001</v>
      </c>
      <c r="G7" s="47">
        <v>18</v>
      </c>
      <c r="L7" s="26" t="s">
        <v>50</v>
      </c>
      <c r="M7" s="42">
        <f>$C$13</f>
        <v>3724.3858928571422</v>
      </c>
      <c r="N7" s="49"/>
      <c r="O7" s="49"/>
      <c r="P7" s="49"/>
    </row>
    <row r="8" spans="1:17" ht="38.25" thickBot="1" x14ac:dyDescent="0.3">
      <c r="L8" s="50" t="s">
        <v>43</v>
      </c>
      <c r="M8" s="31">
        <f>$C$13</f>
        <v>3724.3858928571422</v>
      </c>
      <c r="N8" s="25"/>
      <c r="O8" s="25"/>
      <c r="P8" s="25"/>
    </row>
    <row r="9" spans="1:17" ht="57" thickBot="1" x14ac:dyDescent="0.3">
      <c r="B9" s="5" t="s">
        <v>5</v>
      </c>
      <c r="C9" s="17">
        <f>G4*A7/100</f>
        <v>184.82142857142856</v>
      </c>
      <c r="D9" s="15"/>
      <c r="L9" s="50" t="s">
        <v>44</v>
      </c>
      <c r="M9" s="31">
        <f>-$C$13+M4*M12</f>
        <v>9568.5477972619083</v>
      </c>
      <c r="N9" s="30"/>
      <c r="O9" s="30"/>
      <c r="P9" s="30"/>
    </row>
    <row r="10" spans="1:17" ht="56.25" x14ac:dyDescent="0.25">
      <c r="B10" s="5" t="s">
        <v>31</v>
      </c>
      <c r="C10" s="17">
        <f>(G4+C9)*B7/100</f>
        <v>490.26964285714274</v>
      </c>
      <c r="L10" s="26" t="s">
        <v>45</v>
      </c>
      <c r="M10" s="56">
        <f>-$C$13+M9</f>
        <v>5844.1619044047657</v>
      </c>
      <c r="N10" s="56"/>
      <c r="O10" s="56"/>
      <c r="P10" s="56"/>
      <c r="Q10" s="14"/>
    </row>
    <row r="11" spans="1:17" ht="19.5" thickBot="1" x14ac:dyDescent="0.3">
      <c r="B11" s="5" t="s">
        <v>9</v>
      </c>
      <c r="C11" s="17">
        <f>G4*C7/100</f>
        <v>1478.5714285714284</v>
      </c>
      <c r="L11" s="50" t="s">
        <v>46</v>
      </c>
      <c r="M11" s="53"/>
      <c r="N11" s="53"/>
      <c r="O11" s="53"/>
      <c r="P11" s="53"/>
    </row>
    <row r="12" spans="1:17" ht="38.25" thickBot="1" x14ac:dyDescent="0.3">
      <c r="B12" s="5" t="s">
        <v>23</v>
      </c>
      <c r="C12" s="40">
        <f>J6*10/100</f>
        <v>338.58053571428565</v>
      </c>
      <c r="L12" s="50" t="s">
        <v>47</v>
      </c>
      <c r="M12" s="25">
        <f>(1+$F$7)^(1-M13)</f>
        <v>1</v>
      </c>
      <c r="N12" s="29">
        <f t="shared" ref="N12:P12" si="0">(1+$F$7)^(1-N13)</f>
        <v>0.8771929824561403</v>
      </c>
      <c r="O12" s="29">
        <f t="shared" si="0"/>
        <v>0.76946752847029842</v>
      </c>
      <c r="P12" s="29">
        <f t="shared" si="0"/>
        <v>0.67497151620201612</v>
      </c>
    </row>
    <row r="13" spans="1:17" x14ac:dyDescent="0.25">
      <c r="B13" s="5" t="s">
        <v>24</v>
      </c>
      <c r="C13" s="17">
        <f>J6+C12</f>
        <v>3724.3858928571422</v>
      </c>
      <c r="M13" s="32">
        <v>1</v>
      </c>
      <c r="N13" s="32">
        <v>2</v>
      </c>
      <c r="O13" s="32">
        <v>3</v>
      </c>
      <c r="P13" s="32">
        <v>4</v>
      </c>
    </row>
    <row r="14" spans="1:17" x14ac:dyDescent="0.25">
      <c r="B14" s="5" t="s">
        <v>25</v>
      </c>
      <c r="C14" s="40">
        <f>D7*20/120</f>
        <v>33.166666666666664</v>
      </c>
    </row>
    <row r="15" spans="1:17" x14ac:dyDescent="0.25">
      <c r="B15" s="5" t="s">
        <v>27</v>
      </c>
      <c r="C15" s="40">
        <f>D7-C14-C13/1000</f>
        <v>162.10894744047621</v>
      </c>
    </row>
    <row r="16" spans="1:17" x14ac:dyDescent="0.25">
      <c r="B16" s="5" t="s">
        <v>28</v>
      </c>
      <c r="C16" s="40">
        <f>C15*E7</f>
        <v>16210.894744047622</v>
      </c>
    </row>
    <row r="17" spans="2:3" x14ac:dyDescent="0.25">
      <c r="B17" s="5" t="s">
        <v>30</v>
      </c>
      <c r="C17" s="40">
        <f>C16-(C16*G7/100)</f>
        <v>13292.933690119051</v>
      </c>
    </row>
    <row r="18" spans="2:3" x14ac:dyDescent="0.25">
      <c r="B18" s="5" t="s">
        <v>49</v>
      </c>
      <c r="C18" s="41">
        <f>M9/C13</f>
        <v>2.5691612181253993</v>
      </c>
    </row>
  </sheetData>
  <mergeCells count="9">
    <mergeCell ref="P10:P11"/>
    <mergeCell ref="L1:L2"/>
    <mergeCell ref="N1:O1"/>
    <mergeCell ref="A3:F3"/>
    <mergeCell ref="N3:O3"/>
    <mergeCell ref="N6:O6"/>
    <mergeCell ref="M10:M11"/>
    <mergeCell ref="N10:N11"/>
    <mergeCell ref="O10:O1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opLeftCell="C1" workbookViewId="0">
      <selection activeCell="M10" sqref="M10"/>
    </sheetView>
  </sheetViews>
  <sheetFormatPr defaultRowHeight="15" x14ac:dyDescent="0.25"/>
  <cols>
    <col min="2" max="2" width="27.42578125" customWidth="1"/>
    <col min="3" max="3" width="10.5703125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72.28515625" bestFit="1" customWidth="1"/>
    <col min="10" max="10" width="18.140625" customWidth="1"/>
    <col min="11" max="11" width="16.7109375" customWidth="1"/>
    <col min="12" max="12" width="33.85546875" customWidth="1"/>
    <col min="13" max="13" width="18.28515625" customWidth="1"/>
    <col min="14" max="14" width="16" customWidth="1"/>
    <col min="15" max="15" width="14.5703125" customWidth="1"/>
    <col min="16" max="16" width="16.28515625" customWidth="1"/>
  </cols>
  <sheetData>
    <row r="1" spans="1:17" s="2" customFormat="1" ht="75.75" thickBot="1" x14ac:dyDescent="0.3">
      <c r="A1" s="7" t="s">
        <v>22</v>
      </c>
      <c r="B1" s="7" t="s">
        <v>0</v>
      </c>
      <c r="C1" s="7" t="s">
        <v>17</v>
      </c>
      <c r="D1" s="7" t="s">
        <v>1</v>
      </c>
      <c r="E1" s="7" t="s">
        <v>2</v>
      </c>
      <c r="F1" s="7" t="s">
        <v>3</v>
      </c>
      <c r="G1" s="7" t="s">
        <v>4</v>
      </c>
      <c r="I1" s="18" t="s">
        <v>10</v>
      </c>
      <c r="J1" s="18" t="s">
        <v>11</v>
      </c>
      <c r="L1" s="52" t="s">
        <v>32</v>
      </c>
      <c r="M1" s="19"/>
      <c r="N1" s="54" t="s">
        <v>33</v>
      </c>
      <c r="O1" s="54"/>
      <c r="P1" s="20"/>
    </row>
    <row r="2" spans="1:17" s="3" customFormat="1" ht="37.5" customHeight="1" thickBot="1" x14ac:dyDescent="0.3">
      <c r="A2" s="8">
        <v>1</v>
      </c>
      <c r="B2" s="8" t="s">
        <v>18</v>
      </c>
      <c r="C2" s="8"/>
      <c r="D2" s="8">
        <v>1150</v>
      </c>
      <c r="E2" s="7">
        <f>D2/168</f>
        <v>6.8452380952380949</v>
      </c>
      <c r="F2" s="8">
        <v>140</v>
      </c>
      <c r="G2" s="16">
        <f>E2*F2</f>
        <v>958.33333333333326</v>
      </c>
      <c r="I2" s="27" t="s">
        <v>12</v>
      </c>
      <c r="J2" s="28">
        <f>G7</f>
        <v>2616.0714285714284</v>
      </c>
      <c r="L2" s="53"/>
      <c r="M2" s="25">
        <v>2017</v>
      </c>
      <c r="N2" s="25">
        <v>2018</v>
      </c>
      <c r="O2" s="25">
        <v>2019</v>
      </c>
      <c r="P2" s="25">
        <v>2020</v>
      </c>
    </row>
    <row r="3" spans="1:17" s="3" customFormat="1" ht="38.25" thickBot="1" x14ac:dyDescent="0.3">
      <c r="A3" s="8">
        <v>2</v>
      </c>
      <c r="B3" s="8" t="s">
        <v>19</v>
      </c>
      <c r="C3" s="8"/>
      <c r="D3" s="8">
        <v>2400</v>
      </c>
      <c r="E3" s="7">
        <f t="shared" ref="E3:E5" si="0">D3/168</f>
        <v>14.285714285714286</v>
      </c>
      <c r="F3" s="8">
        <v>20</v>
      </c>
      <c r="G3" s="16">
        <f t="shared" ref="G3:G5" si="1">E3*F3</f>
        <v>285.71428571428572</v>
      </c>
      <c r="I3" s="27" t="s">
        <v>13</v>
      </c>
      <c r="J3" s="28">
        <f>C11</f>
        <v>392.41071428571428</v>
      </c>
      <c r="L3" s="21" t="s">
        <v>34</v>
      </c>
      <c r="M3" s="22"/>
      <c r="N3" s="54" t="s">
        <v>35</v>
      </c>
      <c r="O3" s="54"/>
      <c r="P3" s="24"/>
    </row>
    <row r="4" spans="1:17" ht="48" customHeight="1" thickBot="1" x14ac:dyDescent="0.3">
      <c r="A4" s="9">
        <v>3</v>
      </c>
      <c r="B4" s="10" t="s">
        <v>20</v>
      </c>
      <c r="C4" s="10"/>
      <c r="D4" s="10">
        <v>2300</v>
      </c>
      <c r="E4" s="7">
        <f t="shared" si="0"/>
        <v>13.69047619047619</v>
      </c>
      <c r="F4" s="10">
        <v>30</v>
      </c>
      <c r="G4" s="16">
        <f t="shared" si="1"/>
        <v>410.71428571428567</v>
      </c>
      <c r="I4" s="27" t="s">
        <v>14</v>
      </c>
      <c r="J4" s="28">
        <f>C13</f>
        <v>1040.9348214285715</v>
      </c>
      <c r="L4" s="21" t="s">
        <v>36</v>
      </c>
      <c r="M4" s="25" t="s">
        <v>37</v>
      </c>
      <c r="N4" s="30">
        <f>$C$28</f>
        <v>5007.2749761904761</v>
      </c>
      <c r="O4" s="30">
        <f>$C$28</f>
        <v>5007.2749761904761</v>
      </c>
      <c r="P4" s="30">
        <f>$C$28</f>
        <v>5007.2749761904761</v>
      </c>
    </row>
    <row r="5" spans="1:17" ht="38.25" thickBot="1" x14ac:dyDescent="0.3">
      <c r="A5" s="9">
        <v>4</v>
      </c>
      <c r="B5" s="8" t="s">
        <v>21</v>
      </c>
      <c r="C5" s="8"/>
      <c r="D5" s="8">
        <v>750</v>
      </c>
      <c r="E5" s="7">
        <f t="shared" si="0"/>
        <v>4.4642857142857144</v>
      </c>
      <c r="F5" s="8">
        <v>20</v>
      </c>
      <c r="G5" s="16">
        <f t="shared" si="1"/>
        <v>89.285714285714292</v>
      </c>
      <c r="I5" s="27" t="s">
        <v>15</v>
      </c>
      <c r="J5" s="28">
        <f>C15</f>
        <v>3139.2857142857142</v>
      </c>
      <c r="L5" s="21" t="s">
        <v>38</v>
      </c>
      <c r="M5" s="25" t="s">
        <v>37</v>
      </c>
      <c r="N5" s="30">
        <f>N4*N13</f>
        <v>4392.3464703425225</v>
      </c>
      <c r="O5" s="30">
        <f>O4*O13</f>
        <v>3852.935500300458</v>
      </c>
      <c r="P5" s="30">
        <f>P4*P13</f>
        <v>3379.7679827196998</v>
      </c>
    </row>
    <row r="6" spans="1:17" ht="19.5" thickBot="1" x14ac:dyDescent="0.3">
      <c r="A6" s="55"/>
      <c r="B6" s="55"/>
      <c r="C6" s="55"/>
      <c r="D6" s="55"/>
      <c r="E6" s="55"/>
      <c r="F6" s="55"/>
      <c r="G6" s="13">
        <v>0.5</v>
      </c>
      <c r="I6" s="27" t="s">
        <v>16</v>
      </c>
      <c r="J6" s="28">
        <f>SUM(J2:J5)</f>
        <v>7188.7026785714279</v>
      </c>
      <c r="K6" s="12"/>
      <c r="L6" s="21" t="s">
        <v>39</v>
      </c>
      <c r="M6" s="23"/>
      <c r="N6" s="54" t="s">
        <v>35</v>
      </c>
      <c r="O6" s="54"/>
      <c r="P6" s="25"/>
    </row>
    <row r="7" spans="1:17" ht="18.75" x14ac:dyDescent="0.3">
      <c r="A7" s="9"/>
      <c r="B7" s="11"/>
      <c r="C7" s="11"/>
      <c r="D7" s="11"/>
      <c r="E7" s="11"/>
      <c r="F7" s="11"/>
      <c r="G7" s="16">
        <f>SUM(G2:G5)+SUM(G2:G5)*G6</f>
        <v>2616.0714285714284</v>
      </c>
      <c r="L7" s="26" t="s">
        <v>40</v>
      </c>
      <c r="M7" s="56">
        <f>$C$20</f>
        <v>7907.5729464285705</v>
      </c>
      <c r="N7" s="52" t="s">
        <v>42</v>
      </c>
      <c r="O7" s="52" t="s">
        <v>42</v>
      </c>
      <c r="P7" s="52" t="s">
        <v>42</v>
      </c>
    </row>
    <row r="8" spans="1:17" ht="19.5" thickBot="1" x14ac:dyDescent="0.3">
      <c r="B8" s="4" t="s">
        <v>6</v>
      </c>
      <c r="C8" t="s">
        <v>7</v>
      </c>
      <c r="D8" t="s">
        <v>8</v>
      </c>
      <c r="E8" t="s">
        <v>26</v>
      </c>
      <c r="F8" t="s">
        <v>29</v>
      </c>
      <c r="G8" t="s">
        <v>48</v>
      </c>
      <c r="L8" s="21" t="s">
        <v>41</v>
      </c>
      <c r="M8" s="53"/>
      <c r="N8" s="53"/>
      <c r="O8" s="53"/>
      <c r="P8" s="53"/>
    </row>
    <row r="9" spans="1:17" ht="38.25" thickBot="1" x14ac:dyDescent="0.3">
      <c r="B9">
        <v>15</v>
      </c>
      <c r="C9">
        <f>34+0.6</f>
        <v>34.6</v>
      </c>
      <c r="D9">
        <v>120</v>
      </c>
      <c r="E9">
        <v>17</v>
      </c>
      <c r="F9">
        <v>1000</v>
      </c>
      <c r="G9">
        <v>0.14000000000000001</v>
      </c>
      <c r="L9" s="21" t="s">
        <v>43</v>
      </c>
      <c r="M9" s="31">
        <f>$C$20</f>
        <v>7907.5729464285705</v>
      </c>
      <c r="N9" s="25" t="s">
        <v>42</v>
      </c>
      <c r="O9" s="25" t="s">
        <v>42</v>
      </c>
      <c r="P9" s="25" t="s">
        <v>42</v>
      </c>
    </row>
    <row r="10" spans="1:17" ht="38.25" thickBot="1" x14ac:dyDescent="0.3">
      <c r="L10" s="21" t="s">
        <v>44</v>
      </c>
      <c r="M10" s="31">
        <f>-$C$20</f>
        <v>-7907.5729464285705</v>
      </c>
      <c r="N10" s="30">
        <f>N4*N13</f>
        <v>4392.3464703425225</v>
      </c>
      <c r="O10" s="30">
        <f t="shared" ref="O10:P10" si="2">O4*O13</f>
        <v>3852.935500300458</v>
      </c>
      <c r="P10" s="30">
        <f t="shared" si="2"/>
        <v>3379.7679827196998</v>
      </c>
    </row>
    <row r="11" spans="1:17" ht="37.5" x14ac:dyDescent="0.25">
      <c r="B11" t="s">
        <v>5</v>
      </c>
      <c r="C11" s="15">
        <f>G7*B9/100</f>
        <v>392.41071428571428</v>
      </c>
      <c r="D11" s="1"/>
      <c r="L11" s="26" t="s">
        <v>45</v>
      </c>
      <c r="M11" s="56">
        <f>-$C$20</f>
        <v>-7907.5729464285705</v>
      </c>
      <c r="N11" s="56">
        <f>M11+N10</f>
        <v>-3515.226476086048</v>
      </c>
      <c r="O11" s="56">
        <f t="shared" ref="O11:P11" si="3">N11+O10</f>
        <v>337.70902421440996</v>
      </c>
      <c r="P11" s="56">
        <f t="shared" si="3"/>
        <v>3717.4770069341098</v>
      </c>
      <c r="Q11" s="15"/>
    </row>
    <row r="12" spans="1:17" ht="19.5" thickBot="1" x14ac:dyDescent="0.3">
      <c r="C12" s="15"/>
      <c r="L12" s="21" t="s">
        <v>46</v>
      </c>
      <c r="M12" s="53"/>
      <c r="N12" s="53"/>
      <c r="O12" s="53"/>
      <c r="P12" s="53"/>
    </row>
    <row r="13" spans="1:17" ht="38.25" thickBot="1" x14ac:dyDescent="0.3">
      <c r="B13" t="s">
        <v>31</v>
      </c>
      <c r="C13" s="15">
        <f>(G7+C11)*C9/100</f>
        <v>1040.9348214285715</v>
      </c>
      <c r="L13" s="21" t="s">
        <v>47</v>
      </c>
      <c r="M13" s="25">
        <f>(1+$G$9)^(1-M14)</f>
        <v>1</v>
      </c>
      <c r="N13" s="29">
        <f t="shared" ref="N13:P13" si="4">(1+$G$9)^(1-N14)</f>
        <v>0.8771929824561403</v>
      </c>
      <c r="O13" s="29">
        <f t="shared" si="4"/>
        <v>0.76946752847029842</v>
      </c>
      <c r="P13" s="29">
        <f t="shared" si="4"/>
        <v>0.67497151620201612</v>
      </c>
    </row>
    <row r="14" spans="1:17" x14ac:dyDescent="0.25">
      <c r="C14" s="15"/>
      <c r="M14" s="32">
        <v>1</v>
      </c>
      <c r="N14" s="32">
        <v>2</v>
      </c>
      <c r="O14" s="32">
        <v>3</v>
      </c>
      <c r="P14" s="32">
        <v>4</v>
      </c>
    </row>
    <row r="15" spans="1:17" x14ac:dyDescent="0.25">
      <c r="B15" t="s">
        <v>9</v>
      </c>
      <c r="C15" s="15">
        <f>G7*D9/100</f>
        <v>3139.2857142857142</v>
      </c>
    </row>
    <row r="18" spans="2:3" x14ac:dyDescent="0.25">
      <c r="B18" t="s">
        <v>23</v>
      </c>
      <c r="C18" s="14">
        <f>J6*10/100</f>
        <v>718.87026785714272</v>
      </c>
    </row>
    <row r="20" spans="2:3" x14ac:dyDescent="0.25">
      <c r="B20" t="s">
        <v>24</v>
      </c>
      <c r="C20" s="15">
        <f>J6+C18</f>
        <v>7907.5729464285705</v>
      </c>
    </row>
    <row r="22" spans="2:3" x14ac:dyDescent="0.25">
      <c r="B22" t="s">
        <v>25</v>
      </c>
      <c r="C22" s="14">
        <f>E9*20/120</f>
        <v>2.8333333333333335</v>
      </c>
    </row>
    <row r="24" spans="2:3" x14ac:dyDescent="0.25">
      <c r="B24" t="s">
        <v>27</v>
      </c>
      <c r="C24" s="14">
        <f>E9-C22-C20/1000</f>
        <v>6.2590937202380958</v>
      </c>
    </row>
    <row r="26" spans="2:3" x14ac:dyDescent="0.25">
      <c r="B26" t="s">
        <v>28</v>
      </c>
      <c r="C26" s="14">
        <f>C24*F9</f>
        <v>6259.0937202380956</v>
      </c>
    </row>
    <row r="28" spans="2:3" x14ac:dyDescent="0.25">
      <c r="B28" t="s">
        <v>30</v>
      </c>
      <c r="C28" s="14">
        <f>C26-(C26*20/100)</f>
        <v>5007.2749761904761</v>
      </c>
    </row>
    <row r="31" spans="2:3" x14ac:dyDescent="0.25">
      <c r="B31" t="s">
        <v>49</v>
      </c>
      <c r="C31" s="33">
        <f>SUM(N10:P10)/C20</f>
        <v>1.4701160561045592</v>
      </c>
    </row>
    <row r="42" spans="4:4" x14ac:dyDescent="0.25">
      <c r="D42">
        <v>5008</v>
      </c>
    </row>
    <row r="43" spans="4:4" x14ac:dyDescent="0.25">
      <c r="D43">
        <v>4512</v>
      </c>
    </row>
    <row r="44" spans="4:4" x14ac:dyDescent="0.25">
      <c r="D44">
        <f>D42-D43</f>
        <v>496</v>
      </c>
    </row>
  </sheetData>
  <mergeCells count="13">
    <mergeCell ref="M7:M8"/>
    <mergeCell ref="N7:N8"/>
    <mergeCell ref="O7:O8"/>
    <mergeCell ref="P7:P8"/>
    <mergeCell ref="M11:M12"/>
    <mergeCell ref="N11:N12"/>
    <mergeCell ref="O11:O12"/>
    <mergeCell ref="P11:P12"/>
    <mergeCell ref="A6:F6"/>
    <mergeCell ref="L1:L2"/>
    <mergeCell ref="N1:O1"/>
    <mergeCell ref="N3:O3"/>
    <mergeCell ref="N6:O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Мой расчет</vt:lpstr>
      <vt:lpstr>Мой расчет (14.05.19)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2019-05-14T06:11:23Z</dcterms:modified>
</cp:coreProperties>
</file>