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0EAC2DC-DFFC-4F39-BBFE-A5EADB4F8ACC}" xr6:coauthVersionLast="43" xr6:coauthVersionMax="43" xr10:uidLastSave="{00000000-0000-0000-0000-000000000000}"/>
  <bookViews>
    <workbookView xWindow="-120" yWindow="-120" windowWidth="19440" windowHeight="15000" activeTab="2" xr2:uid="{00000000-000D-0000-FFFF-FFFF00000000}"/>
  </bookViews>
  <sheets>
    <sheet name="Sheet1" sheetId="1" r:id="rId1"/>
    <sheet name="Sheet1 (2)" sheetId="2" r:id="rId2"/>
    <sheet name="Sheet1 (3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3" l="1"/>
  <c r="M9" i="3"/>
  <c r="C31" i="1"/>
  <c r="C17" i="3"/>
  <c r="T12" i="3" l="1"/>
  <c r="U12" i="3" s="1"/>
  <c r="V12" i="3" s="1"/>
  <c r="W12" i="3" s="1"/>
  <c r="X12" i="3" s="1"/>
  <c r="Y12" i="3" s="1"/>
  <c r="Z12" i="3" s="1"/>
  <c r="AA12" i="3" s="1"/>
  <c r="AB12" i="3" s="1"/>
  <c r="C14" i="3"/>
  <c r="M12" i="3"/>
  <c r="B7" i="3"/>
  <c r="E2" i="3"/>
  <c r="G2" i="3" s="1"/>
  <c r="G4" i="3" s="1"/>
  <c r="AC12" i="3" l="1"/>
  <c r="AD12" i="3" s="1"/>
  <c r="AE12" i="3" s="1"/>
  <c r="C9" i="3"/>
  <c r="J3" i="3" s="1"/>
  <c r="C11" i="3"/>
  <c r="J5" i="3" s="1"/>
  <c r="J2" i="3"/>
  <c r="C10" i="3" l="1"/>
  <c r="J4" i="3" s="1"/>
  <c r="J6" i="3"/>
  <c r="C12" i="3" l="1"/>
  <c r="C13" i="3" s="1"/>
  <c r="T7" i="3" l="1"/>
  <c r="T8" i="3"/>
  <c r="M8" i="3"/>
  <c r="M7" i="3"/>
  <c r="C15" i="3"/>
  <c r="C16" i="3" s="1"/>
  <c r="D44" i="1"/>
  <c r="AB4" i="3" l="1"/>
  <c r="Y4" i="3"/>
  <c r="AE4" i="3"/>
  <c r="X4" i="3"/>
  <c r="V4" i="3"/>
  <c r="AD4" i="3"/>
  <c r="AA4" i="3"/>
  <c r="W4" i="3"/>
  <c r="T4" i="3"/>
  <c r="AC4" i="3"/>
  <c r="Z4" i="3"/>
  <c r="U4" i="3"/>
  <c r="M4" i="3"/>
  <c r="P12" i="2"/>
  <c r="N12" i="2"/>
  <c r="O12" i="2"/>
  <c r="M12" i="2"/>
  <c r="N13" i="1"/>
  <c r="O13" i="1"/>
  <c r="P13" i="1"/>
  <c r="M13" i="1"/>
  <c r="U5" i="3" l="1"/>
  <c r="U9" i="3"/>
  <c r="U10" i="3" s="1"/>
  <c r="W5" i="3"/>
  <c r="W9" i="3"/>
  <c r="W10" i="3" s="1"/>
  <c r="X5" i="3"/>
  <c r="X9" i="3"/>
  <c r="X10" i="3" s="1"/>
  <c r="AA5" i="3"/>
  <c r="AA9" i="3"/>
  <c r="AA10" i="3" s="1"/>
  <c r="AC5" i="3"/>
  <c r="AC9" i="3"/>
  <c r="AC10" i="3" s="1"/>
  <c r="AD5" i="3"/>
  <c r="AD9" i="3"/>
  <c r="AD10" i="3" s="1"/>
  <c r="Y5" i="3"/>
  <c r="Y9" i="3"/>
  <c r="Y10" i="3" s="1"/>
  <c r="Z5" i="3"/>
  <c r="Z9" i="3"/>
  <c r="AE5" i="3"/>
  <c r="AE9" i="3"/>
  <c r="AE10" i="3" s="1"/>
  <c r="T5" i="3"/>
  <c r="T9" i="3"/>
  <c r="T10" i="3" s="1"/>
  <c r="V5" i="3"/>
  <c r="V9" i="3"/>
  <c r="V10" i="3" s="1"/>
  <c r="AB5" i="3"/>
  <c r="AB9" i="3"/>
  <c r="AB10" i="3" s="1"/>
  <c r="M5" i="3"/>
  <c r="E2" i="2"/>
  <c r="G2" i="2" s="1"/>
  <c r="G4" i="2" s="1"/>
  <c r="C9" i="2" s="1"/>
  <c r="E3" i="1"/>
  <c r="E4" i="1"/>
  <c r="E5" i="1"/>
  <c r="G2" i="1"/>
  <c r="E2" i="1"/>
  <c r="C14" i="2"/>
  <c r="C7" i="2"/>
  <c r="C22" i="1"/>
  <c r="Z10" i="3" l="1"/>
  <c r="M10" i="3"/>
  <c r="J3" i="2"/>
  <c r="C11" i="2"/>
  <c r="J5" i="2" s="1"/>
  <c r="J2" i="2"/>
  <c r="G3" i="1"/>
  <c r="G4" i="1"/>
  <c r="G5" i="1"/>
  <c r="C9" i="1"/>
  <c r="G7" i="1" l="1"/>
  <c r="C11" i="1" s="1"/>
  <c r="Q10" i="3"/>
  <c r="C10" i="2"/>
  <c r="J4" i="2" s="1"/>
  <c r="J6" i="2" s="1"/>
  <c r="J2" i="1" l="1"/>
  <c r="C12" i="2"/>
  <c r="C13" i="2" s="1"/>
  <c r="C15" i="1"/>
  <c r="J5" i="1" s="1"/>
  <c r="J3" i="1"/>
  <c r="C15" i="2" l="1"/>
  <c r="C16" i="2" s="1"/>
  <c r="C17" i="2" s="1"/>
  <c r="M4" i="2" s="1"/>
  <c r="M5" i="2" s="1"/>
  <c r="M8" i="2"/>
  <c r="M7" i="2"/>
  <c r="C13" i="1"/>
  <c r="J4" i="1" s="1"/>
  <c r="J6" i="1" s="1"/>
  <c r="M9" i="2" l="1"/>
  <c r="O4" i="2"/>
  <c r="P4" i="2"/>
  <c r="N4" i="2"/>
  <c r="C18" i="1"/>
  <c r="C20" i="1" s="1"/>
  <c r="N9" i="2" l="1"/>
  <c r="N5" i="2"/>
  <c r="C18" i="2"/>
  <c r="M10" i="2"/>
  <c r="O9" i="2"/>
  <c r="O5" i="2"/>
  <c r="P9" i="2"/>
  <c r="P5" i="2"/>
  <c r="C24" i="1"/>
  <c r="C26" i="1" s="1"/>
  <c r="C28" i="1" s="1"/>
  <c r="M9" i="1"/>
  <c r="M7" i="1"/>
  <c r="M11" i="1"/>
  <c r="M10" i="1"/>
  <c r="N10" i="2" l="1"/>
  <c r="O10" i="2" s="1"/>
  <c r="N4" i="1"/>
  <c r="O4" i="1"/>
  <c r="P4" i="1"/>
  <c r="P10" i="2" l="1"/>
  <c r="Q10" i="2"/>
  <c r="N10" i="1"/>
  <c r="N11" i="1" s="1"/>
  <c r="N5" i="1"/>
  <c r="P10" i="1"/>
  <c r="P5" i="1"/>
  <c r="O5" i="1"/>
  <c r="O10" i="1"/>
  <c r="O11" i="1" l="1"/>
  <c r="P11" i="1" s="1"/>
</calcChain>
</file>

<file path=xl/sharedStrings.xml><?xml version="1.0" encoding="utf-8"?>
<sst xmlns="http://schemas.openxmlformats.org/spreadsheetml/2006/main" count="186" uniqueCount="53">
  <si>
    <t xml:space="preserve">Исполнитель </t>
  </si>
  <si>
    <t xml:space="preserve">Месячна я тарифная ставка, руб. </t>
  </si>
  <si>
    <t xml:space="preserve">Часовая тарифная ставка, руб. </t>
  </si>
  <si>
    <t xml:space="preserve">Плановый фонд рабочего времени, дн. </t>
  </si>
  <si>
    <t xml:space="preserve">Заработная плата, руб. </t>
  </si>
  <si>
    <t>Зд=</t>
  </si>
  <si>
    <t>Нд</t>
  </si>
  <si>
    <t>Нсз</t>
  </si>
  <si>
    <t>Нпз</t>
  </si>
  <si>
    <t>Зпз=</t>
  </si>
  <si>
    <t xml:space="preserve">Статья затрат </t>
  </si>
  <si>
    <t xml:space="preserve">Сумма, млн. р. </t>
  </si>
  <si>
    <t>Основная заработная плата команды разработчиков</t>
  </si>
  <si>
    <t xml:space="preserve">Дополнительная заработная плата команды разработчиков </t>
  </si>
  <si>
    <t xml:space="preserve">Отчисления на социальные нужды </t>
  </si>
  <si>
    <t xml:space="preserve">Прочие затраты </t>
  </si>
  <si>
    <t xml:space="preserve">Общая сумма затрат на разработку </t>
  </si>
  <si>
    <t>Выполняемые работы</t>
  </si>
  <si>
    <t xml:space="preserve">Программист </t>
  </si>
  <si>
    <t>Ведущий программист</t>
  </si>
  <si>
    <t>Бизнес-аналитик</t>
  </si>
  <si>
    <t>Тестировщик</t>
  </si>
  <si>
    <t>№</t>
  </si>
  <si>
    <t>Зреал=</t>
  </si>
  <si>
    <t>Зр=</t>
  </si>
  <si>
    <t>НДС=</t>
  </si>
  <si>
    <t>Цгод. Подписки</t>
  </si>
  <si>
    <t>Пед=</t>
  </si>
  <si>
    <t>П=</t>
  </si>
  <si>
    <t>N</t>
  </si>
  <si>
    <t>ЧП=</t>
  </si>
  <si>
    <t>Зсоц=</t>
  </si>
  <si>
    <t>Показатель</t>
  </si>
  <si>
    <t>Расчетный период</t>
  </si>
  <si>
    <t>РЕЗУЛЬТАТ</t>
  </si>
  <si>
    <t xml:space="preserve"> </t>
  </si>
  <si>
    <t>Экономический эффект</t>
  </si>
  <si>
    <t>–</t>
  </si>
  <si>
    <t>Дисконтированный результат</t>
  </si>
  <si>
    <t>ЗАТРАТЫ</t>
  </si>
  <si>
    <t>Инвестиции в разработку</t>
  </si>
  <si>
    <t>программного средства</t>
  </si>
  <si>
    <t xml:space="preserve">– </t>
  </si>
  <si>
    <t>Дисконтированные инвестиции</t>
  </si>
  <si>
    <t>Чистый дисконтированный доход по годам</t>
  </si>
  <si>
    <t>Чистый дисконтированный доход</t>
  </si>
  <si>
    <t>нарастающим итогом</t>
  </si>
  <si>
    <t>Коэффициент дисконтирования</t>
  </si>
  <si>
    <t>Eн</t>
  </si>
  <si>
    <t>Рц=</t>
  </si>
  <si>
    <t>Инвестиции в разработку программного средства</t>
  </si>
  <si>
    <t>-</t>
  </si>
  <si>
    <t>Нприб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</si>
</sst>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19]mmmm\ yyyy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3" fontId="0" fillId="0" borderId="0" xfId="0" applyNumberFormat="1"/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4" fontId="2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Border="1"/>
    <xf numFmtId="4" fontId="1" fillId="0" borderId="0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4" fontId="2" fillId="0" borderId="3" xfId="0" applyNumberFormat="1" applyFont="1" applyBorder="1" applyAlignment="1">
      <alignment vertical="center" wrapText="1"/>
    </xf>
    <xf numFmtId="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opLeftCell="C1" workbookViewId="0">
      <selection activeCell="M10" sqref="M10"/>
    </sheetView>
  </sheetViews>
  <sheetFormatPr defaultRowHeight="15" x14ac:dyDescent="0.25"/>
  <cols>
    <col min="2" max="2" width="27.42578125" customWidth="1"/>
    <col min="3" max="3" width="10.5703125" customWidth="1"/>
    <col min="4" max="4" width="14.42578125" customWidth="1"/>
    <col min="5" max="6" width="16.7109375" customWidth="1"/>
    <col min="7" max="7" width="16.140625" customWidth="1"/>
    <col min="8" max="8" width="15.28515625" customWidth="1"/>
    <col min="9" max="9" width="72.28515625" bestFit="1" customWidth="1"/>
    <col min="10" max="10" width="18.140625" customWidth="1"/>
    <col min="11" max="11" width="16.7109375" customWidth="1"/>
    <col min="12" max="12" width="33.85546875" customWidth="1"/>
    <col min="13" max="13" width="18.28515625" customWidth="1"/>
    <col min="14" max="14" width="16" customWidth="1"/>
    <col min="15" max="15" width="14.5703125" customWidth="1"/>
    <col min="16" max="16" width="16.28515625" customWidth="1"/>
  </cols>
  <sheetData>
    <row r="1" spans="1:17" s="2" customFormat="1" ht="75.75" thickBot="1" x14ac:dyDescent="0.3">
      <c r="A1" s="7" t="s">
        <v>22</v>
      </c>
      <c r="B1" s="7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I1" s="19" t="s">
        <v>10</v>
      </c>
      <c r="J1" s="19" t="s">
        <v>11</v>
      </c>
      <c r="L1" s="52" t="s">
        <v>32</v>
      </c>
      <c r="M1" s="20"/>
      <c r="N1" s="54" t="s">
        <v>33</v>
      </c>
      <c r="O1" s="54"/>
      <c r="P1" s="21"/>
    </row>
    <row r="2" spans="1:17" s="3" customFormat="1" ht="37.5" customHeight="1" thickBot="1" x14ac:dyDescent="0.3">
      <c r="A2" s="8">
        <v>1</v>
      </c>
      <c r="B2" s="8" t="s">
        <v>18</v>
      </c>
      <c r="C2" s="8"/>
      <c r="D2" s="8">
        <v>1150</v>
      </c>
      <c r="E2" s="7">
        <f>D2/168</f>
        <v>6.8452380952380949</v>
      </c>
      <c r="F2" s="8">
        <v>140</v>
      </c>
      <c r="G2" s="17">
        <f>E2*F2</f>
        <v>958.33333333333326</v>
      </c>
      <c r="I2" s="28" t="s">
        <v>12</v>
      </c>
      <c r="J2" s="29">
        <f>G7</f>
        <v>2616.0714285714284</v>
      </c>
      <c r="L2" s="51"/>
      <c r="M2" s="26">
        <v>2017</v>
      </c>
      <c r="N2" s="26">
        <v>2018</v>
      </c>
      <c r="O2" s="26">
        <v>2019</v>
      </c>
      <c r="P2" s="26">
        <v>2020</v>
      </c>
    </row>
    <row r="3" spans="1:17" s="3" customFormat="1" ht="38.25" thickBot="1" x14ac:dyDescent="0.3">
      <c r="A3" s="8">
        <v>2</v>
      </c>
      <c r="B3" s="8" t="s">
        <v>19</v>
      </c>
      <c r="C3" s="8"/>
      <c r="D3" s="8">
        <v>2400</v>
      </c>
      <c r="E3" s="7">
        <f t="shared" ref="E3:E5" si="0">D3/168</f>
        <v>14.285714285714286</v>
      </c>
      <c r="F3" s="8">
        <v>20</v>
      </c>
      <c r="G3" s="17">
        <f t="shared" ref="G3:G5" si="1">E3*F3</f>
        <v>285.71428571428572</v>
      </c>
      <c r="I3" s="28" t="s">
        <v>13</v>
      </c>
      <c r="J3" s="29">
        <f>C11</f>
        <v>392.41071428571428</v>
      </c>
      <c r="L3" s="22" t="s">
        <v>34</v>
      </c>
      <c r="M3" s="23"/>
      <c r="N3" s="54" t="s">
        <v>35</v>
      </c>
      <c r="O3" s="54"/>
      <c r="P3" s="25"/>
    </row>
    <row r="4" spans="1:17" ht="48" customHeight="1" thickBot="1" x14ac:dyDescent="0.3">
      <c r="A4" s="9">
        <v>3</v>
      </c>
      <c r="B4" s="10" t="s">
        <v>20</v>
      </c>
      <c r="C4" s="10"/>
      <c r="D4" s="10">
        <v>2300</v>
      </c>
      <c r="E4" s="7">
        <f t="shared" si="0"/>
        <v>13.69047619047619</v>
      </c>
      <c r="F4" s="10">
        <v>30</v>
      </c>
      <c r="G4" s="17">
        <f t="shared" si="1"/>
        <v>410.71428571428567</v>
      </c>
      <c r="I4" s="28" t="s">
        <v>14</v>
      </c>
      <c r="J4" s="29">
        <f>C13</f>
        <v>1040.9348214285715</v>
      </c>
      <c r="L4" s="22" t="s">
        <v>36</v>
      </c>
      <c r="M4" s="26" t="s">
        <v>37</v>
      </c>
      <c r="N4" s="31">
        <f>$C$28</f>
        <v>5007.2749761904761</v>
      </c>
      <c r="O4" s="31">
        <f>$C$28</f>
        <v>5007.2749761904761</v>
      </c>
      <c r="P4" s="31">
        <f>$C$28</f>
        <v>5007.2749761904761</v>
      </c>
    </row>
    <row r="5" spans="1:17" ht="38.25" thickBot="1" x14ac:dyDescent="0.3">
      <c r="A5" s="9">
        <v>4</v>
      </c>
      <c r="B5" s="8" t="s">
        <v>21</v>
      </c>
      <c r="C5" s="8"/>
      <c r="D5" s="8">
        <v>750</v>
      </c>
      <c r="E5" s="7">
        <f t="shared" si="0"/>
        <v>4.4642857142857144</v>
      </c>
      <c r="F5" s="8">
        <v>20</v>
      </c>
      <c r="G5" s="17">
        <f t="shared" si="1"/>
        <v>89.285714285714292</v>
      </c>
      <c r="I5" s="28" t="s">
        <v>15</v>
      </c>
      <c r="J5" s="29">
        <f>C15</f>
        <v>3139.2857142857142</v>
      </c>
      <c r="L5" s="22" t="s">
        <v>38</v>
      </c>
      <c r="M5" s="26" t="s">
        <v>37</v>
      </c>
      <c r="N5" s="31">
        <f>N4*N13</f>
        <v>4392.3464703425225</v>
      </c>
      <c r="O5" s="31">
        <f>O4*O13</f>
        <v>3852.935500300458</v>
      </c>
      <c r="P5" s="31">
        <f>P4*P13</f>
        <v>3379.7679827196998</v>
      </c>
    </row>
    <row r="6" spans="1:17" ht="19.5" thickBot="1" x14ac:dyDescent="0.3">
      <c r="A6" s="53"/>
      <c r="B6" s="53"/>
      <c r="C6" s="53"/>
      <c r="D6" s="53"/>
      <c r="E6" s="53"/>
      <c r="F6" s="53"/>
      <c r="G6" s="13">
        <v>0.5</v>
      </c>
      <c r="I6" s="28" t="s">
        <v>16</v>
      </c>
      <c r="J6" s="29">
        <f>SUM(J2:J5)</f>
        <v>7188.7026785714279</v>
      </c>
      <c r="K6" s="12"/>
      <c r="L6" s="22" t="s">
        <v>39</v>
      </c>
      <c r="M6" s="24"/>
      <c r="N6" s="54" t="s">
        <v>35</v>
      </c>
      <c r="O6" s="54"/>
      <c r="P6" s="26"/>
    </row>
    <row r="7" spans="1:17" ht="18.75" x14ac:dyDescent="0.3">
      <c r="A7" s="9"/>
      <c r="B7" s="11"/>
      <c r="C7" s="11"/>
      <c r="D7" s="11"/>
      <c r="E7" s="11"/>
      <c r="F7" s="11"/>
      <c r="G7" s="17">
        <f>SUM(G2:G5)+SUM(G2:G5)*G6</f>
        <v>2616.0714285714284</v>
      </c>
      <c r="L7" s="27" t="s">
        <v>40</v>
      </c>
      <c r="M7" s="50">
        <f>$C$20</f>
        <v>7907.5729464285705</v>
      </c>
      <c r="N7" s="52" t="s">
        <v>42</v>
      </c>
      <c r="O7" s="52" t="s">
        <v>42</v>
      </c>
      <c r="P7" s="52" t="s">
        <v>42</v>
      </c>
    </row>
    <row r="8" spans="1:17" ht="19.5" thickBot="1" x14ac:dyDescent="0.3">
      <c r="B8" s="4" t="s">
        <v>6</v>
      </c>
      <c r="C8" t="s">
        <v>7</v>
      </c>
      <c r="D8" t="s">
        <v>8</v>
      </c>
      <c r="E8" t="s">
        <v>26</v>
      </c>
      <c r="F8" t="s">
        <v>29</v>
      </c>
      <c r="G8" t="s">
        <v>48</v>
      </c>
      <c r="L8" s="22" t="s">
        <v>41</v>
      </c>
      <c r="M8" s="51"/>
      <c r="N8" s="51"/>
      <c r="O8" s="51"/>
      <c r="P8" s="51"/>
    </row>
    <row r="9" spans="1:17" ht="38.25" thickBot="1" x14ac:dyDescent="0.3">
      <c r="B9">
        <v>15</v>
      </c>
      <c r="C9">
        <f>34+0.6</f>
        <v>34.6</v>
      </c>
      <c r="D9">
        <v>120</v>
      </c>
      <c r="E9">
        <v>17</v>
      </c>
      <c r="F9">
        <v>1000</v>
      </c>
      <c r="G9">
        <v>0.14000000000000001</v>
      </c>
      <c r="L9" s="22" t="s">
        <v>43</v>
      </c>
      <c r="M9" s="32">
        <f>$C$20</f>
        <v>7907.5729464285705</v>
      </c>
      <c r="N9" s="26" t="s">
        <v>42</v>
      </c>
      <c r="O9" s="26" t="s">
        <v>42</v>
      </c>
      <c r="P9" s="26" t="s">
        <v>42</v>
      </c>
    </row>
    <row r="10" spans="1:17" ht="38.25" thickBot="1" x14ac:dyDescent="0.3">
      <c r="L10" s="22" t="s">
        <v>44</v>
      </c>
      <c r="M10" s="32">
        <f>-$C$20</f>
        <v>-7907.5729464285705</v>
      </c>
      <c r="N10" s="31">
        <f>N4*N13</f>
        <v>4392.3464703425225</v>
      </c>
      <c r="O10" s="31">
        <f t="shared" ref="O10:P10" si="2">O4*O13</f>
        <v>3852.935500300458</v>
      </c>
      <c r="P10" s="31">
        <f t="shared" si="2"/>
        <v>3379.7679827196998</v>
      </c>
    </row>
    <row r="11" spans="1:17" ht="37.5" x14ac:dyDescent="0.25">
      <c r="B11" t="s">
        <v>5</v>
      </c>
      <c r="C11" s="16">
        <f>G7*B9/100</f>
        <v>392.41071428571428</v>
      </c>
      <c r="D11" s="1"/>
      <c r="L11" s="27" t="s">
        <v>45</v>
      </c>
      <c r="M11" s="50">
        <f>-$C$20</f>
        <v>-7907.5729464285705</v>
      </c>
      <c r="N11" s="50">
        <f>M11+N10</f>
        <v>-3515.226476086048</v>
      </c>
      <c r="O11" s="50">
        <f t="shared" ref="O11:P11" si="3">N11+O10</f>
        <v>337.70902421440996</v>
      </c>
      <c r="P11" s="50">
        <f t="shared" si="3"/>
        <v>3717.4770069341098</v>
      </c>
      <c r="Q11" s="16"/>
    </row>
    <row r="12" spans="1:17" ht="19.5" thickBot="1" x14ac:dyDescent="0.3">
      <c r="C12" s="16"/>
      <c r="L12" s="22" t="s">
        <v>46</v>
      </c>
      <c r="M12" s="51"/>
      <c r="N12" s="51"/>
      <c r="O12" s="51"/>
      <c r="P12" s="51"/>
    </row>
    <row r="13" spans="1:17" ht="38.25" thickBot="1" x14ac:dyDescent="0.3">
      <c r="B13" t="s">
        <v>31</v>
      </c>
      <c r="C13" s="16">
        <f>(G7+C11)*C9/100</f>
        <v>1040.9348214285715</v>
      </c>
      <c r="L13" s="22" t="s">
        <v>47</v>
      </c>
      <c r="M13" s="26">
        <f>(1+$G$9)^(1-M14)</f>
        <v>1</v>
      </c>
      <c r="N13" s="30">
        <f t="shared" ref="N13:P13" si="4">(1+$G$9)^(1-N14)</f>
        <v>0.8771929824561403</v>
      </c>
      <c r="O13" s="30">
        <f t="shared" si="4"/>
        <v>0.76946752847029842</v>
      </c>
      <c r="P13" s="30">
        <f t="shared" si="4"/>
        <v>0.67497151620201612</v>
      </c>
    </row>
    <row r="14" spans="1:17" x14ac:dyDescent="0.25">
      <c r="C14" s="16"/>
      <c r="M14" s="33">
        <v>1</v>
      </c>
      <c r="N14" s="33">
        <v>2</v>
      </c>
      <c r="O14" s="33">
        <v>3</v>
      </c>
      <c r="P14" s="33">
        <v>4</v>
      </c>
    </row>
    <row r="15" spans="1:17" x14ac:dyDescent="0.25">
      <c r="B15" t="s">
        <v>9</v>
      </c>
      <c r="C15" s="16">
        <f>G7*D9/100</f>
        <v>3139.2857142857142</v>
      </c>
    </row>
    <row r="18" spans="2:3" x14ac:dyDescent="0.25">
      <c r="B18" t="s">
        <v>23</v>
      </c>
      <c r="C18" s="15">
        <f>J6*10/100</f>
        <v>718.87026785714272</v>
      </c>
    </row>
    <row r="20" spans="2:3" x14ac:dyDescent="0.25">
      <c r="B20" t="s">
        <v>24</v>
      </c>
      <c r="C20" s="16">
        <f>J6+C18</f>
        <v>7907.5729464285705</v>
      </c>
    </row>
    <row r="22" spans="2:3" x14ac:dyDescent="0.25">
      <c r="B22" t="s">
        <v>25</v>
      </c>
      <c r="C22" s="15">
        <f>E9*20/120</f>
        <v>2.8333333333333335</v>
      </c>
    </row>
    <row r="24" spans="2:3" x14ac:dyDescent="0.25">
      <c r="B24" t="s">
        <v>27</v>
      </c>
      <c r="C24" s="15">
        <f>E9-C22-C20/1000</f>
        <v>6.2590937202380958</v>
      </c>
    </row>
    <row r="26" spans="2:3" x14ac:dyDescent="0.25">
      <c r="B26" t="s">
        <v>28</v>
      </c>
      <c r="C26" s="15">
        <f>C24*F9</f>
        <v>6259.0937202380956</v>
      </c>
    </row>
    <row r="28" spans="2:3" x14ac:dyDescent="0.25">
      <c r="B28" t="s">
        <v>30</v>
      </c>
      <c r="C28" s="15">
        <f>C26-(C26*20/100)</f>
        <v>5007.2749761904761</v>
      </c>
    </row>
    <row r="31" spans="2:3" x14ac:dyDescent="0.25">
      <c r="B31" t="s">
        <v>49</v>
      </c>
      <c r="C31" s="34">
        <f>SUM(N10:P10)/C20</f>
        <v>1.4701160561045592</v>
      </c>
    </row>
    <row r="42" spans="4:4" x14ac:dyDescent="0.25">
      <c r="D42">
        <v>5008</v>
      </c>
    </row>
    <row r="43" spans="4:4" x14ac:dyDescent="0.25">
      <c r="D43">
        <v>4512</v>
      </c>
    </row>
    <row r="44" spans="4:4" x14ac:dyDescent="0.25">
      <c r="D44">
        <f>D42-D43</f>
        <v>496</v>
      </c>
    </row>
  </sheetData>
  <mergeCells count="13">
    <mergeCell ref="A6:F6"/>
    <mergeCell ref="L1:L2"/>
    <mergeCell ref="N1:O1"/>
    <mergeCell ref="N3:O3"/>
    <mergeCell ref="N6:O6"/>
    <mergeCell ref="M7:M8"/>
    <mergeCell ref="N7:N8"/>
    <mergeCell ref="O7:O8"/>
    <mergeCell ref="P7:P8"/>
    <mergeCell ref="M11:M12"/>
    <mergeCell ref="N11:N12"/>
    <mergeCell ref="O11:O12"/>
    <mergeCell ref="P11:P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A8A-3BC0-4D1A-A327-B0E46C22B4BB}">
  <dimension ref="A1:Q18"/>
  <sheetViews>
    <sheetView topLeftCell="C4" workbookViewId="0">
      <selection activeCell="C18" sqref="C18"/>
    </sheetView>
  </sheetViews>
  <sheetFormatPr defaultRowHeight="15" x14ac:dyDescent="0.25"/>
  <cols>
    <col min="2" max="2" width="17.42578125" customWidth="1"/>
    <col min="3" max="3" width="14.7109375" bestFit="1" customWidth="1"/>
    <col min="4" max="4" width="14.42578125" customWidth="1"/>
    <col min="5" max="6" width="16.7109375" customWidth="1"/>
    <col min="7" max="7" width="16.140625" customWidth="1"/>
    <col min="8" max="8" width="15.28515625" customWidth="1"/>
    <col min="9" max="9" width="57.140625" customWidth="1"/>
    <col min="10" max="10" width="18.140625" customWidth="1"/>
    <col min="11" max="11" width="16.7109375" customWidth="1"/>
    <col min="12" max="12" width="26.7109375" bestFit="1" customWidth="1"/>
    <col min="13" max="13" width="11.28515625" bestFit="1" customWidth="1"/>
    <col min="14" max="14" width="12.42578125" customWidth="1"/>
    <col min="15" max="15" width="11.85546875" customWidth="1"/>
    <col min="16" max="16" width="15" bestFit="1" customWidth="1"/>
  </cols>
  <sheetData>
    <row r="1" spans="1:17" s="2" customFormat="1" ht="50.25" customHeight="1" thickBot="1" x14ac:dyDescent="0.3">
      <c r="A1" s="7" t="s">
        <v>22</v>
      </c>
      <c r="B1" s="7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I1" s="5" t="s">
        <v>10</v>
      </c>
      <c r="J1" s="5" t="s">
        <v>11</v>
      </c>
      <c r="L1" s="52" t="s">
        <v>32</v>
      </c>
      <c r="M1" s="20"/>
      <c r="N1" s="54" t="s">
        <v>33</v>
      </c>
      <c r="O1" s="54"/>
      <c r="P1" s="21"/>
    </row>
    <row r="2" spans="1:17" s="3" customFormat="1" ht="29.25" customHeight="1" thickBot="1" x14ac:dyDescent="0.3">
      <c r="A2" s="8">
        <v>1</v>
      </c>
      <c r="B2" s="8" t="s">
        <v>18</v>
      </c>
      <c r="C2" s="8"/>
      <c r="D2" s="8">
        <v>1150</v>
      </c>
      <c r="E2" s="7">
        <f>D2/168</f>
        <v>6.8452380952380949</v>
      </c>
      <c r="F2" s="8">
        <v>120</v>
      </c>
      <c r="G2" s="17">
        <f>E2*F2</f>
        <v>821.42857142857133</v>
      </c>
      <c r="I2" s="6" t="s">
        <v>12</v>
      </c>
      <c r="J2" s="18">
        <f>G4</f>
        <v>1232.1428571428569</v>
      </c>
      <c r="L2" s="51"/>
      <c r="M2" s="26">
        <v>2019</v>
      </c>
      <c r="N2" s="26">
        <v>2020</v>
      </c>
      <c r="O2" s="26">
        <v>2021</v>
      </c>
      <c r="P2" s="26">
        <v>2022</v>
      </c>
    </row>
    <row r="3" spans="1:17" s="3" customFormat="1" ht="19.5" thickBot="1" x14ac:dyDescent="0.3">
      <c r="A3" s="53"/>
      <c r="B3" s="53"/>
      <c r="C3" s="53"/>
      <c r="D3" s="53"/>
      <c r="E3" s="53"/>
      <c r="F3" s="53"/>
      <c r="G3" s="13">
        <v>0.5</v>
      </c>
      <c r="I3" s="6" t="s">
        <v>13</v>
      </c>
      <c r="J3" s="18">
        <f>C9</f>
        <v>184.82142857142856</v>
      </c>
      <c r="L3" s="22" t="s">
        <v>34</v>
      </c>
      <c r="M3" s="23"/>
      <c r="N3" s="54" t="s">
        <v>35</v>
      </c>
      <c r="O3" s="54"/>
      <c r="P3" s="25"/>
    </row>
    <row r="4" spans="1:17" ht="38.25" thickBot="1" x14ac:dyDescent="0.35">
      <c r="A4" s="14"/>
      <c r="B4" s="11"/>
      <c r="C4" s="11"/>
      <c r="D4" s="11"/>
      <c r="E4" s="11"/>
      <c r="F4" s="11"/>
      <c r="G4" s="17">
        <f>SUM(G2:G2)+SUM(G2:G2)*G3</f>
        <v>1232.1428571428569</v>
      </c>
      <c r="I4" s="6" t="s">
        <v>14</v>
      </c>
      <c r="J4" s="18">
        <f>C10</f>
        <v>490.26964285714274</v>
      </c>
      <c r="L4" s="22" t="s">
        <v>36</v>
      </c>
      <c r="M4" s="31">
        <f>$C$17</f>
        <v>12968.715795238099</v>
      </c>
      <c r="N4" s="31">
        <f>$C$17</f>
        <v>12968.715795238099</v>
      </c>
      <c r="O4" s="31">
        <f>$C$17</f>
        <v>12968.715795238099</v>
      </c>
      <c r="P4" s="31">
        <f>$C$17</f>
        <v>12968.715795238099</v>
      </c>
    </row>
    <row r="5" spans="1:17" ht="38.25" thickBot="1" x14ac:dyDescent="0.35">
      <c r="A5" s="36"/>
      <c r="B5" s="37"/>
      <c r="C5" s="38"/>
      <c r="D5" s="38"/>
      <c r="E5" s="38"/>
      <c r="F5" s="38"/>
      <c r="G5" s="39"/>
      <c r="I5" s="6" t="s">
        <v>15</v>
      </c>
      <c r="J5" s="18">
        <f>C11</f>
        <v>1478.5714285714284</v>
      </c>
      <c r="L5" s="22" t="s">
        <v>38</v>
      </c>
      <c r="M5" s="31">
        <f>M4*M12</f>
        <v>12968.715795238099</v>
      </c>
      <c r="N5" s="31">
        <f>N4*N12</f>
        <v>11376.066487050963</v>
      </c>
      <c r="O5" s="31">
        <f>O4*O12</f>
        <v>9979.005690395581</v>
      </c>
      <c r="P5" s="31">
        <f>P4*P12</f>
        <v>8753.5137635048941</v>
      </c>
    </row>
    <row r="6" spans="1:17" ht="19.5" thickBot="1" x14ac:dyDescent="0.3">
      <c r="B6" s="40" t="s">
        <v>6</v>
      </c>
      <c r="C6" s="41" t="s">
        <v>7</v>
      </c>
      <c r="D6" s="41" t="s">
        <v>8</v>
      </c>
      <c r="E6" s="41" t="s">
        <v>26</v>
      </c>
      <c r="F6" s="41" t="s">
        <v>29</v>
      </c>
      <c r="G6" s="41" t="s">
        <v>48</v>
      </c>
      <c r="I6" s="6" t="s">
        <v>16</v>
      </c>
      <c r="J6" s="18">
        <f>SUM(J2:J5)</f>
        <v>3385.8053571428563</v>
      </c>
      <c r="K6" s="12"/>
      <c r="L6" s="22" t="s">
        <v>39</v>
      </c>
      <c r="M6" s="24"/>
      <c r="N6" s="54" t="s">
        <v>35</v>
      </c>
      <c r="O6" s="54"/>
      <c r="P6" s="26"/>
    </row>
    <row r="7" spans="1:17" ht="75" x14ac:dyDescent="0.25">
      <c r="B7" s="5">
        <v>15</v>
      </c>
      <c r="C7" s="5">
        <f>34+0.6</f>
        <v>34.6</v>
      </c>
      <c r="D7" s="5">
        <v>120</v>
      </c>
      <c r="E7" s="5">
        <v>199</v>
      </c>
      <c r="F7" s="5">
        <v>100</v>
      </c>
      <c r="G7" s="5">
        <v>0.14000000000000001</v>
      </c>
      <c r="L7" s="27" t="s">
        <v>50</v>
      </c>
      <c r="M7" s="44">
        <f>$C$13</f>
        <v>3724.3858928571422</v>
      </c>
      <c r="N7" s="35" t="s">
        <v>42</v>
      </c>
      <c r="O7" s="35" t="s">
        <v>42</v>
      </c>
      <c r="P7" s="35" t="s">
        <v>42</v>
      </c>
    </row>
    <row r="8" spans="1:17" ht="38.25" thickBot="1" x14ac:dyDescent="0.3">
      <c r="L8" s="22" t="s">
        <v>43</v>
      </c>
      <c r="M8" s="32">
        <f>$C$13</f>
        <v>3724.3858928571422</v>
      </c>
      <c r="N8" s="26" t="s">
        <v>42</v>
      </c>
      <c r="O8" s="26" t="s">
        <v>42</v>
      </c>
      <c r="P8" s="26" t="s">
        <v>42</v>
      </c>
    </row>
    <row r="9" spans="1:17" ht="57" thickBot="1" x14ac:dyDescent="0.3">
      <c r="B9" s="5" t="s">
        <v>5</v>
      </c>
      <c r="C9" s="18">
        <f>G4*B7/100</f>
        <v>184.82142857142856</v>
      </c>
      <c r="D9" s="16"/>
      <c r="L9" s="22" t="s">
        <v>44</v>
      </c>
      <c r="M9" s="32">
        <f>-$C$13+M4*M12</f>
        <v>9244.3299023809559</v>
      </c>
      <c r="N9" s="31">
        <f>N4*N12</f>
        <v>11376.066487050963</v>
      </c>
      <c r="O9" s="31">
        <f>O4*O12</f>
        <v>9979.005690395581</v>
      </c>
      <c r="P9" s="31">
        <f>P4*P12</f>
        <v>8753.5137635048941</v>
      </c>
    </row>
    <row r="10" spans="1:17" ht="56.25" x14ac:dyDescent="0.25">
      <c r="B10" s="5" t="s">
        <v>31</v>
      </c>
      <c r="C10" s="18">
        <f>(G4+C9)*C7/100</f>
        <v>490.26964285714274</v>
      </c>
      <c r="L10" s="27" t="s">
        <v>45</v>
      </c>
      <c r="M10" s="50">
        <f>-$C$13+M9</f>
        <v>5519.9440095238133</v>
      </c>
      <c r="N10" s="50">
        <f>M10+N9</f>
        <v>16896.010496574774</v>
      </c>
      <c r="O10" s="50">
        <f t="shared" ref="O10:P10" si="0">N10+O9</f>
        <v>26875.016186970355</v>
      </c>
      <c r="P10" s="50">
        <f t="shared" si="0"/>
        <v>35628.529950475247</v>
      </c>
      <c r="Q10" s="15">
        <f>SUM(M10:P11)</f>
        <v>84919.50064354419</v>
      </c>
    </row>
    <row r="11" spans="1:17" ht="19.5" thickBot="1" x14ac:dyDescent="0.3">
      <c r="B11" s="5" t="s">
        <v>9</v>
      </c>
      <c r="C11" s="18">
        <f>G4*D7/100</f>
        <v>1478.5714285714284</v>
      </c>
      <c r="L11" s="22" t="s">
        <v>46</v>
      </c>
      <c r="M11" s="51"/>
      <c r="N11" s="51"/>
      <c r="O11" s="51"/>
      <c r="P11" s="51"/>
    </row>
    <row r="12" spans="1:17" ht="38.25" thickBot="1" x14ac:dyDescent="0.3">
      <c r="B12" s="5" t="s">
        <v>23</v>
      </c>
      <c r="C12" s="42">
        <f>J6*10/100</f>
        <v>338.58053571428565</v>
      </c>
      <c r="L12" s="22" t="s">
        <v>47</v>
      </c>
      <c r="M12" s="26">
        <f>(1+$G$7)^(1-M13)</f>
        <v>1</v>
      </c>
      <c r="N12" s="30">
        <f t="shared" ref="N12:O12" si="1">(1+$G$7)^(1-N13)</f>
        <v>0.8771929824561403</v>
      </c>
      <c r="O12" s="30">
        <f t="shared" si="1"/>
        <v>0.76946752847029842</v>
      </c>
      <c r="P12" s="30">
        <f>(1+$G$7)^(1-P13)</f>
        <v>0.67497151620201612</v>
      </c>
    </row>
    <row r="13" spans="1:17" x14ac:dyDescent="0.25">
      <c r="B13" s="5" t="s">
        <v>24</v>
      </c>
      <c r="C13" s="18">
        <f>J6+C12</f>
        <v>3724.3858928571422</v>
      </c>
      <c r="M13" s="33">
        <v>1</v>
      </c>
      <c r="N13" s="33">
        <v>2</v>
      </c>
      <c r="O13" s="33">
        <v>3</v>
      </c>
      <c r="P13" s="33">
        <v>4</v>
      </c>
    </row>
    <row r="14" spans="1:17" x14ac:dyDescent="0.25">
      <c r="B14" s="5" t="s">
        <v>25</v>
      </c>
      <c r="C14" s="42">
        <f>E7*20/120</f>
        <v>33.166666666666664</v>
      </c>
    </row>
    <row r="15" spans="1:17" x14ac:dyDescent="0.25">
      <c r="B15" s="5" t="s">
        <v>27</v>
      </c>
      <c r="C15" s="42">
        <f>E7-C14-C13/1000</f>
        <v>162.10894744047621</v>
      </c>
    </row>
    <row r="16" spans="1:17" x14ac:dyDescent="0.25">
      <c r="B16" s="5" t="s">
        <v>28</v>
      </c>
      <c r="C16" s="42">
        <f>C15*F7</f>
        <v>16210.894744047622</v>
      </c>
    </row>
    <row r="17" spans="2:3" x14ac:dyDescent="0.25">
      <c r="B17" s="5" t="s">
        <v>30</v>
      </c>
      <c r="C17" s="42">
        <f>C16-(C16*20/100)</f>
        <v>12968.715795238099</v>
      </c>
    </row>
    <row r="18" spans="2:3" x14ac:dyDescent="0.25">
      <c r="B18" s="5" t="s">
        <v>49</v>
      </c>
      <c r="C18" s="43">
        <f>SUM(M9)/C13</f>
        <v>2.4821085054881946</v>
      </c>
    </row>
  </sheetData>
  <mergeCells count="9">
    <mergeCell ref="P10:P11"/>
    <mergeCell ref="A3:F3"/>
    <mergeCell ref="L1:L2"/>
    <mergeCell ref="N1:O1"/>
    <mergeCell ref="N3:O3"/>
    <mergeCell ref="N6:O6"/>
    <mergeCell ref="M10:M11"/>
    <mergeCell ref="N10:N11"/>
    <mergeCell ref="O10:O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1D56-7545-4FB6-AE08-0B4D75C2FFC2}">
  <dimension ref="A1:AE22"/>
  <sheetViews>
    <sheetView tabSelected="1" zoomScale="70" zoomScaleNormal="70" workbookViewId="0">
      <selection activeCell="D12" sqref="D12"/>
    </sheetView>
  </sheetViews>
  <sheetFormatPr defaultRowHeight="15" x14ac:dyDescent="0.25"/>
  <cols>
    <col min="2" max="2" width="17.42578125" customWidth="1"/>
    <col min="3" max="3" width="14.7109375" bestFit="1" customWidth="1"/>
    <col min="4" max="4" width="14.42578125" customWidth="1"/>
    <col min="5" max="6" width="16.7109375" customWidth="1"/>
    <col min="7" max="7" width="16.140625" customWidth="1"/>
    <col min="8" max="8" width="15.28515625" customWidth="1"/>
    <col min="9" max="9" width="57.140625" customWidth="1"/>
    <col min="10" max="10" width="18.140625" customWidth="1"/>
    <col min="11" max="11" width="16.7109375" customWidth="1"/>
    <col min="12" max="12" width="26.7109375" bestFit="1" customWidth="1"/>
    <col min="13" max="13" width="11.28515625" bestFit="1" customWidth="1"/>
    <col min="14" max="14" width="12.42578125" customWidth="1"/>
    <col min="15" max="15" width="11.85546875" customWidth="1"/>
    <col min="16" max="16" width="15" bestFit="1" customWidth="1"/>
    <col min="19" max="19" width="33.28515625" customWidth="1"/>
    <col min="20" max="20" width="15.7109375" bestFit="1" customWidth="1"/>
    <col min="21" max="21" width="16.85546875" bestFit="1" customWidth="1"/>
    <col min="22" max="22" width="13.140625" bestFit="1" customWidth="1"/>
    <col min="23" max="23" width="15.7109375" bestFit="1" customWidth="1"/>
    <col min="24" max="24" width="12" bestFit="1" customWidth="1"/>
    <col min="25" max="25" width="13.85546875" bestFit="1" customWidth="1"/>
    <col min="26" max="26" width="13.7109375" bestFit="1" customWidth="1"/>
    <col min="27" max="31" width="11" bestFit="1" customWidth="1"/>
  </cols>
  <sheetData>
    <row r="1" spans="1:31" s="2" customFormat="1" ht="50.25" customHeight="1" thickBot="1" x14ac:dyDescent="0.3">
      <c r="A1" s="7" t="s">
        <v>22</v>
      </c>
      <c r="B1" s="7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I1" s="5" t="s">
        <v>10</v>
      </c>
      <c r="J1" s="5" t="s">
        <v>11</v>
      </c>
      <c r="L1" s="52" t="s">
        <v>32</v>
      </c>
      <c r="M1" s="20"/>
      <c r="N1" s="54" t="s">
        <v>33</v>
      </c>
      <c r="O1" s="54"/>
      <c r="P1" s="21"/>
      <c r="S1" s="58" t="s">
        <v>32</v>
      </c>
      <c r="T1" s="55" t="s">
        <v>33</v>
      </c>
      <c r="U1" s="56"/>
      <c r="V1" s="56"/>
      <c r="W1" s="56"/>
      <c r="X1" s="56"/>
      <c r="Y1" s="56"/>
      <c r="Z1" s="57"/>
    </row>
    <row r="2" spans="1:31" s="3" customFormat="1" ht="29.25" customHeight="1" thickBot="1" x14ac:dyDescent="0.3">
      <c r="A2" s="8">
        <v>1</v>
      </c>
      <c r="B2" s="8" t="s">
        <v>18</v>
      </c>
      <c r="C2" s="8"/>
      <c r="D2" s="8">
        <v>1150</v>
      </c>
      <c r="E2" s="7">
        <f>D2/168</f>
        <v>6.8452380952380949</v>
      </c>
      <c r="F2" s="8">
        <v>120</v>
      </c>
      <c r="G2" s="17">
        <f>E2*F2</f>
        <v>821.42857142857133</v>
      </c>
      <c r="I2" s="6" t="s">
        <v>12</v>
      </c>
      <c r="J2" s="18">
        <f>G4</f>
        <v>1232.1428571428569</v>
      </c>
      <c r="L2" s="51"/>
      <c r="M2" s="26">
        <v>2019</v>
      </c>
      <c r="N2" s="26"/>
      <c r="O2" s="26"/>
      <c r="P2" s="26"/>
      <c r="S2" s="51"/>
      <c r="T2" s="49">
        <v>43466</v>
      </c>
      <c r="U2" s="49">
        <v>43497</v>
      </c>
      <c r="V2" s="49">
        <v>43525</v>
      </c>
      <c r="W2" s="49">
        <v>43556</v>
      </c>
      <c r="X2" s="49">
        <v>43586</v>
      </c>
      <c r="Y2" s="49">
        <v>43617</v>
      </c>
      <c r="Z2" s="49">
        <v>43647</v>
      </c>
      <c r="AA2" s="26"/>
      <c r="AB2" s="26"/>
      <c r="AC2" s="26"/>
      <c r="AD2" s="26"/>
      <c r="AE2" s="26"/>
    </row>
    <row r="3" spans="1:31" s="3" customFormat="1" ht="19.5" thickBot="1" x14ac:dyDescent="0.3">
      <c r="A3" s="53"/>
      <c r="B3" s="53"/>
      <c r="C3" s="53"/>
      <c r="D3" s="53"/>
      <c r="E3" s="53"/>
      <c r="F3" s="53"/>
      <c r="G3" s="13">
        <v>0.5</v>
      </c>
      <c r="I3" s="6" t="s">
        <v>13</v>
      </c>
      <c r="J3" s="18">
        <f>C9</f>
        <v>184.82142857142856</v>
      </c>
      <c r="L3" s="46" t="s">
        <v>34</v>
      </c>
      <c r="M3" s="23"/>
      <c r="N3" s="54"/>
      <c r="O3" s="54"/>
      <c r="P3" s="25"/>
      <c r="S3" s="46" t="s">
        <v>34</v>
      </c>
      <c r="T3" s="23"/>
      <c r="U3" s="54"/>
      <c r="V3" s="54"/>
      <c r="W3" s="25"/>
      <c r="X3" s="23"/>
      <c r="Y3" s="54"/>
      <c r="Z3" s="54"/>
      <c r="AA3" s="25"/>
      <c r="AB3" s="23"/>
      <c r="AC3" s="54"/>
      <c r="AD3" s="54"/>
      <c r="AE3" s="25"/>
    </row>
    <row r="4" spans="1:31" ht="38.25" thickBot="1" x14ac:dyDescent="0.35">
      <c r="A4" s="48"/>
      <c r="B4" s="11"/>
      <c r="C4" s="11"/>
      <c r="D4" s="11"/>
      <c r="E4" s="11"/>
      <c r="F4" s="11"/>
      <c r="G4" s="17">
        <f>SUM(G2:G2)+SUM(G2:G2)*G3</f>
        <v>1232.1428571428569</v>
      </c>
      <c r="I4" s="6" t="s">
        <v>14</v>
      </c>
      <c r="J4" s="18">
        <f>C10</f>
        <v>490.26964285714274</v>
      </c>
      <c r="L4" s="46" t="s">
        <v>36</v>
      </c>
      <c r="M4" s="31">
        <f>$C$17</f>
        <v>13292.933690119051</v>
      </c>
      <c r="N4" s="31"/>
      <c r="O4" s="31"/>
      <c r="P4" s="31"/>
      <c r="S4" s="46" t="s">
        <v>36</v>
      </c>
      <c r="T4" s="31">
        <f>$C$17</f>
        <v>13292.933690119051</v>
      </c>
      <c r="U4" s="31">
        <f>$C$17</f>
        <v>13292.933690119051</v>
      </c>
      <c r="V4" s="31">
        <f t="shared" ref="V4:AA4" si="0">$C$17</f>
        <v>13292.933690119051</v>
      </c>
      <c r="W4" s="31">
        <f t="shared" si="0"/>
        <v>13292.933690119051</v>
      </c>
      <c r="X4" s="31">
        <f>$C$17</f>
        <v>13292.933690119051</v>
      </c>
      <c r="Y4" s="31">
        <f>$C$17</f>
        <v>13292.933690119051</v>
      </c>
      <c r="Z4" s="31">
        <f t="shared" si="0"/>
        <v>13292.933690119051</v>
      </c>
      <c r="AA4" s="31">
        <f t="shared" si="0"/>
        <v>13292.933690119051</v>
      </c>
      <c r="AB4" s="31">
        <f>$C$17</f>
        <v>13292.933690119051</v>
      </c>
      <c r="AC4" s="31">
        <f>$C$17</f>
        <v>13292.933690119051</v>
      </c>
      <c r="AD4" s="31">
        <f t="shared" ref="AD4:AE4" si="1">$C$17</f>
        <v>13292.933690119051</v>
      </c>
      <c r="AE4" s="31">
        <f t="shared" si="1"/>
        <v>13292.933690119051</v>
      </c>
    </row>
    <row r="5" spans="1:31" ht="38.25" thickBot="1" x14ac:dyDescent="0.35">
      <c r="A5" s="36"/>
      <c r="B5" s="37"/>
      <c r="C5" s="38"/>
      <c r="D5" s="38"/>
      <c r="E5" s="38"/>
      <c r="F5" s="38"/>
      <c r="G5" s="39"/>
      <c r="I5" s="6" t="s">
        <v>15</v>
      </c>
      <c r="J5" s="18">
        <f>C11</f>
        <v>1478.5714285714284</v>
      </c>
      <c r="L5" s="46" t="s">
        <v>38</v>
      </c>
      <c r="M5" s="31">
        <f>M4*M12</f>
        <v>13292.933690119051</v>
      </c>
      <c r="N5" s="31"/>
      <c r="O5" s="31"/>
      <c r="P5" s="31"/>
      <c r="S5" s="46" t="s">
        <v>38</v>
      </c>
      <c r="T5" s="31">
        <f>T4*T12</f>
        <v>1107.7444741765876</v>
      </c>
      <c r="U5" s="31">
        <f>U4*U12</f>
        <v>2215.4889483531751</v>
      </c>
      <c r="V5" s="31">
        <f t="shared" ref="V5:W5" si="2">V4*V12</f>
        <v>3323.2334225297627</v>
      </c>
      <c r="W5" s="31">
        <f t="shared" si="2"/>
        <v>4430.9778967063503</v>
      </c>
      <c r="X5" s="31">
        <f>X4*X12</f>
        <v>5538.722370882937</v>
      </c>
      <c r="Y5" s="31">
        <f t="shared" ref="Y5:AE5" si="3">Y4*Y12</f>
        <v>6646.4668450595245</v>
      </c>
      <c r="Z5" s="31">
        <f t="shared" si="3"/>
        <v>7754.2113192361121</v>
      </c>
      <c r="AA5" s="31">
        <f t="shared" si="3"/>
        <v>8861.9557934127006</v>
      </c>
      <c r="AB5" s="31">
        <f t="shared" si="3"/>
        <v>9969.7002675892873</v>
      </c>
      <c r="AC5" s="31">
        <f t="shared" si="3"/>
        <v>11077.444741765876</v>
      </c>
      <c r="AD5" s="31">
        <f t="shared" si="3"/>
        <v>12185.189215942464</v>
      </c>
      <c r="AE5" s="31">
        <f t="shared" si="3"/>
        <v>13292.933690119051</v>
      </c>
    </row>
    <row r="6" spans="1:31" ht="19.5" thickBot="1" x14ac:dyDescent="0.3">
      <c r="A6" s="40" t="s">
        <v>6</v>
      </c>
      <c r="B6" s="41" t="s">
        <v>7</v>
      </c>
      <c r="C6" s="41" t="s">
        <v>8</v>
      </c>
      <c r="D6" s="41" t="s">
        <v>26</v>
      </c>
      <c r="E6" s="41" t="s">
        <v>29</v>
      </c>
      <c r="F6" s="41" t="s">
        <v>48</v>
      </c>
      <c r="G6" s="59" t="s">
        <v>52</v>
      </c>
      <c r="I6" s="6" t="s">
        <v>16</v>
      </c>
      <c r="J6" s="18">
        <f>SUM(J2:J5)</f>
        <v>3385.8053571428563</v>
      </c>
      <c r="K6" s="12"/>
      <c r="L6" s="46" t="s">
        <v>39</v>
      </c>
      <c r="M6" s="24"/>
      <c r="N6" s="54"/>
      <c r="O6" s="54"/>
      <c r="P6" s="26"/>
      <c r="S6" s="46" t="s">
        <v>39</v>
      </c>
      <c r="T6" s="24"/>
      <c r="U6" s="54"/>
      <c r="V6" s="54"/>
      <c r="W6" s="26"/>
      <c r="X6" s="24"/>
      <c r="Y6" s="54"/>
      <c r="Z6" s="54"/>
      <c r="AA6" s="26"/>
      <c r="AB6" s="24"/>
      <c r="AC6" s="54"/>
      <c r="AD6" s="54"/>
      <c r="AE6" s="26"/>
    </row>
    <row r="7" spans="1:31" ht="75" x14ac:dyDescent="0.25">
      <c r="A7" s="5">
        <v>15</v>
      </c>
      <c r="B7" s="5">
        <f>34+0.6</f>
        <v>34.6</v>
      </c>
      <c r="C7" s="5">
        <v>120</v>
      </c>
      <c r="D7" s="5">
        <v>199</v>
      </c>
      <c r="E7" s="5">
        <v>100</v>
      </c>
      <c r="F7" s="5">
        <v>0.14000000000000001</v>
      </c>
      <c r="G7" s="60">
        <v>18</v>
      </c>
      <c r="L7" s="27" t="s">
        <v>50</v>
      </c>
      <c r="M7" s="44">
        <f>$C$13</f>
        <v>3724.3858928571422</v>
      </c>
      <c r="N7" s="47"/>
      <c r="O7" s="47"/>
      <c r="P7" s="47"/>
      <c r="S7" s="27" t="s">
        <v>50</v>
      </c>
      <c r="T7" s="45">
        <f>$C$13</f>
        <v>3724.3858928571422</v>
      </c>
      <c r="U7" s="47" t="s">
        <v>51</v>
      </c>
      <c r="V7" s="47" t="s">
        <v>51</v>
      </c>
      <c r="W7" s="47" t="s">
        <v>51</v>
      </c>
      <c r="X7" s="47" t="s">
        <v>51</v>
      </c>
      <c r="Y7" s="47" t="s">
        <v>51</v>
      </c>
      <c r="Z7" s="47" t="s">
        <v>51</v>
      </c>
      <c r="AA7" s="47" t="s">
        <v>51</v>
      </c>
      <c r="AB7" s="47" t="s">
        <v>51</v>
      </c>
      <c r="AC7" s="47" t="s">
        <v>51</v>
      </c>
      <c r="AD7" s="47" t="s">
        <v>51</v>
      </c>
      <c r="AE7" s="47" t="s">
        <v>51</v>
      </c>
    </row>
    <row r="8" spans="1:31" ht="38.25" thickBot="1" x14ac:dyDescent="0.3">
      <c r="L8" s="46" t="s">
        <v>43</v>
      </c>
      <c r="M8" s="32">
        <f>$C$13</f>
        <v>3724.3858928571422</v>
      </c>
      <c r="N8" s="26"/>
      <c r="O8" s="26"/>
      <c r="P8" s="26"/>
      <c r="S8" s="46" t="s">
        <v>43</v>
      </c>
      <c r="T8" s="32">
        <f>$C$13</f>
        <v>3724.3858928571422</v>
      </c>
      <c r="U8" s="26" t="s">
        <v>51</v>
      </c>
      <c r="V8" s="26" t="s">
        <v>51</v>
      </c>
      <c r="W8" s="26" t="s">
        <v>51</v>
      </c>
      <c r="X8" s="26" t="s">
        <v>51</v>
      </c>
      <c r="Y8" s="26" t="s">
        <v>51</v>
      </c>
      <c r="Z8" s="26" t="s">
        <v>51</v>
      </c>
      <c r="AA8" s="26" t="s">
        <v>51</v>
      </c>
      <c r="AB8" s="26" t="s">
        <v>51</v>
      </c>
      <c r="AC8" s="26" t="s">
        <v>51</v>
      </c>
      <c r="AD8" s="26" t="s">
        <v>51</v>
      </c>
      <c r="AE8" s="26" t="s">
        <v>51</v>
      </c>
    </row>
    <row r="9" spans="1:31" ht="57" thickBot="1" x14ac:dyDescent="0.3">
      <c r="B9" s="5" t="s">
        <v>5</v>
      </c>
      <c r="C9" s="18">
        <f>G4*A7/100</f>
        <v>184.82142857142856</v>
      </c>
      <c r="D9" s="16"/>
      <c r="L9" s="46" t="s">
        <v>44</v>
      </c>
      <c r="M9" s="32">
        <f>-$C$13+M4*M12</f>
        <v>9568.5477972619083</v>
      </c>
      <c r="N9" s="31"/>
      <c r="O9" s="31"/>
      <c r="P9" s="31"/>
      <c r="S9" s="46" t="s">
        <v>44</v>
      </c>
      <c r="T9" s="32">
        <f t="shared" ref="T9:AE9" si="4">-$C$13+T4*T12</f>
        <v>-2616.6414186805546</v>
      </c>
      <c r="U9" s="32">
        <f t="shared" si="4"/>
        <v>-1508.896944503967</v>
      </c>
      <c r="V9" s="32">
        <f t="shared" si="4"/>
        <v>-401.15247032737943</v>
      </c>
      <c r="W9" s="32">
        <f t="shared" si="4"/>
        <v>706.59200384920814</v>
      </c>
      <c r="X9" s="32">
        <f t="shared" si="4"/>
        <v>1814.3364780257948</v>
      </c>
      <c r="Y9" s="32">
        <f t="shared" si="4"/>
        <v>2922.0809522023824</v>
      </c>
      <c r="Z9" s="32">
        <f t="shared" si="4"/>
        <v>4029.82542637897</v>
      </c>
      <c r="AA9" s="32">
        <f t="shared" si="4"/>
        <v>5137.569900555558</v>
      </c>
      <c r="AB9" s="32">
        <f t="shared" si="4"/>
        <v>6245.3143747321446</v>
      </c>
      <c r="AC9" s="32">
        <f t="shared" si="4"/>
        <v>7353.0588489087331</v>
      </c>
      <c r="AD9" s="32">
        <f t="shared" si="4"/>
        <v>8460.8033230853216</v>
      </c>
      <c r="AE9" s="32">
        <f t="shared" si="4"/>
        <v>9568.5477972619083</v>
      </c>
    </row>
    <row r="10" spans="1:31" ht="56.25" x14ac:dyDescent="0.25">
      <c r="B10" s="5" t="s">
        <v>31</v>
      </c>
      <c r="C10" s="18">
        <f>(G4+C9)*B7/100</f>
        <v>490.26964285714274</v>
      </c>
      <c r="L10" s="27" t="s">
        <v>45</v>
      </c>
      <c r="M10" s="50">
        <f>-$C$13+M9</f>
        <v>5844.1619044047657</v>
      </c>
      <c r="N10" s="50"/>
      <c r="O10" s="50"/>
      <c r="P10" s="50"/>
      <c r="Q10" s="15">
        <f>SUM(M10:P11)</f>
        <v>5844.1619044047657</v>
      </c>
      <c r="S10" s="27" t="s">
        <v>45</v>
      </c>
      <c r="T10" s="50">
        <f t="shared" ref="T10:AE10" si="5">-$C$13+T9</f>
        <v>-6341.0273115376967</v>
      </c>
      <c r="U10" s="50">
        <f t="shared" si="5"/>
        <v>-5233.2828373611092</v>
      </c>
      <c r="V10" s="50">
        <f t="shared" si="5"/>
        <v>-4125.5383631845216</v>
      </c>
      <c r="W10" s="50">
        <f t="shared" si="5"/>
        <v>-3017.793889007934</v>
      </c>
      <c r="X10" s="50">
        <f t="shared" si="5"/>
        <v>-1910.0494148313473</v>
      </c>
      <c r="Y10" s="50">
        <f t="shared" si="5"/>
        <v>-802.30494065475978</v>
      </c>
      <c r="Z10" s="50">
        <f t="shared" si="5"/>
        <v>305.4395335218278</v>
      </c>
      <c r="AA10" s="50">
        <f t="shared" si="5"/>
        <v>1413.1840076984158</v>
      </c>
      <c r="AB10" s="50">
        <f t="shared" si="5"/>
        <v>2520.9284818750025</v>
      </c>
      <c r="AC10" s="50">
        <f t="shared" si="5"/>
        <v>3628.672956051591</v>
      </c>
      <c r="AD10" s="50">
        <f t="shared" si="5"/>
        <v>4736.417430228179</v>
      </c>
      <c r="AE10" s="50">
        <f t="shared" si="5"/>
        <v>5844.1619044047657</v>
      </c>
    </row>
    <row r="11" spans="1:31" ht="19.5" thickBot="1" x14ac:dyDescent="0.3">
      <c r="B11" s="5" t="s">
        <v>9</v>
      </c>
      <c r="C11" s="18">
        <f>G4*C7/100</f>
        <v>1478.5714285714284</v>
      </c>
      <c r="L11" s="46" t="s">
        <v>46</v>
      </c>
      <c r="M11" s="51"/>
      <c r="N11" s="51"/>
      <c r="O11" s="51"/>
      <c r="P11" s="51"/>
      <c r="S11" s="46" t="s">
        <v>46</v>
      </c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 spans="1:31" ht="38.25" thickBot="1" x14ac:dyDescent="0.3">
      <c r="B12" s="5" t="s">
        <v>23</v>
      </c>
      <c r="C12" s="42">
        <f>J6*10/100</f>
        <v>338.58053571428565</v>
      </c>
      <c r="L12" s="46" t="s">
        <v>47</v>
      </c>
      <c r="M12" s="26">
        <f>(1+$F$7)^(1-M13)</f>
        <v>1</v>
      </c>
      <c r="N12" s="30"/>
      <c r="O12" s="30"/>
      <c r="P12" s="30"/>
      <c r="S12" s="46" t="s">
        <v>47</v>
      </c>
      <c r="T12" s="30">
        <f>((1+$F$7)^(1-T13))/12</f>
        <v>8.3333333333333329E-2</v>
      </c>
      <c r="U12" s="30">
        <f>((1+$F$7)^(1-U13)/12)+T12</f>
        <v>0.16666666666666666</v>
      </c>
      <c r="V12" s="30">
        <f>((1+$F$7)^(1-V13)/12)+U12</f>
        <v>0.25</v>
      </c>
      <c r="W12" s="30">
        <f>((1+$F$7)^(1-W13)/12)+V12</f>
        <v>0.33333333333333331</v>
      </c>
      <c r="X12" s="30">
        <f>((1+$F$7)^(1-X13)/12)+W12</f>
        <v>0.41666666666666663</v>
      </c>
      <c r="Y12" s="30">
        <f>((1+$F$7)^(1-Y13)/12)+X12</f>
        <v>0.49999999999999994</v>
      </c>
      <c r="Z12" s="30">
        <f>((1+$F$7)^(1-Z13)/12)+Y12</f>
        <v>0.58333333333333326</v>
      </c>
      <c r="AA12" s="30">
        <f>((1+$F$7)^(1-AA13)/12)+Z12</f>
        <v>0.66666666666666663</v>
      </c>
      <c r="AB12" s="30">
        <f>((1+$F$7)^(1-AB13)/12)+AA12</f>
        <v>0.75</v>
      </c>
      <c r="AC12" s="30">
        <f>((1+$F$7)^(1-AC13)/12)+AB12</f>
        <v>0.83333333333333337</v>
      </c>
      <c r="AD12" s="30">
        <f>((1+$F$7)^(1-AD13)/12)+AC12</f>
        <v>0.91666666666666674</v>
      </c>
      <c r="AE12" s="30">
        <f>((1+$F$7)^(1-AE13)/12)+AD12</f>
        <v>1</v>
      </c>
    </row>
    <row r="13" spans="1:31" x14ac:dyDescent="0.25">
      <c r="B13" s="5" t="s">
        <v>24</v>
      </c>
      <c r="C13" s="18">
        <f>J6+C12</f>
        <v>3724.3858928571422</v>
      </c>
      <c r="M13" s="33">
        <v>1</v>
      </c>
      <c r="N13" s="33">
        <v>2</v>
      </c>
      <c r="O13" s="33">
        <v>3</v>
      </c>
      <c r="P13" s="33">
        <v>4</v>
      </c>
      <c r="T13" s="33">
        <v>1</v>
      </c>
      <c r="U13" s="33">
        <v>1</v>
      </c>
      <c r="V13" s="33">
        <v>1</v>
      </c>
      <c r="W13" s="33">
        <v>1</v>
      </c>
      <c r="X13" s="33">
        <v>1</v>
      </c>
      <c r="Y13" s="33">
        <v>1</v>
      </c>
      <c r="Z13" s="33">
        <v>1</v>
      </c>
      <c r="AA13" s="33">
        <v>1</v>
      </c>
      <c r="AB13" s="33">
        <v>1</v>
      </c>
      <c r="AC13" s="33">
        <v>1</v>
      </c>
      <c r="AD13" s="33">
        <v>1</v>
      </c>
      <c r="AE13" s="33">
        <v>1</v>
      </c>
    </row>
    <row r="14" spans="1:31" x14ac:dyDescent="0.25">
      <c r="B14" s="5" t="s">
        <v>25</v>
      </c>
      <c r="C14" s="42">
        <f>D7*20/120</f>
        <v>33.166666666666664</v>
      </c>
    </row>
    <row r="15" spans="1:31" x14ac:dyDescent="0.25">
      <c r="B15" s="5" t="s">
        <v>27</v>
      </c>
      <c r="C15" s="42">
        <f>D7-C14-C13/1000</f>
        <v>162.10894744047621</v>
      </c>
    </row>
    <row r="16" spans="1:31" x14ac:dyDescent="0.25">
      <c r="B16" s="5" t="s">
        <v>28</v>
      </c>
      <c r="C16" s="42">
        <f>C15*E7</f>
        <v>16210.894744047622</v>
      </c>
    </row>
    <row r="17" spans="2:26" x14ac:dyDescent="0.25">
      <c r="B17" s="5" t="s">
        <v>30</v>
      </c>
      <c r="C17" s="42">
        <f>C16-(C16*G7/100)</f>
        <v>13292.933690119051</v>
      </c>
    </row>
    <row r="18" spans="2:26" x14ac:dyDescent="0.25">
      <c r="B18" s="5" t="s">
        <v>49</v>
      </c>
      <c r="C18" s="43">
        <f>M9/C13</f>
        <v>2.5691612181253993</v>
      </c>
    </row>
    <row r="21" spans="2:26" x14ac:dyDescent="0.25">
      <c r="Z21" s="16"/>
    </row>
    <row r="22" spans="2:26" x14ac:dyDescent="0.25">
      <c r="Z22" s="16"/>
    </row>
  </sheetData>
  <mergeCells count="29">
    <mergeCell ref="S1:S2"/>
    <mergeCell ref="M10:M11"/>
    <mergeCell ref="N10:N11"/>
    <mergeCell ref="O10:O11"/>
    <mergeCell ref="L1:L2"/>
    <mergeCell ref="N1:O1"/>
    <mergeCell ref="T10:T11"/>
    <mergeCell ref="U10:U11"/>
    <mergeCell ref="V10:V11"/>
    <mergeCell ref="A3:F3"/>
    <mergeCell ref="N3:O3"/>
    <mergeCell ref="N6:O6"/>
    <mergeCell ref="P10:P11"/>
    <mergeCell ref="AE10:AE11"/>
    <mergeCell ref="T1:Z1"/>
    <mergeCell ref="AA10:AA11"/>
    <mergeCell ref="AC3:AD3"/>
    <mergeCell ref="AC6:AD6"/>
    <mergeCell ref="AB10:AB11"/>
    <mergeCell ref="AC10:AC11"/>
    <mergeCell ref="AD10:AD11"/>
    <mergeCell ref="W10:W11"/>
    <mergeCell ref="X10:X11"/>
    <mergeCell ref="Y3:Z3"/>
    <mergeCell ref="Y6:Z6"/>
    <mergeCell ref="Y10:Y11"/>
    <mergeCell ref="Z10:Z11"/>
    <mergeCell ref="U3:V3"/>
    <mergeCell ref="U6:V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2019-05-11T06:38:12Z</dcterms:modified>
</cp:coreProperties>
</file>