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DM252577\Desktop\Python Projects\Decarbonization\Rotalysis\MACC\"/>
    </mc:Choice>
  </mc:AlternateContent>
  <bookViews>
    <workbookView xWindow="0" yWindow="0" windowWidth="19200" windowHeight="7485"/>
  </bookViews>
  <sheets>
    <sheet name="Summary" sheetId="1" r:id="rId1"/>
    <sheet name="Opp#1" sheetId="2" r:id="rId2"/>
    <sheet name="Opp#2" sheetId="5" r:id="rId3"/>
    <sheet name="Opp#3 and 4" sheetId="4" r:id="rId4"/>
    <sheet name="Opp#5" sheetId="10" r:id="rId5"/>
    <sheet name="Opp #7" sheetId="7" r:id="rId6"/>
    <sheet name="Opp #8, #9, #12" sheetId="9" r:id="rId7"/>
    <sheet name="Opp #13" sheetId="12" r:id="rId8"/>
    <sheet name="Sheet2" sheetId="11" r:id="rId9"/>
  </sheets>
  <externalReferences>
    <externalReference r:id="rId10"/>
    <externalReference r:id="rId11"/>
  </externalReferences>
  <definedNames>
    <definedName name="_xlnm._FilterDatabase" localSheetId="7" hidden="1">'Opp #13'!$B$2:$J$4</definedName>
    <definedName name="_xlnm._FilterDatabase" localSheetId="5" hidden="1">'Opp #7'!$B$2:$J$4</definedName>
    <definedName name="_xlnm._FilterDatabase" localSheetId="6" hidden="1">'Opp #8, #9, #12'!$B$2:$J$6</definedName>
    <definedName name="_xlnm._FilterDatabase" localSheetId="1" hidden="1">'Opp#1'!$A$2:$J$8</definedName>
    <definedName name="_xlnm._FilterDatabase" localSheetId="2" hidden="1">'Opp#2'!$B$2:$M$9</definedName>
    <definedName name="_xlnm._FilterDatabase" localSheetId="0" hidden="1">Summary!$C$1:$C$72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/>
  <c r="F45" i="1"/>
  <c r="D35" i="1"/>
  <c r="E35" i="1"/>
  <c r="F35" i="1"/>
  <c r="E57" i="1"/>
  <c r="F58" i="1"/>
  <c r="E58" i="1"/>
  <c r="D58" i="1"/>
  <c r="F60" i="1"/>
  <c r="F59" i="1"/>
  <c r="E60" i="1"/>
  <c r="E59" i="1"/>
  <c r="D60" i="1"/>
  <c r="D59" i="1"/>
  <c r="F12" i="1"/>
  <c r="E12" i="1"/>
  <c r="D12" i="1"/>
  <c r="H4" i="12"/>
  <c r="H5" i="12"/>
  <c r="I5" i="12"/>
  <c r="E11" i="12" s="1"/>
  <c r="G5" i="12"/>
  <c r="E10" i="12" s="1"/>
  <c r="J4" i="12"/>
  <c r="E44" i="1"/>
  <c r="F44" i="1"/>
  <c r="D44" i="1"/>
  <c r="E34" i="1"/>
  <c r="F34" i="1"/>
  <c r="D34" i="1"/>
  <c r="E64" i="1"/>
  <c r="F64" i="1"/>
  <c r="D64" i="1"/>
  <c r="E9" i="12" l="1"/>
  <c r="F66" i="1"/>
  <c r="E66" i="1"/>
  <c r="F46" i="1"/>
  <c r="E46" i="1"/>
  <c r="F36" i="1"/>
  <c r="E36" i="1"/>
  <c r="D66" i="1"/>
  <c r="D46" i="1"/>
  <c r="K14" i="10"/>
  <c r="H14" i="10"/>
  <c r="L14" i="10"/>
  <c r="D66" i="10" s="1"/>
  <c r="D36" i="1"/>
  <c r="F61" i="1"/>
  <c r="E61" i="1"/>
  <c r="D61" i="1"/>
  <c r="E13" i="1"/>
  <c r="F63" i="1"/>
  <c r="F33" i="1"/>
  <c r="F23" i="1"/>
  <c r="F13" i="1"/>
  <c r="F3" i="1"/>
  <c r="E63" i="1"/>
  <c r="E33" i="1"/>
  <c r="E23" i="1"/>
  <c r="E3" i="1"/>
  <c r="D63" i="1"/>
  <c r="D33" i="1"/>
  <c r="D23" i="1"/>
  <c r="D13" i="1"/>
  <c r="D3" i="1"/>
  <c r="I19" i="2"/>
  <c r="J19" i="2" s="1"/>
  <c r="I18" i="2"/>
  <c r="J18" i="2" s="1"/>
  <c r="I17" i="2"/>
  <c r="I16" i="2"/>
  <c r="J16" i="2" s="1"/>
  <c r="I15" i="2"/>
  <c r="J15" i="2" s="1"/>
  <c r="F19" i="2"/>
  <c r="H19" i="2" s="1"/>
  <c r="F18" i="2"/>
  <c r="F17" i="2"/>
  <c r="F16" i="2"/>
  <c r="H16" i="2" s="1"/>
  <c r="F15" i="2"/>
  <c r="H15" i="2" s="1"/>
  <c r="G19" i="2"/>
  <c r="G18" i="2"/>
  <c r="H18" i="2"/>
  <c r="D18" i="2"/>
  <c r="G17" i="2"/>
  <c r="D17" i="2"/>
  <c r="G16" i="2"/>
  <c r="D16" i="2"/>
  <c r="D20" i="2" s="1"/>
  <c r="G15" i="2"/>
  <c r="D15" i="2"/>
  <c r="I5" i="2"/>
  <c r="I7" i="2"/>
  <c r="F5" i="2"/>
  <c r="I20" i="2" l="1"/>
  <c r="H17" i="2"/>
  <c r="H20" i="2"/>
  <c r="G20" i="2"/>
  <c r="J17" i="2"/>
  <c r="I8" i="2" l="1"/>
  <c r="I6" i="2"/>
  <c r="I4" i="2"/>
  <c r="G8" i="2"/>
  <c r="G7" i="2"/>
  <c r="G6" i="2"/>
  <c r="G5" i="2"/>
  <c r="G4" i="2"/>
  <c r="F8" i="2"/>
  <c r="F7" i="2"/>
  <c r="F6" i="2"/>
  <c r="F4" i="2"/>
  <c r="O36" i="5" l="1"/>
  <c r="N37" i="5"/>
  <c r="N36" i="5"/>
  <c r="M36" i="5"/>
  <c r="N38" i="5"/>
  <c r="O38" i="5" s="1"/>
  <c r="M38" i="5"/>
  <c r="O33" i="5"/>
  <c r="M33" i="5"/>
  <c r="N35" i="5"/>
  <c r="N34" i="5"/>
  <c r="N33" i="5"/>
  <c r="N32" i="5"/>
  <c r="O32" i="5" s="1"/>
  <c r="M32" i="5"/>
  <c r="N30" i="5"/>
  <c r="N31" i="5"/>
  <c r="N29" i="5"/>
  <c r="O29" i="5" s="1"/>
  <c r="M29" i="5"/>
  <c r="M27" i="5"/>
  <c r="N28" i="5"/>
  <c r="N27" i="5"/>
  <c r="O27" i="5" l="1"/>
  <c r="G7" i="9"/>
  <c r="G6" i="9"/>
  <c r="J5" i="9"/>
  <c r="H5" i="9"/>
  <c r="J4" i="9"/>
  <c r="H4" i="9"/>
  <c r="I7" i="9" l="1"/>
  <c r="E7" i="9"/>
  <c r="H6" i="9"/>
  <c r="H7" i="9" s="1"/>
  <c r="E7" i="5" l="1"/>
  <c r="M7" i="5" s="1"/>
  <c r="I11" i="5"/>
  <c r="I5" i="7"/>
  <c r="G5" i="7"/>
  <c r="H4" i="7"/>
  <c r="E5" i="7"/>
  <c r="L11" i="5"/>
  <c r="J9" i="5"/>
  <c r="M9" i="5"/>
  <c r="J7" i="5"/>
  <c r="J6" i="5"/>
  <c r="M6" i="5"/>
  <c r="J5" i="5"/>
  <c r="M5" i="5"/>
  <c r="J4" i="5"/>
  <c r="M4" i="5"/>
  <c r="H7" i="2"/>
  <c r="H8" i="2"/>
  <c r="H6" i="2"/>
  <c r="H5" i="2"/>
  <c r="H4" i="2"/>
  <c r="F7" i="5" l="1"/>
  <c r="E11" i="7"/>
  <c r="E10" i="7"/>
  <c r="J11" i="5"/>
  <c r="E15" i="5" s="1"/>
  <c r="H5" i="7"/>
  <c r="E9" i="7" s="1"/>
  <c r="J4" i="7"/>
  <c r="E11" i="5"/>
  <c r="E17" i="5" s="1"/>
  <c r="I9" i="2"/>
  <c r="J8" i="2"/>
  <c r="D7" i="2"/>
  <c r="J7" i="2" s="1"/>
  <c r="D6" i="2"/>
  <c r="J6" i="2" s="1"/>
  <c r="D5" i="2"/>
  <c r="J5" i="2" s="1"/>
  <c r="D4" i="2"/>
  <c r="J4" i="2" s="1"/>
  <c r="G9" i="2"/>
  <c r="E16" i="5" l="1"/>
  <c r="D9" i="2"/>
  <c r="D24" i="2" s="1"/>
  <c r="H9" i="2"/>
  <c r="D22" i="2" s="1"/>
  <c r="D23" i="2" l="1"/>
</calcChain>
</file>

<file path=xl/sharedStrings.xml><?xml version="1.0" encoding="utf-8"?>
<sst xmlns="http://schemas.openxmlformats.org/spreadsheetml/2006/main" count="445" uniqueCount="133">
  <si>
    <t>GT Electrification</t>
  </si>
  <si>
    <t>Unit Abatement Cost</t>
  </si>
  <si>
    <t>Total</t>
  </si>
  <si>
    <t>Reduction Potential</t>
  </si>
  <si>
    <t>Capex</t>
  </si>
  <si>
    <t xml:space="preserve">Average Abatement Cost </t>
  </si>
  <si>
    <t>USD/tone</t>
  </si>
  <si>
    <t xml:space="preserve">Averge Reduction Potential </t>
  </si>
  <si>
    <t>Average Capex</t>
  </si>
  <si>
    <t>Tone/MW</t>
  </si>
  <si>
    <t>MMUSD/MW</t>
  </si>
  <si>
    <t>Process Heating</t>
  </si>
  <si>
    <t>Hot Water Generation</t>
  </si>
  <si>
    <t>UZ</t>
  </si>
  <si>
    <t>Installed Capacity</t>
  </si>
  <si>
    <t>Installed Cap.</t>
  </si>
  <si>
    <t>Operating Cap</t>
  </si>
  <si>
    <t>Annualised Cost</t>
  </si>
  <si>
    <t>Capex/Installed Capacity</t>
  </si>
  <si>
    <t>(MMUSD/MW)</t>
  </si>
  <si>
    <t>(MMUSD)</t>
  </si>
  <si>
    <t>LZ</t>
  </si>
  <si>
    <t>Location</t>
  </si>
  <si>
    <t>US</t>
  </si>
  <si>
    <t>ABK</t>
  </si>
  <si>
    <t>UL</t>
  </si>
  <si>
    <t>(MW)</t>
  </si>
  <si>
    <t>(USD/ton)</t>
  </si>
  <si>
    <t>(kton/annum)</t>
  </si>
  <si>
    <t>Chilled Water Generation</t>
  </si>
  <si>
    <t>Turbine Inlet Air Cooling</t>
  </si>
  <si>
    <t>Performance Upgrades</t>
  </si>
  <si>
    <t>Organic Rankine Cycles</t>
  </si>
  <si>
    <t>Heat Recovery</t>
  </si>
  <si>
    <t>Process Heating Electrification</t>
  </si>
  <si>
    <t>DAS</t>
  </si>
  <si>
    <t>Heating Cap.</t>
  </si>
  <si>
    <t>Wind Power</t>
  </si>
  <si>
    <t>Solar PV</t>
  </si>
  <si>
    <t>Electric Vehicle</t>
  </si>
  <si>
    <t>Zirku</t>
  </si>
  <si>
    <t>ARZ</t>
  </si>
  <si>
    <t>16 Cars</t>
  </si>
  <si>
    <t>na</t>
  </si>
  <si>
    <t>Abatement Cost</t>
  </si>
  <si>
    <t>Abatement Potential</t>
  </si>
  <si>
    <t>#</t>
  </si>
  <si>
    <t>Service</t>
  </si>
  <si>
    <t>Turbine Make and Model No</t>
  </si>
  <si>
    <t>Qty</t>
  </si>
  <si>
    <t xml:space="preserve">Absorbed Power </t>
  </si>
  <si>
    <t>(kW)</t>
  </si>
  <si>
    <t xml:space="preserve">GHG Reduction </t>
  </si>
  <si>
    <t xml:space="preserve">(tCO2/annum) </t>
  </si>
  <si>
    <t>NPV</t>
  </si>
  <si>
    <t xml:space="preserve">(MMUSD) </t>
  </si>
  <si>
    <t>IRR(%)</t>
  </si>
  <si>
    <t xml:space="preserve">Abatement Cost </t>
  </si>
  <si>
    <t xml:space="preserve">(USD/tCO2) </t>
  </si>
  <si>
    <t>Water Injection Pump</t>
  </si>
  <si>
    <t>Rolls Royce / AVON</t>
  </si>
  <si>
    <t>Negative</t>
  </si>
  <si>
    <t>General Electric LM2500</t>
  </si>
  <si>
    <t>Gas Injection Compressor</t>
  </si>
  <si>
    <t>Rolls Royce / RB-211</t>
  </si>
  <si>
    <t>Process Gas Compressor</t>
  </si>
  <si>
    <t>GE PGT25+ HSPT</t>
  </si>
  <si>
    <t>GE PGT12</t>
  </si>
  <si>
    <t>Gas Recovery Compressor</t>
  </si>
  <si>
    <t>Siemens RB 211</t>
  </si>
  <si>
    <t>Gas Lift Compressor</t>
  </si>
  <si>
    <t>GE PGT25+ (with SAC)</t>
  </si>
  <si>
    <t xml:space="preserve">Power Generation </t>
  </si>
  <si>
    <t>SGT 400</t>
  </si>
  <si>
    <t xml:space="preserve">UL </t>
  </si>
  <si>
    <t>UAD</t>
  </si>
  <si>
    <t>Solar Centaur 50-6021</t>
  </si>
  <si>
    <t>SUM</t>
  </si>
  <si>
    <t>Weighted Abatement</t>
  </si>
  <si>
    <t>Avg Abatement</t>
  </si>
  <si>
    <t xml:space="preserve">Potential abatement </t>
  </si>
  <si>
    <t xml:space="preserve"> Field </t>
  </si>
  <si>
    <t xml:space="preserve"> Abatement Cost </t>
  </si>
  <si>
    <t xml:space="preserve">Category </t>
  </si>
  <si>
    <t xml:space="preserve"> Annual Base </t>
  </si>
  <si>
    <t xml:space="preserve">Electricity Consumption </t>
  </si>
  <si>
    <t xml:space="preserve">(MWh) </t>
  </si>
  <si>
    <r>
      <t>tCO</t>
    </r>
    <r>
      <rPr>
        <b/>
        <vertAlign val="subscript"/>
        <sz val="9"/>
        <color rgb="FFFFFFFF"/>
        <rFont val="Book Antiqua"/>
        <family val="1"/>
      </rPr>
      <t>2</t>
    </r>
    <r>
      <rPr>
        <b/>
        <sz val="9"/>
        <color rgb="FFFFFFFF"/>
        <rFont val="Book Antiqua"/>
        <family val="1"/>
      </rPr>
      <t xml:space="preserve">e Emission </t>
    </r>
  </si>
  <si>
    <t xml:space="preserve"> Annual </t>
  </si>
  <si>
    <t xml:space="preserve">Electricity Savings </t>
  </si>
  <si>
    <t xml:space="preserve"> % Electricity </t>
  </si>
  <si>
    <t xml:space="preserve">Savings </t>
  </si>
  <si>
    <r>
      <t xml:space="preserve"> Annual tCO</t>
    </r>
    <r>
      <rPr>
        <b/>
        <vertAlign val="subscript"/>
        <sz val="9"/>
        <color rgb="FFFFFFFF"/>
        <rFont val="Book Antiqua"/>
        <family val="1"/>
      </rPr>
      <t>2</t>
    </r>
    <r>
      <rPr>
        <b/>
        <sz val="9"/>
        <color rgb="FFFFFFFF"/>
        <rFont val="Book Antiqua"/>
        <family val="1"/>
      </rPr>
      <t xml:space="preserve">e </t>
    </r>
  </si>
  <si>
    <t xml:space="preserve">Reduction </t>
  </si>
  <si>
    <r>
      <t xml:space="preserve"> % tCO</t>
    </r>
    <r>
      <rPr>
        <b/>
        <vertAlign val="subscript"/>
        <sz val="9"/>
        <color rgb="FFFFFFFF"/>
        <rFont val="Book Antiqua"/>
        <family val="1"/>
      </rPr>
      <t>2</t>
    </r>
    <r>
      <rPr>
        <b/>
        <sz val="9"/>
        <color rgb="FFFFFFFF"/>
        <rFont val="Book Antiqua"/>
        <family val="1"/>
      </rPr>
      <t xml:space="preserve">e </t>
    </r>
  </si>
  <si>
    <t xml:space="preserve">Cost Savings </t>
  </si>
  <si>
    <t xml:space="preserve"> EPC Costs </t>
  </si>
  <si>
    <r>
      <t>(USD/tCO</t>
    </r>
    <r>
      <rPr>
        <b/>
        <vertAlign val="subscript"/>
        <sz val="9"/>
        <color rgb="FFFFFFFF"/>
        <rFont val="Book Antiqua"/>
        <family val="1"/>
      </rPr>
      <t>2</t>
    </r>
    <r>
      <rPr>
        <b/>
        <sz val="9"/>
        <color rgb="FFFFFFFF"/>
        <rFont val="Book Antiqua"/>
        <family val="1"/>
      </rPr>
      <t xml:space="preserve">e)* </t>
    </r>
  </si>
  <si>
    <t>Total </t>
  </si>
  <si>
    <t xml:space="preserve"> Total </t>
  </si>
  <si>
    <t>ST</t>
  </si>
  <si>
    <t>Amenities Efficiency Improvement</t>
  </si>
  <si>
    <t>US+NASR</t>
  </si>
  <si>
    <t>UL+SARB</t>
  </si>
  <si>
    <t>Renewables</t>
  </si>
  <si>
    <t>3,4</t>
  </si>
  <si>
    <t>Miscellaneous Electrification</t>
  </si>
  <si>
    <t>GT Performace Upgrade</t>
  </si>
  <si>
    <t>Motor Driven Equipment Performance Upgradation</t>
  </si>
  <si>
    <t>Steam System Efficiency Improvement</t>
  </si>
  <si>
    <t>EV Vehicles</t>
  </si>
  <si>
    <t xml:space="preserve">Wind </t>
  </si>
  <si>
    <t>Solar</t>
  </si>
  <si>
    <t>UAD+SATAH</t>
  </si>
  <si>
    <t>DAS+ZIRKU</t>
  </si>
  <si>
    <t>(MM$)</t>
  </si>
  <si>
    <t>($/ton)</t>
  </si>
  <si>
    <t>Option #1 infeasible</t>
  </si>
  <si>
    <t>Option 2</t>
  </si>
  <si>
    <t>Remarks</t>
  </si>
  <si>
    <t>20 yrs</t>
  </si>
  <si>
    <t>Option 2 for ABK/LZ</t>
  </si>
  <si>
    <t>Crane Electrification</t>
  </si>
  <si>
    <t>Option - 1</t>
  </si>
  <si>
    <t>Option - 2</t>
  </si>
  <si>
    <t>applicable only to UL field</t>
  </si>
  <si>
    <t>CAPEX</t>
  </si>
  <si>
    <t>Only Low Impact, applicable only in non lighting project</t>
  </si>
  <si>
    <t>Only Low Impact, Power Generation GT</t>
  </si>
  <si>
    <t>5 years Considered</t>
  </si>
  <si>
    <t>Only non lighting sites considered (UL &amp; UAD)</t>
  </si>
  <si>
    <t>Opportunity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</si>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</sst>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Book Antiqua"/>
      <family val="1"/>
    </font>
    <font>
      <b/>
      <vertAlign val="subscript"/>
      <sz val="9"/>
      <color rgb="FFFFFFFF"/>
      <name val="Book Antiqua"/>
      <family val="1"/>
    </font>
    <font>
      <sz val="9"/>
      <color rgb="FF000000"/>
      <name val="Book Antiqua"/>
      <family val="1"/>
    </font>
    <font>
      <b/>
      <sz val="9"/>
      <color rgb="FF000000"/>
      <name val="Book Antiqua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0" fillId="2" borderId="8" xfId="0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right" vertical="center" wrapText="1" readingOrder="1"/>
    </xf>
    <xf numFmtId="0" fontId="2" fillId="2" borderId="7" xfId="0" applyFont="1" applyFill="1" applyBorder="1" applyAlignment="1">
      <alignment horizontal="right" vertical="center" wrapText="1" readingOrder="1"/>
    </xf>
    <xf numFmtId="0" fontId="0" fillId="2" borderId="8" xfId="0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3" fontId="5" fillId="3" borderId="5" xfId="0" applyNumberFormat="1" applyFont="1" applyFill="1" applyBorder="1" applyAlignment="1">
      <alignment horizontal="center" vertical="center" wrapText="1" readingOrder="1"/>
    </xf>
    <xf numFmtId="9" fontId="5" fillId="3" borderId="5" xfId="0" applyNumberFormat="1" applyFont="1" applyFill="1" applyBorder="1" applyAlignment="1">
      <alignment horizontal="center" vertical="center" wrapText="1" readingOrder="1"/>
    </xf>
    <xf numFmtId="166" fontId="0" fillId="0" borderId="0" xfId="0" applyNumberFormat="1"/>
    <xf numFmtId="1" fontId="5" fillId="3" borderId="5" xfId="0" applyNumberFormat="1" applyFont="1" applyFill="1" applyBorder="1" applyAlignment="1">
      <alignment horizontal="center" vertical="center" wrapText="1" readingOrder="1"/>
    </xf>
    <xf numFmtId="0" fontId="4" fillId="3" borderId="8" xfId="0" applyFont="1" applyFill="1" applyBorder="1" applyAlignment="1">
      <alignment horizontal="left" vertical="center" wrapText="1" readingOrder="1"/>
    </xf>
    <xf numFmtId="0" fontId="1" fillId="0" borderId="0" xfId="0" applyFont="1"/>
    <xf numFmtId="0" fontId="1" fillId="0" borderId="3" xfId="0" applyFont="1" applyFill="1" applyBorder="1"/>
    <xf numFmtId="0" fontId="0" fillId="4" borderId="1" xfId="0" applyFill="1" applyBorder="1"/>
    <xf numFmtId="0" fontId="0" fillId="4" borderId="0" xfId="0" applyFill="1"/>
    <xf numFmtId="167" fontId="0" fillId="0" borderId="0" xfId="1" applyNumberFormat="1" applyFont="1"/>
    <xf numFmtId="43" fontId="0" fillId="0" borderId="0" xfId="1" applyNumberFormat="1" applyFont="1"/>
    <xf numFmtId="3" fontId="0" fillId="4" borderId="1" xfId="0" applyNumberFormat="1" applyFill="1" applyBorder="1"/>
    <xf numFmtId="0" fontId="0" fillId="0" borderId="1" xfId="0" applyFill="1" applyBorder="1"/>
    <xf numFmtId="1" fontId="0" fillId="0" borderId="1" xfId="0" applyNumberFormat="1" applyBorder="1" applyAlignment="1"/>
    <xf numFmtId="0" fontId="0" fillId="0" borderId="1" xfId="0" applyBorder="1" applyAlignment="1"/>
    <xf numFmtId="0" fontId="0" fillId="4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/>
    <xf numFmtId="43" fontId="0" fillId="0" borderId="1" xfId="0" applyNumberFormat="1" applyFill="1" applyBorder="1"/>
    <xf numFmtId="0" fontId="0" fillId="0" borderId="0" xfId="0" applyFill="1"/>
    <xf numFmtId="3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33</xdr:row>
      <xdr:rowOff>47625</xdr:rowOff>
    </xdr:from>
    <xdr:to>
      <xdr:col>19</xdr:col>
      <xdr:colOff>284151</xdr:colOff>
      <xdr:row>41</xdr:row>
      <xdr:rowOff>9339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6334125"/>
          <a:ext cx="12790476" cy="14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\aeT00989.00%20Decarbonization%20Feasibility%20Study\09.%20Documents,%20Drawings\9.71%20Project%20Management\09.71.01%20Current%20documents\17.%20Feasibility%20Report%20-%20Opportunity%201\Rev%20C1\Cost%20Estimation\With%20revised%20emissions\Overall%20summary%20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068046/Desktop/Overall%20summary%20-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EX Summary"/>
      <sheetName val="Emission"/>
      <sheetName val="Energy cal"/>
      <sheetName val="Opp 1"/>
      <sheetName val="Conversions"/>
      <sheetName val="Emission Factors"/>
      <sheetName val="Table 39"/>
      <sheetName val="Table 40"/>
      <sheetName val="Overview"/>
      <sheetName val="UZ"/>
      <sheetName val="LZ"/>
      <sheetName val="US"/>
      <sheetName val="ABK"/>
      <sheetName val="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J7">
            <v>238</v>
          </cell>
          <cell r="N7">
            <v>521493.53266436426</v>
          </cell>
          <cell r="O7">
            <v>87.512702454952361</v>
          </cell>
        </row>
        <row r="11">
          <cell r="J11">
            <v>239</v>
          </cell>
          <cell r="N11">
            <v>541501.26454410492</v>
          </cell>
          <cell r="O11">
            <v>87.474302810184682</v>
          </cell>
        </row>
        <row r="13">
          <cell r="J13">
            <v>158</v>
          </cell>
          <cell r="N13">
            <v>487838.97706676129</v>
          </cell>
          <cell r="O13">
            <v>74.603908756913981</v>
          </cell>
        </row>
        <row r="16">
          <cell r="J16">
            <v>151</v>
          </cell>
          <cell r="N16">
            <v>268663.74456665537</v>
          </cell>
          <cell r="O16">
            <v>100.93549520688164</v>
          </cell>
        </row>
        <row r="18">
          <cell r="J18">
            <v>222</v>
          </cell>
          <cell r="N18">
            <v>261178.51739933458</v>
          </cell>
          <cell r="O18">
            <v>132.14088476061826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EX Summary"/>
      <sheetName val="Emission"/>
      <sheetName val="Energy cal"/>
      <sheetName val="Opp 1"/>
      <sheetName val="Conversions"/>
      <sheetName val="Emission Factors"/>
      <sheetName val="Table 39"/>
      <sheetName val="Table 40"/>
      <sheetName val="Overview"/>
      <sheetName val="UZ"/>
      <sheetName val="LZ"/>
      <sheetName val="US"/>
      <sheetName val="ABK"/>
      <sheetName val="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J7">
            <v>353</v>
          </cell>
          <cell r="O7">
            <v>111.66994283640575</v>
          </cell>
        </row>
        <row r="11">
          <cell r="J11">
            <v>492</v>
          </cell>
          <cell r="O11">
            <v>138.65656219126984</v>
          </cell>
        </row>
        <row r="13">
          <cell r="J13">
            <v>360</v>
          </cell>
          <cell r="O13">
            <v>119.9639332566251</v>
          </cell>
        </row>
        <row r="16">
          <cell r="J16">
            <v>291</v>
          </cell>
          <cell r="O16">
            <v>158.01988717011179</v>
          </cell>
        </row>
        <row r="18">
          <cell r="J18">
            <v>439</v>
          </cell>
          <cell r="O18">
            <v>223.15750172241704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72"/>
  <sheetViews>
    <sheetView tabSelected="1" workbookViewId="0">
      <selection activeCell="L12" sqref="L12"/>
    </sheetView>
  </sheetViews>
  <sheetFormatPr defaultRowHeight="15" x14ac:dyDescent="0.25"/>
  <cols>
    <col min="2" max="2" width="14.7109375" customWidth="1"/>
    <col min="3" max="3" width="46.42578125" customWidth="1"/>
    <col min="4" max="4" width="18.7109375" customWidth="1"/>
    <col min="5" max="5" width="24" customWidth="1"/>
    <col min="6" max="6" width="17.85546875" customWidth="1"/>
    <col min="7" max="7" width="27.28515625" customWidth="1"/>
    <col min="13" max="13" width="13.28515625" customWidth="1"/>
    <col min="14" max="14" width="35.140625" customWidth="1"/>
  </cols>
  <sheetData>
    <row r="1" spans="1:7" x14ac:dyDescent="0.25">
      <c r="A1" s="4"/>
      <c r="B1" s="4" t="s">
        <v>132</v>
      </c>
      <c r="C1" s="5" t="s">
        <v>131</v>
      </c>
      <c r="D1" s="5" t="s">
        <v>44</v>
      </c>
      <c r="E1" s="5" t="s">
        <v>45</v>
      </c>
      <c r="F1" s="5" t="s">
        <v>4</v>
      </c>
      <c r="G1" s="33" t="s">
        <v>119</v>
      </c>
    </row>
    <row r="2" spans="1:7" x14ac:dyDescent="0.25">
      <c r="A2" s="4"/>
      <c r="B2" s="4"/>
      <c r="C2" s="4"/>
      <c r="D2" s="4" t="s">
        <v>116</v>
      </c>
      <c r="E2" s="4" t="s">
        <v>28</v>
      </c>
      <c r="F2" s="4" t="s">
        <v>115</v>
      </c>
    </row>
    <row r="3" spans="1:7" x14ac:dyDescent="0.25">
      <c r="A3" s="4">
        <v>1</v>
      </c>
      <c r="B3" s="4" t="s">
        <v>13</v>
      </c>
      <c r="C3" s="4" t="s">
        <v>0</v>
      </c>
      <c r="D3" s="7">
        <f>'Opp#1'!F4</f>
        <v>87.512702454952361</v>
      </c>
      <c r="E3" s="7">
        <f>'Opp#1'!G4</f>
        <v>521.49353266436424</v>
      </c>
      <c r="F3" s="4">
        <f>'Opp#1'!I4</f>
        <v>238</v>
      </c>
      <c r="G3" t="s">
        <v>121</v>
      </c>
    </row>
    <row r="4" spans="1:7" x14ac:dyDescent="0.25">
      <c r="A4" s="4">
        <v>2</v>
      </c>
      <c r="B4" s="4" t="s">
        <v>13</v>
      </c>
      <c r="C4" s="4" t="s">
        <v>107</v>
      </c>
      <c r="D4" s="4">
        <v>0</v>
      </c>
      <c r="E4" s="4"/>
      <c r="F4" s="4"/>
      <c r="G4" t="s">
        <v>127</v>
      </c>
    </row>
    <row r="5" spans="1:7" x14ac:dyDescent="0.25">
      <c r="A5" s="4">
        <v>3</v>
      </c>
      <c r="B5" s="4" t="s">
        <v>13</v>
      </c>
      <c r="C5" s="4" t="s">
        <v>108</v>
      </c>
      <c r="D5" s="4">
        <v>0</v>
      </c>
      <c r="E5" s="4"/>
      <c r="F5" s="4"/>
      <c r="G5" t="s">
        <v>130</v>
      </c>
    </row>
    <row r="6" spans="1:7" x14ac:dyDescent="0.25">
      <c r="A6" s="4">
        <v>4</v>
      </c>
      <c r="B6" s="4" t="s">
        <v>13</v>
      </c>
      <c r="C6" s="4" t="s">
        <v>101</v>
      </c>
      <c r="D6" s="4">
        <v>0</v>
      </c>
      <c r="E6" s="4">
        <v>0</v>
      </c>
      <c r="F6" s="4">
        <v>0</v>
      </c>
    </row>
    <row r="7" spans="1:7" x14ac:dyDescent="0.25">
      <c r="A7" s="4">
        <v>5</v>
      </c>
      <c r="B7" s="4" t="s">
        <v>13</v>
      </c>
      <c r="C7" s="4" t="s">
        <v>109</v>
      </c>
      <c r="D7" s="4">
        <v>0</v>
      </c>
      <c r="E7" s="7"/>
      <c r="F7" s="4"/>
    </row>
    <row r="8" spans="1:7" x14ac:dyDescent="0.25">
      <c r="A8" s="4">
        <v>6</v>
      </c>
      <c r="B8" s="4" t="s">
        <v>13</v>
      </c>
      <c r="C8" s="4" t="s">
        <v>34</v>
      </c>
      <c r="D8" s="4">
        <v>0</v>
      </c>
      <c r="E8" s="4"/>
      <c r="F8" s="4"/>
    </row>
    <row r="9" spans="1:7" x14ac:dyDescent="0.25">
      <c r="A9" s="4">
        <v>7</v>
      </c>
      <c r="B9" s="4" t="s">
        <v>13</v>
      </c>
      <c r="C9" s="4" t="s">
        <v>111</v>
      </c>
      <c r="D9" s="4">
        <v>0</v>
      </c>
      <c r="E9" s="4"/>
      <c r="F9" s="4"/>
    </row>
    <row r="10" spans="1:7" x14ac:dyDescent="0.25">
      <c r="A10" s="4">
        <v>8</v>
      </c>
      <c r="B10" s="4" t="s">
        <v>13</v>
      </c>
      <c r="C10" s="4" t="s">
        <v>112</v>
      </c>
      <c r="D10" s="4">
        <v>0</v>
      </c>
      <c r="E10" s="4"/>
      <c r="F10" s="4"/>
    </row>
    <row r="11" spans="1:7" x14ac:dyDescent="0.25">
      <c r="A11" s="4">
        <v>9</v>
      </c>
      <c r="B11" s="4" t="s">
        <v>13</v>
      </c>
      <c r="C11" s="4" t="s">
        <v>110</v>
      </c>
      <c r="D11" s="4">
        <v>0</v>
      </c>
      <c r="E11" s="4">
        <v>0</v>
      </c>
      <c r="F11" s="4">
        <v>0</v>
      </c>
    </row>
    <row r="12" spans="1:7" x14ac:dyDescent="0.25">
      <c r="A12" s="4">
        <v>10</v>
      </c>
      <c r="B12" s="4" t="s">
        <v>13</v>
      </c>
      <c r="C12" s="4" t="s">
        <v>106</v>
      </c>
      <c r="D12" s="7">
        <f>'Opp #13'!F4</f>
        <v>1307</v>
      </c>
      <c r="E12" s="7">
        <f>'Opp #13'!G4</f>
        <v>29.4</v>
      </c>
      <c r="F12" s="8">
        <f>'Opp #13'!I4</f>
        <v>0.41</v>
      </c>
      <c r="G12" t="s">
        <v>122</v>
      </c>
    </row>
    <row r="13" spans="1:7" x14ac:dyDescent="0.25">
      <c r="A13" s="4">
        <v>11</v>
      </c>
      <c r="B13" s="4" t="s">
        <v>21</v>
      </c>
      <c r="C13" s="4" t="s">
        <v>0</v>
      </c>
      <c r="D13" s="7">
        <f>'Opp#1'!F16</f>
        <v>138.65656219126984</v>
      </c>
      <c r="E13" s="7">
        <f>'Opp#1'!G16</f>
        <v>541.50126454410497</v>
      </c>
      <c r="F13" s="4">
        <f>'Opp#1'!I16</f>
        <v>492</v>
      </c>
    </row>
    <row r="14" spans="1:7" x14ac:dyDescent="0.25">
      <c r="A14" s="4">
        <v>12</v>
      </c>
      <c r="B14" s="4" t="s">
        <v>21</v>
      </c>
      <c r="C14" s="4" t="s">
        <v>107</v>
      </c>
      <c r="D14" s="4">
        <v>0</v>
      </c>
      <c r="E14" s="4"/>
      <c r="F14" s="4"/>
      <c r="G14" t="s">
        <v>127</v>
      </c>
    </row>
    <row r="15" spans="1:7" x14ac:dyDescent="0.25">
      <c r="A15" s="4">
        <v>13</v>
      </c>
      <c r="B15" s="4" t="s">
        <v>21</v>
      </c>
      <c r="C15" s="4" t="s">
        <v>108</v>
      </c>
      <c r="D15" s="4">
        <v>0</v>
      </c>
      <c r="E15" s="4"/>
      <c r="F15" s="4"/>
      <c r="G15" t="s">
        <v>130</v>
      </c>
    </row>
    <row r="16" spans="1:7" x14ac:dyDescent="0.25">
      <c r="A16" s="4">
        <v>14</v>
      </c>
      <c r="B16" s="4" t="s">
        <v>21</v>
      </c>
      <c r="C16" s="4" t="s">
        <v>101</v>
      </c>
      <c r="D16" s="4">
        <v>0</v>
      </c>
      <c r="E16" s="4">
        <v>0</v>
      </c>
      <c r="F16" s="4">
        <v>0</v>
      </c>
    </row>
    <row r="17" spans="1:15" x14ac:dyDescent="0.25">
      <c r="A17" s="4">
        <v>15</v>
      </c>
      <c r="B17" s="4" t="s">
        <v>21</v>
      </c>
      <c r="C17" s="4" t="s">
        <v>109</v>
      </c>
      <c r="D17" s="4">
        <v>0</v>
      </c>
      <c r="E17" s="4"/>
      <c r="F17" s="4"/>
    </row>
    <row r="18" spans="1:15" x14ac:dyDescent="0.25">
      <c r="A18" s="4">
        <v>16</v>
      </c>
      <c r="B18" s="4" t="s">
        <v>21</v>
      </c>
      <c r="C18" s="4" t="s">
        <v>34</v>
      </c>
      <c r="D18" s="4">
        <v>0</v>
      </c>
      <c r="E18" s="4"/>
      <c r="F18" s="4"/>
    </row>
    <row r="19" spans="1:15" x14ac:dyDescent="0.25">
      <c r="A19" s="4">
        <v>17</v>
      </c>
      <c r="B19" s="4" t="s">
        <v>21</v>
      </c>
      <c r="C19" s="4" t="s">
        <v>111</v>
      </c>
      <c r="D19" s="4">
        <v>0</v>
      </c>
      <c r="E19" s="4"/>
      <c r="F19" s="4"/>
      <c r="O19" s="3"/>
    </row>
    <row r="20" spans="1:15" x14ac:dyDescent="0.25">
      <c r="A20" s="4">
        <v>18</v>
      </c>
      <c r="B20" s="4" t="s">
        <v>21</v>
      </c>
      <c r="C20" s="4" t="s">
        <v>112</v>
      </c>
      <c r="D20" s="4">
        <v>0</v>
      </c>
      <c r="E20" s="4"/>
      <c r="F20" s="4"/>
    </row>
    <row r="21" spans="1:15" x14ac:dyDescent="0.25">
      <c r="A21" s="4">
        <v>19</v>
      </c>
      <c r="B21" s="4" t="s">
        <v>21</v>
      </c>
      <c r="C21" s="4" t="s">
        <v>110</v>
      </c>
      <c r="D21" s="4">
        <v>0</v>
      </c>
      <c r="E21" s="4">
        <v>0</v>
      </c>
      <c r="F21" s="4">
        <v>0</v>
      </c>
    </row>
    <row r="22" spans="1:15" x14ac:dyDescent="0.25">
      <c r="A22" s="4">
        <v>20</v>
      </c>
      <c r="B22" s="4" t="s">
        <v>21</v>
      </c>
      <c r="C22" s="4" t="s">
        <v>106</v>
      </c>
      <c r="D22" s="4">
        <v>0</v>
      </c>
      <c r="E22" s="4"/>
      <c r="F22" s="4"/>
    </row>
    <row r="23" spans="1:15" x14ac:dyDescent="0.25">
      <c r="A23" s="4">
        <v>21</v>
      </c>
      <c r="B23" s="4" t="s">
        <v>102</v>
      </c>
      <c r="C23" s="4" t="s">
        <v>0</v>
      </c>
      <c r="D23" s="7">
        <f>'Opp#1'!F6</f>
        <v>74.603908756913981</v>
      </c>
      <c r="E23" s="7">
        <f>'Opp#1'!G6</f>
        <v>487.83897706676129</v>
      </c>
      <c r="F23" s="4">
        <f>'Opp#1'!I6</f>
        <v>158</v>
      </c>
    </row>
    <row r="24" spans="1:15" x14ac:dyDescent="0.25">
      <c r="A24" s="4">
        <v>22</v>
      </c>
      <c r="B24" s="4" t="s">
        <v>102</v>
      </c>
      <c r="C24" s="4" t="s">
        <v>107</v>
      </c>
      <c r="D24" s="4">
        <v>0</v>
      </c>
      <c r="E24" s="4"/>
      <c r="F24" s="4"/>
      <c r="G24" t="s">
        <v>127</v>
      </c>
    </row>
    <row r="25" spans="1:15" x14ac:dyDescent="0.25">
      <c r="A25" s="4">
        <v>23</v>
      </c>
      <c r="B25" s="4" t="s">
        <v>102</v>
      </c>
      <c r="C25" s="4" t="s">
        <v>108</v>
      </c>
      <c r="D25" s="4">
        <v>0</v>
      </c>
      <c r="E25" s="4"/>
      <c r="F25" s="4"/>
      <c r="G25" t="s">
        <v>130</v>
      </c>
    </row>
    <row r="26" spans="1:15" x14ac:dyDescent="0.25">
      <c r="A26" s="4">
        <v>24</v>
      </c>
      <c r="B26" s="4" t="s">
        <v>102</v>
      </c>
      <c r="C26" s="4" t="s">
        <v>101</v>
      </c>
      <c r="D26" s="4">
        <v>0</v>
      </c>
      <c r="E26" s="4">
        <v>0</v>
      </c>
      <c r="F26" s="4">
        <v>0</v>
      </c>
    </row>
    <row r="27" spans="1:15" x14ac:dyDescent="0.25">
      <c r="A27" s="4">
        <v>25</v>
      </c>
      <c r="B27" s="4" t="s">
        <v>102</v>
      </c>
      <c r="C27" s="4" t="s">
        <v>109</v>
      </c>
      <c r="D27" s="4">
        <v>0</v>
      </c>
      <c r="E27" s="4"/>
      <c r="F27" s="4"/>
    </row>
    <row r="28" spans="1:15" x14ac:dyDescent="0.25">
      <c r="A28" s="4">
        <v>26</v>
      </c>
      <c r="B28" s="4" t="s">
        <v>102</v>
      </c>
      <c r="C28" s="4" t="s">
        <v>34</v>
      </c>
      <c r="D28" s="4">
        <v>0</v>
      </c>
      <c r="E28" s="4"/>
      <c r="F28" s="4"/>
    </row>
    <row r="29" spans="1:15" x14ac:dyDescent="0.25">
      <c r="A29" s="4">
        <v>27</v>
      </c>
      <c r="B29" s="4" t="s">
        <v>102</v>
      </c>
      <c r="C29" s="4" t="s">
        <v>111</v>
      </c>
      <c r="D29" s="4">
        <v>0</v>
      </c>
      <c r="E29" s="4"/>
      <c r="F29" s="4"/>
    </row>
    <row r="30" spans="1:15" x14ac:dyDescent="0.25">
      <c r="A30" s="4">
        <v>28</v>
      </c>
      <c r="B30" s="4" t="s">
        <v>102</v>
      </c>
      <c r="C30" s="4" t="s">
        <v>112</v>
      </c>
      <c r="D30" s="4">
        <v>0</v>
      </c>
      <c r="E30" s="4"/>
      <c r="F30" s="4"/>
    </row>
    <row r="31" spans="1:15" x14ac:dyDescent="0.25">
      <c r="A31" s="4">
        <v>29</v>
      </c>
      <c r="B31" s="4" t="s">
        <v>102</v>
      </c>
      <c r="C31" s="4" t="s">
        <v>110</v>
      </c>
      <c r="D31" s="4">
        <v>0</v>
      </c>
      <c r="E31" s="4">
        <v>0</v>
      </c>
      <c r="F31" s="4">
        <v>0</v>
      </c>
    </row>
    <row r="32" spans="1:15" x14ac:dyDescent="0.25">
      <c r="A32" s="4">
        <v>30</v>
      </c>
      <c r="B32" s="4" t="s">
        <v>102</v>
      </c>
      <c r="C32" s="4" t="s">
        <v>106</v>
      </c>
      <c r="D32" s="4">
        <v>0</v>
      </c>
      <c r="E32" s="4"/>
      <c r="F32" s="4"/>
    </row>
    <row r="33" spans="1:7" x14ac:dyDescent="0.25">
      <c r="A33" s="4">
        <v>31</v>
      </c>
      <c r="B33" s="4" t="s">
        <v>103</v>
      </c>
      <c r="C33" s="4" t="s">
        <v>0</v>
      </c>
      <c r="D33" s="7">
        <f>'Opp#1'!F8</f>
        <v>132.14088476061826</v>
      </c>
      <c r="E33" s="7">
        <f>'Opp#1'!G8</f>
        <v>261.17851739933457</v>
      </c>
      <c r="F33" s="4">
        <f>'Opp#1'!I8</f>
        <v>222</v>
      </c>
    </row>
    <row r="34" spans="1:7" x14ac:dyDescent="0.25">
      <c r="A34" s="4">
        <v>32</v>
      </c>
      <c r="B34" s="4" t="s">
        <v>103</v>
      </c>
      <c r="C34" s="4" t="s">
        <v>107</v>
      </c>
      <c r="D34" s="4">
        <f>'Opp#2'!L37</f>
        <v>30</v>
      </c>
      <c r="E34" s="11">
        <f>'Opp#2'!H37/1000</f>
        <v>19.373000000000001</v>
      </c>
      <c r="F34" s="4">
        <f>'Opp#2'!K37</f>
        <v>14.4</v>
      </c>
      <c r="G34" t="s">
        <v>128</v>
      </c>
    </row>
    <row r="35" spans="1:7" x14ac:dyDescent="0.25">
      <c r="A35" s="4">
        <v>33</v>
      </c>
      <c r="B35" s="4" t="s">
        <v>103</v>
      </c>
      <c r="C35" s="4" t="s">
        <v>108</v>
      </c>
      <c r="D35" s="4">
        <f>-66</f>
        <v>-66</v>
      </c>
      <c r="E35" s="4">
        <f>2273/1000</f>
        <v>2.2730000000000001</v>
      </c>
      <c r="F35" s="4">
        <f>300000/1000000</f>
        <v>0.3</v>
      </c>
      <c r="G35" t="s">
        <v>130</v>
      </c>
    </row>
    <row r="36" spans="1:7" s="46" customFormat="1" x14ac:dyDescent="0.25">
      <c r="A36" s="39">
        <v>34</v>
      </c>
      <c r="B36" s="39" t="s">
        <v>103</v>
      </c>
      <c r="C36" s="39" t="s">
        <v>101</v>
      </c>
      <c r="D36" s="39">
        <f>'Opp#5'!L11</f>
        <v>38</v>
      </c>
      <c r="E36" s="47">
        <f>'Opp#5'!H11</f>
        <v>1368</v>
      </c>
      <c r="F36" s="39">
        <f>'Opp#5'!K11</f>
        <v>1.4379999999999999</v>
      </c>
      <c r="G36" s="46" t="s">
        <v>125</v>
      </c>
    </row>
    <row r="37" spans="1:7" x14ac:dyDescent="0.25">
      <c r="A37" s="4">
        <v>35</v>
      </c>
      <c r="B37" s="4" t="s">
        <v>103</v>
      </c>
      <c r="C37" s="4" t="s">
        <v>109</v>
      </c>
      <c r="D37" s="4">
        <v>0</v>
      </c>
      <c r="E37" s="4"/>
      <c r="F37" s="4"/>
    </row>
    <row r="38" spans="1:7" x14ac:dyDescent="0.25">
      <c r="A38" s="4">
        <v>36</v>
      </c>
      <c r="B38" s="4" t="s">
        <v>103</v>
      </c>
      <c r="C38" s="4" t="s">
        <v>34</v>
      </c>
      <c r="D38" s="4">
        <v>0</v>
      </c>
      <c r="E38" s="4"/>
      <c r="F38" s="4"/>
    </row>
    <row r="39" spans="1:7" x14ac:dyDescent="0.25">
      <c r="A39" s="4">
        <v>37</v>
      </c>
      <c r="B39" s="4" t="s">
        <v>103</v>
      </c>
      <c r="C39" s="4" t="s">
        <v>111</v>
      </c>
      <c r="D39" s="4">
        <v>0</v>
      </c>
      <c r="E39" s="4"/>
      <c r="F39" s="4"/>
    </row>
    <row r="40" spans="1:7" x14ac:dyDescent="0.25">
      <c r="A40" s="4">
        <v>38</v>
      </c>
      <c r="B40" s="4" t="s">
        <v>103</v>
      </c>
      <c r="C40" s="4" t="s">
        <v>112</v>
      </c>
      <c r="D40" s="4">
        <v>0</v>
      </c>
      <c r="E40" s="4"/>
      <c r="F40" s="4"/>
    </row>
    <row r="41" spans="1:7" x14ac:dyDescent="0.25">
      <c r="A41" s="4">
        <v>39</v>
      </c>
      <c r="B41" s="4" t="s">
        <v>103</v>
      </c>
      <c r="C41" s="4" t="s">
        <v>110</v>
      </c>
      <c r="D41" s="4">
        <v>0</v>
      </c>
      <c r="E41" s="4">
        <v>0</v>
      </c>
      <c r="F41" s="4">
        <v>0</v>
      </c>
    </row>
    <row r="42" spans="1:7" x14ac:dyDescent="0.25">
      <c r="A42" s="4">
        <v>40</v>
      </c>
      <c r="B42" s="4" t="s">
        <v>103</v>
      </c>
      <c r="C42" s="4" t="s">
        <v>106</v>
      </c>
      <c r="D42" s="4">
        <v>0</v>
      </c>
      <c r="E42" s="4"/>
      <c r="F42" s="4"/>
    </row>
    <row r="43" spans="1:7" x14ac:dyDescent="0.25">
      <c r="A43" s="4">
        <v>41</v>
      </c>
      <c r="B43" s="4" t="s">
        <v>113</v>
      </c>
      <c r="C43" s="4" t="s">
        <v>0</v>
      </c>
      <c r="D43" s="4">
        <v>0</v>
      </c>
      <c r="E43" s="4">
        <v>0</v>
      </c>
      <c r="F43" s="4">
        <v>0</v>
      </c>
    </row>
    <row r="44" spans="1:7" x14ac:dyDescent="0.25">
      <c r="A44" s="4">
        <v>42</v>
      </c>
      <c r="B44" s="4" t="s">
        <v>113</v>
      </c>
      <c r="C44" s="4" t="s">
        <v>107</v>
      </c>
      <c r="D44" s="4">
        <f>'Opp#2'!L38</f>
        <v>7</v>
      </c>
      <c r="E44" s="11">
        <f>'Opp#2'!H38/1000</f>
        <v>4.8550000000000004</v>
      </c>
      <c r="F44" s="4">
        <f>'Opp#2'!K38</f>
        <v>2.0699999999999998</v>
      </c>
      <c r="G44" t="s">
        <v>128</v>
      </c>
    </row>
    <row r="45" spans="1:7" x14ac:dyDescent="0.25">
      <c r="A45" s="4">
        <v>43</v>
      </c>
      <c r="B45" s="4" t="s">
        <v>113</v>
      </c>
      <c r="C45" s="4" t="s">
        <v>108</v>
      </c>
      <c r="D45" s="4">
        <f>76</f>
        <v>76</v>
      </c>
      <c r="E45" s="4">
        <f>268/1000</f>
        <v>0.26800000000000002</v>
      </c>
      <c r="F45" s="4">
        <f>300000/1000000</f>
        <v>0.3</v>
      </c>
      <c r="G45" t="s">
        <v>130</v>
      </c>
    </row>
    <row r="46" spans="1:7" s="46" customFormat="1" x14ac:dyDescent="0.25">
      <c r="A46" s="39">
        <v>44</v>
      </c>
      <c r="B46" s="39" t="s">
        <v>113</v>
      </c>
      <c r="C46" s="39" t="s">
        <v>101</v>
      </c>
      <c r="D46" s="44">
        <f>'Opp#5'!L14</f>
        <v>5.6831148804934468</v>
      </c>
      <c r="E46" s="39">
        <f>'Opp#5'!H14</f>
        <v>2594</v>
      </c>
      <c r="F46" s="45">
        <f>'Opp#5'!K14</f>
        <v>1.615</v>
      </c>
    </row>
    <row r="47" spans="1:7" x14ac:dyDescent="0.25">
      <c r="A47" s="4">
        <v>45</v>
      </c>
      <c r="B47" s="4" t="s">
        <v>113</v>
      </c>
      <c r="C47" s="4" t="s">
        <v>109</v>
      </c>
      <c r="D47" s="4">
        <v>0</v>
      </c>
      <c r="E47" s="4"/>
      <c r="F47" s="4"/>
    </row>
    <row r="48" spans="1:7" x14ac:dyDescent="0.25">
      <c r="A48" s="4">
        <v>46</v>
      </c>
      <c r="B48" s="4" t="s">
        <v>113</v>
      </c>
      <c r="C48" s="4" t="s">
        <v>34</v>
      </c>
      <c r="D48" s="4">
        <v>0</v>
      </c>
      <c r="E48" s="4"/>
      <c r="F48" s="4"/>
    </row>
    <row r="49" spans="1:7" x14ac:dyDescent="0.25">
      <c r="A49" s="4">
        <v>47</v>
      </c>
      <c r="B49" s="4" t="s">
        <v>113</v>
      </c>
      <c r="C49" s="4" t="s">
        <v>111</v>
      </c>
      <c r="D49" s="4">
        <v>0</v>
      </c>
      <c r="E49" s="4"/>
      <c r="F49" s="4"/>
    </row>
    <row r="50" spans="1:7" x14ac:dyDescent="0.25">
      <c r="A50" s="4">
        <v>48</v>
      </c>
      <c r="B50" s="4" t="s">
        <v>113</v>
      </c>
      <c r="C50" s="4" t="s">
        <v>112</v>
      </c>
      <c r="D50" s="4">
        <v>0</v>
      </c>
      <c r="E50" s="4"/>
      <c r="F50" s="4"/>
    </row>
    <row r="51" spans="1:7" x14ac:dyDescent="0.25">
      <c r="A51" s="4">
        <v>49</v>
      </c>
      <c r="B51" s="4" t="s">
        <v>113</v>
      </c>
      <c r="C51" s="4" t="s">
        <v>110</v>
      </c>
      <c r="D51" s="4">
        <v>0</v>
      </c>
      <c r="E51" s="4">
        <v>0</v>
      </c>
      <c r="F51" s="4">
        <v>0</v>
      </c>
    </row>
    <row r="52" spans="1:7" x14ac:dyDescent="0.25">
      <c r="A52" s="4">
        <v>50</v>
      </c>
      <c r="B52" s="4" t="s">
        <v>113</v>
      </c>
      <c r="C52" s="4" t="s">
        <v>106</v>
      </c>
      <c r="D52" s="4">
        <v>0</v>
      </c>
      <c r="E52" s="4"/>
      <c r="F52" s="4"/>
    </row>
    <row r="53" spans="1:7" x14ac:dyDescent="0.25">
      <c r="A53" s="4">
        <v>51</v>
      </c>
      <c r="B53" s="4" t="s">
        <v>114</v>
      </c>
      <c r="C53" s="4" t="s">
        <v>0</v>
      </c>
      <c r="D53" s="4">
        <v>0</v>
      </c>
      <c r="E53" s="4">
        <v>0</v>
      </c>
      <c r="F53" s="4">
        <v>0</v>
      </c>
    </row>
    <row r="54" spans="1:7" x14ac:dyDescent="0.25">
      <c r="A54" s="4">
        <v>52</v>
      </c>
      <c r="B54" s="4" t="s">
        <v>114</v>
      </c>
      <c r="C54" s="4" t="s">
        <v>107</v>
      </c>
      <c r="D54" s="4">
        <v>0</v>
      </c>
      <c r="E54" s="4"/>
      <c r="F54" s="4"/>
      <c r="G54" t="s">
        <v>127</v>
      </c>
    </row>
    <row r="55" spans="1:7" x14ac:dyDescent="0.25">
      <c r="A55" s="4">
        <v>53</v>
      </c>
      <c r="B55" s="4" t="s">
        <v>114</v>
      </c>
      <c r="C55" s="4" t="s">
        <v>108</v>
      </c>
      <c r="D55" s="4">
        <v>0</v>
      </c>
      <c r="E55" s="4"/>
      <c r="F55" s="4"/>
      <c r="G55" t="s">
        <v>130</v>
      </c>
    </row>
    <row r="56" spans="1:7" x14ac:dyDescent="0.25">
      <c r="A56" s="4">
        <v>54</v>
      </c>
      <c r="B56" s="4" t="s">
        <v>114</v>
      </c>
      <c r="C56" s="4" t="s">
        <v>101</v>
      </c>
      <c r="D56" s="4">
        <v>0</v>
      </c>
      <c r="E56" s="4">
        <v>0</v>
      </c>
      <c r="F56" s="4">
        <v>0</v>
      </c>
    </row>
    <row r="57" spans="1:7" x14ac:dyDescent="0.25">
      <c r="A57" s="4">
        <v>55</v>
      </c>
      <c r="B57" s="4" t="s">
        <v>114</v>
      </c>
      <c r="C57" s="4" t="s">
        <v>109</v>
      </c>
      <c r="D57" s="4">
        <v>15</v>
      </c>
      <c r="E57" s="4">
        <f>1892/1000</f>
        <v>1.8919999999999999</v>
      </c>
      <c r="F57" s="4">
        <v>0.5</v>
      </c>
      <c r="G57" t="s">
        <v>129</v>
      </c>
    </row>
    <row r="58" spans="1:7" x14ac:dyDescent="0.25">
      <c r="A58" s="4">
        <v>56</v>
      </c>
      <c r="B58" s="4" t="s">
        <v>114</v>
      </c>
      <c r="C58" s="4" t="s">
        <v>34</v>
      </c>
      <c r="D58" s="7">
        <f>'Opp #7'!F4</f>
        <v>386</v>
      </c>
      <c r="E58" s="7">
        <f>'Opp #7'!G4</f>
        <v>54.295999999999999</v>
      </c>
      <c r="F58" s="7">
        <f>'Opp #7'!I4</f>
        <v>38.200000000000003</v>
      </c>
    </row>
    <row r="59" spans="1:7" x14ac:dyDescent="0.25">
      <c r="A59" s="4">
        <v>57</v>
      </c>
      <c r="B59" s="4" t="s">
        <v>114</v>
      </c>
      <c r="C59" s="4" t="s">
        <v>111</v>
      </c>
      <c r="D59" s="4">
        <f>'Opp #8, #9, #12'!F4</f>
        <v>-35.4</v>
      </c>
      <c r="E59" s="4">
        <f>'Opp #8, #9, #12'!G4</f>
        <v>4.38</v>
      </c>
      <c r="F59" s="4">
        <f>'Opp #8, #9, #12'!I4</f>
        <v>11.55</v>
      </c>
    </row>
    <row r="60" spans="1:7" x14ac:dyDescent="0.25">
      <c r="A60" s="4">
        <v>58</v>
      </c>
      <c r="B60" s="4" t="s">
        <v>114</v>
      </c>
      <c r="C60" s="4" t="s">
        <v>112</v>
      </c>
      <c r="D60" s="4">
        <f>'Opp #8, #9, #12'!F5</f>
        <v>-108</v>
      </c>
      <c r="E60" s="4">
        <f>'Opp #8, #9, #12'!G5</f>
        <v>5.57</v>
      </c>
      <c r="F60" s="4">
        <f>'Opp #8, #9, #12'!I5</f>
        <v>12</v>
      </c>
    </row>
    <row r="61" spans="1:7" x14ac:dyDescent="0.25">
      <c r="A61" s="4">
        <v>59</v>
      </c>
      <c r="B61" s="4" t="s">
        <v>114</v>
      </c>
      <c r="C61" s="4" t="s">
        <v>110</v>
      </c>
      <c r="D61" s="7">
        <f>'Opp #8, #9, #12'!F6</f>
        <v>49.36</v>
      </c>
      <c r="E61" s="8">
        <f>'Opp #8, #9, #12'!G6</f>
        <v>0.09</v>
      </c>
      <c r="F61" s="4">
        <f>'Opp #8, #9, #12'!I6</f>
        <v>0.39600000000000002</v>
      </c>
    </row>
    <row r="62" spans="1:7" x14ac:dyDescent="0.25">
      <c r="A62" s="4">
        <v>60</v>
      </c>
      <c r="B62" s="4" t="s">
        <v>114</v>
      </c>
      <c r="C62" s="4" t="s">
        <v>106</v>
      </c>
      <c r="D62" s="4">
        <v>0</v>
      </c>
      <c r="E62" s="4"/>
      <c r="F62" s="4"/>
    </row>
    <row r="63" spans="1:7" x14ac:dyDescent="0.25">
      <c r="A63" s="4">
        <v>61</v>
      </c>
      <c r="B63" s="4" t="s">
        <v>24</v>
      </c>
      <c r="C63" s="4" t="s">
        <v>0</v>
      </c>
      <c r="D63" s="7">
        <f>'Opp#1'!F18</f>
        <v>158.01988717011179</v>
      </c>
      <c r="E63" s="7">
        <f>'Opp#1'!G18</f>
        <v>268.6637445666554</v>
      </c>
      <c r="F63" s="4">
        <f>'Opp#1'!I18</f>
        <v>291</v>
      </c>
    </row>
    <row r="64" spans="1:7" x14ac:dyDescent="0.25">
      <c r="A64" s="4">
        <v>62</v>
      </c>
      <c r="B64" s="4" t="s">
        <v>24</v>
      </c>
      <c r="C64" s="4" t="s">
        <v>107</v>
      </c>
      <c r="D64" s="4">
        <f>'Opp#2'!L35</f>
        <v>20</v>
      </c>
      <c r="E64" s="15">
        <f>'Opp#2'!H35/1000</f>
        <v>10.894</v>
      </c>
      <c r="F64" s="4">
        <f>'Opp#2'!K35</f>
        <v>7.2</v>
      </c>
      <c r="G64" t="s">
        <v>128</v>
      </c>
    </row>
    <row r="65" spans="1:7" x14ac:dyDescent="0.25">
      <c r="A65" s="4">
        <v>63</v>
      </c>
      <c r="B65" s="4" t="s">
        <v>24</v>
      </c>
      <c r="C65" s="4" t="s">
        <v>108</v>
      </c>
      <c r="D65" s="4">
        <v>0</v>
      </c>
      <c r="E65" s="4"/>
      <c r="F65" s="4"/>
      <c r="G65" t="s">
        <v>130</v>
      </c>
    </row>
    <row r="66" spans="1:7" s="46" customFormat="1" x14ac:dyDescent="0.25">
      <c r="A66" s="39">
        <v>64</v>
      </c>
      <c r="B66" s="39" t="s">
        <v>24</v>
      </c>
      <c r="C66" s="39" t="s">
        <v>101</v>
      </c>
      <c r="D66" s="39">
        <f>'Opp#5'!L8</f>
        <v>1</v>
      </c>
      <c r="E66" s="47">
        <f>'Opp#5'!H8</f>
        <v>2663</v>
      </c>
      <c r="F66" s="39">
        <f>'Opp#5'!K8</f>
        <v>0.57699999999999996</v>
      </c>
    </row>
    <row r="67" spans="1:7" x14ac:dyDescent="0.25">
      <c r="A67" s="4">
        <v>65</v>
      </c>
      <c r="B67" s="4" t="s">
        <v>24</v>
      </c>
      <c r="C67" s="4" t="s">
        <v>109</v>
      </c>
      <c r="D67" s="4">
        <v>0</v>
      </c>
      <c r="E67" s="4"/>
      <c r="F67" s="4"/>
    </row>
    <row r="68" spans="1:7" x14ac:dyDescent="0.25">
      <c r="A68" s="4">
        <v>66</v>
      </c>
      <c r="B68" s="4" t="s">
        <v>24</v>
      </c>
      <c r="C68" s="4" t="s">
        <v>34</v>
      </c>
      <c r="D68" s="4">
        <v>0</v>
      </c>
      <c r="E68" s="4"/>
      <c r="F68" s="4"/>
    </row>
    <row r="69" spans="1:7" x14ac:dyDescent="0.25">
      <c r="A69" s="4">
        <v>67</v>
      </c>
      <c r="B69" s="4" t="s">
        <v>24</v>
      </c>
      <c r="C69" s="4" t="s">
        <v>111</v>
      </c>
      <c r="D69" s="4">
        <v>0</v>
      </c>
      <c r="E69" s="4"/>
      <c r="F69" s="4"/>
    </row>
    <row r="70" spans="1:7" x14ac:dyDescent="0.25">
      <c r="A70" s="4">
        <v>68</v>
      </c>
      <c r="B70" s="4" t="s">
        <v>24</v>
      </c>
      <c r="C70" s="4" t="s">
        <v>112</v>
      </c>
      <c r="D70" s="4">
        <v>0</v>
      </c>
      <c r="E70" s="4"/>
      <c r="F70" s="4"/>
    </row>
    <row r="71" spans="1:7" x14ac:dyDescent="0.25">
      <c r="A71" s="4">
        <v>69</v>
      </c>
      <c r="B71" s="4" t="s">
        <v>24</v>
      </c>
      <c r="C71" s="4" t="s">
        <v>110</v>
      </c>
      <c r="D71" s="4">
        <v>0</v>
      </c>
      <c r="E71" s="4">
        <v>0</v>
      </c>
      <c r="F71" s="4">
        <v>0</v>
      </c>
    </row>
    <row r="72" spans="1:7" x14ac:dyDescent="0.25">
      <c r="A72" s="4">
        <v>70</v>
      </c>
      <c r="B72" s="4" t="s">
        <v>24</v>
      </c>
      <c r="C72" s="4" t="s">
        <v>106</v>
      </c>
      <c r="D72" s="4">
        <v>0</v>
      </c>
      <c r="E72" s="4"/>
      <c r="F72" s="4"/>
    </row>
  </sheetData>
  <autoFilter ref="C1:C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4" zoomScale="115" zoomScaleNormal="115" workbookViewId="0">
      <selection activeCell="B26" sqref="B26:B27"/>
    </sheetView>
  </sheetViews>
  <sheetFormatPr defaultRowHeight="15" x14ac:dyDescent="0.25"/>
  <cols>
    <col min="1" max="1" width="5.42578125" customWidth="1"/>
    <col min="2" max="2" width="17.28515625" customWidth="1"/>
    <col min="3" max="3" width="10.140625" customWidth="1"/>
    <col min="4" max="4" width="13.140625" bestFit="1" customWidth="1"/>
    <col min="5" max="5" width="13.7109375" customWidth="1"/>
    <col min="6" max="6" width="19.85546875" bestFit="1" customWidth="1"/>
    <col min="7" max="7" width="20" customWidth="1"/>
    <col min="8" max="8" width="18.42578125" customWidth="1"/>
    <col min="10" max="10" width="23.28515625" bestFit="1" customWidth="1"/>
  </cols>
  <sheetData>
    <row r="1" spans="1:10" x14ac:dyDescent="0.25">
      <c r="A1" t="s">
        <v>123</v>
      </c>
    </row>
    <row r="2" spans="1:10" x14ac:dyDescent="0.25">
      <c r="A2" s="4"/>
      <c r="B2" s="4"/>
      <c r="C2" s="5" t="s">
        <v>22</v>
      </c>
      <c r="D2" s="5" t="s">
        <v>15</v>
      </c>
      <c r="E2" s="5" t="s">
        <v>16</v>
      </c>
      <c r="F2" s="6" t="s">
        <v>1</v>
      </c>
      <c r="G2" s="6" t="s">
        <v>3</v>
      </c>
      <c r="H2" s="5" t="s">
        <v>17</v>
      </c>
      <c r="I2" s="5" t="s">
        <v>4</v>
      </c>
      <c r="J2" s="5" t="s">
        <v>18</v>
      </c>
    </row>
    <row r="3" spans="1:10" x14ac:dyDescent="0.25">
      <c r="A3" s="4"/>
      <c r="B3" s="4"/>
      <c r="C3" s="4"/>
      <c r="D3" s="12" t="s">
        <v>26</v>
      </c>
      <c r="E3" s="12" t="s">
        <v>26</v>
      </c>
      <c r="F3" s="13" t="s">
        <v>27</v>
      </c>
      <c r="G3" s="13" t="s">
        <v>28</v>
      </c>
      <c r="H3" s="12" t="s">
        <v>20</v>
      </c>
      <c r="I3" s="12" t="s">
        <v>20</v>
      </c>
      <c r="J3" s="12" t="s">
        <v>19</v>
      </c>
    </row>
    <row r="4" spans="1:10" x14ac:dyDescent="0.25">
      <c r="A4" s="4">
        <v>1</v>
      </c>
      <c r="B4" s="4" t="s">
        <v>0</v>
      </c>
      <c r="C4" s="4" t="s">
        <v>13</v>
      </c>
      <c r="D4" s="4">
        <f>52+21</f>
        <v>73</v>
      </c>
      <c r="E4" s="4"/>
      <c r="F4" s="7">
        <f>[1]Overview!$O$7</f>
        <v>87.512702454952361</v>
      </c>
      <c r="G4" s="7">
        <f>[1]Overview!$N$7/1000</f>
        <v>521.49353266436424</v>
      </c>
      <c r="H4" s="7">
        <f>F4*G4/1000</f>
        <v>45.637308356238485</v>
      </c>
      <c r="I4" s="4">
        <f>[1]Overview!$J$7</f>
        <v>238</v>
      </c>
      <c r="J4" s="8">
        <f>I4/D4</f>
        <v>3.2602739726027399</v>
      </c>
    </row>
    <row r="5" spans="1:10" x14ac:dyDescent="0.25">
      <c r="A5" s="4">
        <v>2</v>
      </c>
      <c r="B5" s="4" t="s">
        <v>0</v>
      </c>
      <c r="C5" s="4" t="s">
        <v>21</v>
      </c>
      <c r="D5" s="4">
        <f>26+26+33</f>
        <v>85</v>
      </c>
      <c r="E5" s="4"/>
      <c r="F5" s="7">
        <f>[1]Overview!$O$11</f>
        <v>87.474302810184682</v>
      </c>
      <c r="G5" s="7">
        <f>[1]Overview!$N$11/1000</f>
        <v>541.50126454410497</v>
      </c>
      <c r="H5" s="7">
        <f t="shared" ref="H5:H8" si="0">F5*G5/1000</f>
        <v>47.367445586828957</v>
      </c>
      <c r="I5" s="4">
        <f>[1]Overview!$J$11</f>
        <v>239</v>
      </c>
      <c r="J5" s="8">
        <f t="shared" ref="J5:J7" si="1">I5/D5</f>
        <v>2.8117647058823527</v>
      </c>
    </row>
    <row r="6" spans="1:10" x14ac:dyDescent="0.25">
      <c r="A6" s="4">
        <v>3</v>
      </c>
      <c r="B6" s="4" t="s">
        <v>0</v>
      </c>
      <c r="C6" s="4" t="s">
        <v>23</v>
      </c>
      <c r="D6" s="4">
        <f>69</f>
        <v>69</v>
      </c>
      <c r="E6" s="4"/>
      <c r="F6" s="7">
        <f>[1]Overview!$O$13</f>
        <v>74.603908756913981</v>
      </c>
      <c r="G6" s="7">
        <f>[1]Overview!$N$13/1000</f>
        <v>487.83897706676129</v>
      </c>
      <c r="H6" s="7">
        <f t="shared" si="0"/>
        <v>36.394694533154912</v>
      </c>
      <c r="I6" s="4">
        <f>[1]Overview!$J$13</f>
        <v>158</v>
      </c>
      <c r="J6" s="8">
        <f t="shared" si="1"/>
        <v>2.2898550724637681</v>
      </c>
    </row>
    <row r="7" spans="1:10" x14ac:dyDescent="0.25">
      <c r="A7" s="4">
        <v>4</v>
      </c>
      <c r="B7" s="4" t="s">
        <v>0</v>
      </c>
      <c r="C7" s="4" t="s">
        <v>24</v>
      </c>
      <c r="D7" s="4">
        <f>26+9</f>
        <v>35</v>
      </c>
      <c r="E7" s="4"/>
      <c r="F7" s="7">
        <f>[1]Overview!$O$16</f>
        <v>100.93549520688164</v>
      </c>
      <c r="G7" s="7">
        <f>[1]Overview!$N$16/1000</f>
        <v>268.6637445666554</v>
      </c>
      <c r="H7" s="7">
        <f t="shared" si="0"/>
        <v>27.117708101970518</v>
      </c>
      <c r="I7" s="4">
        <f>[1]Overview!$J$16</f>
        <v>151</v>
      </c>
      <c r="J7" s="8">
        <f t="shared" si="1"/>
        <v>4.3142857142857141</v>
      </c>
    </row>
    <row r="8" spans="1:10" x14ac:dyDescent="0.25">
      <c r="A8" s="4">
        <v>5</v>
      </c>
      <c r="B8" s="4" t="s">
        <v>0</v>
      </c>
      <c r="C8" s="4" t="s">
        <v>25</v>
      </c>
      <c r="D8" s="4">
        <v>60</v>
      </c>
      <c r="E8" s="4"/>
      <c r="F8" s="7">
        <f>[1]Overview!$O$18</f>
        <v>132.14088476061826</v>
      </c>
      <c r="G8" s="7">
        <f>[1]Overview!$N$18/1000</f>
        <v>261.17851739933457</v>
      </c>
      <c r="H8" s="7">
        <f t="shared" si="0"/>
        <v>34.512360369614605</v>
      </c>
      <c r="I8" s="4">
        <f>[1]Overview!$J$18</f>
        <v>222</v>
      </c>
      <c r="J8" s="8">
        <f>I8/D8</f>
        <v>3.7</v>
      </c>
    </row>
    <row r="9" spans="1:10" x14ac:dyDescent="0.25">
      <c r="A9" s="4"/>
      <c r="B9" s="9" t="s">
        <v>2</v>
      </c>
      <c r="C9" s="9"/>
      <c r="D9" s="7">
        <f>SUM(D4:D8)</f>
        <v>322</v>
      </c>
      <c r="E9" s="7"/>
      <c r="F9" s="4"/>
      <c r="G9" s="7">
        <f>SUM(G4:G8)</f>
        <v>2080.6760362412206</v>
      </c>
      <c r="H9" s="7">
        <f>SUM(H4:H8)</f>
        <v>191.02951694780748</v>
      </c>
      <c r="I9" s="7">
        <f>SUM(I4:I8)</f>
        <v>1008</v>
      </c>
      <c r="J9" s="4"/>
    </row>
    <row r="10" spans="1:10" x14ac:dyDescent="0.25">
      <c r="B10" s="3"/>
      <c r="C10" s="3"/>
      <c r="F10" s="1"/>
      <c r="G10" s="1"/>
      <c r="H10" s="1"/>
      <c r="I10" s="2"/>
    </row>
    <row r="11" spans="1:10" x14ac:dyDescent="0.25">
      <c r="B11" s="10"/>
      <c r="C11" s="10"/>
    </row>
    <row r="12" spans="1:10" x14ac:dyDescent="0.25">
      <c r="A12" t="s">
        <v>124</v>
      </c>
    </row>
    <row r="13" spans="1:10" x14ac:dyDescent="0.25">
      <c r="A13" s="4"/>
      <c r="B13" s="4"/>
      <c r="C13" s="5" t="s">
        <v>22</v>
      </c>
      <c r="D13" s="5" t="s">
        <v>15</v>
      </c>
      <c r="E13" s="5" t="s">
        <v>16</v>
      </c>
      <c r="F13" s="6" t="s">
        <v>1</v>
      </c>
      <c r="G13" s="6" t="s">
        <v>3</v>
      </c>
      <c r="H13" s="5" t="s">
        <v>17</v>
      </c>
      <c r="I13" s="5" t="s">
        <v>4</v>
      </c>
      <c r="J13" s="5" t="s">
        <v>18</v>
      </c>
    </row>
    <row r="14" spans="1:10" x14ac:dyDescent="0.25">
      <c r="A14" s="4"/>
      <c r="B14" s="4"/>
      <c r="C14" s="4"/>
      <c r="D14" s="12" t="s">
        <v>26</v>
      </c>
      <c r="E14" s="12" t="s">
        <v>26</v>
      </c>
      <c r="F14" s="13" t="s">
        <v>27</v>
      </c>
      <c r="G14" s="13" t="s">
        <v>28</v>
      </c>
      <c r="H14" s="12" t="s">
        <v>20</v>
      </c>
      <c r="I14" s="12" t="s">
        <v>20</v>
      </c>
      <c r="J14" s="12" t="s">
        <v>19</v>
      </c>
    </row>
    <row r="15" spans="1:10" x14ac:dyDescent="0.25">
      <c r="A15" s="4">
        <v>1</v>
      </c>
      <c r="B15" s="4" t="s">
        <v>0</v>
      </c>
      <c r="C15" s="4" t="s">
        <v>13</v>
      </c>
      <c r="D15" s="4">
        <f>52+21</f>
        <v>73</v>
      </c>
      <c r="E15" s="4"/>
      <c r="F15" s="7">
        <f>[2]Overview!$O$7</f>
        <v>111.66994283640575</v>
      </c>
      <c r="G15" s="7">
        <f>[1]Overview!$N$7/1000</f>
        <v>521.49353266436424</v>
      </c>
      <c r="H15" s="7">
        <f>F15*G15/1000</f>
        <v>58.23515298218485</v>
      </c>
      <c r="I15" s="4">
        <f>[2]Overview!$J$7</f>
        <v>353</v>
      </c>
      <c r="J15" s="8">
        <f>I15/D15</f>
        <v>4.8356164383561646</v>
      </c>
    </row>
    <row r="16" spans="1:10" x14ac:dyDescent="0.25">
      <c r="A16" s="4">
        <v>2</v>
      </c>
      <c r="B16" s="4" t="s">
        <v>0</v>
      </c>
      <c r="C16" s="4" t="s">
        <v>21</v>
      </c>
      <c r="D16" s="4">
        <f>26+26+33</f>
        <v>85</v>
      </c>
      <c r="E16" s="4"/>
      <c r="F16" s="7">
        <f>[2]Overview!$O$11</f>
        <v>138.65656219126984</v>
      </c>
      <c r="G16" s="7">
        <f>[1]Overview!$N$11/1000</f>
        <v>541.50126454410497</v>
      </c>
      <c r="H16" s="7">
        <f t="shared" ref="H16:H19" si="2">F16*G16/1000</f>
        <v>75.082703763910942</v>
      </c>
      <c r="I16" s="4">
        <f>[2]Overview!$J$11</f>
        <v>492</v>
      </c>
      <c r="J16" s="8">
        <f t="shared" ref="J16:J18" si="3">I16/D16</f>
        <v>5.7882352941176469</v>
      </c>
    </row>
    <row r="17" spans="1:10" x14ac:dyDescent="0.25">
      <c r="A17" s="4">
        <v>3</v>
      </c>
      <c r="B17" s="4" t="s">
        <v>0</v>
      </c>
      <c r="C17" s="4" t="s">
        <v>23</v>
      </c>
      <c r="D17" s="4">
        <f>69</f>
        <v>69</v>
      </c>
      <c r="E17" s="4"/>
      <c r="F17" s="7">
        <f>[2]Overview!$O$13</f>
        <v>119.9639332566251</v>
      </c>
      <c r="G17" s="7">
        <f>[1]Overview!$N$13/1000</f>
        <v>487.83897706676129</v>
      </c>
      <c r="H17" s="7">
        <f t="shared" si="2"/>
        <v>58.523082484817209</v>
      </c>
      <c r="I17" s="4">
        <f>[2]Overview!$J$13</f>
        <v>360</v>
      </c>
      <c r="J17" s="8">
        <f t="shared" si="3"/>
        <v>5.2173913043478262</v>
      </c>
    </row>
    <row r="18" spans="1:10" x14ac:dyDescent="0.25">
      <c r="A18" s="4">
        <v>4</v>
      </c>
      <c r="B18" s="4" t="s">
        <v>0</v>
      </c>
      <c r="C18" s="4" t="s">
        <v>24</v>
      </c>
      <c r="D18" s="4">
        <f>26+9</f>
        <v>35</v>
      </c>
      <c r="E18" s="4"/>
      <c r="F18" s="7">
        <f>[2]Overview!$O$16</f>
        <v>158.01988717011179</v>
      </c>
      <c r="G18" s="7">
        <f>[1]Overview!$N$16/1000</f>
        <v>268.6637445666554</v>
      </c>
      <c r="H18" s="7">
        <f t="shared" si="2"/>
        <v>42.454214603122622</v>
      </c>
      <c r="I18" s="4">
        <f>[2]Overview!$J$16</f>
        <v>291</v>
      </c>
      <c r="J18" s="8">
        <f t="shared" si="3"/>
        <v>8.3142857142857149</v>
      </c>
    </row>
    <row r="19" spans="1:10" x14ac:dyDescent="0.25">
      <c r="A19" s="4">
        <v>5</v>
      </c>
      <c r="B19" s="4" t="s">
        <v>0</v>
      </c>
      <c r="C19" s="4" t="s">
        <v>25</v>
      </c>
      <c r="D19" s="4">
        <v>60</v>
      </c>
      <c r="E19" s="4"/>
      <c r="F19" s="7">
        <f>[2]Overview!$O$18</f>
        <v>223.15750172241704</v>
      </c>
      <c r="G19" s="7">
        <f>[1]Overview!$N$18/1000</f>
        <v>261.17851739933457</v>
      </c>
      <c r="H19" s="7">
        <f t="shared" si="2"/>
        <v>58.283945446400331</v>
      </c>
      <c r="I19" s="4">
        <f>[2]Overview!$J$18</f>
        <v>439</v>
      </c>
      <c r="J19" s="8">
        <f>I19/D19</f>
        <v>7.3166666666666664</v>
      </c>
    </row>
    <row r="20" spans="1:10" x14ac:dyDescent="0.25">
      <c r="A20" s="4"/>
      <c r="B20" s="9" t="s">
        <v>2</v>
      </c>
      <c r="C20" s="9"/>
      <c r="D20" s="7">
        <f>SUM(D15:D19)</f>
        <v>322</v>
      </c>
      <c r="E20" s="7"/>
      <c r="F20" s="4"/>
      <c r="G20" s="7">
        <f>SUM(G15:G19)</f>
        <v>2080.6760362412206</v>
      </c>
      <c r="H20" s="7">
        <f>SUM(H15:H19)</f>
        <v>292.57909928043597</v>
      </c>
      <c r="I20" s="7">
        <f>SUM(I15:I19)</f>
        <v>1935</v>
      </c>
      <c r="J20" s="4"/>
    </row>
    <row r="22" spans="1:10" x14ac:dyDescent="0.25">
      <c r="A22" s="4" t="s">
        <v>5</v>
      </c>
      <c r="B22" s="4"/>
      <c r="C22" s="4" t="s">
        <v>6</v>
      </c>
      <c r="D22" s="7">
        <f>H9*1000/G9</f>
        <v>91.811273653588955</v>
      </c>
    </row>
    <row r="23" spans="1:10" x14ac:dyDescent="0.25">
      <c r="A23" s="4" t="s">
        <v>7</v>
      </c>
      <c r="B23" s="4"/>
      <c r="C23" s="4" t="s">
        <v>9</v>
      </c>
      <c r="D23" s="7">
        <f>G9*1000/D9</f>
        <v>6461.7268206249082</v>
      </c>
    </row>
    <row r="24" spans="1:10" x14ac:dyDescent="0.25">
      <c r="A24" s="4" t="s">
        <v>8</v>
      </c>
      <c r="B24" s="4"/>
      <c r="C24" s="4" t="s">
        <v>10</v>
      </c>
      <c r="D24" s="11">
        <f>I9/D9</f>
        <v>3.1304347826086958</v>
      </c>
    </row>
    <row r="27" spans="1:10" x14ac:dyDescent="0.25">
      <c r="E27" t="s">
        <v>24</v>
      </c>
      <c r="F27" t="s">
        <v>117</v>
      </c>
      <c r="G27" t="s">
        <v>118</v>
      </c>
    </row>
    <row r="28" spans="1:10" x14ac:dyDescent="0.25">
      <c r="E28" t="s">
        <v>21</v>
      </c>
      <c r="F28" t="s">
        <v>117</v>
      </c>
      <c r="G2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topLeftCell="A22" workbookViewId="0">
      <selection activeCell="G43" sqref="A42:G43"/>
    </sheetView>
  </sheetViews>
  <sheetFormatPr defaultRowHeight="15" x14ac:dyDescent="0.25"/>
  <cols>
    <col min="2" max="2" width="5.42578125" customWidth="1"/>
    <col min="3" max="3" width="24" bestFit="1" customWidth="1"/>
    <col min="4" max="4" width="24.140625" bestFit="1" customWidth="1"/>
    <col min="5" max="5" width="26.5703125" bestFit="1" customWidth="1"/>
    <col min="6" max="6" width="13.7109375" bestFit="1" customWidth="1"/>
    <col min="7" max="7" width="16.28515625" bestFit="1" customWidth="1"/>
    <col min="8" max="8" width="19.85546875" bestFit="1" customWidth="1"/>
    <col min="9" max="9" width="20" customWidth="1"/>
    <col min="10" max="11" width="18.42578125" customWidth="1"/>
    <col min="12" max="12" width="15.85546875" bestFit="1" customWidth="1"/>
    <col min="13" max="13" width="23.28515625" bestFit="1" customWidth="1"/>
    <col min="14" max="14" width="19.42578125" customWidth="1"/>
    <col min="15" max="15" width="23.42578125" customWidth="1"/>
    <col min="16" max="16" width="25.140625" customWidth="1"/>
  </cols>
  <sheetData>
    <row r="2" spans="2:13" x14ac:dyDescent="0.25">
      <c r="B2" s="4"/>
      <c r="C2" s="4"/>
      <c r="D2" s="5" t="s">
        <v>22</v>
      </c>
      <c r="E2" s="5" t="s">
        <v>15</v>
      </c>
      <c r="F2" s="5" t="s">
        <v>16</v>
      </c>
      <c r="G2" s="5" t="s">
        <v>33</v>
      </c>
      <c r="H2" s="6" t="s">
        <v>1</v>
      </c>
      <c r="I2" s="6" t="s">
        <v>3</v>
      </c>
      <c r="J2" s="5" t="s">
        <v>17</v>
      </c>
      <c r="K2" s="5"/>
      <c r="L2" s="5" t="s">
        <v>4</v>
      </c>
      <c r="M2" s="5" t="s">
        <v>18</v>
      </c>
    </row>
    <row r="3" spans="2:13" x14ac:dyDescent="0.25">
      <c r="B3" s="4"/>
      <c r="C3" s="4"/>
      <c r="D3" s="4"/>
      <c r="E3" s="12" t="s">
        <v>26</v>
      </c>
      <c r="F3" s="12" t="s">
        <v>26</v>
      </c>
      <c r="G3" s="12"/>
      <c r="H3" s="13" t="s">
        <v>27</v>
      </c>
      <c r="I3" s="13" t="s">
        <v>28</v>
      </c>
      <c r="J3" s="12" t="s">
        <v>20</v>
      </c>
      <c r="K3" s="12"/>
      <c r="L3" s="12" t="s">
        <v>20</v>
      </c>
      <c r="M3" s="12" t="s">
        <v>19</v>
      </c>
    </row>
    <row r="4" spans="2:13" x14ac:dyDescent="0.25">
      <c r="B4" s="4">
        <v>1</v>
      </c>
      <c r="C4" s="4" t="s">
        <v>11</v>
      </c>
      <c r="D4" s="4"/>
      <c r="E4" s="4"/>
      <c r="F4" s="4"/>
      <c r="G4" s="4"/>
      <c r="H4" s="7"/>
      <c r="I4" s="7"/>
      <c r="J4" s="7">
        <f>H4*I4/1000</f>
        <v>0</v>
      </c>
      <c r="K4" s="7"/>
      <c r="L4" s="4"/>
      <c r="M4" s="8" t="e">
        <f>L4/E4</f>
        <v>#DIV/0!</v>
      </c>
    </row>
    <row r="5" spans="2:13" x14ac:dyDescent="0.25">
      <c r="B5" s="4">
        <v>2</v>
      </c>
      <c r="C5" s="4" t="s">
        <v>12</v>
      </c>
      <c r="D5" s="4"/>
      <c r="E5" s="4"/>
      <c r="F5" s="4"/>
      <c r="G5" s="4"/>
      <c r="H5" s="7"/>
      <c r="I5" s="7"/>
      <c r="J5" s="7">
        <f t="shared" ref="J5:J9" si="0">H5*I5/1000</f>
        <v>0</v>
      </c>
      <c r="K5" s="7"/>
      <c r="L5" s="4"/>
      <c r="M5" s="8" t="e">
        <f t="shared" ref="M5:M7" si="1">L5/E5</f>
        <v>#DIV/0!</v>
      </c>
    </row>
    <row r="6" spans="2:13" x14ac:dyDescent="0.25">
      <c r="B6" s="4">
        <v>3</v>
      </c>
      <c r="C6" s="4" t="s">
        <v>29</v>
      </c>
      <c r="D6" s="4"/>
      <c r="E6" s="4"/>
      <c r="F6" s="4"/>
      <c r="G6" s="4"/>
      <c r="H6" s="7"/>
      <c r="I6" s="7"/>
      <c r="J6" s="7">
        <f t="shared" si="0"/>
        <v>0</v>
      </c>
      <c r="K6" s="7"/>
      <c r="L6" s="4"/>
      <c r="M6" s="8" t="e">
        <f t="shared" si="1"/>
        <v>#DIV/0!</v>
      </c>
    </row>
    <row r="7" spans="2:13" x14ac:dyDescent="0.25">
      <c r="B7" s="4">
        <v>4</v>
      </c>
      <c r="C7" s="4" t="s">
        <v>30</v>
      </c>
      <c r="D7" s="4" t="s">
        <v>23</v>
      </c>
      <c r="E7" s="4">
        <f>18.6*3</f>
        <v>55.800000000000004</v>
      </c>
      <c r="F7" s="4">
        <f>E7</f>
        <v>55.800000000000004</v>
      </c>
      <c r="G7" s="4"/>
      <c r="H7" s="7">
        <v>149</v>
      </c>
      <c r="I7" s="7">
        <v>6</v>
      </c>
      <c r="J7" s="7">
        <f t="shared" si="0"/>
        <v>0.89400000000000002</v>
      </c>
      <c r="K7" s="7"/>
      <c r="L7" s="4"/>
      <c r="M7" s="8">
        <f t="shared" si="1"/>
        <v>0</v>
      </c>
    </row>
    <row r="8" spans="2:13" x14ac:dyDescent="0.25">
      <c r="B8" s="4">
        <v>5</v>
      </c>
      <c r="C8" s="4" t="s">
        <v>32</v>
      </c>
      <c r="D8" s="4"/>
      <c r="E8" s="4"/>
      <c r="F8" s="4"/>
      <c r="G8" s="4"/>
      <c r="H8" s="7"/>
      <c r="I8" s="7"/>
      <c r="J8" s="7"/>
      <c r="K8" s="7"/>
      <c r="L8" s="4"/>
      <c r="M8" s="8"/>
    </row>
    <row r="9" spans="2:13" x14ac:dyDescent="0.25">
      <c r="B9" s="4">
        <v>6</v>
      </c>
      <c r="C9" s="4" t="s">
        <v>31</v>
      </c>
      <c r="D9" s="4"/>
      <c r="E9" s="4"/>
      <c r="F9" s="4"/>
      <c r="G9" s="4"/>
      <c r="H9" s="7"/>
      <c r="I9" s="7"/>
      <c r="J9" s="7">
        <f t="shared" si="0"/>
        <v>0</v>
      </c>
      <c r="K9" s="7"/>
      <c r="L9" s="4"/>
      <c r="M9" s="8" t="e">
        <f>L9/E9</f>
        <v>#DIV/0!</v>
      </c>
    </row>
    <row r="10" spans="2:13" x14ac:dyDescent="0.25">
      <c r="B10" s="4"/>
      <c r="C10" s="4"/>
      <c r="D10" s="4"/>
      <c r="E10" s="4"/>
      <c r="F10" s="4"/>
      <c r="G10" s="4"/>
      <c r="H10" s="7"/>
      <c r="I10" s="7"/>
      <c r="J10" s="7"/>
      <c r="K10" s="7"/>
      <c r="L10" s="4"/>
      <c r="M10" s="8"/>
    </row>
    <row r="11" spans="2:13" x14ac:dyDescent="0.25">
      <c r="B11" s="4"/>
      <c r="C11" s="9" t="s">
        <v>2</v>
      </c>
      <c r="D11" s="9"/>
      <c r="E11" s="7">
        <f>SUM(E4:E9)</f>
        <v>55.800000000000004</v>
      </c>
      <c r="F11" s="7"/>
      <c r="G11" s="7"/>
      <c r="H11" s="4"/>
      <c r="I11" s="7">
        <f>SUM(I4:I9)</f>
        <v>6</v>
      </c>
      <c r="J11" s="7">
        <f>SUM(J4:J9)</f>
        <v>0.89400000000000002</v>
      </c>
      <c r="K11" s="7"/>
      <c r="L11" s="7">
        <f>SUM(L4:L9)</f>
        <v>0</v>
      </c>
      <c r="M11" s="4"/>
    </row>
    <row r="12" spans="2:13" x14ac:dyDescent="0.25">
      <c r="C12" s="3"/>
      <c r="D12" s="3"/>
      <c r="H12" s="1"/>
      <c r="I12" s="1"/>
      <c r="J12" s="1"/>
      <c r="K12" s="1"/>
      <c r="L12" s="2"/>
    </row>
    <row r="13" spans="2:13" x14ac:dyDescent="0.25">
      <c r="C13" s="10"/>
      <c r="D13" s="10"/>
    </row>
    <row r="15" spans="2:13" x14ac:dyDescent="0.25">
      <c r="B15" s="4" t="s">
        <v>5</v>
      </c>
      <c r="C15" s="4"/>
      <c r="D15" s="4" t="s">
        <v>6</v>
      </c>
      <c r="E15" s="7">
        <f>J11*1000/I11</f>
        <v>149</v>
      </c>
    </row>
    <row r="16" spans="2:13" x14ac:dyDescent="0.25">
      <c r="B16" s="4" t="s">
        <v>7</v>
      </c>
      <c r="C16" s="4"/>
      <c r="D16" s="4" t="s">
        <v>9</v>
      </c>
      <c r="E16" s="7">
        <f>I11*1000/E11</f>
        <v>107.5268817204301</v>
      </c>
    </row>
    <row r="17" spans="2:16" x14ac:dyDescent="0.25">
      <c r="B17" s="4" t="s">
        <v>8</v>
      </c>
      <c r="C17" s="4"/>
      <c r="D17" s="4" t="s">
        <v>10</v>
      </c>
      <c r="E17" s="11">
        <f>L11/E11</f>
        <v>0</v>
      </c>
    </row>
    <row r="22" spans="2:16" x14ac:dyDescent="0.25">
      <c r="C22" s="32" t="s">
        <v>120</v>
      </c>
    </row>
    <row r="24" spans="2:16" x14ac:dyDescent="0.25">
      <c r="B24" s="4" t="s">
        <v>46</v>
      </c>
      <c r="C24" s="4" t="s">
        <v>22</v>
      </c>
      <c r="D24" s="4" t="s">
        <v>47</v>
      </c>
      <c r="E24" s="4" t="s">
        <v>48</v>
      </c>
      <c r="F24" s="4" t="s">
        <v>49</v>
      </c>
      <c r="G24" s="4" t="s">
        <v>50</v>
      </c>
      <c r="H24" s="4" t="s">
        <v>2</v>
      </c>
      <c r="I24" s="4" t="s">
        <v>2</v>
      </c>
      <c r="J24" s="4" t="s">
        <v>56</v>
      </c>
      <c r="K24" s="4" t="s">
        <v>126</v>
      </c>
      <c r="L24" s="4" t="s">
        <v>57</v>
      </c>
      <c r="M24" s="4" t="s">
        <v>80</v>
      </c>
      <c r="N24" s="4" t="s">
        <v>78</v>
      </c>
      <c r="O24" s="4" t="s">
        <v>79</v>
      </c>
      <c r="P24" s="39" t="s">
        <v>126</v>
      </c>
    </row>
    <row r="25" spans="2:16" x14ac:dyDescent="0.25">
      <c r="B25" s="4"/>
      <c r="C25" s="4"/>
      <c r="D25" s="4"/>
      <c r="E25" s="4"/>
      <c r="F25" s="4"/>
      <c r="G25" s="4" t="s">
        <v>51</v>
      </c>
      <c r="H25" s="4" t="s">
        <v>52</v>
      </c>
      <c r="I25" s="4" t="s">
        <v>54</v>
      </c>
      <c r="J25" s="4"/>
      <c r="K25" s="4"/>
      <c r="L25" s="4" t="s">
        <v>58</v>
      </c>
      <c r="M25" s="4" t="s">
        <v>77</v>
      </c>
      <c r="N25" s="4"/>
      <c r="O25" s="4"/>
      <c r="P25" s="4"/>
    </row>
    <row r="26" spans="2:16" x14ac:dyDescent="0.25">
      <c r="B26" s="4"/>
      <c r="C26" s="4"/>
      <c r="D26" s="4"/>
      <c r="E26" s="4"/>
      <c r="F26" s="4"/>
      <c r="G26" s="4"/>
      <c r="H26" s="4" t="s">
        <v>53</v>
      </c>
      <c r="I26" s="4" t="s">
        <v>55</v>
      </c>
      <c r="J26" s="4"/>
      <c r="K26" s="4"/>
      <c r="L26" s="4"/>
      <c r="M26" s="4" t="s">
        <v>53</v>
      </c>
      <c r="N26" s="4"/>
      <c r="O26" s="4"/>
      <c r="P26" s="4"/>
    </row>
    <row r="27" spans="2:16" x14ac:dyDescent="0.25">
      <c r="B27" s="4">
        <v>1</v>
      </c>
      <c r="C27" s="4" t="s">
        <v>13</v>
      </c>
      <c r="D27" s="4" t="s">
        <v>59</v>
      </c>
      <c r="E27" s="4" t="s">
        <v>60</v>
      </c>
      <c r="F27" s="4">
        <v>4</v>
      </c>
      <c r="G27" s="4">
        <v>10175</v>
      </c>
      <c r="H27" s="4">
        <v>15361</v>
      </c>
      <c r="I27" s="4">
        <v>-5.8</v>
      </c>
      <c r="J27" s="4" t="s">
        <v>61</v>
      </c>
      <c r="K27" s="4">
        <v>12.8</v>
      </c>
      <c r="L27" s="4">
        <v>41</v>
      </c>
      <c r="M27" s="54">
        <f>SUM(H27:H28)</f>
        <v>20514</v>
      </c>
      <c r="N27" s="16">
        <f>H27*L27</f>
        <v>629801</v>
      </c>
      <c r="O27" s="53">
        <f>SUM(N27:N28)/M27</f>
        <v>42.7583601442917</v>
      </c>
      <c r="P27" s="40">
        <v>12.8</v>
      </c>
    </row>
    <row r="28" spans="2:16" x14ac:dyDescent="0.25">
      <c r="B28" s="4">
        <v>2</v>
      </c>
      <c r="C28" s="4" t="s">
        <v>13</v>
      </c>
      <c r="D28" s="4" t="s">
        <v>59</v>
      </c>
      <c r="E28" s="4" t="s">
        <v>62</v>
      </c>
      <c r="F28" s="4">
        <v>1</v>
      </c>
      <c r="G28" s="4">
        <v>16500</v>
      </c>
      <c r="H28" s="4">
        <v>5153</v>
      </c>
      <c r="I28" s="4">
        <v>-2.2999999999999998</v>
      </c>
      <c r="J28" s="4" t="s">
        <v>61</v>
      </c>
      <c r="K28" s="4">
        <v>4.5999999999999996</v>
      </c>
      <c r="L28" s="4">
        <v>48</v>
      </c>
      <c r="M28" s="54"/>
      <c r="N28" s="16">
        <f>H28*L28</f>
        <v>247344</v>
      </c>
      <c r="O28" s="53"/>
      <c r="P28" s="40">
        <v>4.5999999999999996</v>
      </c>
    </row>
    <row r="29" spans="2:16" x14ac:dyDescent="0.25">
      <c r="B29" s="4">
        <v>3</v>
      </c>
      <c r="C29" s="4" t="s">
        <v>21</v>
      </c>
      <c r="D29" s="4" t="s">
        <v>63</v>
      </c>
      <c r="E29" s="4" t="s">
        <v>60</v>
      </c>
      <c r="F29" s="4">
        <v>2</v>
      </c>
      <c r="G29" s="4">
        <v>11600</v>
      </c>
      <c r="H29" s="15">
        <v>7937</v>
      </c>
      <c r="I29" s="4">
        <v>-1.9</v>
      </c>
      <c r="J29" s="4" t="s">
        <v>61</v>
      </c>
      <c r="K29" s="4">
        <v>5.92</v>
      </c>
      <c r="L29" s="4">
        <v>27</v>
      </c>
      <c r="M29" s="55">
        <f>SUM(H29:H31)</f>
        <v>20364</v>
      </c>
      <c r="N29" s="16">
        <f>H29*L29</f>
        <v>214299</v>
      </c>
      <c r="O29" s="51">
        <f>SUM(N29:N31)/M29</f>
        <v>67.004124926340594</v>
      </c>
      <c r="P29" s="41"/>
    </row>
    <row r="30" spans="2:16" x14ac:dyDescent="0.25">
      <c r="B30" s="4">
        <v>4</v>
      </c>
      <c r="C30" s="4" t="s">
        <v>21</v>
      </c>
      <c r="D30" s="4" t="s">
        <v>63</v>
      </c>
      <c r="E30" s="4" t="s">
        <v>64</v>
      </c>
      <c r="F30" s="4">
        <v>1</v>
      </c>
      <c r="G30" s="4">
        <v>21618</v>
      </c>
      <c r="H30" s="4">
        <v>5994</v>
      </c>
      <c r="I30" s="4">
        <v>-2.6</v>
      </c>
      <c r="J30" s="4" t="s">
        <v>61</v>
      </c>
      <c r="K30" s="4">
        <v>5.6</v>
      </c>
      <c r="L30" s="4">
        <v>47</v>
      </c>
      <c r="M30" s="56"/>
      <c r="N30" s="16">
        <f t="shared" ref="N30:N31" si="2">H30*L30</f>
        <v>281718</v>
      </c>
      <c r="O30" s="57"/>
      <c r="P30" s="41"/>
    </row>
    <row r="31" spans="2:16" x14ac:dyDescent="0.25">
      <c r="B31" s="4">
        <v>5</v>
      </c>
      <c r="C31" s="4" t="s">
        <v>21</v>
      </c>
      <c r="D31" s="4" t="s">
        <v>65</v>
      </c>
      <c r="E31" s="4" t="s">
        <v>64</v>
      </c>
      <c r="F31" s="4">
        <v>2</v>
      </c>
      <c r="G31" s="4">
        <v>11660</v>
      </c>
      <c r="H31" s="4">
        <v>6433</v>
      </c>
      <c r="I31" s="4">
        <v>-7.9</v>
      </c>
      <c r="J31" s="4" t="s">
        <v>61</v>
      </c>
      <c r="K31" s="4">
        <v>11.2</v>
      </c>
      <c r="L31" s="4">
        <v>135</v>
      </c>
      <c r="M31" s="50"/>
      <c r="N31" s="16">
        <f t="shared" si="2"/>
        <v>868455</v>
      </c>
      <c r="O31" s="52"/>
      <c r="P31" s="41"/>
    </row>
    <row r="32" spans="2:16" x14ac:dyDescent="0.25">
      <c r="B32" s="4">
        <v>6</v>
      </c>
      <c r="C32" s="4" t="s">
        <v>23</v>
      </c>
      <c r="D32" s="4" t="s">
        <v>63</v>
      </c>
      <c r="E32" s="4" t="s">
        <v>66</v>
      </c>
      <c r="F32" s="4">
        <v>3</v>
      </c>
      <c r="G32" s="4">
        <v>18600</v>
      </c>
      <c r="H32" s="15">
        <v>14977</v>
      </c>
      <c r="I32" s="4">
        <v>-7.2</v>
      </c>
      <c r="J32" s="4" t="s">
        <v>61</v>
      </c>
      <c r="K32" s="4">
        <v>14.35</v>
      </c>
      <c r="L32" s="4">
        <v>53</v>
      </c>
      <c r="M32" s="17">
        <f>H32</f>
        <v>14977</v>
      </c>
      <c r="N32" s="16">
        <f t="shared" ref="N32:N38" si="3">H32*L32</f>
        <v>793781</v>
      </c>
      <c r="O32" s="16">
        <f>N32/M32</f>
        <v>53</v>
      </c>
      <c r="P32" s="4"/>
    </row>
    <row r="33" spans="2:16" x14ac:dyDescent="0.25">
      <c r="B33" s="4">
        <v>7</v>
      </c>
      <c r="C33" s="4" t="s">
        <v>24</v>
      </c>
      <c r="D33" s="4" t="s">
        <v>63</v>
      </c>
      <c r="E33" s="4" t="s">
        <v>67</v>
      </c>
      <c r="F33" s="4">
        <v>1</v>
      </c>
      <c r="G33" s="4">
        <v>7920</v>
      </c>
      <c r="H33" s="4">
        <v>2675</v>
      </c>
      <c r="I33" s="4">
        <v>-0.7</v>
      </c>
      <c r="J33" s="4" t="s">
        <v>61</v>
      </c>
      <c r="K33" s="4">
        <v>2</v>
      </c>
      <c r="L33" s="4">
        <v>30</v>
      </c>
      <c r="M33" s="55">
        <f>SUM(H33:H35)</f>
        <v>20274</v>
      </c>
      <c r="N33" s="16">
        <f t="shared" si="3"/>
        <v>80250</v>
      </c>
      <c r="O33" s="51">
        <f>SUM(N33:N35)/M33</f>
        <v>27.603087698530135</v>
      </c>
      <c r="P33" s="48"/>
    </row>
    <row r="34" spans="2:16" x14ac:dyDescent="0.25">
      <c r="B34" s="4">
        <v>8</v>
      </c>
      <c r="C34" s="4" t="s">
        <v>24</v>
      </c>
      <c r="D34" s="4" t="s">
        <v>68</v>
      </c>
      <c r="E34" s="4" t="s">
        <v>69</v>
      </c>
      <c r="F34" s="4">
        <v>1</v>
      </c>
      <c r="G34" s="4">
        <v>23000</v>
      </c>
      <c r="H34" s="4">
        <v>6705</v>
      </c>
      <c r="I34" s="4">
        <v>-2.4</v>
      </c>
      <c r="J34" s="4" t="s">
        <v>61</v>
      </c>
      <c r="K34" s="4">
        <v>5.6</v>
      </c>
      <c r="L34" s="4">
        <v>39</v>
      </c>
      <c r="M34" s="58"/>
      <c r="N34" s="16">
        <f t="shared" si="3"/>
        <v>261495</v>
      </c>
      <c r="O34" s="57"/>
      <c r="P34" s="48"/>
    </row>
    <row r="35" spans="2:16" s="35" customFormat="1" x14ac:dyDescent="0.25">
      <c r="B35" s="34">
        <v>10</v>
      </c>
      <c r="C35" s="34" t="s">
        <v>24</v>
      </c>
      <c r="D35" s="34" t="s">
        <v>72</v>
      </c>
      <c r="E35" s="34" t="s">
        <v>73</v>
      </c>
      <c r="F35" s="34">
        <v>3</v>
      </c>
      <c r="G35" s="34">
        <v>12000</v>
      </c>
      <c r="H35" s="38">
        <v>10894</v>
      </c>
      <c r="I35" s="34">
        <v>-2</v>
      </c>
      <c r="J35" s="34" t="s">
        <v>61</v>
      </c>
      <c r="K35" s="34">
        <v>7.2</v>
      </c>
      <c r="L35" s="34">
        <v>20</v>
      </c>
      <c r="M35" s="59"/>
      <c r="N35" s="42">
        <f t="shared" si="3"/>
        <v>217880</v>
      </c>
      <c r="O35" s="52"/>
      <c r="P35" s="48"/>
    </row>
    <row r="36" spans="2:16" x14ac:dyDescent="0.25">
      <c r="B36" s="4">
        <v>9</v>
      </c>
      <c r="C36" s="4" t="s">
        <v>25</v>
      </c>
      <c r="D36" s="4" t="s">
        <v>70</v>
      </c>
      <c r="E36" s="4" t="s">
        <v>71</v>
      </c>
      <c r="F36" s="4">
        <v>3</v>
      </c>
      <c r="G36" s="4">
        <v>14900</v>
      </c>
      <c r="H36" s="4">
        <v>12027</v>
      </c>
      <c r="I36" s="4">
        <v>-8.1</v>
      </c>
      <c r="J36" s="4" t="s">
        <v>61</v>
      </c>
      <c r="K36" s="4">
        <v>13.8</v>
      </c>
      <c r="L36" s="4">
        <v>74</v>
      </c>
      <c r="M36" s="49">
        <f>SUM(H36:H37)</f>
        <v>31400</v>
      </c>
      <c r="N36" s="16">
        <f t="shared" si="3"/>
        <v>889998</v>
      </c>
      <c r="O36" s="51">
        <f>SUM(N36:N37)/M36</f>
        <v>46.853121019108279</v>
      </c>
      <c r="P36" s="48"/>
    </row>
    <row r="37" spans="2:16" s="35" customFormat="1" x14ac:dyDescent="0.25">
      <c r="B37" s="34">
        <v>11</v>
      </c>
      <c r="C37" s="34" t="s">
        <v>74</v>
      </c>
      <c r="D37" s="34" t="s">
        <v>72</v>
      </c>
      <c r="E37" s="34" t="s">
        <v>71</v>
      </c>
      <c r="F37" s="34">
        <v>3</v>
      </c>
      <c r="G37" s="34">
        <v>24000</v>
      </c>
      <c r="H37" s="38">
        <v>19373</v>
      </c>
      <c r="I37" s="34">
        <v>-5.2</v>
      </c>
      <c r="J37" s="34" t="s">
        <v>61</v>
      </c>
      <c r="K37" s="34">
        <v>14.4</v>
      </c>
      <c r="L37" s="34">
        <v>30</v>
      </c>
      <c r="M37" s="50"/>
      <c r="N37" s="42">
        <f t="shared" si="3"/>
        <v>581190</v>
      </c>
      <c r="O37" s="52"/>
      <c r="P37" s="48"/>
    </row>
    <row r="38" spans="2:16" s="35" customFormat="1" x14ac:dyDescent="0.25">
      <c r="B38" s="34">
        <v>12</v>
      </c>
      <c r="C38" s="34" t="s">
        <v>75</v>
      </c>
      <c r="D38" s="34" t="s">
        <v>72</v>
      </c>
      <c r="E38" s="34" t="s">
        <v>76</v>
      </c>
      <c r="F38" s="34">
        <v>3</v>
      </c>
      <c r="G38" s="34">
        <v>3450</v>
      </c>
      <c r="H38" s="34">
        <v>4855</v>
      </c>
      <c r="I38" s="34">
        <v>-3</v>
      </c>
      <c r="J38" s="34" t="s">
        <v>61</v>
      </c>
      <c r="K38" s="34">
        <v>2.0699999999999998</v>
      </c>
      <c r="L38" s="34">
        <v>7</v>
      </c>
      <c r="M38" s="43">
        <f>H38</f>
        <v>4855</v>
      </c>
      <c r="N38" s="42">
        <f t="shared" si="3"/>
        <v>33985</v>
      </c>
      <c r="O38" s="42">
        <f>N38/M38</f>
        <v>7</v>
      </c>
      <c r="P38" s="34"/>
    </row>
  </sheetData>
  <mergeCells count="10">
    <mergeCell ref="P33:P35"/>
    <mergeCell ref="P36:P37"/>
    <mergeCell ref="M36:M37"/>
    <mergeCell ref="O36:O37"/>
    <mergeCell ref="O27:O28"/>
    <mergeCell ref="M27:M28"/>
    <mergeCell ref="M29:M31"/>
    <mergeCell ref="O29:O31"/>
    <mergeCell ref="M33:M35"/>
    <mergeCell ref="O33:O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3" sqref="F33"/>
    </sheetView>
  </sheetViews>
  <sheetFormatPr defaultRowHeight="15" x14ac:dyDescent="0.25"/>
  <cols>
    <col min="2" max="2" width="6.5703125" customWidth="1"/>
    <col min="3" max="3" width="14.85546875" customWidth="1"/>
    <col min="4" max="4" width="15.5703125" customWidth="1"/>
    <col min="11" max="11" width="17.42578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6"/>
  <sheetViews>
    <sheetView topLeftCell="A4" workbookViewId="0">
      <selection activeCell="E22" sqref="E22"/>
    </sheetView>
  </sheetViews>
  <sheetFormatPr defaultRowHeight="15" x14ac:dyDescent="0.25"/>
  <cols>
    <col min="2" max="2" width="5.42578125" bestFit="1" customWidth="1"/>
    <col min="3" max="3" width="11.140625" customWidth="1"/>
    <col min="4" max="4" width="18.42578125" customWidth="1"/>
    <col min="5" max="5" width="21" customWidth="1"/>
    <col min="6" max="6" width="15.7109375" customWidth="1"/>
    <col min="7" max="7" width="17.28515625" customWidth="1"/>
    <col min="8" max="8" width="9.140625" customWidth="1"/>
    <col min="9" max="9" width="21.85546875" customWidth="1"/>
    <col min="10" max="10" width="15.140625" customWidth="1"/>
    <col min="11" max="11" width="16" customWidth="1"/>
    <col min="12" max="12" width="28.5703125" customWidth="1"/>
    <col min="14" max="14" width="10.28515625" bestFit="1" customWidth="1"/>
  </cols>
  <sheetData>
    <row r="4" spans="2:14" ht="15.75" thickBot="1" x14ac:dyDescent="0.3"/>
    <row r="5" spans="2:14" ht="42.75" customHeight="1" x14ac:dyDescent="0.25">
      <c r="B5" s="18" t="s">
        <v>81</v>
      </c>
      <c r="C5" s="18" t="s">
        <v>82</v>
      </c>
      <c r="D5" s="18" t="s">
        <v>84</v>
      </c>
      <c r="E5" s="22" t="s">
        <v>84</v>
      </c>
      <c r="F5" s="22" t="s">
        <v>88</v>
      </c>
      <c r="G5" s="22" t="s">
        <v>90</v>
      </c>
      <c r="H5" s="22" t="s">
        <v>92</v>
      </c>
      <c r="I5" s="22" t="s">
        <v>94</v>
      </c>
      <c r="J5" s="22" t="s">
        <v>88</v>
      </c>
      <c r="K5" s="22" t="s">
        <v>96</v>
      </c>
      <c r="L5" s="22" t="s">
        <v>82</v>
      </c>
    </row>
    <row r="6" spans="2:14" ht="42.75" customHeight="1" x14ac:dyDescent="0.25">
      <c r="B6" s="19"/>
      <c r="C6" s="19" t="s">
        <v>83</v>
      </c>
      <c r="D6" s="19" t="s">
        <v>85</v>
      </c>
      <c r="E6" s="23" t="s">
        <v>87</v>
      </c>
      <c r="F6" s="23" t="s">
        <v>89</v>
      </c>
      <c r="G6" s="23" t="s">
        <v>91</v>
      </c>
      <c r="H6" s="23" t="s">
        <v>93</v>
      </c>
      <c r="I6" s="23" t="s">
        <v>93</v>
      </c>
      <c r="J6" s="23" t="s">
        <v>95</v>
      </c>
      <c r="K6" s="23" t="s">
        <v>55</v>
      </c>
      <c r="L6" s="23" t="s">
        <v>97</v>
      </c>
    </row>
    <row r="7" spans="2:14" ht="15.75" thickBot="1" x14ac:dyDescent="0.3">
      <c r="B7" s="21"/>
      <c r="C7" s="20"/>
      <c r="D7" s="21" t="s">
        <v>86</v>
      </c>
      <c r="E7" s="24"/>
      <c r="F7" s="25" t="s">
        <v>86</v>
      </c>
      <c r="G7" s="24"/>
      <c r="H7" s="24"/>
      <c r="I7" s="24"/>
      <c r="J7" s="25" t="s">
        <v>55</v>
      </c>
      <c r="K7" s="24"/>
      <c r="L7" s="24"/>
    </row>
    <row r="8" spans="2:14" ht="15.75" thickBot="1" x14ac:dyDescent="0.3">
      <c r="B8" s="31" t="s">
        <v>24</v>
      </c>
      <c r="C8" s="26" t="s">
        <v>98</v>
      </c>
      <c r="D8" s="27">
        <v>3218</v>
      </c>
      <c r="E8" s="27">
        <v>7357</v>
      </c>
      <c r="F8" s="27">
        <v>1165</v>
      </c>
      <c r="G8" s="28">
        <v>0.36</v>
      </c>
      <c r="H8" s="27">
        <v>2663</v>
      </c>
      <c r="I8" s="28">
        <v>0.36</v>
      </c>
      <c r="J8" s="26">
        <v>0.06</v>
      </c>
      <c r="K8" s="26">
        <v>0.57699999999999996</v>
      </c>
      <c r="L8" s="26">
        <v>1</v>
      </c>
    </row>
    <row r="9" spans="2:14" ht="15.75" thickBot="1" x14ac:dyDescent="0.3">
      <c r="B9" s="31" t="s">
        <v>100</v>
      </c>
      <c r="C9" s="26" t="s">
        <v>99</v>
      </c>
      <c r="D9" s="27">
        <v>6404</v>
      </c>
      <c r="E9" s="27">
        <v>4643</v>
      </c>
      <c r="F9" s="27">
        <v>2259</v>
      </c>
      <c r="G9" s="28">
        <v>0.35</v>
      </c>
      <c r="H9" s="27">
        <v>1638</v>
      </c>
      <c r="I9" s="28">
        <v>0.35</v>
      </c>
      <c r="J9" s="26">
        <v>0.11600000000000001</v>
      </c>
      <c r="K9" s="26">
        <v>1.2</v>
      </c>
      <c r="L9" s="26">
        <v>9</v>
      </c>
    </row>
    <row r="10" spans="2:14" ht="15.75" thickBot="1" x14ac:dyDescent="0.3">
      <c r="B10" s="31" t="s">
        <v>75</v>
      </c>
      <c r="C10" s="26" t="s">
        <v>99</v>
      </c>
      <c r="D10" s="27">
        <v>4176</v>
      </c>
      <c r="E10" s="27">
        <v>4514</v>
      </c>
      <c r="F10" s="26">
        <v>884</v>
      </c>
      <c r="G10" s="28">
        <v>0.21</v>
      </c>
      <c r="H10" s="26">
        <v>956</v>
      </c>
      <c r="I10" s="28">
        <v>0.21</v>
      </c>
      <c r="J10" s="26">
        <v>4.5999999999999999E-2</v>
      </c>
      <c r="K10" s="26">
        <v>0.41499999999999998</v>
      </c>
      <c r="L10" s="30">
        <v>0</v>
      </c>
      <c r="N10" s="29"/>
    </row>
    <row r="11" spans="2:14" ht="15.75" thickBot="1" x14ac:dyDescent="0.3">
      <c r="B11" s="31" t="s">
        <v>25</v>
      </c>
      <c r="C11" s="26" t="s">
        <v>99</v>
      </c>
      <c r="D11" s="27">
        <v>6886</v>
      </c>
      <c r="E11" s="27">
        <v>4573</v>
      </c>
      <c r="F11" s="27">
        <v>2060</v>
      </c>
      <c r="G11" s="28">
        <v>0.3</v>
      </c>
      <c r="H11" s="27">
        <v>1368</v>
      </c>
      <c r="I11" s="28">
        <v>0.3</v>
      </c>
      <c r="J11" s="26">
        <v>0.106</v>
      </c>
      <c r="K11" s="26">
        <v>1.4379999999999999</v>
      </c>
      <c r="L11" s="26">
        <v>38</v>
      </c>
    </row>
    <row r="14" spans="2:14" x14ac:dyDescent="0.25">
      <c r="H14" s="36">
        <f>H9+H10</f>
        <v>2594</v>
      </c>
      <c r="K14" s="37">
        <f>K9+K10</f>
        <v>1.615</v>
      </c>
      <c r="L14" s="36">
        <f>SUMPRODUCT(L9:L10, H9:H10)/SUM(H9:H10)</f>
        <v>5.6831148804934468</v>
      </c>
    </row>
    <row r="66" spans="4:4" x14ac:dyDescent="0.25">
      <c r="D66" t="e">
        <f>'Opp#5'!L14=su</f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12" sqref="C12"/>
    </sheetView>
  </sheetViews>
  <sheetFormatPr defaultRowHeight="15" x14ac:dyDescent="0.25"/>
  <cols>
    <col min="2" max="2" width="5.42578125" customWidth="1"/>
    <col min="3" max="3" width="38.7109375" customWidth="1"/>
    <col min="4" max="4" width="10.140625" customWidth="1"/>
    <col min="5" max="5" width="12.7109375" customWidth="1"/>
    <col min="6" max="6" width="19.85546875" bestFit="1" customWidth="1"/>
    <col min="7" max="7" width="20" customWidth="1"/>
    <col min="8" max="8" width="18.42578125" customWidth="1"/>
    <col min="10" max="10" width="23.28515625" bestFit="1" customWidth="1"/>
  </cols>
  <sheetData>
    <row r="2" spans="2:10" x14ac:dyDescent="0.25">
      <c r="B2" s="4"/>
      <c r="C2" s="4"/>
      <c r="D2" s="5" t="s">
        <v>22</v>
      </c>
      <c r="E2" s="5" t="s">
        <v>36</v>
      </c>
      <c r="F2" s="6" t="s">
        <v>1</v>
      </c>
      <c r="G2" s="6" t="s">
        <v>3</v>
      </c>
      <c r="H2" s="5" t="s">
        <v>17</v>
      </c>
      <c r="I2" s="5" t="s">
        <v>4</v>
      </c>
      <c r="J2" s="5" t="s">
        <v>18</v>
      </c>
    </row>
    <row r="3" spans="2:10" x14ac:dyDescent="0.25">
      <c r="B3" s="4"/>
      <c r="C3" s="4"/>
      <c r="D3" s="4"/>
      <c r="E3" s="12" t="s">
        <v>26</v>
      </c>
      <c r="F3" s="13" t="s">
        <v>27</v>
      </c>
      <c r="G3" s="13" t="s">
        <v>28</v>
      </c>
      <c r="H3" s="12" t="s">
        <v>20</v>
      </c>
      <c r="I3" s="12" t="s">
        <v>20</v>
      </c>
      <c r="J3" s="12" t="s">
        <v>19</v>
      </c>
    </row>
    <row r="4" spans="2:10" x14ac:dyDescent="0.25">
      <c r="B4" s="4">
        <v>1</v>
      </c>
      <c r="C4" s="4" t="s">
        <v>34</v>
      </c>
      <c r="D4" s="4" t="s">
        <v>35</v>
      </c>
      <c r="E4" s="4">
        <v>23</v>
      </c>
      <c r="F4" s="7">
        <v>386</v>
      </c>
      <c r="G4" s="7">
        <v>54.295999999999999</v>
      </c>
      <c r="H4" s="7">
        <f>F4*G4/1000</f>
        <v>20.958256000000002</v>
      </c>
      <c r="I4" s="7">
        <v>38.200000000000003</v>
      </c>
      <c r="J4" s="8">
        <f>I4/E4</f>
        <v>1.6608695652173915</v>
      </c>
    </row>
    <row r="5" spans="2:10" x14ac:dyDescent="0.25">
      <c r="B5" s="4"/>
      <c r="C5" s="9" t="s">
        <v>2</v>
      </c>
      <c r="D5" s="9"/>
      <c r="E5" s="7">
        <f>SUM(E4:E4)</f>
        <v>23</v>
      </c>
      <c r="F5" s="4"/>
      <c r="G5" s="7">
        <f>SUM(G4:G4)</f>
        <v>54.295999999999999</v>
      </c>
      <c r="H5" s="7">
        <f>SUM(H4:H4)</f>
        <v>20.958256000000002</v>
      </c>
      <c r="I5" s="7">
        <f>SUM(I4:I4)</f>
        <v>38.200000000000003</v>
      </c>
      <c r="J5" s="4"/>
    </row>
    <row r="6" spans="2:10" x14ac:dyDescent="0.25">
      <c r="C6" s="3"/>
      <c r="D6" s="3"/>
      <c r="F6" s="1"/>
      <c r="G6" s="1"/>
      <c r="H6" s="1"/>
      <c r="I6" s="2"/>
    </row>
    <row r="7" spans="2:10" x14ac:dyDescent="0.25">
      <c r="C7" s="10"/>
      <c r="D7" s="10"/>
    </row>
    <row r="9" spans="2:10" x14ac:dyDescent="0.25">
      <c r="B9" s="4" t="s">
        <v>5</v>
      </c>
      <c r="C9" s="4"/>
      <c r="D9" s="4" t="s">
        <v>6</v>
      </c>
      <c r="E9" s="7">
        <f>H5*1000/G5</f>
        <v>386</v>
      </c>
    </row>
    <row r="10" spans="2:10" x14ac:dyDescent="0.25">
      <c r="B10" s="4" t="s">
        <v>7</v>
      </c>
      <c r="C10" s="4"/>
      <c r="D10" s="4" t="s">
        <v>9</v>
      </c>
      <c r="E10" s="7">
        <f>G5*1000/E5</f>
        <v>2360.695652173913</v>
      </c>
    </row>
    <row r="11" spans="2:10" x14ac:dyDescent="0.25">
      <c r="B11" s="4" t="s">
        <v>8</v>
      </c>
      <c r="C11" s="4"/>
      <c r="D11" s="4" t="s">
        <v>10</v>
      </c>
      <c r="E11" s="11">
        <f>I5/E5</f>
        <v>1.6608695652173915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H16" sqref="H16"/>
    </sheetView>
  </sheetViews>
  <sheetFormatPr defaultRowHeight="15" x14ac:dyDescent="0.25"/>
  <cols>
    <col min="2" max="2" width="5.42578125" customWidth="1"/>
    <col min="3" max="3" width="38.7109375" customWidth="1"/>
    <col min="4" max="4" width="10.140625" customWidth="1"/>
    <col min="5" max="5" width="17.42578125" customWidth="1"/>
    <col min="6" max="6" width="19.85546875" bestFit="1" customWidth="1"/>
    <col min="7" max="7" width="20" customWidth="1"/>
    <col min="8" max="8" width="18.42578125" customWidth="1"/>
    <col min="10" max="10" width="23.28515625" bestFit="1" customWidth="1"/>
  </cols>
  <sheetData>
    <row r="2" spans="2:10" x14ac:dyDescent="0.25">
      <c r="B2" s="4"/>
      <c r="C2" s="4"/>
      <c r="D2" s="5" t="s">
        <v>22</v>
      </c>
      <c r="E2" s="5" t="s">
        <v>14</v>
      </c>
      <c r="F2" s="6" t="s">
        <v>1</v>
      </c>
      <c r="G2" s="6" t="s">
        <v>3</v>
      </c>
      <c r="H2" s="5" t="s">
        <v>17</v>
      </c>
      <c r="I2" s="5" t="s">
        <v>4</v>
      </c>
      <c r="J2" s="5" t="s">
        <v>18</v>
      </c>
    </row>
    <row r="3" spans="2:10" x14ac:dyDescent="0.25">
      <c r="B3" s="4"/>
      <c r="C3" s="4"/>
      <c r="D3" s="4"/>
      <c r="E3" s="12" t="s">
        <v>26</v>
      </c>
      <c r="F3" s="13" t="s">
        <v>27</v>
      </c>
      <c r="G3" s="13" t="s">
        <v>28</v>
      </c>
      <c r="H3" s="12" t="s">
        <v>20</v>
      </c>
      <c r="I3" s="12" t="s">
        <v>20</v>
      </c>
      <c r="J3" s="12" t="s">
        <v>19</v>
      </c>
    </row>
    <row r="4" spans="2:10" x14ac:dyDescent="0.25">
      <c r="B4" s="4">
        <v>1</v>
      </c>
      <c r="C4" s="4" t="s">
        <v>37</v>
      </c>
      <c r="D4" s="4" t="s">
        <v>41</v>
      </c>
      <c r="E4" s="12">
        <v>3.3</v>
      </c>
      <c r="F4" s="13">
        <v>-35.4</v>
      </c>
      <c r="G4" s="13">
        <v>4.38</v>
      </c>
      <c r="H4" s="12">
        <f>F4*G4/1000</f>
        <v>-0.155052</v>
      </c>
      <c r="I4" s="12">
        <v>11.55</v>
      </c>
      <c r="J4" s="12">
        <f>I4/E4</f>
        <v>3.5000000000000004</v>
      </c>
    </row>
    <row r="5" spans="2:10" x14ac:dyDescent="0.25">
      <c r="B5" s="4">
        <v>2</v>
      </c>
      <c r="C5" s="4" t="s">
        <v>38</v>
      </c>
      <c r="D5" s="4" t="s">
        <v>41</v>
      </c>
      <c r="E5" s="12">
        <v>6</v>
      </c>
      <c r="F5" s="13">
        <v>-108</v>
      </c>
      <c r="G5" s="13">
        <v>5.57</v>
      </c>
      <c r="H5" s="12">
        <f>F5*G5/1000</f>
        <v>-0.60156000000000009</v>
      </c>
      <c r="I5" s="12">
        <v>12</v>
      </c>
      <c r="J5" s="12">
        <f>I5/E5</f>
        <v>2</v>
      </c>
    </row>
    <row r="6" spans="2:10" x14ac:dyDescent="0.25">
      <c r="B6" s="4">
        <v>3</v>
      </c>
      <c r="C6" s="4" t="s">
        <v>39</v>
      </c>
      <c r="D6" s="4" t="s">
        <v>40</v>
      </c>
      <c r="E6" s="9" t="s">
        <v>42</v>
      </c>
      <c r="F6" s="7">
        <v>49.36</v>
      </c>
      <c r="G6" s="8">
        <f>90/1000</f>
        <v>0.09</v>
      </c>
      <c r="H6" s="14">
        <f>F6*G6/1000</f>
        <v>4.4424E-3</v>
      </c>
      <c r="I6" s="14">
        <v>0.39600000000000002</v>
      </c>
      <c r="J6" s="8" t="s">
        <v>43</v>
      </c>
    </row>
    <row r="7" spans="2:10" x14ac:dyDescent="0.25">
      <c r="B7" s="4"/>
      <c r="C7" s="9" t="s">
        <v>2</v>
      </c>
      <c r="D7" s="9"/>
      <c r="E7" s="7">
        <f>SUM(E6:E6)</f>
        <v>0</v>
      </c>
      <c r="F7" s="4"/>
      <c r="G7" s="7">
        <f>SUM(G4:G6)</f>
        <v>10.039999999999999</v>
      </c>
      <c r="H7" s="8">
        <f>SUM(H4:H6)</f>
        <v>-0.7521696000000001</v>
      </c>
      <c r="I7" s="7">
        <f>SUM(I6:I6)</f>
        <v>0.39600000000000002</v>
      </c>
      <c r="J7" s="4"/>
    </row>
    <row r="8" spans="2:10" x14ac:dyDescent="0.25">
      <c r="C8" s="3"/>
      <c r="D8" s="3"/>
      <c r="F8" s="1"/>
      <c r="G8" s="1"/>
      <c r="H8" s="1"/>
      <c r="I8" s="2"/>
    </row>
    <row r="9" spans="2:10" x14ac:dyDescent="0.25">
      <c r="C9" s="10"/>
      <c r="D9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F20" sqref="F20"/>
    </sheetView>
  </sheetViews>
  <sheetFormatPr defaultRowHeight="15" x14ac:dyDescent="0.25"/>
  <cols>
    <col min="2" max="2" width="5.42578125" customWidth="1"/>
    <col min="3" max="3" width="38.7109375" customWidth="1"/>
    <col min="4" max="4" width="10.140625" customWidth="1"/>
    <col min="5" max="5" width="12.7109375" customWidth="1"/>
    <col min="6" max="6" width="19.85546875" bestFit="1" customWidth="1"/>
    <col min="7" max="7" width="20" customWidth="1"/>
    <col min="8" max="8" width="18.42578125" customWidth="1"/>
    <col min="10" max="10" width="23.28515625" bestFit="1" customWidth="1"/>
  </cols>
  <sheetData>
    <row r="2" spans="2:10" x14ac:dyDescent="0.25">
      <c r="B2" s="4"/>
      <c r="C2" s="4"/>
      <c r="D2" s="5" t="s">
        <v>22</v>
      </c>
      <c r="E2" s="5" t="s">
        <v>36</v>
      </c>
      <c r="F2" s="6" t="s">
        <v>1</v>
      </c>
      <c r="G2" s="6" t="s">
        <v>3</v>
      </c>
      <c r="H2" s="5" t="s">
        <v>17</v>
      </c>
      <c r="I2" s="5" t="s">
        <v>4</v>
      </c>
      <c r="J2" s="5" t="s">
        <v>18</v>
      </c>
    </row>
    <row r="3" spans="2:10" x14ac:dyDescent="0.25">
      <c r="B3" s="4"/>
      <c r="C3" s="4"/>
      <c r="D3" s="4"/>
      <c r="E3" s="12"/>
      <c r="F3" s="13" t="s">
        <v>27</v>
      </c>
      <c r="G3" s="13" t="s">
        <v>28</v>
      </c>
      <c r="H3" s="12" t="s">
        <v>20</v>
      </c>
      <c r="I3" s="12" t="s">
        <v>20</v>
      </c>
      <c r="J3" s="12" t="s">
        <v>19</v>
      </c>
    </row>
    <row r="4" spans="2:10" x14ac:dyDescent="0.25">
      <c r="B4" s="4">
        <v>1</v>
      </c>
      <c r="C4" s="4" t="s">
        <v>122</v>
      </c>
      <c r="D4" s="4" t="s">
        <v>13</v>
      </c>
      <c r="E4" s="4"/>
      <c r="F4" s="7">
        <v>1307</v>
      </c>
      <c r="G4" s="7">
        <v>29.4</v>
      </c>
      <c r="H4" s="14">
        <f>38446/1000000</f>
        <v>3.8446000000000001E-2</v>
      </c>
      <c r="I4" s="8">
        <v>0.41</v>
      </c>
      <c r="J4" s="8" t="e">
        <f>I4/E4</f>
        <v>#DIV/0!</v>
      </c>
    </row>
    <row r="5" spans="2:10" x14ac:dyDescent="0.25">
      <c r="B5" s="4"/>
      <c r="C5" s="9" t="s">
        <v>2</v>
      </c>
      <c r="D5" s="9"/>
      <c r="E5" s="7"/>
      <c r="F5" s="4"/>
      <c r="G5" s="7">
        <f>SUM(G4:G4)</f>
        <v>29.4</v>
      </c>
      <c r="H5" s="14">
        <f>SUM(H4:H4)</f>
        <v>3.8446000000000001E-2</v>
      </c>
      <c r="I5" s="8">
        <f>SUM(I4:I4)</f>
        <v>0.41</v>
      </c>
      <c r="J5" s="4"/>
    </row>
    <row r="6" spans="2:10" x14ac:dyDescent="0.25">
      <c r="C6" s="3"/>
      <c r="D6" s="3"/>
      <c r="F6" s="1"/>
      <c r="G6" s="1"/>
      <c r="H6" s="1"/>
      <c r="I6" s="2"/>
    </row>
    <row r="7" spans="2:10" x14ac:dyDescent="0.25">
      <c r="C7" s="10"/>
      <c r="D7" s="10"/>
    </row>
    <row r="9" spans="2:10" x14ac:dyDescent="0.25">
      <c r="B9" s="4" t="s">
        <v>5</v>
      </c>
      <c r="C9" s="4"/>
      <c r="D9" s="4" t="s">
        <v>6</v>
      </c>
      <c r="E9" s="7">
        <f>H5*1000/G5</f>
        <v>1.3076870748299321</v>
      </c>
    </row>
    <row r="10" spans="2:10" x14ac:dyDescent="0.25">
      <c r="B10" s="4" t="s">
        <v>7</v>
      </c>
      <c r="C10" s="4"/>
      <c r="D10" s="4" t="s">
        <v>9</v>
      </c>
      <c r="E10" s="7" t="e">
        <f>G5*1000/E5</f>
        <v>#DIV/0!</v>
      </c>
    </row>
    <row r="11" spans="2:10" x14ac:dyDescent="0.25">
      <c r="B11" s="4" t="s">
        <v>8</v>
      </c>
      <c r="C11" s="4"/>
      <c r="D11" s="4" t="s">
        <v>10</v>
      </c>
      <c r="E11" s="11" t="e">
        <f>I5/E5</f>
        <v>#DIV/0!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D24"/>
  <sheetViews>
    <sheetView workbookViewId="0">
      <selection activeCell="M16" sqref="M16"/>
    </sheetView>
  </sheetViews>
  <sheetFormatPr defaultRowHeight="15" x14ac:dyDescent="0.25"/>
  <cols>
    <col min="2" max="2" width="29.7109375" customWidth="1"/>
  </cols>
  <sheetData>
    <row r="10" spans="2:4" x14ac:dyDescent="0.25">
      <c r="B10" t="s">
        <v>34</v>
      </c>
    </row>
    <row r="11" spans="2:4" x14ac:dyDescent="0.25">
      <c r="B11" t="s">
        <v>104</v>
      </c>
    </row>
    <row r="14" spans="2:4" x14ac:dyDescent="0.25">
      <c r="B14" t="s">
        <v>0</v>
      </c>
      <c r="D14" s="3">
        <v>1</v>
      </c>
    </row>
    <row r="15" spans="2:4" x14ac:dyDescent="0.25">
      <c r="B15" t="s">
        <v>107</v>
      </c>
      <c r="D15" s="3">
        <v>2</v>
      </c>
    </row>
    <row r="16" spans="2:4" x14ac:dyDescent="0.25">
      <c r="B16" t="s">
        <v>108</v>
      </c>
      <c r="D16" s="3" t="s">
        <v>105</v>
      </c>
    </row>
    <row r="17" spans="2:4" x14ac:dyDescent="0.25">
      <c r="B17" t="s">
        <v>101</v>
      </c>
      <c r="D17" s="3">
        <v>5</v>
      </c>
    </row>
    <row r="18" spans="2:4" x14ac:dyDescent="0.25">
      <c r="B18" t="s">
        <v>109</v>
      </c>
      <c r="D18" s="3">
        <v>6</v>
      </c>
    </row>
    <row r="19" spans="2:4" x14ac:dyDescent="0.25">
      <c r="B19" t="s">
        <v>34</v>
      </c>
      <c r="D19" s="3">
        <v>7</v>
      </c>
    </row>
    <row r="20" spans="2:4" x14ac:dyDescent="0.25">
      <c r="B20" t="s">
        <v>111</v>
      </c>
      <c r="D20" s="3">
        <v>8</v>
      </c>
    </row>
    <row r="21" spans="2:4" x14ac:dyDescent="0.25">
      <c r="B21" t="s">
        <v>112</v>
      </c>
      <c r="D21" s="3">
        <v>9</v>
      </c>
    </row>
    <row r="22" spans="2:4" x14ac:dyDescent="0.25">
      <c r="B22" t="s">
        <v>110</v>
      </c>
      <c r="D22" s="3">
        <v>12</v>
      </c>
    </row>
    <row r="23" spans="2:4" x14ac:dyDescent="0.25">
      <c r="B23" t="s">
        <v>106</v>
      </c>
      <c r="D23" s="3">
        <v>13</v>
      </c>
    </row>
    <row r="24" spans="2:4" x14ac:dyDescent="0.25">
      <c r="D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Opp#1</vt:lpstr>
      <vt:lpstr>Opp#2</vt:lpstr>
      <vt:lpstr>Opp#3 and 4</vt:lpstr>
      <vt:lpstr>Opp#5</vt:lpstr>
      <vt:lpstr>Opp #7</vt:lpstr>
      <vt:lpstr>Opp #8, #9, #12</vt:lpstr>
      <vt:lpstr>Opp #13</vt:lpstr>
      <vt:lpstr>Sheet2</vt:lpstr>
    </vt:vector>
  </TitlesOfParts>
  <Company>Bilfinger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Raheja, Sandeep (Tebodin Middle East Ltd.)</dc:creator>
  <cp:lastModifiedBy>Palanivel, Prasanna (Tebodin Middle East Ltd.)</cp:lastModifiedBy>
  <dcterms:created xsi:type="dcterms:W3CDTF">2023-08-07T09:02:17Z</dcterms:created>
  <dcterms:modified xsi:type="dcterms:W3CDTF">2023-08-29T03:58:41Z</dcterms:modified>
</cp:coreProperties>
</file>