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ietcost\"/>
    </mc:Choice>
  </mc:AlternateContent>
  <xr:revisionPtr revIDLastSave="0" documentId="13_ncr:1_{76C88597-A557-421A-96EF-B76C7A96E8DF}" xr6:coauthVersionLast="45" xr6:coauthVersionMax="45" xr10:uidLastSave="{00000000-0000-0000-0000-000000000000}"/>
  <bookViews>
    <workbookView xWindow="-120" yWindow="-120" windowWidth="20730" windowHeight="11760" tabRatio="500" firstSheet="5" activeTab="7" xr2:uid="{00000000-000D-0000-FFFF-FFFF00000000}"/>
  </bookViews>
  <sheets>
    <sheet name="common foods" sheetId="1" r:id="rId1"/>
    <sheet name="edible cooking yield factors" sheetId="2" r:id="rId2"/>
    <sheet name="nutrients" sheetId="3" r:id="rId3"/>
    <sheet name="nutrient targets" sheetId="4" r:id="rId4"/>
    <sheet name="Constraints Healthy" sheetId="5" r:id="rId5"/>
    <sheet name="Constraints Current" sheetId="6" r:id="rId6"/>
    <sheet name="Constraints Planetary_F" sheetId="7" r:id="rId7"/>
    <sheet name="Constraints Planetary_V" sheetId="8" r:id="rId8"/>
    <sheet name="food prices" sheetId="9" r:id="rId9"/>
    <sheet name="food prices to use" sheetId="10" r:id="rId10"/>
    <sheet name="food waste" sheetId="11" r:id="rId11"/>
  </sheets>
  <definedNames>
    <definedName name="_AMO_UniqueIdentifier">"'f0b3fdd2-b6e7-4029-bd4c-8658e482160f'"</definedName>
    <definedName name="_xlnm._FilterDatabase" localSheetId="0" hidden="1">'common foods'!$A$1:$H$193</definedName>
    <definedName name="_xlnm._FilterDatabase" localSheetId="9" hidden="1">'food prices to use'!$A$1:$D$186</definedName>
    <definedName name="_xlnm._FilterDatabase" localSheetId="2" hidden="1">nutrients!$K$1:$K$193</definedName>
    <definedName name="_GoBack" localSheetId="3">'nutrient targets'!$I$62</definedName>
    <definedName name="FL_1_12" localSheetId="9">'food prices to use'!#REF!</definedName>
    <definedName name="FL_10_12" localSheetId="9">'food prices to use'!$B$9</definedName>
    <definedName name="FL_100_12" localSheetId="9">'food prices to use'!$B$96</definedName>
    <definedName name="FL_101_12" localSheetId="9">'food prices to use'!$B$97</definedName>
    <definedName name="FL_102_12" localSheetId="9">'food prices to use'!$B$100</definedName>
    <definedName name="FL_103_12" localSheetId="9">'food prices to use'!$B$101</definedName>
    <definedName name="FL_104_12" localSheetId="9">'food prices to use'!$B$102</definedName>
    <definedName name="FL_105_12" localSheetId="9">'food prices to use'!$B$103</definedName>
    <definedName name="FL_106_12" localSheetId="9">'food prices to use'!$B$104</definedName>
    <definedName name="FL_107_12" localSheetId="9">'food prices to use'!$B$105</definedName>
    <definedName name="FL_108_12" localSheetId="9">'food prices to use'!$B$106</definedName>
    <definedName name="FL_109_12" localSheetId="9">'food prices to use'!$B$107</definedName>
    <definedName name="FL_11_12" localSheetId="9">'food prices to use'!$B$11</definedName>
    <definedName name="FL_110_12" localSheetId="9">'food prices to use'!$B$108</definedName>
    <definedName name="FL_111_12" localSheetId="9">'food prices to use'!$B$109</definedName>
    <definedName name="FL_112_12" localSheetId="9">'food prices to use'!$B$110</definedName>
    <definedName name="FL_113_12" localSheetId="9">'food prices to use'!$B$111</definedName>
    <definedName name="FL_114_12" localSheetId="9">'food prices to use'!$B$112</definedName>
    <definedName name="FL_115_12" localSheetId="9">'food prices to use'!$B$113</definedName>
    <definedName name="FL_116_12" localSheetId="9">'food prices to use'!#REF!</definedName>
    <definedName name="FL_117_12" localSheetId="9">'food prices to use'!$B$114</definedName>
    <definedName name="FL_118_12" localSheetId="9">'food prices to use'!$B$115</definedName>
    <definedName name="FL_119_12" localSheetId="9">'food prices to use'!$B$116</definedName>
    <definedName name="FL_12_12" localSheetId="9">'food prices to use'!$B$12</definedName>
    <definedName name="FL_120_12" localSheetId="9">'food prices to use'!$B$117</definedName>
    <definedName name="FL_121_12" localSheetId="9">'food prices to use'!$B$118</definedName>
    <definedName name="FL_122_12" localSheetId="9">'food prices to use'!$B$119</definedName>
    <definedName name="FL_123_12" localSheetId="9">'food prices to use'!$B$120</definedName>
    <definedName name="FL_124_12" localSheetId="9">'food prices to use'!$B$121</definedName>
    <definedName name="FL_125_12" localSheetId="9">'food prices to use'!$B$122</definedName>
    <definedName name="FL_126_12" localSheetId="9">'food prices to use'!$B$123</definedName>
    <definedName name="FL_127_12" localSheetId="9">'food prices to use'!$B$124</definedName>
    <definedName name="FL_128_12" localSheetId="9">'food prices to use'!$B$125</definedName>
    <definedName name="FL_129_12" localSheetId="9">'food prices to use'!$B$126</definedName>
    <definedName name="FL_13_12" localSheetId="9">'food prices to use'!$B$13</definedName>
    <definedName name="FL_130_12" localSheetId="9">'food prices to use'!$B$127</definedName>
    <definedName name="FL_131_12" localSheetId="9">'food prices to use'!#REF!</definedName>
    <definedName name="FL_132_12" localSheetId="9">'food prices to use'!$B$128</definedName>
    <definedName name="FL_133_12" localSheetId="9">'food prices to use'!$B$129</definedName>
    <definedName name="FL_134_12" localSheetId="9">'food prices to use'!$B$130</definedName>
    <definedName name="FL_135_12" localSheetId="9">'food prices to use'!$B$131</definedName>
    <definedName name="FL_136_12" localSheetId="9">'food prices to use'!$B$132</definedName>
    <definedName name="FL_137_12" localSheetId="9">'food prices to use'!$B$133</definedName>
    <definedName name="FL_138_12" localSheetId="9">'food prices to use'!$B$134</definedName>
    <definedName name="FL_139_12" localSheetId="9">'food prices to use'!$B$135</definedName>
    <definedName name="FL_14_12" localSheetId="9">'food prices to use'!$B$14</definedName>
    <definedName name="FL_140_12" localSheetId="9">'food prices to use'!$B$136</definedName>
    <definedName name="FL_141_12" localSheetId="9">'food prices to use'!$B$137</definedName>
    <definedName name="FL_142_12" localSheetId="9">'food prices to use'!$B$138</definedName>
    <definedName name="FL_143_12" localSheetId="9">'food prices to use'!$B$139</definedName>
    <definedName name="FL_144_12" localSheetId="9">'food prices to use'!$B$140</definedName>
    <definedName name="FL_145_12" localSheetId="9">'food prices to use'!$B$143</definedName>
    <definedName name="FL_146_12" localSheetId="9">'food prices to use'!$B$144</definedName>
    <definedName name="FL_147_12" localSheetId="9">'food prices to use'!$B$145</definedName>
    <definedName name="FL_148_12" localSheetId="9">'food prices to use'!$B$146</definedName>
    <definedName name="FL_149_12" localSheetId="9">'food prices to use'!$B$147</definedName>
    <definedName name="FL_15_12" localSheetId="9">'food prices to use'!$B$15</definedName>
    <definedName name="FL_150_12" localSheetId="9">'food prices to use'!$B$148</definedName>
    <definedName name="FL_151_12" localSheetId="9">'food prices to use'!$B$149</definedName>
    <definedName name="FL_152_12" localSheetId="9">'food prices to use'!$B$150</definedName>
    <definedName name="FL_153_12" localSheetId="9">'food prices to use'!$B$151</definedName>
    <definedName name="FL_154_12" localSheetId="9">'food prices to use'!$B$152</definedName>
    <definedName name="FL_155_12" localSheetId="9">'food prices to use'!$B$153</definedName>
    <definedName name="FL_156_12" localSheetId="9">'food prices to use'!$B$154</definedName>
    <definedName name="FL_157_12" localSheetId="9">'food prices to use'!#REF!</definedName>
    <definedName name="FL_158_12" localSheetId="9">'food prices to use'!$B$155</definedName>
    <definedName name="FL_159_12" localSheetId="9">'food prices to use'!$B$158</definedName>
    <definedName name="FL_16_12" localSheetId="9">'food prices to use'!$B$16</definedName>
    <definedName name="FL_160_12" localSheetId="9">'food prices to use'!$B$159</definedName>
    <definedName name="FL_161_12" localSheetId="9">'food prices to use'!$B$160</definedName>
    <definedName name="FL_162_12" localSheetId="9">'food prices to use'!$B$161</definedName>
    <definedName name="FL_163_12" localSheetId="9">'food prices to use'!$B$162</definedName>
    <definedName name="FL_164_12" localSheetId="9">'food prices to use'!$B$165</definedName>
    <definedName name="FL_165_12" localSheetId="9">'food prices to use'!$B$166</definedName>
    <definedName name="FL_166_12" localSheetId="9">'food prices to use'!$B$167</definedName>
    <definedName name="FL_167_12" localSheetId="9">'food prices to use'!$B$168</definedName>
    <definedName name="FL_168_12" localSheetId="9">'food prices to use'!$B$169</definedName>
    <definedName name="FL_169_12" localSheetId="9">'food prices to use'!$B$170</definedName>
    <definedName name="FL_17_12" localSheetId="9">'food prices to use'!$B$17</definedName>
    <definedName name="FL_170_12" localSheetId="9">'food prices to use'!$B$171</definedName>
    <definedName name="FL_171_12" localSheetId="9">'food prices to use'!$B$172</definedName>
    <definedName name="FL_172_12" localSheetId="9">'food prices to use'!$B$173</definedName>
    <definedName name="FL_173_12" localSheetId="9">'food prices to use'!$B$174</definedName>
    <definedName name="FL_174_12" localSheetId="9">'food prices to use'!$B$175</definedName>
    <definedName name="FL_175_12" localSheetId="9">'food prices to use'!$B$178</definedName>
    <definedName name="FL_176_12" localSheetId="9">'food prices to use'!$B$179</definedName>
    <definedName name="FL_177_12" localSheetId="9">'food prices to use'!$B$180</definedName>
    <definedName name="FL_178_12" localSheetId="9">'food prices to use'!$B$181</definedName>
    <definedName name="FL_179_12" localSheetId="9">'food prices to use'!$B$182</definedName>
    <definedName name="FL_18_12" localSheetId="9">'food prices to use'!$B$18</definedName>
    <definedName name="FL_180_12" localSheetId="9">'food prices to use'!$B$183</definedName>
    <definedName name="FL_181_12" localSheetId="9">'food prices to use'!$B$184</definedName>
    <definedName name="FL_182_12" localSheetId="9">'food prices to use'!$B$185</definedName>
    <definedName name="FL_183_12" localSheetId="9">'food prices to use'!$B$186</definedName>
    <definedName name="FL_184_12" localSheetId="9">'food prices to use'!$B$187</definedName>
    <definedName name="FL_185_12" localSheetId="9">'food prices to use'!$B$188</definedName>
    <definedName name="FL_186_12" localSheetId="9">'food prices to use'!$B$189</definedName>
    <definedName name="FL_187_12" localSheetId="9">'food prices to use'!$B$190</definedName>
    <definedName name="FL_188_12" localSheetId="9">'food prices to use'!#REF!</definedName>
    <definedName name="FL_189_12" localSheetId="9">'food prices to use'!$B$191</definedName>
    <definedName name="FL_19_12" localSheetId="9">'food prices to use'!$B$20</definedName>
    <definedName name="FL_190_12" localSheetId="9">'food prices to use'!$B$193</definedName>
    <definedName name="FL_191_12" localSheetId="9">'food prices to use'!$B$194</definedName>
    <definedName name="FL_192_12" localSheetId="9">'food prices to use'!$B$195</definedName>
    <definedName name="FL_193_12" localSheetId="9">'food prices to use'!$B$196</definedName>
    <definedName name="FL_194_12" localSheetId="9">'food prices to use'!$B$197</definedName>
    <definedName name="FL_195_12" localSheetId="9">'food prices to use'!$B$198</definedName>
    <definedName name="FL_196_12" localSheetId="9">'food prices to use'!$B$200</definedName>
    <definedName name="FL_197_12" localSheetId="9">'food prices to use'!$B$201</definedName>
    <definedName name="FL_198_12" localSheetId="9">'food prices to use'!$B$202</definedName>
    <definedName name="FL_199_12" localSheetId="9">'food prices to use'!$B$203</definedName>
    <definedName name="FL_2_12" localSheetId="9">'food prices to use'!#REF!</definedName>
    <definedName name="FL_20_12" localSheetId="9">'food prices to use'!$B$21</definedName>
    <definedName name="FL_200_12" localSheetId="9">'food prices to use'!$B$204</definedName>
    <definedName name="FL_201_12" localSheetId="9">'food prices to use'!$B$205</definedName>
    <definedName name="FL_202_12" localSheetId="9">'food prices to use'!$B$206</definedName>
    <definedName name="FL_203_12" localSheetId="9">'food prices to use'!$B$207</definedName>
    <definedName name="FL_204_12" localSheetId="9">'food prices to use'!$B$208</definedName>
    <definedName name="FL_205_12" localSheetId="9">'food prices to use'!$B$209</definedName>
    <definedName name="FL_206_12" localSheetId="9">'food prices to use'!$B$210</definedName>
    <definedName name="FL_207_12" localSheetId="9">'food prices to use'!$B$211</definedName>
    <definedName name="FL_208_12" localSheetId="9">'food prices to use'!$B$212</definedName>
    <definedName name="FL_209_12" localSheetId="9">'food prices to use'!$B$213</definedName>
    <definedName name="FL_21_12" localSheetId="9">'food prices to use'!$B$23</definedName>
    <definedName name="FL_210_12" localSheetId="9">'food prices to use'!$B$214</definedName>
    <definedName name="FL_211_12" localSheetId="9">'food prices to use'!$B$215</definedName>
    <definedName name="FL_212_12" localSheetId="9">'food prices to use'!$B$216</definedName>
    <definedName name="FL_213_12" localSheetId="9">'food prices to use'!$B$217</definedName>
    <definedName name="FL_214_12" localSheetId="9">'food prices to use'!$B$218</definedName>
    <definedName name="FL_215_12" localSheetId="9">'food prices to use'!$B$219</definedName>
    <definedName name="FL_216_12" localSheetId="9">'food prices to use'!$B$220</definedName>
    <definedName name="FL_217_12" localSheetId="9">'food prices to use'!$B$221</definedName>
    <definedName name="FL_218_12" localSheetId="9">'food prices to use'!$B$222</definedName>
    <definedName name="FL_219_12" localSheetId="9">'food prices to use'!$B$223</definedName>
    <definedName name="FL_22_12" localSheetId="9">'food prices to use'!$B$24</definedName>
    <definedName name="FL_220_12" localSheetId="9">'food prices to use'!$B$224</definedName>
    <definedName name="FL_221_12" localSheetId="9">'food prices to use'!$B$225</definedName>
    <definedName name="FL_222_12" localSheetId="9">'food prices to use'!$B$226</definedName>
    <definedName name="FL_223_12" localSheetId="9">'food prices to use'!$B$227</definedName>
    <definedName name="FL_224_12" localSheetId="9">'food prices to use'!$B$228</definedName>
    <definedName name="FL_225_12" localSheetId="9">'food prices to use'!$B$229</definedName>
    <definedName name="FL_226_12" localSheetId="9">'food prices to use'!$B$230</definedName>
    <definedName name="FL_227_12" localSheetId="9">'food prices to use'!$B$231</definedName>
    <definedName name="FL_228_12" localSheetId="9">'food prices to use'!$B$232</definedName>
    <definedName name="FL_229_12" localSheetId="9">'food prices to use'!$B$233</definedName>
    <definedName name="FL_23_12" localSheetId="9">'food prices to use'!$B$25</definedName>
    <definedName name="FL_230_12" localSheetId="9">'food prices to use'!$B$234</definedName>
    <definedName name="FL_231_12" localSheetId="9">'food prices to use'!$B$235</definedName>
    <definedName name="FL_232_12" localSheetId="9">'food prices to use'!$B$236</definedName>
    <definedName name="FL_233_12" localSheetId="9">'food prices to use'!$B$237</definedName>
    <definedName name="FL_234_12" localSheetId="9">'food prices to use'!$B$238</definedName>
    <definedName name="FL_235_12" localSheetId="9">'food prices to use'!$B$239</definedName>
    <definedName name="FL_236_12" localSheetId="9">'food prices to use'!$B$240</definedName>
    <definedName name="FL_237_12" localSheetId="9">'food prices to use'!$B$241</definedName>
    <definedName name="FL_238_12" localSheetId="9">'food prices to use'!$B$242</definedName>
    <definedName name="FL_239_12" localSheetId="9">'food prices to use'!$B$243</definedName>
    <definedName name="FL_24_12" localSheetId="9">'food prices to use'!#REF!</definedName>
    <definedName name="FL_240_12" localSheetId="9">'food prices to use'!$B$244</definedName>
    <definedName name="FL_241_12" localSheetId="9">'food prices to use'!$B$245</definedName>
    <definedName name="FL_242_12" localSheetId="9">'food prices to use'!$B$246</definedName>
    <definedName name="FL_243_12" localSheetId="9">'food prices to use'!$B$247</definedName>
    <definedName name="FL_244_12" localSheetId="9">'food prices to use'!$B$248</definedName>
    <definedName name="FL_245_12" localSheetId="9">'food prices to use'!$B$249</definedName>
    <definedName name="FL_246_12" localSheetId="9">'food prices to use'!$B$250</definedName>
    <definedName name="FL_247_12" localSheetId="9">'food prices to use'!$B$251</definedName>
    <definedName name="FL_25_12" localSheetId="9">'food prices to use'!$B$26</definedName>
    <definedName name="FL_26_12" localSheetId="9">'food prices to use'!$B$27</definedName>
    <definedName name="FL_27_12" localSheetId="9">'food prices to use'!$B$28</definedName>
    <definedName name="FL_28_12" localSheetId="9">'food prices to use'!$B$29</definedName>
    <definedName name="FL_29_12" localSheetId="9">'food prices to use'!$B$30</definedName>
    <definedName name="FL_3_12" localSheetId="9">'food prices to use'!$B$2</definedName>
    <definedName name="FL_30_12" localSheetId="9">'food prices to use'!#REF!</definedName>
    <definedName name="FL_31_12" localSheetId="9">'food prices to use'!$B$31</definedName>
    <definedName name="FL_32_12" localSheetId="9">'food prices to use'!$B$32</definedName>
    <definedName name="FL_33_12" localSheetId="9">'food prices to use'!$B$33</definedName>
    <definedName name="FL_34_12" localSheetId="9">'food prices to use'!#REF!</definedName>
    <definedName name="FL_35_12" localSheetId="9">'food prices to use'!$B$34</definedName>
    <definedName name="FL_36_12" localSheetId="9">'food prices to use'!$B$35</definedName>
    <definedName name="FL_37_12" localSheetId="9">'food prices to use'!$B$36</definedName>
    <definedName name="FL_38_12" localSheetId="9">'food prices to use'!$B$37</definedName>
    <definedName name="FL_39_12" localSheetId="9">'food prices to use'!$B$38</definedName>
    <definedName name="FL_4_12" localSheetId="9">'food prices to use'!$B$3</definedName>
    <definedName name="FL_40_12" localSheetId="9">'food prices to use'!$B$39</definedName>
    <definedName name="FL_41_12" localSheetId="9">'food prices to use'!$B$40</definedName>
    <definedName name="FL_42_12" localSheetId="9">'food prices to use'!$B$41</definedName>
    <definedName name="FL_43_12" localSheetId="9">'food prices to use'!#REF!</definedName>
    <definedName name="FL_44_12" localSheetId="9">'food prices to use'!$B$43</definedName>
    <definedName name="FL_45_12" localSheetId="9">'food prices to use'!$B$44</definedName>
    <definedName name="FL_46_12" localSheetId="9">'food prices to use'!$B$45</definedName>
    <definedName name="FL_47_12" localSheetId="9">'food prices to use'!#REF!</definedName>
    <definedName name="FL_48_12" localSheetId="9">'food prices to use'!$B$47</definedName>
    <definedName name="FL_49_12" localSheetId="9">'food prices to use'!$B$48</definedName>
    <definedName name="FL_5_12" localSheetId="9">'food prices to use'!$B$4</definedName>
    <definedName name="FL_50_12" localSheetId="9">'food prices to use'!$B$49</definedName>
    <definedName name="FL_51_12" localSheetId="9">'food prices to use'!#REF!</definedName>
    <definedName name="FL_52_12" localSheetId="9">'food prices to use'!$B$50</definedName>
    <definedName name="FL_53_12" localSheetId="9">'food prices to use'!$B$51</definedName>
    <definedName name="FL_54_12" localSheetId="9">'food prices to use'!$B$52</definedName>
    <definedName name="FL_55_12" localSheetId="9">'food prices to use'!#REF!</definedName>
    <definedName name="FL_56_12" localSheetId="9">'food prices to use'!$B$53</definedName>
    <definedName name="FL_57_12" localSheetId="9">'food prices to use'!$B$54</definedName>
    <definedName name="FL_58_12" localSheetId="9">'food prices to use'!#REF!</definedName>
    <definedName name="FL_59_12" localSheetId="9">'food prices to use'!#REF!</definedName>
    <definedName name="FL_6_12" localSheetId="9">'food prices to use'!$B$5</definedName>
    <definedName name="FL_60_12" localSheetId="9">'food prices to use'!#REF!</definedName>
    <definedName name="FL_61_12" localSheetId="9">'food prices to use'!#REF!</definedName>
    <definedName name="FL_62_12" localSheetId="9">'food prices to use'!$B$56</definedName>
    <definedName name="FL_63_12" localSheetId="9">'food prices to use'!$B$57</definedName>
    <definedName name="FL_64_12" localSheetId="9">'food prices to use'!#REF!</definedName>
    <definedName name="FL_65_12" localSheetId="9">'food prices to use'!$B$58</definedName>
    <definedName name="FL_66_12" localSheetId="9">'food prices to use'!$B$59</definedName>
    <definedName name="FL_67_12" localSheetId="9">'food prices to use'!$B$60</definedName>
    <definedName name="FL_68_12" localSheetId="9">'food prices to use'!#REF!</definedName>
    <definedName name="FL_69_12" localSheetId="9">'food prices to use'!#REF!</definedName>
    <definedName name="FL_7_12" localSheetId="9">'food prices to use'!$B$6</definedName>
    <definedName name="FL_70_12" localSheetId="9">'food prices to use'!#REF!</definedName>
    <definedName name="FL_71_12" localSheetId="9">'food prices to use'!#REF!</definedName>
    <definedName name="FL_72_12" localSheetId="9">'food prices to use'!$B$61</definedName>
    <definedName name="FL_73_12" localSheetId="9">'food prices to use'!#REF!</definedName>
    <definedName name="FL_74_12" localSheetId="9">'food prices to use'!$B$62</definedName>
    <definedName name="FL_75_12" localSheetId="9">'food prices to use'!$B$65</definedName>
    <definedName name="FL_76_12" localSheetId="9">'food prices to use'!$B$66</definedName>
    <definedName name="FL_77_12" localSheetId="9">'food prices to use'!$B$67</definedName>
    <definedName name="FL_78_12" localSheetId="9">'food prices to use'!$B$68</definedName>
    <definedName name="FL_79_12" localSheetId="9">'food prices to use'!$B$69</definedName>
    <definedName name="FL_8_12" localSheetId="9">'food prices to use'!#REF!</definedName>
    <definedName name="FL_80_12" localSheetId="9">'food prices to use'!$B$70</definedName>
    <definedName name="FL_81_12" localSheetId="9">'food prices to use'!#REF!</definedName>
    <definedName name="FL_82_12" localSheetId="9">'food prices to use'!$B$71</definedName>
    <definedName name="FL_83_12" localSheetId="9">'food prices to use'!$B$72</definedName>
    <definedName name="FL_84_12" localSheetId="9">'food prices to use'!$B$75</definedName>
    <definedName name="FL_85_12" localSheetId="9">'food prices to use'!$B$76</definedName>
    <definedName name="FL_86_12" localSheetId="9">'food prices to use'!$B$77</definedName>
    <definedName name="FL_87_12" localSheetId="9">'food prices to use'!$B$83</definedName>
    <definedName name="FL_88_12" localSheetId="9">'food prices to use'!$B$84</definedName>
    <definedName name="FL_89_12" localSheetId="9">'food prices to use'!$B$85</definedName>
    <definedName name="FL_9_12" localSheetId="9">'food prices to use'!$B$7</definedName>
    <definedName name="FL_90_12" localSheetId="9">'food prices to use'!$B$86</definedName>
    <definedName name="FL_91_12" localSheetId="9">'food prices to use'!$B$87</definedName>
    <definedName name="FL_92_12" localSheetId="9">'food prices to use'!$B$88</definedName>
    <definedName name="FL_93_12" localSheetId="9">'food prices to use'!$B$89</definedName>
    <definedName name="FL_94_12" localSheetId="9">'food prices to use'!$B$90</definedName>
    <definedName name="FL_95_12" localSheetId="9">'food prices to use'!$B$91</definedName>
    <definedName name="FL_96_12" localSheetId="9">'food prices to use'!$B$92</definedName>
    <definedName name="FL_97_12" localSheetId="9">'food prices to use'!$B$93</definedName>
    <definedName name="FL_98_12" localSheetId="9">'food prices to use'!$B$94</definedName>
    <definedName name="FL_99_12" localSheetId="9">'food prices to use'!$B$95</definedName>
    <definedName name="FLH_12" localSheetId="9">'food prices to use'!#REF!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6" i="7" l="1"/>
  <c r="O35" i="8"/>
  <c r="O55" i="7"/>
  <c r="O59" i="8"/>
  <c r="C169" i="11" l="1"/>
  <c r="B169" i="11"/>
  <c r="C168" i="11"/>
  <c r="B168" i="11"/>
  <c r="C167" i="11"/>
  <c r="B167" i="11"/>
  <c r="C166" i="11"/>
  <c r="B166" i="11"/>
  <c r="C165" i="11"/>
  <c r="B164" i="11"/>
  <c r="B163" i="11"/>
  <c r="B162" i="11"/>
  <c r="C161" i="11"/>
  <c r="C151" i="11"/>
  <c r="B151" i="11"/>
  <c r="B106" i="11"/>
  <c r="B90" i="11"/>
  <c r="B89" i="11"/>
  <c r="B88" i="11"/>
  <c r="C85" i="11"/>
  <c r="B85" i="11"/>
  <c r="B84" i="11"/>
  <c r="B82" i="11"/>
  <c r="B81" i="11"/>
  <c r="B80" i="11"/>
  <c r="B79" i="11"/>
  <c r="B78" i="11"/>
  <c r="B77" i="11"/>
  <c r="B76" i="11"/>
  <c r="B75" i="11"/>
  <c r="B73" i="11"/>
  <c r="B72" i="11"/>
  <c r="C70" i="11"/>
  <c r="B70" i="11"/>
  <c r="B69" i="11"/>
  <c r="B68" i="11"/>
  <c r="B67" i="11"/>
  <c r="B66" i="11"/>
  <c r="B65" i="11"/>
  <c r="B64" i="11"/>
  <c r="B63" i="11"/>
  <c r="B62" i="11"/>
  <c r="C61" i="11"/>
  <c r="B61" i="11"/>
  <c r="B60" i="11"/>
  <c r="C59" i="11"/>
  <c r="B59" i="11"/>
  <c r="B58" i="11"/>
  <c r="B57" i="11"/>
  <c r="C56" i="11"/>
  <c r="B56" i="11"/>
  <c r="B53" i="11"/>
  <c r="B52" i="11"/>
  <c r="B51" i="11"/>
  <c r="C50" i="11"/>
  <c r="B50" i="11"/>
  <c r="C49" i="11"/>
  <c r="B49" i="11"/>
  <c r="B46" i="11"/>
  <c r="B45" i="11"/>
  <c r="C44" i="11"/>
  <c r="B44" i="11"/>
  <c r="B42" i="11"/>
  <c r="B41" i="11"/>
  <c r="A41" i="11"/>
  <c r="C40" i="11"/>
  <c r="B40" i="11"/>
  <c r="B39" i="11"/>
  <c r="B36" i="11"/>
  <c r="B34" i="11"/>
  <c r="B30" i="11"/>
  <c r="C29" i="11"/>
  <c r="B29" i="11"/>
  <c r="C28" i="11"/>
  <c r="B28" i="11"/>
  <c r="B27" i="11"/>
  <c r="C26" i="11"/>
  <c r="B25" i="11"/>
  <c r="C24" i="11"/>
  <c r="B24" i="11"/>
  <c r="B23" i="11"/>
  <c r="B22" i="11"/>
  <c r="B21" i="11"/>
  <c r="B20" i="11"/>
  <c r="B18" i="11"/>
  <c r="B16" i="11"/>
  <c r="B15" i="11"/>
  <c r="B14" i="11"/>
  <c r="B13" i="11"/>
  <c r="B12" i="11"/>
  <c r="B11" i="11"/>
  <c r="B9" i="11"/>
  <c r="B8" i="11"/>
  <c r="B7" i="11"/>
  <c r="B6" i="11"/>
  <c r="B4" i="11"/>
  <c r="B3" i="11"/>
  <c r="B2" i="11"/>
  <c r="B203" i="10"/>
  <c r="D202" i="10"/>
  <c r="C199" i="10"/>
  <c r="B199" i="10"/>
  <c r="D195" i="10"/>
  <c r="D194" i="10"/>
  <c r="B194" i="10"/>
  <c r="D193" i="10"/>
  <c r="D192" i="10"/>
  <c r="B175" i="10"/>
  <c r="B174" i="10"/>
  <c r="B155" i="10"/>
  <c r="C152" i="10"/>
  <c r="C151" i="10"/>
  <c r="B151" i="10"/>
  <c r="C150" i="10"/>
  <c r="B150" i="10"/>
  <c r="D149" i="10"/>
  <c r="C149" i="10"/>
  <c r="C148" i="10"/>
  <c r="B148" i="10"/>
  <c r="C147" i="10"/>
  <c r="B147" i="10"/>
  <c r="C146" i="10"/>
  <c r="B146" i="10"/>
  <c r="C145" i="10"/>
  <c r="B145" i="10"/>
  <c r="C144" i="10"/>
  <c r="B144" i="10"/>
  <c r="C142" i="10"/>
  <c r="C141" i="10"/>
  <c r="B138" i="10"/>
  <c r="B137" i="10"/>
  <c r="C135" i="10"/>
  <c r="B132" i="10"/>
  <c r="B131" i="10"/>
  <c r="B130" i="10"/>
  <c r="B129" i="10"/>
  <c r="B119" i="10"/>
  <c r="B117" i="10"/>
  <c r="B113" i="10"/>
  <c r="B108" i="10"/>
  <c r="B107" i="10"/>
  <c r="B106" i="10"/>
  <c r="B105" i="10"/>
  <c r="B104" i="10"/>
  <c r="B103" i="10"/>
  <c r="B102" i="10"/>
  <c r="C99" i="10"/>
  <c r="B98" i="10"/>
  <c r="B97" i="10"/>
  <c r="B94" i="10"/>
  <c r="B93" i="10"/>
  <c r="B92" i="10"/>
  <c r="D89" i="10"/>
  <c r="B88" i="10"/>
  <c r="B87" i="10"/>
  <c r="B86" i="10"/>
  <c r="B85" i="10"/>
  <c r="B84" i="10"/>
  <c r="C82" i="10"/>
  <c r="D81" i="10"/>
  <c r="A80" i="10"/>
  <c r="C78" i="10"/>
  <c r="B78" i="10"/>
  <c r="A78" i="10"/>
  <c r="B72" i="10"/>
  <c r="B70" i="10"/>
  <c r="B67" i="10"/>
  <c r="B66" i="10"/>
  <c r="B63" i="10"/>
  <c r="B62" i="10"/>
  <c r="B55" i="10"/>
  <c r="B54" i="10"/>
  <c r="B53" i="10"/>
  <c r="B52" i="10"/>
  <c r="B49" i="10"/>
  <c r="B48" i="10"/>
  <c r="B46" i="10"/>
  <c r="B44" i="10"/>
  <c r="C42" i="10"/>
  <c r="B38" i="10"/>
  <c r="B36" i="10"/>
  <c r="B35" i="10"/>
  <c r="B34" i="10"/>
  <c r="B31" i="10"/>
  <c r="B28" i="10"/>
  <c r="B27" i="10"/>
  <c r="B26" i="10"/>
  <c r="B24" i="10"/>
  <c r="B23" i="10"/>
  <c r="B22" i="10"/>
  <c r="B21" i="10"/>
  <c r="B19" i="10"/>
  <c r="B16" i="10"/>
  <c r="B11" i="10"/>
  <c r="B9" i="10"/>
  <c r="B7" i="10"/>
  <c r="B6" i="10"/>
  <c r="B4" i="10"/>
  <c r="B3" i="10"/>
  <c r="S579" i="9"/>
  <c r="M579" i="9"/>
  <c r="L579" i="9"/>
  <c r="S577" i="9"/>
  <c r="T576" i="9"/>
  <c r="S576" i="9"/>
  <c r="M576" i="9"/>
  <c r="L576" i="9"/>
  <c r="S575" i="9"/>
  <c r="S574" i="9"/>
  <c r="S573" i="9"/>
  <c r="M573" i="9"/>
  <c r="L573" i="9"/>
  <c r="S572" i="9"/>
  <c r="S571" i="9"/>
  <c r="S570" i="9"/>
  <c r="M570" i="9"/>
  <c r="L570" i="9"/>
  <c r="S569" i="9"/>
  <c r="S568" i="9"/>
  <c r="S567" i="9"/>
  <c r="M567" i="9"/>
  <c r="L567" i="9"/>
  <c r="T566" i="9"/>
  <c r="T565" i="9"/>
  <c r="T564" i="9"/>
  <c r="M564" i="9"/>
  <c r="L564" i="9"/>
  <c r="T563" i="9"/>
  <c r="S563" i="9"/>
  <c r="S562" i="9"/>
  <c r="T562" i="9" s="1"/>
  <c r="T561" i="9"/>
  <c r="S561" i="9"/>
  <c r="M561" i="9"/>
  <c r="L561" i="9"/>
  <c r="T560" i="9"/>
  <c r="S560" i="9"/>
  <c r="S559" i="9"/>
  <c r="T559" i="9" s="1"/>
  <c r="T558" i="9"/>
  <c r="D90" i="10" s="1"/>
  <c r="M558" i="9"/>
  <c r="L558" i="9"/>
  <c r="S557" i="9"/>
  <c r="T557" i="9" s="1"/>
  <c r="T556" i="9"/>
  <c r="S556" i="9"/>
  <c r="S555" i="9"/>
  <c r="T555" i="9" s="1"/>
  <c r="M555" i="9"/>
  <c r="L555" i="9"/>
  <c r="S553" i="9"/>
  <c r="S552" i="9"/>
  <c r="M552" i="9"/>
  <c r="L552" i="9"/>
  <c r="S551" i="9"/>
  <c r="S550" i="9"/>
  <c r="S549" i="9"/>
  <c r="M549" i="9"/>
  <c r="L549" i="9"/>
  <c r="T548" i="9"/>
  <c r="S548" i="9"/>
  <c r="T547" i="9"/>
  <c r="S547" i="9"/>
  <c r="S546" i="9"/>
  <c r="M546" i="9"/>
  <c r="L546" i="9"/>
  <c r="T544" i="9"/>
  <c r="S544" i="9"/>
  <c r="S543" i="9"/>
  <c r="T543" i="9" s="1"/>
  <c r="D91" i="10" s="1"/>
  <c r="M543" i="9"/>
  <c r="L543" i="9"/>
  <c r="S542" i="9"/>
  <c r="T542" i="9" s="1"/>
  <c r="D2" i="10" s="1"/>
  <c r="M542" i="9"/>
  <c r="L542" i="9"/>
  <c r="S541" i="9"/>
  <c r="T541" i="9" s="1"/>
  <c r="M541" i="9"/>
  <c r="L541" i="9"/>
  <c r="S540" i="9"/>
  <c r="T540" i="9" s="1"/>
  <c r="M540" i="9"/>
  <c r="L540" i="9"/>
  <c r="S539" i="9"/>
  <c r="T539" i="9" s="1"/>
  <c r="M539" i="9"/>
  <c r="L539" i="9"/>
  <c r="S538" i="9"/>
  <c r="T538" i="9" s="1"/>
  <c r="L538" i="9"/>
  <c r="S537" i="9"/>
  <c r="T537" i="9" s="1"/>
  <c r="D105" i="10" s="1"/>
  <c r="L537" i="9"/>
  <c r="T536" i="9"/>
  <c r="S536" i="9"/>
  <c r="M536" i="9"/>
  <c r="L536" i="9"/>
  <c r="T535" i="9"/>
  <c r="S535" i="9"/>
  <c r="L535" i="9"/>
  <c r="S534" i="9"/>
  <c r="L534" i="9"/>
  <c r="S533" i="9"/>
  <c r="M533" i="9"/>
  <c r="L533" i="9"/>
  <c r="T532" i="9"/>
  <c r="M532" i="9"/>
  <c r="L532" i="9"/>
  <c r="S531" i="9"/>
  <c r="T531" i="9" s="1"/>
  <c r="M531" i="9"/>
  <c r="L531" i="9"/>
  <c r="S530" i="9"/>
  <c r="T530" i="9" s="1"/>
  <c r="M530" i="9"/>
  <c r="L530" i="9"/>
  <c r="S529" i="9"/>
  <c r="M529" i="9"/>
  <c r="S528" i="9"/>
  <c r="M528" i="9"/>
  <c r="S527" i="9"/>
  <c r="M527" i="9"/>
  <c r="L527" i="9"/>
  <c r="S526" i="9"/>
  <c r="L526" i="9"/>
  <c r="S525" i="9"/>
  <c r="L525" i="9"/>
  <c r="S524" i="9"/>
  <c r="M524" i="9"/>
  <c r="L524" i="9"/>
  <c r="S523" i="9"/>
  <c r="L523" i="9"/>
  <c r="S522" i="9"/>
  <c r="L522" i="9"/>
  <c r="S521" i="9"/>
  <c r="M521" i="9"/>
  <c r="L521" i="9"/>
  <c r="S520" i="9"/>
  <c r="L520" i="9"/>
  <c r="S519" i="9"/>
  <c r="L519" i="9"/>
  <c r="S518" i="9"/>
  <c r="M518" i="9"/>
  <c r="L518" i="9"/>
  <c r="S517" i="9"/>
  <c r="T517" i="9" s="1"/>
  <c r="M517" i="9"/>
  <c r="T516" i="9"/>
  <c r="S516" i="9"/>
  <c r="M516" i="9"/>
  <c r="T515" i="9"/>
  <c r="S515" i="9"/>
  <c r="M515" i="9"/>
  <c r="S514" i="9"/>
  <c r="T514" i="9" s="1"/>
  <c r="T513" i="9"/>
  <c r="S513" i="9"/>
  <c r="S512" i="9"/>
  <c r="T512" i="9" s="1"/>
  <c r="M512" i="9"/>
  <c r="L512" i="9"/>
  <c r="S511" i="9"/>
  <c r="T511" i="9" s="1"/>
  <c r="T510" i="9"/>
  <c r="S510" i="9"/>
  <c r="S509" i="9"/>
  <c r="T509" i="9" s="1"/>
  <c r="M509" i="9"/>
  <c r="S508" i="9"/>
  <c r="T508" i="9" s="1"/>
  <c r="T507" i="9"/>
  <c r="S507" i="9"/>
  <c r="S506" i="9"/>
  <c r="T506" i="9" s="1"/>
  <c r="M506" i="9"/>
  <c r="T505" i="9"/>
  <c r="S505" i="9"/>
  <c r="S504" i="9"/>
  <c r="T504" i="9" s="1"/>
  <c r="D201" i="10" s="1"/>
  <c r="T503" i="9"/>
  <c r="D200" i="10" s="1"/>
  <c r="S503" i="9"/>
  <c r="M503" i="9"/>
  <c r="T502" i="9"/>
  <c r="D199" i="10" s="1"/>
  <c r="S502" i="9"/>
  <c r="M502" i="9"/>
  <c r="L502" i="9"/>
  <c r="T501" i="9"/>
  <c r="D198" i="10" s="1"/>
  <c r="S501" i="9"/>
  <c r="M501" i="9"/>
  <c r="S500" i="9"/>
  <c r="T500" i="9" s="1"/>
  <c r="D197" i="10" s="1"/>
  <c r="M500" i="9"/>
  <c r="S499" i="9"/>
  <c r="T499" i="9" s="1"/>
  <c r="D196" i="10" s="1"/>
  <c r="M499" i="9"/>
  <c r="T498" i="9"/>
  <c r="S498" i="9"/>
  <c r="M498" i="9"/>
  <c r="S497" i="9"/>
  <c r="S496" i="9"/>
  <c r="M496" i="9"/>
  <c r="S495" i="9"/>
  <c r="L495" i="9"/>
  <c r="T494" i="9"/>
  <c r="S494" i="9"/>
  <c r="M494" i="9"/>
  <c r="S493" i="9"/>
  <c r="S492" i="9"/>
  <c r="M492" i="9"/>
  <c r="T491" i="9"/>
  <c r="D191" i="10" s="1"/>
  <c r="S491" i="9"/>
  <c r="M491" i="9"/>
  <c r="S490" i="9"/>
  <c r="T490" i="9" s="1"/>
  <c r="D190" i="10" s="1"/>
  <c r="M490" i="9"/>
  <c r="S489" i="9"/>
  <c r="P489" i="9"/>
  <c r="S488" i="9"/>
  <c r="P488" i="9"/>
  <c r="S487" i="9"/>
  <c r="P487" i="9"/>
  <c r="M487" i="9"/>
  <c r="S486" i="9"/>
  <c r="S485" i="9"/>
  <c r="S484" i="9"/>
  <c r="M484" i="9"/>
  <c r="S483" i="9"/>
  <c r="S482" i="9"/>
  <c r="S481" i="9"/>
  <c r="M481" i="9"/>
  <c r="S480" i="9"/>
  <c r="S479" i="9"/>
  <c r="S478" i="9"/>
  <c r="M478" i="9"/>
  <c r="S477" i="9"/>
  <c r="S476" i="9"/>
  <c r="S475" i="9"/>
  <c r="M475" i="9"/>
  <c r="S474" i="9"/>
  <c r="S473" i="9"/>
  <c r="S472" i="9"/>
  <c r="M472" i="9"/>
  <c r="S471" i="9"/>
  <c r="S470" i="9"/>
  <c r="S469" i="9"/>
  <c r="M469" i="9"/>
  <c r="S468" i="9"/>
  <c r="S467" i="9"/>
  <c r="S466" i="9"/>
  <c r="M466" i="9"/>
  <c r="S465" i="9"/>
  <c r="S464" i="9"/>
  <c r="S463" i="9"/>
  <c r="M463" i="9"/>
  <c r="S462" i="9"/>
  <c r="S461" i="9"/>
  <c r="S460" i="9"/>
  <c r="M460" i="9"/>
  <c r="S459" i="9"/>
  <c r="S458" i="9"/>
  <c r="S457" i="9"/>
  <c r="M457" i="9"/>
  <c r="S456" i="9"/>
  <c r="S455" i="9"/>
  <c r="S454" i="9"/>
  <c r="M454" i="9"/>
  <c r="S453" i="9"/>
  <c r="S452" i="9"/>
  <c r="S451" i="9"/>
  <c r="M451" i="9"/>
  <c r="S450" i="9"/>
  <c r="S449" i="9"/>
  <c r="S448" i="9"/>
  <c r="M448" i="9"/>
  <c r="S447" i="9"/>
  <c r="S446" i="9"/>
  <c r="S445" i="9"/>
  <c r="M445" i="9"/>
  <c r="S444" i="9"/>
  <c r="S443" i="9"/>
  <c r="S442" i="9"/>
  <c r="M442" i="9"/>
  <c r="S441" i="9"/>
  <c r="S440" i="9"/>
  <c r="S439" i="9"/>
  <c r="M439" i="9"/>
  <c r="S438" i="9"/>
  <c r="S437" i="9"/>
  <c r="S436" i="9"/>
  <c r="M436" i="9"/>
  <c r="S435" i="9"/>
  <c r="S434" i="9"/>
  <c r="S433" i="9"/>
  <c r="M433" i="9"/>
  <c r="S432" i="9"/>
  <c r="S431" i="9"/>
  <c r="S430" i="9"/>
  <c r="M430" i="9"/>
  <c r="C177" i="10" s="1"/>
  <c r="L430" i="9"/>
  <c r="B177" i="10" s="1"/>
  <c r="S429" i="9"/>
  <c r="S428" i="9"/>
  <c r="S427" i="9"/>
  <c r="M427" i="9"/>
  <c r="C176" i="10" s="1"/>
  <c r="L427" i="9"/>
  <c r="B176" i="10" s="1"/>
  <c r="S426" i="9"/>
  <c r="S425" i="9"/>
  <c r="S424" i="9"/>
  <c r="M424" i="9"/>
  <c r="S423" i="9"/>
  <c r="S422" i="9"/>
  <c r="S421" i="9"/>
  <c r="M421" i="9"/>
  <c r="S420" i="9"/>
  <c r="S419" i="9"/>
  <c r="S418" i="9"/>
  <c r="M418" i="9"/>
  <c r="S417" i="9"/>
  <c r="S416" i="9"/>
  <c r="S415" i="9"/>
  <c r="M415" i="9"/>
  <c r="S414" i="9"/>
  <c r="S413" i="9"/>
  <c r="S412" i="9"/>
  <c r="M412" i="9"/>
  <c r="S411" i="9"/>
  <c r="S410" i="9"/>
  <c r="S409" i="9"/>
  <c r="M409" i="9"/>
  <c r="S408" i="9"/>
  <c r="S407" i="9"/>
  <c r="S406" i="9"/>
  <c r="M406" i="9"/>
  <c r="S405" i="9"/>
  <c r="S404" i="9"/>
  <c r="S403" i="9"/>
  <c r="M403" i="9"/>
  <c r="S402" i="9"/>
  <c r="S401" i="9"/>
  <c r="S400" i="9"/>
  <c r="M400" i="9"/>
  <c r="S399" i="9"/>
  <c r="S398" i="9"/>
  <c r="P398" i="9"/>
  <c r="S397" i="9"/>
  <c r="P397" i="9"/>
  <c r="M397" i="9"/>
  <c r="S396" i="9"/>
  <c r="S395" i="9"/>
  <c r="S394" i="9"/>
  <c r="M394" i="9"/>
  <c r="T393" i="9"/>
  <c r="S393" i="9"/>
  <c r="S392" i="9"/>
  <c r="T392" i="9" s="1"/>
  <c r="T391" i="9"/>
  <c r="D60" i="10" s="1"/>
  <c r="S391" i="9"/>
  <c r="M391" i="9"/>
  <c r="S390" i="9"/>
  <c r="S389" i="9"/>
  <c r="S388" i="9"/>
  <c r="M388" i="9"/>
  <c r="S387" i="9"/>
  <c r="T387" i="9" s="1"/>
  <c r="D74" i="10" s="1"/>
  <c r="M387" i="9"/>
  <c r="C74" i="10" s="1"/>
  <c r="L387" i="9"/>
  <c r="B74" i="10" s="1"/>
  <c r="S386" i="9"/>
  <c r="T386" i="9" s="1"/>
  <c r="M386" i="9"/>
  <c r="C164" i="10" s="1"/>
  <c r="L386" i="9"/>
  <c r="S385" i="9"/>
  <c r="S384" i="9"/>
  <c r="S383" i="9"/>
  <c r="M383" i="9"/>
  <c r="S382" i="9"/>
  <c r="S381" i="9"/>
  <c r="S380" i="9"/>
  <c r="M380" i="9"/>
  <c r="L380" i="9"/>
  <c r="B79" i="10" s="1"/>
  <c r="S379" i="9"/>
  <c r="S378" i="9"/>
  <c r="S377" i="9"/>
  <c r="M377" i="9"/>
  <c r="S376" i="9"/>
  <c r="S375" i="9"/>
  <c r="S374" i="9"/>
  <c r="T374" i="9" s="1"/>
  <c r="M374" i="9"/>
  <c r="S373" i="9"/>
  <c r="S372" i="9"/>
  <c r="S371" i="9"/>
  <c r="M371" i="9"/>
  <c r="S370" i="9"/>
  <c r="T370" i="9" s="1"/>
  <c r="S369" i="9"/>
  <c r="T369" i="9" s="1"/>
  <c r="S368" i="9"/>
  <c r="T368" i="9" s="1"/>
  <c r="D157" i="10" s="1"/>
  <c r="M368" i="9"/>
  <c r="C157" i="10" s="1"/>
  <c r="L368" i="9"/>
  <c r="B157" i="10" s="1"/>
  <c r="S367" i="9"/>
  <c r="T367" i="9" s="1"/>
  <c r="T366" i="9"/>
  <c r="S366" i="9"/>
  <c r="S365" i="9"/>
  <c r="T365" i="9" s="1"/>
  <c r="M365" i="9"/>
  <c r="C156" i="10" s="1"/>
  <c r="L365" i="9"/>
  <c r="B156" i="10" s="1"/>
  <c r="S364" i="9"/>
  <c r="S363" i="9"/>
  <c r="S362" i="9"/>
  <c r="M362" i="9"/>
  <c r="S361" i="9"/>
  <c r="S360" i="9"/>
  <c r="S359" i="9"/>
  <c r="M359" i="9"/>
  <c r="S358" i="9"/>
  <c r="S357" i="9"/>
  <c r="S356" i="9"/>
  <c r="M356" i="9"/>
  <c r="S355" i="9"/>
  <c r="S354" i="9"/>
  <c r="S353" i="9"/>
  <c r="M353" i="9"/>
  <c r="S352" i="9"/>
  <c r="T352" i="9" s="1"/>
  <c r="S351" i="9"/>
  <c r="T351" i="9" s="1"/>
  <c r="S350" i="9"/>
  <c r="T350" i="9" s="1"/>
  <c r="M350" i="9"/>
  <c r="L350" i="9"/>
  <c r="B142" i="10" s="1"/>
  <c r="S349" i="9"/>
  <c r="T349" i="9" s="1"/>
  <c r="T348" i="9"/>
  <c r="S348" i="9"/>
  <c r="S347" i="9"/>
  <c r="T347" i="9" s="1"/>
  <c r="M347" i="9"/>
  <c r="L347" i="9"/>
  <c r="B141" i="10" s="1"/>
  <c r="S346" i="9"/>
  <c r="S345" i="9"/>
  <c r="S344" i="9"/>
  <c r="M344" i="9"/>
  <c r="S343" i="9"/>
  <c r="S342" i="9"/>
  <c r="S341" i="9"/>
  <c r="M341" i="9"/>
  <c r="S340" i="9"/>
  <c r="S339" i="9"/>
  <c r="S338" i="9"/>
  <c r="M338" i="9"/>
  <c r="S337" i="9"/>
  <c r="S336" i="9"/>
  <c r="S335" i="9"/>
  <c r="M335" i="9"/>
  <c r="S334" i="9"/>
  <c r="S333" i="9"/>
  <c r="S332" i="9"/>
  <c r="M332" i="9"/>
  <c r="S331" i="9"/>
  <c r="S330" i="9"/>
  <c r="S329" i="9"/>
  <c r="M329" i="9"/>
  <c r="S328" i="9"/>
  <c r="S327" i="9"/>
  <c r="S326" i="9"/>
  <c r="M326" i="9"/>
  <c r="S325" i="9"/>
  <c r="S324" i="9"/>
  <c r="S323" i="9"/>
  <c r="M323" i="9"/>
  <c r="S322" i="9"/>
  <c r="S321" i="9"/>
  <c r="S320" i="9"/>
  <c r="M320" i="9"/>
  <c r="S319" i="9"/>
  <c r="S318" i="9"/>
  <c r="S317" i="9"/>
  <c r="M317" i="9"/>
  <c r="S316" i="9"/>
  <c r="S315" i="9"/>
  <c r="S314" i="9"/>
  <c r="M314" i="9"/>
  <c r="S313" i="9"/>
  <c r="S312" i="9"/>
  <c r="S311" i="9"/>
  <c r="M311" i="9"/>
  <c r="S310" i="9"/>
  <c r="S309" i="9"/>
  <c r="S308" i="9"/>
  <c r="M308" i="9"/>
  <c r="S307" i="9"/>
  <c r="S306" i="9"/>
  <c r="S305" i="9"/>
  <c r="M305" i="9"/>
  <c r="S304" i="9"/>
  <c r="S303" i="9"/>
  <c r="S302" i="9"/>
  <c r="M302" i="9"/>
  <c r="S301" i="9"/>
  <c r="S300" i="9"/>
  <c r="S299" i="9"/>
  <c r="M299" i="9"/>
  <c r="S298" i="9"/>
  <c r="L298" i="9"/>
  <c r="S297" i="9"/>
  <c r="L297" i="9"/>
  <c r="S296" i="9"/>
  <c r="M296" i="9"/>
  <c r="L296" i="9"/>
  <c r="B99" i="10" s="1"/>
  <c r="T295" i="9"/>
  <c r="S295" i="9"/>
  <c r="T294" i="9"/>
  <c r="T293" i="9"/>
  <c r="M293" i="9"/>
  <c r="C98" i="10" s="1"/>
  <c r="S292" i="9"/>
  <c r="S291" i="9"/>
  <c r="S290" i="9"/>
  <c r="M290" i="9"/>
  <c r="S289" i="9"/>
  <c r="S288" i="9"/>
  <c r="S287" i="9"/>
  <c r="M287" i="9"/>
  <c r="L287" i="9"/>
  <c r="B82" i="10" s="1"/>
  <c r="S286" i="9"/>
  <c r="S285" i="9"/>
  <c r="S284" i="9"/>
  <c r="M284" i="9"/>
  <c r="S283" i="9"/>
  <c r="S282" i="9"/>
  <c r="S281" i="9"/>
  <c r="M281" i="9"/>
  <c r="S280" i="9"/>
  <c r="S279" i="9"/>
  <c r="S278" i="9"/>
  <c r="M278" i="9"/>
  <c r="S277" i="9"/>
  <c r="S276" i="9"/>
  <c r="M275" i="9"/>
  <c r="S272" i="9"/>
  <c r="M272" i="9"/>
  <c r="C81" i="10" s="1"/>
  <c r="L272" i="9"/>
  <c r="B81" i="10" s="1"/>
  <c r="S271" i="9"/>
  <c r="T271" i="9" s="1"/>
  <c r="S270" i="9"/>
  <c r="T270" i="9" s="1"/>
  <c r="S269" i="9"/>
  <c r="T269" i="9" s="1"/>
  <c r="M269" i="9"/>
  <c r="C80" i="10" s="1"/>
  <c r="L269" i="9"/>
  <c r="B80" i="10" s="1"/>
  <c r="S268" i="9"/>
  <c r="T268" i="9" s="1"/>
  <c r="S267" i="9"/>
  <c r="T267" i="9" s="1"/>
  <c r="S266" i="9"/>
  <c r="T266" i="9" s="1"/>
  <c r="M266" i="9"/>
  <c r="L266" i="9"/>
  <c r="S265" i="9"/>
  <c r="S264" i="9"/>
  <c r="S263" i="9"/>
  <c r="M263" i="9"/>
  <c r="S262" i="9"/>
  <c r="L262" i="9"/>
  <c r="S261" i="9"/>
  <c r="P261" i="9"/>
  <c r="L261" i="9"/>
  <c r="S260" i="9"/>
  <c r="P260" i="9"/>
  <c r="M260" i="9"/>
  <c r="L260" i="9"/>
  <c r="S259" i="9"/>
  <c r="S258" i="9"/>
  <c r="S257" i="9"/>
  <c r="M257" i="9"/>
  <c r="S256" i="9"/>
  <c r="S255" i="9"/>
  <c r="S254" i="9"/>
  <c r="M254" i="9"/>
  <c r="S253" i="9"/>
  <c r="S252" i="9"/>
  <c r="S251" i="9"/>
  <c r="M251" i="9"/>
  <c r="S250" i="9"/>
  <c r="M250" i="9"/>
  <c r="C44" i="10" s="1"/>
  <c r="S249" i="9"/>
  <c r="M249" i="9"/>
  <c r="S248" i="9"/>
  <c r="M248" i="9"/>
  <c r="L248" i="9"/>
  <c r="S247" i="9"/>
  <c r="S246" i="9"/>
  <c r="S245" i="9"/>
  <c r="M245" i="9"/>
  <c r="S244" i="9"/>
  <c r="S243" i="9"/>
  <c r="S242" i="9"/>
  <c r="M242" i="9"/>
  <c r="L242" i="9"/>
  <c r="B42" i="10" s="1"/>
  <c r="S241" i="9"/>
  <c r="S240" i="9"/>
  <c r="S239" i="9"/>
  <c r="M239" i="9"/>
  <c r="S238" i="9"/>
  <c r="S237" i="9"/>
  <c r="S236" i="9"/>
  <c r="M236" i="9"/>
  <c r="S235" i="9"/>
  <c r="S234" i="9"/>
  <c r="S233" i="9"/>
  <c r="M233" i="9"/>
  <c r="S232" i="9"/>
  <c r="S231" i="9"/>
  <c r="S230" i="9"/>
  <c r="M230" i="9"/>
  <c r="S227" i="9"/>
  <c r="M227" i="9"/>
  <c r="L227" i="9"/>
  <c r="S226" i="9"/>
  <c r="S225" i="9"/>
  <c r="S224" i="9"/>
  <c r="M224" i="9"/>
  <c r="L224" i="9"/>
  <c r="S223" i="9"/>
  <c r="S222" i="9"/>
  <c r="S221" i="9"/>
  <c r="M221" i="9"/>
  <c r="L221" i="9"/>
  <c r="S220" i="9"/>
  <c r="S219" i="9"/>
  <c r="S218" i="9"/>
  <c r="M218" i="9"/>
  <c r="L218" i="9"/>
  <c r="S217" i="9"/>
  <c r="S216" i="9"/>
  <c r="S215" i="9"/>
  <c r="M215" i="9"/>
  <c r="S214" i="9"/>
  <c r="S213" i="9"/>
  <c r="S212" i="9"/>
  <c r="M212" i="9"/>
  <c r="S211" i="9"/>
  <c r="S210" i="9"/>
  <c r="S209" i="9"/>
  <c r="M209" i="9"/>
  <c r="S208" i="9"/>
  <c r="S207" i="9"/>
  <c r="S206" i="9"/>
  <c r="M206" i="9"/>
  <c r="L206" i="9"/>
  <c r="S205" i="9"/>
  <c r="L205" i="9"/>
  <c r="S204" i="9"/>
  <c r="L204" i="9"/>
  <c r="S203" i="9"/>
  <c r="M203" i="9"/>
  <c r="L203" i="9"/>
  <c r="S202" i="9"/>
  <c r="T202" i="9" s="1"/>
  <c r="L202" i="9"/>
  <c r="T201" i="9"/>
  <c r="S201" i="9"/>
  <c r="L201" i="9"/>
  <c r="S200" i="9"/>
  <c r="T200" i="9" s="1"/>
  <c r="D104" i="10" s="1"/>
  <c r="M200" i="9"/>
  <c r="L200" i="9"/>
  <c r="S199" i="9"/>
  <c r="T199" i="9" s="1"/>
  <c r="L199" i="9"/>
  <c r="T198" i="9"/>
  <c r="S198" i="9"/>
  <c r="L198" i="9"/>
  <c r="S197" i="9"/>
  <c r="T197" i="9" s="1"/>
  <c r="D103" i="10" s="1"/>
  <c r="M197" i="9"/>
  <c r="L197" i="9"/>
  <c r="S196" i="9"/>
  <c r="T196" i="9" s="1"/>
  <c r="L196" i="9"/>
  <c r="T195" i="9"/>
  <c r="L195" i="9"/>
  <c r="T194" i="9"/>
  <c r="D102" i="10" s="1"/>
  <c r="M194" i="9"/>
  <c r="L194" i="9"/>
  <c r="S193" i="9"/>
  <c r="T193" i="9" s="1"/>
  <c r="L193" i="9"/>
  <c r="T192" i="9"/>
  <c r="L192" i="9"/>
  <c r="T191" i="9"/>
  <c r="D106" i="10" s="1"/>
  <c r="S191" i="9"/>
  <c r="M191" i="9"/>
  <c r="L191" i="9"/>
  <c r="T190" i="9"/>
  <c r="S190" i="9"/>
  <c r="L190" i="9"/>
  <c r="T189" i="9"/>
  <c r="L189" i="9"/>
  <c r="S188" i="9"/>
  <c r="T188" i="9" s="1"/>
  <c r="D107" i="10" s="1"/>
  <c r="M188" i="9"/>
  <c r="L188" i="9"/>
  <c r="S187" i="9"/>
  <c r="T187" i="9" s="1"/>
  <c r="L187" i="9"/>
  <c r="T186" i="9"/>
  <c r="S186" i="9"/>
  <c r="L186" i="9"/>
  <c r="S185" i="9"/>
  <c r="T185" i="9" s="1"/>
  <c r="M185" i="9"/>
  <c r="L185" i="9"/>
  <c r="S184" i="9"/>
  <c r="T184" i="9" s="1"/>
  <c r="L184" i="9"/>
  <c r="T183" i="9"/>
  <c r="S183" i="9"/>
  <c r="L183" i="9"/>
  <c r="S182" i="9"/>
  <c r="T182" i="9" s="1"/>
  <c r="D131" i="10" s="1"/>
  <c r="M182" i="9"/>
  <c r="L182" i="9"/>
  <c r="S181" i="9"/>
  <c r="T181" i="9" s="1"/>
  <c r="L181" i="9"/>
  <c r="T180" i="9"/>
  <c r="L180" i="9"/>
  <c r="T179" i="9"/>
  <c r="M179" i="9"/>
  <c r="L179" i="9"/>
  <c r="T178" i="9"/>
  <c r="M178" i="9"/>
  <c r="L178" i="9"/>
  <c r="T177" i="9"/>
  <c r="M177" i="9"/>
  <c r="L177" i="9"/>
  <c r="T176" i="9"/>
  <c r="M176" i="9"/>
  <c r="L176" i="9"/>
  <c r="T175" i="9"/>
  <c r="S175" i="9"/>
  <c r="L175" i="9"/>
  <c r="T174" i="9"/>
  <c r="L174" i="9"/>
  <c r="T173" i="9"/>
  <c r="M173" i="9"/>
  <c r="L173" i="9"/>
  <c r="T172" i="9"/>
  <c r="S172" i="9"/>
  <c r="L172" i="9"/>
  <c r="T171" i="9"/>
  <c r="L171" i="9"/>
  <c r="T170" i="9"/>
  <c r="M170" i="9"/>
  <c r="L170" i="9"/>
  <c r="T169" i="9"/>
  <c r="S169" i="9"/>
  <c r="L169" i="9"/>
  <c r="T168" i="9"/>
  <c r="L168" i="9"/>
  <c r="T167" i="9"/>
  <c r="M167" i="9"/>
  <c r="L167" i="9"/>
  <c r="T166" i="9"/>
  <c r="S166" i="9"/>
  <c r="L166" i="9"/>
  <c r="T165" i="9"/>
  <c r="L165" i="9"/>
  <c r="T164" i="9"/>
  <c r="M164" i="9"/>
  <c r="L164" i="9"/>
  <c r="T163" i="9"/>
  <c r="S163" i="9"/>
  <c r="M163" i="9"/>
  <c r="L163" i="9"/>
  <c r="T162" i="9"/>
  <c r="S162" i="9"/>
  <c r="M162" i="9"/>
  <c r="L162" i="9"/>
  <c r="T161" i="9"/>
  <c r="D133" i="10" s="1"/>
  <c r="S161" i="9"/>
  <c r="M161" i="9"/>
  <c r="C133" i="10" s="1"/>
  <c r="L161" i="9"/>
  <c r="B133" i="10" s="1"/>
  <c r="T160" i="9"/>
  <c r="S160" i="9"/>
  <c r="T159" i="9"/>
  <c r="T158" i="9"/>
  <c r="M158" i="9"/>
  <c r="L158" i="9"/>
  <c r="T157" i="9"/>
  <c r="L157" i="9"/>
  <c r="T156" i="9"/>
  <c r="L156" i="9"/>
  <c r="T155" i="9"/>
  <c r="D70" i="10" s="1"/>
  <c r="M155" i="9"/>
  <c r="L155" i="9"/>
  <c r="T154" i="9"/>
  <c r="L154" i="9"/>
  <c r="T153" i="9"/>
  <c r="L153" i="9"/>
  <c r="T152" i="9"/>
  <c r="D62" i="10" s="1"/>
  <c r="M152" i="9"/>
  <c r="L152" i="9"/>
  <c r="T151" i="9"/>
  <c r="S151" i="9"/>
  <c r="L151" i="9"/>
  <c r="S150" i="9"/>
  <c r="T150" i="9" s="1"/>
  <c r="L150" i="9"/>
  <c r="S149" i="9"/>
  <c r="T149" i="9" s="1"/>
  <c r="D158" i="10" s="1"/>
  <c r="M149" i="9"/>
  <c r="L149" i="9"/>
  <c r="B158" i="10" s="1"/>
  <c r="S148" i="9"/>
  <c r="T148" i="9" s="1"/>
  <c r="L148" i="9"/>
  <c r="T147" i="9"/>
  <c r="L147" i="9"/>
  <c r="T146" i="9"/>
  <c r="M146" i="9"/>
  <c r="L146" i="9"/>
  <c r="S145" i="9"/>
  <c r="T145" i="9" s="1"/>
  <c r="L145" i="9"/>
  <c r="S144" i="9"/>
  <c r="T144" i="9" s="1"/>
  <c r="L144" i="9"/>
  <c r="S143" i="9"/>
  <c r="T143" i="9" s="1"/>
  <c r="M143" i="9"/>
  <c r="L143" i="9"/>
  <c r="S142" i="9"/>
  <c r="T142" i="9" s="1"/>
  <c r="L142" i="9"/>
  <c r="T141" i="9"/>
  <c r="S141" i="9"/>
  <c r="L141" i="9"/>
  <c r="S140" i="9"/>
  <c r="T140" i="9" s="1"/>
  <c r="M140" i="9"/>
  <c r="L140" i="9"/>
  <c r="T139" i="9"/>
  <c r="S139" i="9"/>
  <c r="L139" i="9"/>
  <c r="T138" i="9"/>
  <c r="S138" i="9"/>
  <c r="L138" i="9"/>
  <c r="T137" i="9"/>
  <c r="D21" i="10" s="1"/>
  <c r="S137" i="9"/>
  <c r="M137" i="9"/>
  <c r="L137" i="9"/>
  <c r="T136" i="9"/>
  <c r="M136" i="9"/>
  <c r="L136" i="9"/>
  <c r="T135" i="9"/>
  <c r="M135" i="9"/>
  <c r="L135" i="9"/>
  <c r="T134" i="9"/>
  <c r="M134" i="9"/>
  <c r="L134" i="9"/>
  <c r="S133" i="9"/>
  <c r="T133" i="9" s="1"/>
  <c r="M133" i="9"/>
  <c r="L133" i="9"/>
  <c r="S132" i="9"/>
  <c r="T132" i="9" s="1"/>
  <c r="M132" i="9"/>
  <c r="L132" i="9"/>
  <c r="S131" i="9"/>
  <c r="T131" i="9" s="1"/>
  <c r="M131" i="9"/>
  <c r="L131" i="9"/>
  <c r="S130" i="9"/>
  <c r="T130" i="9" s="1"/>
  <c r="P130" i="9"/>
  <c r="L130" i="9"/>
  <c r="S129" i="9"/>
  <c r="T129" i="9" s="1"/>
  <c r="P129" i="9"/>
  <c r="L129" i="9"/>
  <c r="S128" i="9"/>
  <c r="T128" i="9" s="1"/>
  <c r="P128" i="9"/>
  <c r="M128" i="9"/>
  <c r="L128" i="9"/>
  <c r="T127" i="9"/>
  <c r="S127" i="9"/>
  <c r="L127" i="9"/>
  <c r="T126" i="9"/>
  <c r="L126" i="9"/>
  <c r="T125" i="9"/>
  <c r="M125" i="9"/>
  <c r="L125" i="9"/>
  <c r="T124" i="9"/>
  <c r="S124" i="9"/>
  <c r="L124" i="9"/>
  <c r="K124" i="9"/>
  <c r="A176" i="10" s="1"/>
  <c r="T123" i="9"/>
  <c r="S123" i="9"/>
  <c r="L123" i="9"/>
  <c r="K123" i="9"/>
  <c r="A175" i="10" s="1"/>
  <c r="T122" i="9"/>
  <c r="D175" i="10" s="1"/>
  <c r="S122" i="9"/>
  <c r="M122" i="9"/>
  <c r="L122" i="9"/>
  <c r="K122" i="9"/>
  <c r="T121" i="9"/>
  <c r="M121" i="9"/>
  <c r="L121" i="9"/>
  <c r="T120" i="9"/>
  <c r="M120" i="9"/>
  <c r="L120" i="9"/>
  <c r="T119" i="9"/>
  <c r="D145" i="10" s="1"/>
  <c r="M119" i="9"/>
  <c r="L119" i="9"/>
  <c r="T118" i="9"/>
  <c r="S118" i="9"/>
  <c r="T117" i="9"/>
  <c r="S117" i="9"/>
  <c r="T116" i="9"/>
  <c r="D48" i="10" s="1"/>
  <c r="S116" i="9"/>
  <c r="M116" i="9"/>
  <c r="L116" i="9"/>
  <c r="T115" i="9"/>
  <c r="S115" i="9"/>
  <c r="L115" i="9"/>
  <c r="S114" i="9"/>
  <c r="T114" i="9" s="1"/>
  <c r="L114" i="9"/>
  <c r="T113" i="9"/>
  <c r="S113" i="9"/>
  <c r="M113" i="9"/>
  <c r="L113" i="9"/>
  <c r="T112" i="9"/>
  <c r="S112" i="9"/>
  <c r="L112" i="9"/>
  <c r="T111" i="9"/>
  <c r="L111" i="9"/>
  <c r="S110" i="9"/>
  <c r="T110" i="9" s="1"/>
  <c r="D36" i="10" s="1"/>
  <c r="M110" i="9"/>
  <c r="L110" i="9"/>
  <c r="S109" i="9"/>
  <c r="T109" i="9" s="1"/>
  <c r="L109" i="9"/>
  <c r="T108" i="9"/>
  <c r="L108" i="9"/>
  <c r="T107" i="9"/>
  <c r="M107" i="9"/>
  <c r="L107" i="9"/>
  <c r="S106" i="9"/>
  <c r="T106" i="9" s="1"/>
  <c r="M106" i="9"/>
  <c r="L106" i="9"/>
  <c r="S105" i="9"/>
  <c r="T105" i="9" s="1"/>
  <c r="M105" i="9"/>
  <c r="L105" i="9"/>
  <c r="T104" i="9"/>
  <c r="M104" i="9"/>
  <c r="L104" i="9"/>
  <c r="T103" i="9"/>
  <c r="L103" i="9"/>
  <c r="T102" i="9"/>
  <c r="L102" i="9"/>
  <c r="T101" i="9"/>
  <c r="M101" i="9"/>
  <c r="L101" i="9"/>
  <c r="B178" i="10" s="1"/>
  <c r="T100" i="9"/>
  <c r="S100" i="9"/>
  <c r="L100" i="9"/>
  <c r="T99" i="9"/>
  <c r="S99" i="9"/>
  <c r="L99" i="9"/>
  <c r="S98" i="9"/>
  <c r="T98" i="9" s="1"/>
  <c r="D84" i="10" s="1"/>
  <c r="M98" i="9"/>
  <c r="L98" i="9"/>
  <c r="S97" i="9"/>
  <c r="T97" i="9" s="1"/>
  <c r="L97" i="9"/>
  <c r="T96" i="9"/>
  <c r="S96" i="9"/>
  <c r="L96" i="9"/>
  <c r="S95" i="9"/>
  <c r="T95" i="9" s="1"/>
  <c r="D7" i="10" s="1"/>
  <c r="M95" i="9"/>
  <c r="L95" i="9"/>
  <c r="S94" i="9"/>
  <c r="T94" i="9" s="1"/>
  <c r="L94" i="9"/>
  <c r="T93" i="9"/>
  <c r="S93" i="9"/>
  <c r="L93" i="9"/>
  <c r="S92" i="9"/>
  <c r="T92" i="9" s="1"/>
  <c r="D26" i="10" s="1"/>
  <c r="M92" i="9"/>
  <c r="L92" i="9"/>
  <c r="T91" i="9"/>
  <c r="L91" i="9"/>
  <c r="T90" i="9"/>
  <c r="L90" i="9"/>
  <c r="T89" i="9"/>
  <c r="M89" i="9"/>
  <c r="L89" i="9"/>
  <c r="T88" i="9"/>
  <c r="S88" i="9"/>
  <c r="L88" i="9"/>
  <c r="S87" i="9"/>
  <c r="T87" i="9" s="1"/>
  <c r="L87" i="9"/>
  <c r="T86" i="9"/>
  <c r="S86" i="9"/>
  <c r="M86" i="9"/>
  <c r="L86" i="9"/>
  <c r="T85" i="9"/>
  <c r="L85" i="9"/>
  <c r="T84" i="9"/>
  <c r="L84" i="9"/>
  <c r="T83" i="9"/>
  <c r="L83" i="9"/>
  <c r="T82" i="9"/>
  <c r="L82" i="9"/>
  <c r="T81" i="9"/>
  <c r="L81" i="9"/>
  <c r="T80" i="9"/>
  <c r="M80" i="9"/>
  <c r="L80" i="9"/>
  <c r="T79" i="9"/>
  <c r="M79" i="9"/>
  <c r="L79" i="9"/>
  <c r="T78" i="9"/>
  <c r="M78" i="9"/>
  <c r="L78" i="9"/>
  <c r="T77" i="9"/>
  <c r="M77" i="9"/>
  <c r="L77" i="9"/>
  <c r="T76" i="9"/>
  <c r="L76" i="9"/>
  <c r="T75" i="9"/>
  <c r="L75" i="9"/>
  <c r="T74" i="9"/>
  <c r="M74" i="9"/>
  <c r="L74" i="9"/>
  <c r="T73" i="9"/>
  <c r="L73" i="9"/>
  <c r="S72" i="9"/>
  <c r="T72" i="9" s="1"/>
  <c r="L72" i="9"/>
  <c r="T71" i="9"/>
  <c r="S71" i="9"/>
  <c r="M71" i="9"/>
  <c r="L71" i="9"/>
  <c r="T70" i="9"/>
  <c r="S70" i="9"/>
  <c r="M70" i="9"/>
  <c r="L70" i="9"/>
  <c r="T69" i="9"/>
  <c r="M69" i="9"/>
  <c r="L69" i="9"/>
  <c r="T68" i="9"/>
  <c r="M68" i="9"/>
  <c r="L68" i="9"/>
  <c r="T67" i="9"/>
  <c r="L67" i="9"/>
  <c r="T66" i="9"/>
  <c r="L66" i="9"/>
  <c r="T65" i="9"/>
  <c r="D174" i="10" s="1"/>
  <c r="M65" i="9"/>
  <c r="L65" i="9"/>
  <c r="S64" i="9"/>
  <c r="T64" i="9" s="1"/>
  <c r="L64" i="9"/>
  <c r="T63" i="9"/>
  <c r="S63" i="9"/>
  <c r="L63" i="9"/>
  <c r="S62" i="9"/>
  <c r="T62" i="9" s="1"/>
  <c r="D19" i="10" s="1"/>
  <c r="M62" i="9"/>
  <c r="L62" i="9"/>
  <c r="T61" i="9"/>
  <c r="L61" i="9"/>
  <c r="T60" i="9"/>
  <c r="L60" i="9"/>
  <c r="S59" i="9"/>
  <c r="T59" i="9" s="1"/>
  <c r="D52" i="10" s="1"/>
  <c r="M59" i="9"/>
  <c r="L59" i="9"/>
  <c r="S58" i="9"/>
  <c r="T58" i="9" s="1"/>
  <c r="L58" i="9"/>
  <c r="T57" i="9"/>
  <c r="S57" i="9"/>
  <c r="L57" i="9"/>
  <c r="S56" i="9"/>
  <c r="T56" i="9" s="1"/>
  <c r="D132" i="10" s="1"/>
  <c r="M56" i="9"/>
  <c r="L56" i="9"/>
  <c r="S55" i="9"/>
  <c r="T55" i="9" s="1"/>
  <c r="L55" i="9"/>
  <c r="T54" i="9"/>
  <c r="S54" i="9"/>
  <c r="L54" i="9"/>
  <c r="S53" i="9"/>
  <c r="T53" i="9" s="1"/>
  <c r="D3" i="10" s="1"/>
  <c r="M53" i="9"/>
  <c r="L53" i="9"/>
  <c r="S52" i="9"/>
  <c r="T52" i="9" s="1"/>
  <c r="L52" i="9"/>
  <c r="T51" i="9"/>
  <c r="S51" i="9"/>
  <c r="L51" i="9"/>
  <c r="S50" i="9"/>
  <c r="T50" i="9" s="1"/>
  <c r="D35" i="10" s="1"/>
  <c r="M50" i="9"/>
  <c r="L50" i="9"/>
  <c r="L49" i="9"/>
  <c r="T48" i="9"/>
  <c r="L48" i="9"/>
  <c r="T47" i="9"/>
  <c r="M47" i="9"/>
  <c r="L47" i="9"/>
  <c r="S46" i="9"/>
  <c r="T46" i="9" s="1"/>
  <c r="L46" i="9"/>
  <c r="T45" i="9"/>
  <c r="S45" i="9"/>
  <c r="L45" i="9"/>
  <c r="S44" i="9"/>
  <c r="T44" i="9" s="1"/>
  <c r="M44" i="9"/>
  <c r="L44" i="9"/>
  <c r="S43" i="9"/>
  <c r="T43" i="9" s="1"/>
  <c r="L43" i="9"/>
  <c r="T42" i="9"/>
  <c r="S42" i="9"/>
  <c r="L42" i="9"/>
  <c r="S41" i="9"/>
  <c r="T41" i="9" s="1"/>
  <c r="M41" i="9"/>
  <c r="L41" i="9"/>
  <c r="T40" i="9"/>
  <c r="T39" i="9"/>
  <c r="T38" i="9"/>
  <c r="M38" i="9"/>
  <c r="T37" i="9"/>
  <c r="L37" i="9"/>
  <c r="T36" i="9"/>
  <c r="L36" i="9"/>
  <c r="T35" i="9"/>
  <c r="M35" i="9"/>
  <c r="L35" i="9"/>
  <c r="T34" i="9"/>
  <c r="L34" i="9"/>
  <c r="T33" i="9"/>
  <c r="L33" i="9"/>
  <c r="T32" i="9"/>
  <c r="D138" i="10" s="1"/>
  <c r="M32" i="9"/>
  <c r="L32" i="9"/>
  <c r="S31" i="9"/>
  <c r="T31" i="9" s="1"/>
  <c r="L31" i="9"/>
  <c r="T30" i="9"/>
  <c r="S30" i="9"/>
  <c r="L30" i="9"/>
  <c r="S29" i="9"/>
  <c r="T29" i="9" s="1"/>
  <c r="D4" i="10" s="1"/>
  <c r="M29" i="9"/>
  <c r="L29" i="9"/>
  <c r="S28" i="9"/>
  <c r="T28" i="9" s="1"/>
  <c r="L28" i="9"/>
  <c r="T27" i="9"/>
  <c r="S27" i="9"/>
  <c r="L27" i="9"/>
  <c r="S26" i="9"/>
  <c r="T26" i="9" s="1"/>
  <c r="D34" i="10" s="1"/>
  <c r="M26" i="9"/>
  <c r="L26" i="9"/>
  <c r="T25" i="9"/>
  <c r="L25" i="9"/>
  <c r="T24" i="9"/>
  <c r="L24" i="9"/>
  <c r="T23" i="9"/>
  <c r="M23" i="9"/>
  <c r="L23" i="9"/>
  <c r="T22" i="9"/>
  <c r="S22" i="9"/>
  <c r="L22" i="9"/>
  <c r="S21" i="9"/>
  <c r="T21" i="9" s="1"/>
  <c r="L21" i="9"/>
  <c r="T20" i="9"/>
  <c r="S20" i="9"/>
  <c r="M20" i="9"/>
  <c r="L20" i="9"/>
  <c r="T19" i="9"/>
  <c r="L19" i="9"/>
  <c r="T18" i="9"/>
  <c r="S18" i="9"/>
  <c r="L18" i="9"/>
  <c r="T17" i="9"/>
  <c r="M17" i="9"/>
  <c r="L17" i="9"/>
  <c r="T16" i="9"/>
  <c r="M16" i="9"/>
  <c r="L16" i="9"/>
  <c r="T15" i="9"/>
  <c r="M15" i="9"/>
  <c r="C137" i="10" s="1"/>
  <c r="L15" i="9"/>
  <c r="T14" i="9"/>
  <c r="M14" i="9"/>
  <c r="L14" i="9"/>
  <c r="S13" i="9"/>
  <c r="T13" i="9" s="1"/>
  <c r="S12" i="9"/>
  <c r="T12" i="9" s="1"/>
  <c r="T11" i="9"/>
  <c r="M11" i="9"/>
  <c r="L11" i="9"/>
  <c r="T10" i="9"/>
  <c r="L10" i="9"/>
  <c r="T9" i="9"/>
  <c r="L9" i="9"/>
  <c r="T8" i="9"/>
  <c r="D94" i="10" s="1"/>
  <c r="M8" i="9"/>
  <c r="L8" i="9"/>
  <c r="T7" i="9"/>
  <c r="L7" i="9"/>
  <c r="T6" i="9"/>
  <c r="L6" i="9"/>
  <c r="T5" i="9"/>
  <c r="M5" i="9"/>
  <c r="L5" i="9"/>
  <c r="T4" i="9"/>
  <c r="S4" i="9"/>
  <c r="L4" i="9"/>
  <c r="T3" i="9"/>
  <c r="S3" i="9"/>
  <c r="L3" i="9"/>
  <c r="T2" i="9"/>
  <c r="D72" i="10" s="1"/>
  <c r="L2" i="9"/>
  <c r="P118" i="8"/>
  <c r="O118" i="8"/>
  <c r="N118" i="8"/>
  <c r="M118" i="8"/>
  <c r="L118" i="8"/>
  <c r="K118" i="8"/>
  <c r="J118" i="8"/>
  <c r="I118" i="8"/>
  <c r="H118" i="8"/>
  <c r="G118" i="8"/>
  <c r="F118" i="8"/>
  <c r="E118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A110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B102" i="8"/>
  <c r="A102" i="8"/>
  <c r="B101" i="8"/>
  <c r="A101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A98" i="8"/>
  <c r="A94" i="8"/>
  <c r="A93" i="8"/>
  <c r="A92" i="8"/>
  <c r="A85" i="8"/>
  <c r="P83" i="8"/>
  <c r="O83" i="8"/>
  <c r="N83" i="8"/>
  <c r="M83" i="8"/>
  <c r="L83" i="8"/>
  <c r="K83" i="8"/>
  <c r="J83" i="8"/>
  <c r="I83" i="8"/>
  <c r="H83" i="8"/>
  <c r="G83" i="8"/>
  <c r="F83" i="8"/>
  <c r="E83" i="8"/>
  <c r="B81" i="8"/>
  <c r="A81" i="8"/>
  <c r="B80" i="8"/>
  <c r="A80" i="8"/>
  <c r="P79" i="8"/>
  <c r="N79" i="8"/>
  <c r="M79" i="8"/>
  <c r="K79" i="8"/>
  <c r="J79" i="8"/>
  <c r="G79" i="8"/>
  <c r="F79" i="8"/>
  <c r="E79" i="8"/>
  <c r="O79" i="8"/>
  <c r="L79" i="8"/>
  <c r="B77" i="8"/>
  <c r="B76" i="8"/>
  <c r="B75" i="8"/>
  <c r="B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P60" i="8"/>
  <c r="O60" i="8"/>
  <c r="N60" i="8"/>
  <c r="M60" i="8"/>
  <c r="L60" i="8"/>
  <c r="K60" i="8"/>
  <c r="J60" i="8"/>
  <c r="H60" i="8"/>
  <c r="G60" i="8"/>
  <c r="F60" i="8"/>
  <c r="E60" i="8"/>
  <c r="P52" i="8"/>
  <c r="O52" i="8"/>
  <c r="N52" i="8"/>
  <c r="M52" i="8"/>
  <c r="L52" i="8"/>
  <c r="K52" i="8"/>
  <c r="J52" i="8"/>
  <c r="I52" i="8"/>
  <c r="H52" i="8"/>
  <c r="G52" i="8"/>
  <c r="F52" i="8"/>
  <c r="E52" i="8"/>
  <c r="L51" i="8"/>
  <c r="K51" i="8"/>
  <c r="B50" i="8"/>
  <c r="A50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P36" i="8"/>
  <c r="O36" i="8"/>
  <c r="N36" i="8"/>
  <c r="M36" i="8"/>
  <c r="L36" i="8"/>
  <c r="K36" i="8"/>
  <c r="J36" i="8"/>
  <c r="G36" i="8"/>
  <c r="F36" i="8"/>
  <c r="E36" i="8"/>
  <c r="K35" i="8"/>
  <c r="B34" i="8"/>
  <c r="A34" i="8"/>
  <c r="B33" i="8"/>
  <c r="A33" i="8"/>
  <c r="B32" i="8"/>
  <c r="A32" i="8"/>
  <c r="B31" i="8"/>
  <c r="A31" i="8"/>
  <c r="P30" i="8"/>
  <c r="M30" i="8"/>
  <c r="J30" i="8"/>
  <c r="G30" i="8"/>
  <c r="F30" i="8"/>
  <c r="E30" i="8"/>
  <c r="B28" i="8"/>
  <c r="A28" i="8"/>
  <c r="B27" i="8"/>
  <c r="A27" i="8"/>
  <c r="B26" i="8"/>
  <c r="A26" i="8"/>
  <c r="B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P15" i="8"/>
  <c r="O15" i="8"/>
  <c r="N15" i="8"/>
  <c r="M15" i="8"/>
  <c r="L15" i="8"/>
  <c r="K15" i="8"/>
  <c r="J15" i="8"/>
  <c r="I15" i="8"/>
  <c r="H15" i="8"/>
  <c r="G15" i="8"/>
  <c r="F15" i="8"/>
  <c r="E15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P6" i="8"/>
  <c r="O6" i="8"/>
  <c r="N6" i="8"/>
  <c r="M6" i="8"/>
  <c r="L6" i="8"/>
  <c r="K6" i="8"/>
  <c r="J6" i="8"/>
  <c r="I6" i="8"/>
  <c r="H6" i="8"/>
  <c r="G6" i="8"/>
  <c r="F6" i="8"/>
  <c r="E6" i="8"/>
  <c r="P115" i="7"/>
  <c r="O115" i="7"/>
  <c r="N115" i="7"/>
  <c r="M115" i="7"/>
  <c r="L115" i="7"/>
  <c r="K115" i="7"/>
  <c r="J115" i="7"/>
  <c r="I115" i="7"/>
  <c r="H115" i="7"/>
  <c r="G115" i="7"/>
  <c r="F115" i="7"/>
  <c r="E115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A107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N99" i="7"/>
  <c r="K99" i="7"/>
  <c r="H99" i="7"/>
  <c r="F99" i="7"/>
  <c r="E99" i="7"/>
  <c r="B99" i="7"/>
  <c r="A99" i="7"/>
  <c r="N98" i="7"/>
  <c r="K98" i="7"/>
  <c r="H98" i="7"/>
  <c r="F98" i="7"/>
  <c r="E98" i="7"/>
  <c r="B98" i="7"/>
  <c r="A98" i="7"/>
  <c r="P97" i="7"/>
  <c r="O97" i="7"/>
  <c r="N97" i="7"/>
  <c r="M97" i="7"/>
  <c r="L97" i="7"/>
  <c r="K97" i="7"/>
  <c r="J97" i="7"/>
  <c r="I97" i="7"/>
  <c r="H97" i="7"/>
  <c r="G97" i="7"/>
  <c r="F97" i="7"/>
  <c r="E97" i="7"/>
  <c r="A95" i="7"/>
  <c r="B91" i="7"/>
  <c r="A91" i="7"/>
  <c r="A90" i="7"/>
  <c r="A89" i="7"/>
  <c r="A82" i="7"/>
  <c r="P80" i="7"/>
  <c r="O80" i="7"/>
  <c r="N80" i="7"/>
  <c r="M80" i="7"/>
  <c r="L80" i="7"/>
  <c r="K80" i="7"/>
  <c r="J80" i="7"/>
  <c r="I80" i="7"/>
  <c r="H80" i="7"/>
  <c r="G80" i="7"/>
  <c r="F80" i="7"/>
  <c r="E80" i="7"/>
  <c r="B78" i="7"/>
  <c r="A78" i="7"/>
  <c r="B77" i="7"/>
  <c r="A77" i="7"/>
  <c r="P76" i="7"/>
  <c r="N76" i="7"/>
  <c r="M76" i="7"/>
  <c r="K76" i="7"/>
  <c r="J76" i="7"/>
  <c r="I76" i="7"/>
  <c r="G76" i="7"/>
  <c r="F76" i="7"/>
  <c r="E76" i="7"/>
  <c r="O76" i="7"/>
  <c r="L76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B58" i="7"/>
  <c r="A58" i="7"/>
  <c r="B57" i="7"/>
  <c r="A57" i="7"/>
  <c r="P56" i="7"/>
  <c r="O56" i="7"/>
  <c r="N56" i="7"/>
  <c r="M56" i="7"/>
  <c r="L56" i="7"/>
  <c r="K56" i="7"/>
  <c r="J56" i="7"/>
  <c r="G56" i="7"/>
  <c r="F56" i="7"/>
  <c r="E56" i="7"/>
  <c r="B54" i="7"/>
  <c r="A54" i="7"/>
  <c r="B53" i="7"/>
  <c r="A53" i="7"/>
  <c r="B52" i="7"/>
  <c r="A52" i="7"/>
  <c r="P51" i="7"/>
  <c r="O51" i="7"/>
  <c r="N51" i="7"/>
  <c r="M51" i="7"/>
  <c r="L51" i="7"/>
  <c r="J51" i="7"/>
  <c r="G51" i="7"/>
  <c r="F51" i="7"/>
  <c r="E51" i="7"/>
  <c r="L50" i="7"/>
  <c r="K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B40" i="7"/>
  <c r="A40" i="7"/>
  <c r="B39" i="7"/>
  <c r="A39" i="7"/>
  <c r="B38" i="7"/>
  <c r="A38" i="7"/>
  <c r="P37" i="7"/>
  <c r="O37" i="7"/>
  <c r="N37" i="7"/>
  <c r="M37" i="7"/>
  <c r="L37" i="7"/>
  <c r="J37" i="7"/>
  <c r="G37" i="7"/>
  <c r="F37" i="7"/>
  <c r="E37" i="7"/>
  <c r="K36" i="7"/>
  <c r="K37" i="7" s="1"/>
  <c r="B35" i="7"/>
  <c r="A35" i="7"/>
  <c r="A34" i="7"/>
  <c r="A33" i="7"/>
  <c r="A32" i="7"/>
  <c r="P31" i="7"/>
  <c r="M31" i="7"/>
  <c r="J31" i="7"/>
  <c r="G31" i="7"/>
  <c r="F31" i="7"/>
  <c r="E31" i="7"/>
  <c r="B29" i="7"/>
  <c r="A29" i="7"/>
  <c r="B28" i="7"/>
  <c r="A28" i="7"/>
  <c r="B27" i="7"/>
  <c r="B26" i="7"/>
  <c r="B25" i="7"/>
  <c r="A25" i="7"/>
  <c r="A24" i="7"/>
  <c r="B23" i="7"/>
  <c r="A23" i="7"/>
  <c r="A21" i="7"/>
  <c r="B20" i="7"/>
  <c r="A19" i="7"/>
  <c r="A18" i="7"/>
  <c r="P15" i="7"/>
  <c r="O15" i="7"/>
  <c r="N15" i="7"/>
  <c r="M15" i="7"/>
  <c r="L15" i="7"/>
  <c r="K15" i="7"/>
  <c r="J15" i="7"/>
  <c r="I15" i="7"/>
  <c r="H15" i="7"/>
  <c r="G15" i="7"/>
  <c r="F15" i="7"/>
  <c r="E15" i="7"/>
  <c r="P6" i="7"/>
  <c r="O6" i="7"/>
  <c r="N6" i="7"/>
  <c r="M6" i="7"/>
  <c r="L6" i="7"/>
  <c r="K6" i="7"/>
  <c r="J6" i="7"/>
  <c r="I6" i="7"/>
  <c r="H6" i="7"/>
  <c r="G6" i="7"/>
  <c r="F6" i="7"/>
  <c r="E6" i="7"/>
  <c r="R122" i="6"/>
  <c r="O122" i="6"/>
  <c r="K122" i="6"/>
  <c r="H122" i="6"/>
  <c r="R121" i="6"/>
  <c r="O121" i="6"/>
  <c r="K121" i="6"/>
  <c r="H121" i="6"/>
  <c r="R120" i="6"/>
  <c r="Q120" i="6"/>
  <c r="P120" i="6"/>
  <c r="O120" i="6"/>
  <c r="N120" i="6" s="1"/>
  <c r="M120" i="6"/>
  <c r="K120" i="6"/>
  <c r="J120" i="6"/>
  <c r="H120" i="6"/>
  <c r="G120" i="6"/>
  <c r="H119" i="6"/>
  <c r="G119" i="6"/>
  <c r="C119" i="6"/>
  <c r="H118" i="6"/>
  <c r="G118" i="6"/>
  <c r="C118" i="6"/>
  <c r="Q117" i="6"/>
  <c r="P117" i="6"/>
  <c r="N117" i="6"/>
  <c r="M117" i="6"/>
  <c r="K117" i="6"/>
  <c r="J117" i="6"/>
  <c r="H117" i="6"/>
  <c r="G117" i="6"/>
  <c r="Q116" i="6"/>
  <c r="P116" i="6"/>
  <c r="N116" i="6"/>
  <c r="M116" i="6"/>
  <c r="K116" i="6"/>
  <c r="J116" i="6"/>
  <c r="H116" i="6"/>
  <c r="G116" i="6"/>
  <c r="Q115" i="6"/>
  <c r="P115" i="6"/>
  <c r="N115" i="6"/>
  <c r="M115" i="6"/>
  <c r="K115" i="6"/>
  <c r="J115" i="6"/>
  <c r="H115" i="6"/>
  <c r="G115" i="6"/>
  <c r="Q114" i="6"/>
  <c r="P114" i="6"/>
  <c r="N114" i="6"/>
  <c r="M114" i="6"/>
  <c r="K114" i="6"/>
  <c r="J114" i="6"/>
  <c r="H114" i="6"/>
  <c r="G114" i="6"/>
  <c r="Q113" i="6"/>
  <c r="P113" i="6"/>
  <c r="N113" i="6"/>
  <c r="M113" i="6"/>
  <c r="K113" i="6"/>
  <c r="J113" i="6"/>
  <c r="H113" i="6"/>
  <c r="G113" i="6"/>
  <c r="Q112" i="6"/>
  <c r="P112" i="6"/>
  <c r="N112" i="6"/>
  <c r="M112" i="6"/>
  <c r="K112" i="6"/>
  <c r="J112" i="6"/>
  <c r="H112" i="6"/>
  <c r="G112" i="6"/>
  <c r="K111" i="6"/>
  <c r="J111" i="6"/>
  <c r="H111" i="6"/>
  <c r="G111" i="6"/>
  <c r="Q110" i="6"/>
  <c r="P110" i="6"/>
  <c r="N110" i="6"/>
  <c r="M110" i="6"/>
  <c r="K110" i="6"/>
  <c r="J110" i="6"/>
  <c r="H110" i="6"/>
  <c r="G110" i="6"/>
  <c r="C110" i="6"/>
  <c r="Q109" i="6"/>
  <c r="P109" i="6"/>
  <c r="N109" i="6"/>
  <c r="M109" i="6"/>
  <c r="K109" i="6"/>
  <c r="J109" i="6"/>
  <c r="H109" i="6"/>
  <c r="G109" i="6"/>
  <c r="Q108" i="6"/>
  <c r="P108" i="6"/>
  <c r="N108" i="6"/>
  <c r="M108" i="6"/>
  <c r="K108" i="6"/>
  <c r="J108" i="6"/>
  <c r="H108" i="6"/>
  <c r="G108" i="6"/>
  <c r="Q107" i="6"/>
  <c r="P107" i="6"/>
  <c r="N107" i="6"/>
  <c r="M107" i="6"/>
  <c r="K107" i="6"/>
  <c r="J107" i="6"/>
  <c r="H107" i="6"/>
  <c r="G107" i="6"/>
  <c r="Q106" i="6"/>
  <c r="P106" i="6"/>
  <c r="N106" i="6"/>
  <c r="M106" i="6"/>
  <c r="K106" i="6"/>
  <c r="J106" i="6"/>
  <c r="H106" i="6"/>
  <c r="G106" i="6"/>
  <c r="Q105" i="6"/>
  <c r="P105" i="6"/>
  <c r="N105" i="6"/>
  <c r="M105" i="6"/>
  <c r="K105" i="6"/>
  <c r="J105" i="6"/>
  <c r="H105" i="6"/>
  <c r="G105" i="6"/>
  <c r="Q104" i="6"/>
  <c r="P104" i="6"/>
  <c r="N104" i="6"/>
  <c r="M104" i="6"/>
  <c r="K104" i="6"/>
  <c r="J104" i="6"/>
  <c r="H104" i="6"/>
  <c r="G104" i="6"/>
  <c r="C103" i="6"/>
  <c r="Q102" i="6"/>
  <c r="P102" i="6"/>
  <c r="N102" i="6"/>
  <c r="M102" i="6"/>
  <c r="K102" i="6"/>
  <c r="J102" i="6"/>
  <c r="H102" i="6"/>
  <c r="C102" i="6"/>
  <c r="Q101" i="6"/>
  <c r="P101" i="6"/>
  <c r="N101" i="6"/>
  <c r="M101" i="6"/>
  <c r="K101" i="6"/>
  <c r="J101" i="6"/>
  <c r="H101" i="6"/>
  <c r="G101" i="6"/>
  <c r="Q100" i="6"/>
  <c r="P100" i="6"/>
  <c r="N100" i="6"/>
  <c r="M100" i="6"/>
  <c r="K100" i="6"/>
  <c r="J100" i="6"/>
  <c r="H100" i="6"/>
  <c r="G100" i="6"/>
  <c r="Q99" i="6"/>
  <c r="P99" i="6"/>
  <c r="N99" i="6"/>
  <c r="M99" i="6"/>
  <c r="K99" i="6"/>
  <c r="J99" i="6"/>
  <c r="H99" i="6"/>
  <c r="G99" i="6"/>
  <c r="Q98" i="6"/>
  <c r="N98" i="6"/>
  <c r="M98" i="6"/>
  <c r="K98" i="6"/>
  <c r="J98" i="6"/>
  <c r="H98" i="6"/>
  <c r="G98" i="6"/>
  <c r="Q97" i="6"/>
  <c r="P97" i="6"/>
  <c r="N97" i="6"/>
  <c r="M97" i="6"/>
  <c r="K97" i="6"/>
  <c r="J97" i="6"/>
  <c r="H97" i="6"/>
  <c r="G97" i="6"/>
  <c r="C97" i="6"/>
  <c r="Q96" i="6"/>
  <c r="P96" i="6"/>
  <c r="N96" i="6"/>
  <c r="M96" i="6"/>
  <c r="K96" i="6"/>
  <c r="J96" i="6"/>
  <c r="H96" i="6"/>
  <c r="G96" i="6"/>
  <c r="Q95" i="6"/>
  <c r="P95" i="6"/>
  <c r="N95" i="6"/>
  <c r="M95" i="6"/>
  <c r="K95" i="6"/>
  <c r="J95" i="6"/>
  <c r="H95" i="6"/>
  <c r="G95" i="6"/>
  <c r="Q94" i="6"/>
  <c r="P94" i="6"/>
  <c r="N94" i="6"/>
  <c r="M94" i="6"/>
  <c r="K94" i="6"/>
  <c r="J94" i="6"/>
  <c r="H94" i="6"/>
  <c r="G94" i="6"/>
  <c r="Q93" i="6"/>
  <c r="P93" i="6"/>
  <c r="N93" i="6"/>
  <c r="M93" i="6"/>
  <c r="K93" i="6"/>
  <c r="J93" i="6"/>
  <c r="H93" i="6"/>
  <c r="G93" i="6"/>
  <c r="Q92" i="6"/>
  <c r="N92" i="6"/>
  <c r="M92" i="6"/>
  <c r="K92" i="6"/>
  <c r="J92" i="6"/>
  <c r="H92" i="6"/>
  <c r="G92" i="6"/>
  <c r="Q91" i="6"/>
  <c r="N91" i="6"/>
  <c r="M91" i="6"/>
  <c r="K91" i="6"/>
  <c r="J91" i="6"/>
  <c r="H91" i="6"/>
  <c r="G91" i="6"/>
  <c r="Q90" i="6"/>
  <c r="N90" i="6"/>
  <c r="M90" i="6"/>
  <c r="K90" i="6"/>
  <c r="J90" i="6"/>
  <c r="H90" i="6"/>
  <c r="G90" i="6"/>
  <c r="Q89" i="6"/>
  <c r="N89" i="6"/>
  <c r="M89" i="6"/>
  <c r="K89" i="6"/>
  <c r="J89" i="6"/>
  <c r="H89" i="6"/>
  <c r="G89" i="6"/>
  <c r="Q88" i="6"/>
  <c r="P88" i="6"/>
  <c r="N88" i="6"/>
  <c r="M88" i="6"/>
  <c r="K88" i="6"/>
  <c r="J88" i="6"/>
  <c r="H88" i="6"/>
  <c r="G88" i="6"/>
  <c r="Q87" i="6"/>
  <c r="N87" i="6"/>
  <c r="K87" i="6"/>
  <c r="C87" i="6"/>
  <c r="Q86" i="6"/>
  <c r="P86" i="6"/>
  <c r="N86" i="6"/>
  <c r="M86" i="6"/>
  <c r="K86" i="6"/>
  <c r="J86" i="6"/>
  <c r="H86" i="6"/>
  <c r="G86" i="6"/>
  <c r="Q85" i="6"/>
  <c r="P85" i="6"/>
  <c r="N85" i="6"/>
  <c r="M85" i="6"/>
  <c r="K85" i="6"/>
  <c r="J85" i="6"/>
  <c r="H85" i="6"/>
  <c r="G85" i="6"/>
  <c r="Q84" i="6"/>
  <c r="N84" i="6"/>
  <c r="K84" i="6"/>
  <c r="H84" i="6"/>
  <c r="Q83" i="6"/>
  <c r="N83" i="6"/>
  <c r="K83" i="6"/>
  <c r="H83" i="6"/>
  <c r="Q82" i="6"/>
  <c r="P82" i="6"/>
  <c r="N82" i="6"/>
  <c r="M82" i="6"/>
  <c r="K82" i="6"/>
  <c r="J82" i="6"/>
  <c r="H82" i="6"/>
  <c r="G82" i="6"/>
  <c r="M81" i="6"/>
  <c r="J81" i="6"/>
  <c r="G81" i="6"/>
  <c r="C81" i="6"/>
  <c r="M80" i="6"/>
  <c r="J80" i="6"/>
  <c r="G80" i="6"/>
  <c r="C80" i="6"/>
  <c r="G79" i="6"/>
  <c r="G78" i="6"/>
  <c r="P77" i="6"/>
  <c r="G77" i="6"/>
  <c r="P76" i="6"/>
  <c r="G76" i="6"/>
  <c r="P75" i="6"/>
  <c r="K75" i="6"/>
  <c r="C75" i="6"/>
  <c r="P74" i="6"/>
  <c r="C74" i="6"/>
  <c r="P73" i="6"/>
  <c r="G73" i="6"/>
  <c r="P72" i="6"/>
  <c r="C72" i="6"/>
  <c r="P71" i="6"/>
  <c r="P70" i="6"/>
  <c r="P69" i="6"/>
  <c r="P68" i="6"/>
  <c r="P67" i="6"/>
  <c r="P66" i="6"/>
  <c r="C66" i="6"/>
  <c r="P65" i="6"/>
  <c r="P64" i="6"/>
  <c r="P63" i="6"/>
  <c r="Q62" i="6"/>
  <c r="P62" i="6"/>
  <c r="N62" i="6"/>
  <c r="H62" i="6"/>
  <c r="K61" i="6"/>
  <c r="H59" i="6"/>
  <c r="H56" i="6"/>
  <c r="C56" i="6"/>
  <c r="C53" i="6"/>
  <c r="C51" i="6"/>
  <c r="G50" i="6"/>
  <c r="G49" i="6"/>
  <c r="G48" i="6"/>
  <c r="C46" i="6"/>
  <c r="N44" i="6"/>
  <c r="N41" i="6"/>
  <c r="C40" i="6"/>
  <c r="N39" i="6"/>
  <c r="N38" i="6"/>
  <c r="K38" i="6"/>
  <c r="G38" i="6"/>
  <c r="C38" i="6"/>
  <c r="K37" i="6"/>
  <c r="Q36" i="6"/>
  <c r="N36" i="6"/>
  <c r="K36" i="6"/>
  <c r="H36" i="6"/>
  <c r="G36" i="6"/>
  <c r="H34" i="6"/>
  <c r="C34" i="6"/>
  <c r="H33" i="6"/>
  <c r="C33" i="6"/>
  <c r="P32" i="6"/>
  <c r="N32" i="6"/>
  <c r="K32" i="6"/>
  <c r="H32" i="6"/>
  <c r="C32" i="6"/>
  <c r="P31" i="6"/>
  <c r="N31" i="6"/>
  <c r="K31" i="6"/>
  <c r="H31" i="6"/>
  <c r="P30" i="6"/>
  <c r="N30" i="6"/>
  <c r="K30" i="6"/>
  <c r="H30" i="6"/>
  <c r="P29" i="6"/>
  <c r="N29" i="6"/>
  <c r="K29" i="6"/>
  <c r="H29" i="6"/>
  <c r="P28" i="6"/>
  <c r="N28" i="6"/>
  <c r="M28" i="6"/>
  <c r="K28" i="6"/>
  <c r="H28" i="6"/>
  <c r="G28" i="6"/>
  <c r="C25" i="6"/>
  <c r="Q24" i="6"/>
  <c r="N24" i="6"/>
  <c r="M24" i="6"/>
  <c r="K24" i="6"/>
  <c r="J24" i="6"/>
  <c r="H24" i="6"/>
  <c r="G24" i="6"/>
  <c r="P23" i="6"/>
  <c r="M23" i="6"/>
  <c r="C23" i="6"/>
  <c r="P22" i="6"/>
  <c r="M22" i="6"/>
  <c r="P21" i="6"/>
  <c r="M21" i="6"/>
  <c r="H21" i="6"/>
  <c r="P20" i="6"/>
  <c r="M20" i="6"/>
  <c r="P19" i="6"/>
  <c r="M19" i="6"/>
  <c r="H19" i="6"/>
  <c r="P18" i="6"/>
  <c r="M18" i="6"/>
  <c r="P17" i="6"/>
  <c r="M17" i="6"/>
  <c r="P16" i="6"/>
  <c r="M16" i="6"/>
  <c r="H16" i="6"/>
  <c r="Q15" i="6"/>
  <c r="P15" i="6"/>
  <c r="M15" i="6"/>
  <c r="K15" i="6"/>
  <c r="Q14" i="6"/>
  <c r="P14" i="6"/>
  <c r="N14" i="6"/>
  <c r="N15" i="6" s="1"/>
  <c r="M14" i="6"/>
  <c r="K14" i="6"/>
  <c r="H14" i="6"/>
  <c r="H15" i="6" s="1"/>
  <c r="C12" i="6"/>
  <c r="N8" i="6"/>
  <c r="K8" i="6"/>
  <c r="H8" i="6"/>
  <c r="Q6" i="6"/>
  <c r="Q8" i="6" s="1"/>
  <c r="N6" i="6"/>
  <c r="K6" i="6"/>
  <c r="H6" i="6"/>
  <c r="H128" i="5"/>
  <c r="G128" i="5"/>
  <c r="H127" i="5"/>
  <c r="G127" i="5"/>
  <c r="H125" i="5"/>
  <c r="G125" i="5"/>
  <c r="H124" i="5"/>
  <c r="G124" i="5"/>
  <c r="H123" i="5"/>
  <c r="G123" i="5"/>
  <c r="H121" i="5"/>
  <c r="G121" i="5"/>
  <c r="H120" i="5"/>
  <c r="G120" i="5"/>
  <c r="C120" i="5"/>
  <c r="H119" i="5"/>
  <c r="G119" i="5"/>
  <c r="H118" i="5"/>
  <c r="G118" i="5"/>
  <c r="H117" i="5"/>
  <c r="G117" i="5"/>
  <c r="H116" i="5"/>
  <c r="G116" i="5"/>
  <c r="H115" i="5"/>
  <c r="G115" i="5"/>
  <c r="C113" i="5"/>
  <c r="H112" i="5"/>
  <c r="G112" i="5"/>
  <c r="H111" i="5"/>
  <c r="G111" i="5"/>
  <c r="C111" i="5"/>
  <c r="C109" i="5"/>
  <c r="H108" i="5"/>
  <c r="G108" i="5"/>
  <c r="H107" i="5"/>
  <c r="G107" i="5"/>
  <c r="H106" i="5"/>
  <c r="G106" i="5"/>
  <c r="H105" i="5"/>
  <c r="G105" i="5"/>
  <c r="C105" i="5"/>
  <c r="H104" i="5"/>
  <c r="G104" i="5"/>
  <c r="C104" i="5"/>
  <c r="H103" i="5"/>
  <c r="G103" i="5"/>
  <c r="C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C96" i="5"/>
  <c r="H95" i="5"/>
  <c r="G95" i="5"/>
  <c r="H94" i="5"/>
  <c r="G94" i="5"/>
  <c r="H93" i="5"/>
  <c r="G93" i="5"/>
  <c r="C93" i="5"/>
  <c r="H92" i="5"/>
  <c r="G92" i="5"/>
  <c r="H91" i="5"/>
  <c r="G91" i="5"/>
  <c r="H90" i="5"/>
  <c r="G90" i="5"/>
  <c r="H89" i="5"/>
  <c r="G89" i="5"/>
  <c r="H88" i="5"/>
  <c r="G88" i="5"/>
  <c r="C86" i="5"/>
  <c r="H84" i="5"/>
  <c r="H83" i="5"/>
  <c r="G83" i="5"/>
  <c r="D79" i="5"/>
  <c r="C79" i="5"/>
  <c r="C78" i="5"/>
  <c r="H77" i="5"/>
  <c r="G77" i="5"/>
  <c r="H75" i="5"/>
  <c r="C75" i="5"/>
  <c r="H74" i="5"/>
  <c r="D74" i="5"/>
  <c r="C74" i="5"/>
  <c r="C73" i="5"/>
  <c r="C71" i="5"/>
  <c r="H66" i="5"/>
  <c r="N63" i="5"/>
  <c r="J63" i="5"/>
  <c r="H63" i="5"/>
  <c r="G63" i="5"/>
  <c r="N62" i="5"/>
  <c r="H62" i="5"/>
  <c r="N61" i="5"/>
  <c r="H61" i="5"/>
  <c r="H60" i="5"/>
  <c r="N59" i="5"/>
  <c r="H59" i="5"/>
  <c r="H56" i="5"/>
  <c r="G56" i="5"/>
  <c r="G55" i="5"/>
  <c r="C55" i="5"/>
  <c r="H54" i="5"/>
  <c r="G54" i="5"/>
  <c r="C54" i="5"/>
  <c r="G53" i="5"/>
  <c r="H52" i="5"/>
  <c r="G52" i="5"/>
  <c r="C52" i="5"/>
  <c r="G50" i="5"/>
  <c r="G49" i="5"/>
  <c r="G48" i="5"/>
  <c r="C47" i="5"/>
  <c r="H44" i="5"/>
  <c r="G43" i="5"/>
  <c r="H43" i="5" s="1"/>
  <c r="Q42" i="5"/>
  <c r="P42" i="5"/>
  <c r="N42" i="5"/>
  <c r="M42" i="5"/>
  <c r="L42" i="5"/>
  <c r="K42" i="5"/>
  <c r="J42" i="5"/>
  <c r="I42" i="5"/>
  <c r="H42" i="5"/>
  <c r="G42" i="5"/>
  <c r="R41" i="5"/>
  <c r="R42" i="5" s="1"/>
  <c r="O41" i="5"/>
  <c r="O42" i="5" s="1"/>
  <c r="I41" i="5"/>
  <c r="H40" i="5"/>
  <c r="H39" i="5"/>
  <c r="C39" i="5"/>
  <c r="H38" i="5"/>
  <c r="H37" i="5"/>
  <c r="G37" i="5"/>
  <c r="H36" i="5"/>
  <c r="H35" i="5"/>
  <c r="G35" i="5"/>
  <c r="R34" i="5"/>
  <c r="Q34" i="5"/>
  <c r="P34" i="5"/>
  <c r="O34" i="5"/>
  <c r="N34" i="5"/>
  <c r="M34" i="5"/>
  <c r="L34" i="5"/>
  <c r="J34" i="5"/>
  <c r="I34" i="5"/>
  <c r="H34" i="5"/>
  <c r="G34" i="5"/>
  <c r="C32" i="5"/>
  <c r="C31" i="5"/>
  <c r="G30" i="5"/>
  <c r="G29" i="5"/>
  <c r="G28" i="5"/>
  <c r="C27" i="5"/>
  <c r="G25" i="5"/>
  <c r="G23" i="5"/>
  <c r="G22" i="5"/>
  <c r="G21" i="5"/>
  <c r="G19" i="5"/>
  <c r="H18" i="5"/>
  <c r="H17" i="5"/>
  <c r="G17" i="5"/>
  <c r="R16" i="5"/>
  <c r="Q16" i="5"/>
  <c r="P16" i="5"/>
  <c r="O16" i="5"/>
  <c r="N16" i="5"/>
  <c r="M16" i="5"/>
  <c r="L16" i="5"/>
  <c r="K16" i="5"/>
  <c r="J16" i="5"/>
  <c r="I16" i="5"/>
  <c r="H16" i="5"/>
  <c r="G16" i="5"/>
  <c r="Q14" i="5"/>
  <c r="H14" i="5"/>
  <c r="C14" i="5"/>
  <c r="H13" i="5"/>
  <c r="G13" i="5"/>
  <c r="H12" i="5"/>
  <c r="H11" i="5"/>
  <c r="G11" i="5"/>
  <c r="H10" i="5"/>
  <c r="G10" i="5"/>
  <c r="H9" i="5"/>
  <c r="G9" i="5"/>
  <c r="H8" i="5"/>
  <c r="H7" i="5"/>
  <c r="R6" i="5"/>
  <c r="Q6" i="5"/>
  <c r="P6" i="5"/>
  <c r="O6" i="5"/>
  <c r="N6" i="5"/>
  <c r="M6" i="5"/>
  <c r="L6" i="5"/>
  <c r="K6" i="5"/>
  <c r="J6" i="5"/>
  <c r="I6" i="5"/>
  <c r="H6" i="5"/>
  <c r="G6" i="5"/>
  <c r="B59" i="4"/>
  <c r="B58" i="4"/>
  <c r="B57" i="4"/>
  <c r="B56" i="4"/>
  <c r="B55" i="4"/>
  <c r="B54" i="4"/>
  <c r="B53" i="4"/>
  <c r="B52" i="4"/>
  <c r="T37" i="4"/>
  <c r="T35" i="4"/>
  <c r="T33" i="4"/>
  <c r="T31" i="4"/>
  <c r="C193" i="3"/>
  <c r="B193" i="3"/>
  <c r="C192" i="3"/>
  <c r="B192" i="3"/>
  <c r="C191" i="3"/>
  <c r="B191" i="3"/>
  <c r="C190" i="3"/>
  <c r="B190" i="3"/>
  <c r="C187" i="3"/>
  <c r="K180" i="3"/>
  <c r="C180" i="3"/>
  <c r="K179" i="3"/>
  <c r="C179" i="3"/>
  <c r="K178" i="3"/>
  <c r="C178" i="3"/>
  <c r="K176" i="3"/>
  <c r="C176" i="3"/>
  <c r="K175" i="3"/>
  <c r="K174" i="3"/>
  <c r="K173" i="3"/>
  <c r="K172" i="3"/>
  <c r="K171" i="3"/>
  <c r="C171" i="3"/>
  <c r="K170" i="3"/>
  <c r="K168" i="3"/>
  <c r="K167" i="3"/>
  <c r="K166" i="3"/>
  <c r="C166" i="3"/>
  <c r="K165" i="3"/>
  <c r="C165" i="3"/>
  <c r="K164" i="3"/>
  <c r="K163" i="3"/>
  <c r="K162" i="3"/>
  <c r="K161" i="3"/>
  <c r="C161" i="3"/>
  <c r="K160" i="3"/>
  <c r="C160" i="3"/>
  <c r="B160" i="3"/>
  <c r="K159" i="3"/>
  <c r="K157" i="3"/>
  <c r="C157" i="3"/>
  <c r="B157" i="3"/>
  <c r="K155" i="3"/>
  <c r="C128" i="3"/>
  <c r="B128" i="3"/>
  <c r="B117" i="3"/>
  <c r="C90" i="3"/>
  <c r="B90" i="3"/>
  <c r="C42" i="3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T482" i="9" s="1"/>
  <c r="F173" i="2"/>
  <c r="T475" i="9" s="1"/>
  <c r="F172" i="2"/>
  <c r="F171" i="2"/>
  <c r="F170" i="2"/>
  <c r="F169" i="2"/>
  <c r="T465" i="9" s="1"/>
  <c r="F168" i="2"/>
  <c r="F167" i="2"/>
  <c r="T458" i="9" s="1"/>
  <c r="F165" i="2"/>
  <c r="F164" i="2"/>
  <c r="F163" i="2"/>
  <c r="F162" i="2"/>
  <c r="F161" i="2"/>
  <c r="T437" i="9" s="1"/>
  <c r="F160" i="2"/>
  <c r="F159" i="2"/>
  <c r="F158" i="2"/>
  <c r="F157" i="2"/>
  <c r="F156" i="2"/>
  <c r="F155" i="2"/>
  <c r="F154" i="2"/>
  <c r="F153" i="2"/>
  <c r="F152" i="2"/>
  <c r="F151" i="2"/>
  <c r="F150" i="2"/>
  <c r="T242" i="9" s="1"/>
  <c r="F149" i="2"/>
  <c r="F148" i="2"/>
  <c r="F147" i="2"/>
  <c r="F146" i="2"/>
  <c r="F145" i="2"/>
  <c r="T552" i="9" s="1"/>
  <c r="F144" i="2"/>
  <c r="F143" i="2"/>
  <c r="F142" i="2"/>
  <c r="T407" i="9" s="1"/>
  <c r="F141" i="2"/>
  <c r="F140" i="2"/>
  <c r="F139" i="2"/>
  <c r="F138" i="2"/>
  <c r="F137" i="2"/>
  <c r="T397" i="9" s="1"/>
  <c r="F136" i="2"/>
  <c r="F135" i="2"/>
  <c r="F134" i="2"/>
  <c r="F133" i="2"/>
  <c r="T389" i="9" s="1"/>
  <c r="F132" i="2"/>
  <c r="T384" i="9" s="1"/>
  <c r="F131" i="2"/>
  <c r="F130" i="2"/>
  <c r="T376" i="9" s="1"/>
  <c r="F129" i="2"/>
  <c r="F128" i="2"/>
  <c r="F127" i="2"/>
  <c r="F126" i="2"/>
  <c r="F125" i="2"/>
  <c r="T372" i="9" s="1"/>
  <c r="F124" i="2"/>
  <c r="F114" i="2"/>
  <c r="F113" i="2"/>
  <c r="F112" i="2"/>
  <c r="F111" i="2"/>
  <c r="F110" i="2"/>
  <c r="F109" i="2"/>
  <c r="F108" i="2"/>
  <c r="F107" i="2"/>
  <c r="T549" i="9" s="1"/>
  <c r="F106" i="2"/>
  <c r="F105" i="2"/>
  <c r="F104" i="2"/>
  <c r="F103" i="2"/>
  <c r="F102" i="2"/>
  <c r="F101" i="2"/>
  <c r="F100" i="2"/>
  <c r="F99" i="2"/>
  <c r="T354" i="9" s="1"/>
  <c r="F98" i="2"/>
  <c r="T342" i="9" s="1"/>
  <c r="F97" i="2"/>
  <c r="T356" i="9" s="1"/>
  <c r="F96" i="2"/>
  <c r="F95" i="2"/>
  <c r="T339" i="9" s="1"/>
  <c r="F94" i="2"/>
  <c r="F93" i="2"/>
  <c r="T330" i="9" s="1"/>
  <c r="F92" i="2"/>
  <c r="F91" i="2"/>
  <c r="T327" i="9" s="1"/>
  <c r="F90" i="2"/>
  <c r="F89" i="2"/>
  <c r="T322" i="9" s="1"/>
  <c r="F88" i="2"/>
  <c r="F87" i="2"/>
  <c r="F86" i="2"/>
  <c r="F85" i="2"/>
  <c r="F79" i="2"/>
  <c r="F78" i="2"/>
  <c r="T309" i="9" s="1"/>
  <c r="F77" i="2"/>
  <c r="F76" i="2"/>
  <c r="F75" i="2"/>
  <c r="F74" i="2"/>
  <c r="F73" i="2"/>
  <c r="F72" i="2"/>
  <c r="F71" i="2"/>
  <c r="T296" i="9" s="1"/>
  <c r="F70" i="2"/>
  <c r="F69" i="2"/>
  <c r="F68" i="2"/>
  <c r="F67" i="2"/>
  <c r="F66" i="2"/>
  <c r="F65" i="2"/>
  <c r="F64" i="2"/>
  <c r="F63" i="2"/>
  <c r="F62" i="2"/>
  <c r="F61" i="2"/>
  <c r="F60" i="2"/>
  <c r="T285" i="9" s="1"/>
  <c r="F59" i="2"/>
  <c r="F58" i="2"/>
  <c r="F57" i="2"/>
  <c r="T520" i="9" s="1"/>
  <c r="F56" i="2"/>
  <c r="T279" i="9" s="1"/>
  <c r="F55" i="2"/>
  <c r="F54" i="2"/>
  <c r="F53" i="2"/>
  <c r="F52" i="2"/>
  <c r="F51" i="2"/>
  <c r="F50" i="2"/>
  <c r="F49" i="2"/>
  <c r="T262" i="9" s="1"/>
  <c r="F48" i="2"/>
  <c r="T258" i="9" s="1"/>
  <c r="F47" i="2"/>
  <c r="F46" i="2"/>
  <c r="F45" i="2"/>
  <c r="F44" i="2"/>
  <c r="F43" i="2"/>
  <c r="F42" i="2"/>
  <c r="F41" i="2"/>
  <c r="T546" i="9" s="1"/>
  <c r="D45" i="10" s="1"/>
  <c r="F40" i="2"/>
  <c r="F39" i="2"/>
  <c r="F38" i="2"/>
  <c r="T579" i="9" s="1"/>
  <c r="D41" i="10" s="1"/>
  <c r="F37" i="2"/>
  <c r="T577" i="9" s="1"/>
  <c r="F36" i="2"/>
  <c r="T227" i="9" s="1"/>
  <c r="D39" i="10" s="1"/>
  <c r="F35" i="2"/>
  <c r="F34" i="2"/>
  <c r="F33" i="2"/>
  <c r="F32" i="2"/>
  <c r="T252" i="9" s="1"/>
  <c r="F31" i="2"/>
  <c r="F30" i="2"/>
  <c r="T240" i="9" s="1"/>
  <c r="F29" i="2"/>
  <c r="T249" i="9" s="1"/>
  <c r="F28" i="2"/>
  <c r="F27" i="2"/>
  <c r="F26" i="2"/>
  <c r="T526" i="9" s="1"/>
  <c r="F25" i="2"/>
  <c r="F24" i="2"/>
  <c r="F23" i="2"/>
  <c r="F22" i="2"/>
  <c r="F21" i="2"/>
  <c r="F20" i="2"/>
  <c r="F19" i="2"/>
  <c r="F18" i="2"/>
  <c r="F17" i="2"/>
  <c r="T226" i="9" s="1"/>
  <c r="F16" i="2"/>
  <c r="T225" i="9" s="1"/>
  <c r="F15" i="2"/>
  <c r="T224" i="9" s="1"/>
  <c r="D18" i="10" s="1"/>
  <c r="F14" i="2"/>
  <c r="T222" i="9" s="1"/>
  <c r="F13" i="2"/>
  <c r="T216" i="9" s="1"/>
  <c r="F12" i="2"/>
  <c r="F11" i="2"/>
  <c r="T219" i="9" s="1"/>
  <c r="F10" i="2"/>
  <c r="F9" i="2"/>
  <c r="F8" i="2"/>
  <c r="F7" i="2"/>
  <c r="F6" i="2"/>
  <c r="F5" i="2"/>
  <c r="F4" i="2"/>
  <c r="T204" i="9" s="1"/>
  <c r="F3" i="2"/>
  <c r="F2" i="2"/>
  <c r="D87" i="10" l="1"/>
  <c r="D56" i="10"/>
  <c r="D24" i="10"/>
  <c r="D66" i="10"/>
  <c r="D146" i="10"/>
  <c r="D22" i="10"/>
  <c r="D38" i="10"/>
  <c r="T289" i="9"/>
  <c r="T287" i="9"/>
  <c r="T313" i="9"/>
  <c r="T311" i="9"/>
  <c r="T450" i="9"/>
  <c r="T448" i="9"/>
  <c r="T473" i="9"/>
  <c r="T474" i="9"/>
  <c r="D27" i="10"/>
  <c r="D28" i="10"/>
  <c r="D113" i="10"/>
  <c r="T211" i="9"/>
  <c r="T209" i="9"/>
  <c r="T235" i="9"/>
  <c r="T233" i="9"/>
  <c r="T455" i="9"/>
  <c r="T456" i="9"/>
  <c r="T454" i="9"/>
  <c r="D168" i="10" s="1"/>
  <c r="T316" i="9"/>
  <c r="T314" i="9"/>
  <c r="T571" i="9"/>
  <c r="T570" i="9"/>
  <c r="T396" i="9"/>
  <c r="T394" i="9"/>
  <c r="T401" i="9"/>
  <c r="T402" i="9"/>
  <c r="T400" i="9"/>
  <c r="T420" i="9"/>
  <c r="T418" i="9"/>
  <c r="D161" i="10" s="1"/>
  <c r="T431" i="9"/>
  <c r="T432" i="9"/>
  <c r="T430" i="9"/>
  <c r="D177" i="10" s="1"/>
  <c r="D185" i="10"/>
  <c r="T489" i="9"/>
  <c r="T488" i="9"/>
  <c r="T487" i="9"/>
  <c r="D189" i="10" s="1"/>
  <c r="D97" i="10"/>
  <c r="D129" i="10"/>
  <c r="D47" i="10"/>
  <c r="D16" i="10"/>
  <c r="D130" i="10"/>
  <c r="D55" i="10"/>
  <c r="D9" i="10"/>
  <c r="D92" i="10"/>
  <c r="T203" i="9"/>
  <c r="T206" i="9"/>
  <c r="T220" i="9"/>
  <c r="T221" i="9"/>
  <c r="D17" i="10" s="1"/>
  <c r="T230" i="9"/>
  <c r="T244" i="9"/>
  <c r="T247" i="9"/>
  <c r="T255" i="9"/>
  <c r="T282" i="9"/>
  <c r="T292" i="9"/>
  <c r="T300" i="9"/>
  <c r="T305" i="9"/>
  <c r="D100" i="10" s="1"/>
  <c r="T310" i="9"/>
  <c r="T315" i="9"/>
  <c r="T318" i="9"/>
  <c r="T320" i="9"/>
  <c r="D112" i="10" s="1"/>
  <c r="T328" i="9"/>
  <c r="T331" i="9"/>
  <c r="T333" i="9"/>
  <c r="T338" i="9"/>
  <c r="D120" i="10" s="1"/>
  <c r="T353" i="9"/>
  <c r="T373" i="9"/>
  <c r="T378" i="9"/>
  <c r="T390" i="9"/>
  <c r="T398" i="9"/>
  <c r="T404" i="9"/>
  <c r="T406" i="9"/>
  <c r="T438" i="9"/>
  <c r="T441" i="9"/>
  <c r="T449" i="9"/>
  <c r="T464" i="9"/>
  <c r="T337" i="9"/>
  <c r="T335" i="9"/>
  <c r="T325" i="9"/>
  <c r="T323" i="9"/>
  <c r="T461" i="9"/>
  <c r="T462" i="9"/>
  <c r="T460" i="9"/>
  <c r="T568" i="9"/>
  <c r="T567" i="9"/>
  <c r="D8" i="10" s="1"/>
  <c r="T569" i="9"/>
  <c r="T304" i="9"/>
  <c r="T302" i="9"/>
  <c r="T550" i="9"/>
  <c r="D77" i="10" s="1"/>
  <c r="T361" i="9"/>
  <c r="T359" i="9"/>
  <c r="D136" i="10" s="1"/>
  <c r="T574" i="9"/>
  <c r="T575" i="9"/>
  <c r="T382" i="9"/>
  <c r="T380" i="9"/>
  <c r="T428" i="9"/>
  <c r="T429" i="9"/>
  <c r="T427" i="9"/>
  <c r="T444" i="9"/>
  <c r="T442" i="9"/>
  <c r="T443" i="9"/>
  <c r="T468" i="9"/>
  <c r="T466" i="9"/>
  <c r="K51" i="7"/>
  <c r="D137" i="10"/>
  <c r="D67" i="10"/>
  <c r="D155" i="10"/>
  <c r="D63" i="10"/>
  <c r="D108" i="10"/>
  <c r="D178" i="10"/>
  <c r="D30" i="10"/>
  <c r="D147" i="10"/>
  <c r="D85" i="10"/>
  <c r="T205" i="9"/>
  <c r="T207" i="9"/>
  <c r="T212" i="9"/>
  <c r="T217" i="9"/>
  <c r="T218" i="9"/>
  <c r="D13" i="10" s="1"/>
  <c r="T231" i="9"/>
  <c r="T236" i="9"/>
  <c r="T241" i="9"/>
  <c r="T253" i="9"/>
  <c r="T256" i="9"/>
  <c r="T261" i="9"/>
  <c r="T263" i="9"/>
  <c r="T280" i="9"/>
  <c r="T283" i="9"/>
  <c r="T298" i="9"/>
  <c r="T301" i="9"/>
  <c r="T303" i="9"/>
  <c r="T306" i="9"/>
  <c r="T308" i="9"/>
  <c r="D101" i="10" s="1"/>
  <c r="T319" i="9"/>
  <c r="T321" i="9"/>
  <c r="T326" i="9"/>
  <c r="D114" i="10" s="1"/>
  <c r="T336" i="9"/>
  <c r="T341" i="9"/>
  <c r="T371" i="9"/>
  <c r="D154" i="10" s="1"/>
  <c r="T381" i="9"/>
  <c r="T399" i="9"/>
  <c r="D75" i="10" s="1"/>
  <c r="T434" i="9"/>
  <c r="T436" i="9"/>
  <c r="T379" i="9"/>
  <c r="T377" i="9"/>
  <c r="D57" i="10" s="1"/>
  <c r="T480" i="9"/>
  <c r="T478" i="9"/>
  <c r="T522" i="9"/>
  <c r="T521" i="9"/>
  <c r="T259" i="9"/>
  <c r="T257" i="9"/>
  <c r="T286" i="9"/>
  <c r="T284" i="9"/>
  <c r="D71" i="10" s="1"/>
  <c r="T533" i="9"/>
  <c r="D86" i="10" s="1"/>
  <c r="T534" i="9"/>
  <c r="T551" i="9"/>
  <c r="T528" i="9"/>
  <c r="T527" i="9"/>
  <c r="D152" i="10" s="1"/>
  <c r="T414" i="9"/>
  <c r="T412" i="9"/>
  <c r="T413" i="9"/>
  <c r="T425" i="9"/>
  <c r="T243" i="9"/>
  <c r="D42" i="10" s="1"/>
  <c r="T426" i="9"/>
  <c r="T424" i="9"/>
  <c r="T485" i="9"/>
  <c r="T486" i="9"/>
  <c r="D6" i="10"/>
  <c r="D53" i="10"/>
  <c r="D144" i="10"/>
  <c r="T208" i="9"/>
  <c r="T210" i="9"/>
  <c r="T213" i="9"/>
  <c r="T215" i="9"/>
  <c r="D15" i="10" s="1"/>
  <c r="T232" i="9"/>
  <c r="T234" i="9"/>
  <c r="T237" i="9"/>
  <c r="T239" i="9"/>
  <c r="D33" i="10" s="1"/>
  <c r="T245" i="9"/>
  <c r="T251" i="9"/>
  <c r="D43" i="10" s="1"/>
  <c r="T260" i="9"/>
  <c r="D54" i="10" s="1"/>
  <c r="T264" i="9"/>
  <c r="D78" i="10"/>
  <c r="T276" i="9"/>
  <c r="T278" i="9"/>
  <c r="D65" i="10" s="1"/>
  <c r="T290" i="9"/>
  <c r="D83" i="10" s="1"/>
  <c r="T297" i="9"/>
  <c r="D99" i="10" s="1"/>
  <c r="T307" i="9"/>
  <c r="T324" i="9"/>
  <c r="T329" i="9"/>
  <c r="D115" i="10" s="1"/>
  <c r="T334" i="9"/>
  <c r="T345" i="9"/>
  <c r="T355" i="9"/>
  <c r="T362" i="9"/>
  <c r="T385" i="9"/>
  <c r="T388" i="9"/>
  <c r="T395" i="9"/>
  <c r="T421" i="9"/>
  <c r="D162" i="10" s="1"/>
  <c r="T477" i="9"/>
  <c r="T479" i="9"/>
  <c r="T525" i="9"/>
  <c r="T573" i="9"/>
  <c r="D140" i="10" s="1"/>
  <c r="B163" i="10"/>
  <c r="T214" i="9"/>
  <c r="T223" i="9"/>
  <c r="T238" i="9"/>
  <c r="T246" i="9"/>
  <c r="T248" i="9"/>
  <c r="T250" i="9"/>
  <c r="T254" i="9"/>
  <c r="D50" i="10" s="1"/>
  <c r="T265" i="9"/>
  <c r="D80" i="10"/>
  <c r="T277" i="9"/>
  <c r="T281" i="9"/>
  <c r="D69" i="10" s="1"/>
  <c r="T288" i="9"/>
  <c r="T291" i="9"/>
  <c r="T299" i="9"/>
  <c r="T312" i="9"/>
  <c r="T317" i="9"/>
  <c r="T332" i="9"/>
  <c r="T340" i="9"/>
  <c r="T343" i="9"/>
  <c r="T358" i="9"/>
  <c r="T360" i="9"/>
  <c r="T363" i="9"/>
  <c r="T408" i="9"/>
  <c r="T411" i="9"/>
  <c r="T419" i="9"/>
  <c r="T451" i="9"/>
  <c r="T472" i="9"/>
  <c r="D184" i="10" s="1"/>
  <c r="D117" i="10"/>
  <c r="D119" i="10"/>
  <c r="D23" i="10"/>
  <c r="D11" i="10"/>
  <c r="D151" i="10"/>
  <c r="D141" i="10"/>
  <c r="T357" i="9"/>
  <c r="D126" i="10" s="1"/>
  <c r="C163" i="10"/>
  <c r="C79" i="10"/>
  <c r="T383" i="9"/>
  <c r="B73" i="10"/>
  <c r="B164" i="10"/>
  <c r="T405" i="9"/>
  <c r="T415" i="9"/>
  <c r="T422" i="9"/>
  <c r="T435" i="9"/>
  <c r="T445" i="9"/>
  <c r="T452" i="9"/>
  <c r="T467" i="9"/>
  <c r="T470" i="9"/>
  <c r="T483" i="9"/>
  <c r="D204" i="10"/>
  <c r="T518" i="9"/>
  <c r="D150" i="10"/>
  <c r="T572" i="9"/>
  <c r="C73" i="10"/>
  <c r="D31" i="10"/>
  <c r="T346" i="9"/>
  <c r="D156" i="10"/>
  <c r="T375" i="9"/>
  <c r="T409" i="9"/>
  <c r="T416" i="9"/>
  <c r="T423" i="9"/>
  <c r="T439" i="9"/>
  <c r="T446" i="9"/>
  <c r="T453" i="9"/>
  <c r="T471" i="9"/>
  <c r="T476" i="9"/>
  <c r="T523" i="9"/>
  <c r="D125" i="10"/>
  <c r="D98" i="10"/>
  <c r="T344" i="9"/>
  <c r="D142" i="10"/>
  <c r="T364" i="9"/>
  <c r="D164" i="10"/>
  <c r="D73" i="10"/>
  <c r="T403" i="9"/>
  <c r="D122" i="10" s="1"/>
  <c r="T410" i="9"/>
  <c r="T417" i="9"/>
  <c r="T433" i="9"/>
  <c r="T440" i="9"/>
  <c r="T447" i="9"/>
  <c r="T457" i="9"/>
  <c r="T463" i="9"/>
  <c r="D181" i="10" s="1"/>
  <c r="T484" i="9"/>
  <c r="D148" i="10"/>
  <c r="T519" i="9"/>
  <c r="T553" i="9"/>
  <c r="D143" i="10" s="1"/>
  <c r="D40" i="10"/>
  <c r="T469" i="9"/>
  <c r="D183" i="10" s="1"/>
  <c r="D203" i="10"/>
  <c r="T529" i="9"/>
  <c r="D76" i="10"/>
  <c r="T459" i="9"/>
  <c r="T481" i="9"/>
  <c r="D186" i="10" s="1"/>
  <c r="T524" i="9"/>
  <c r="D49" i="10" s="1"/>
  <c r="D29" i="10"/>
  <c r="D127" i="10" l="1"/>
  <c r="D163" i="10"/>
  <c r="D79" i="10"/>
  <c r="D124" i="10"/>
  <c r="D88" i="10"/>
  <c r="D173" i="10"/>
  <c r="D95" i="10"/>
  <c r="D165" i="10"/>
  <c r="D46" i="10"/>
  <c r="D32" i="10"/>
  <c r="D14" i="10"/>
  <c r="D170" i="10"/>
  <c r="D93" i="10"/>
  <c r="D134" i="10"/>
  <c r="D123" i="10"/>
  <c r="D68" i="10"/>
  <c r="D12" i="10"/>
  <c r="D172" i="10"/>
  <c r="D82" i="10"/>
  <c r="D61" i="10"/>
  <c r="D187" i="10"/>
  <c r="D166" i="10"/>
  <c r="D139" i="10"/>
  <c r="D169" i="10"/>
  <c r="D160" i="10"/>
  <c r="D58" i="10"/>
  <c r="D116" i="10"/>
  <c r="D44" i="10"/>
  <c r="D59" i="10"/>
  <c r="D64" i="10"/>
  <c r="D159" i="10"/>
  <c r="D182" i="10"/>
  <c r="D180" i="10"/>
  <c r="D10" i="10"/>
  <c r="D121" i="10"/>
  <c r="D110" i="10"/>
  <c r="D153" i="10"/>
  <c r="D179" i="10"/>
  <c r="D171" i="10"/>
  <c r="D111" i="10"/>
  <c r="D37" i="10"/>
  <c r="D51" i="10"/>
  <c r="D188" i="10"/>
  <c r="D167" i="10"/>
  <c r="D176" i="10"/>
  <c r="D96" i="10"/>
  <c r="D118" i="10"/>
  <c r="D128" i="10"/>
  <c r="D20" i="10"/>
  <c r="D5" i="10"/>
  <c r="D135" i="10"/>
  <c r="D25" i="10"/>
  <c r="D10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8" authorId="0" shapeId="0" xr:uid="{00000000-0006-0000-0300-00000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need to check - this is new</t>
        </r>
      </text>
    </comment>
    <comment ref="N28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these to avoid override messages?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8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Planetary Diet foods start here</t>
        </r>
      </text>
    </comment>
    <comment ref="L17" authorId="0" shapeId="0" xr:uid="{00000000-0006-0000-08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8" authorId="0" shapeId="0" xr:uid="{00000000-0006-0000-08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9" authorId="0" shapeId="0" xr:uid="{00000000-0006-0000-08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38" authorId="0" shapeId="0" xr:uid="{00000000-0006-0000-0800-00000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L39" authorId="0" shapeId="0" xr:uid="{00000000-0006-0000-08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L40" authorId="0" shapeId="0" xr:uid="{00000000-0006-0000-08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Q48" authorId="0" shapeId="0" xr:uid="{00000000-0006-0000-0800-00007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discount on club deal - does not provide original price though</t>
        </r>
      </text>
    </comment>
    <comment ref="N49" authorId="0" shapeId="0" xr:uid="{00000000-0006-0000-0800-00006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Does not have the same brand - only has an organic version which is more than twice the price</t>
        </r>
      </text>
    </comment>
    <comment ref="L50" authorId="0" shapeId="0" xr:uid="{00000000-0006-0000-08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1" authorId="0" shapeId="0" xr:uid="{00000000-0006-0000-0800-00000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2" authorId="0" shapeId="0" xr:uid="{00000000-0006-0000-0800-00000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3" authorId="0" shapeId="0" xr:uid="{00000000-0006-0000-0800-00000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4" authorId="0" shapeId="0" xr:uid="{00000000-0006-0000-0800-00000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5" authorId="0" shapeId="0" xr:uid="{00000000-0006-0000-0800-00000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6" authorId="0" shapeId="0" xr:uid="{00000000-0006-0000-0800-00000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7" authorId="0" shapeId="0" xr:uid="{00000000-0006-0000-0800-00001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8" authorId="0" shapeId="0" xr:uid="{00000000-0006-0000-0800-00001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9" authorId="0" shapeId="0" xr:uid="{00000000-0006-0000-08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60" authorId="0" shapeId="0" xr:uid="{00000000-0006-0000-0800-00001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61" authorId="0" shapeId="0" xr:uid="{00000000-0006-0000-0800-00001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71" authorId="0" shapeId="0" xr:uid="{00000000-0006-0000-0800-00001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2" authorId="0" shapeId="0" xr:uid="{00000000-0006-0000-0800-000016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3" authorId="0" shapeId="0" xr:uid="{00000000-0006-0000-0800-000017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80" authorId="0" shapeId="0" xr:uid="{00000000-0006-0000-08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0" authorId="0" shapeId="0" xr:uid="{00000000-0006-0000-0800-00007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1" authorId="0" shapeId="0" xr:uid="{00000000-0006-0000-0800-00001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1" authorId="0" shapeId="0" xr:uid="{00000000-0006-0000-0800-00007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2" authorId="0" shapeId="0" xr:uid="{00000000-0006-0000-0800-00001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2" authorId="0" shapeId="0" xr:uid="{00000000-0006-0000-0800-00007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3" authorId="0" shapeId="0" xr:uid="{00000000-0006-0000-0800-00001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N83" authorId="0" shapeId="0" xr:uid="{00000000-0006-0000-0800-00006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size 7</t>
        </r>
      </text>
    </comment>
    <comment ref="S83" authorId="0" shapeId="0" xr:uid="{00000000-0006-0000-0800-00007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4" authorId="0" shapeId="0" xr:uid="{00000000-0006-0000-0800-00001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N84" authorId="0" shapeId="0" xr:uid="{00000000-0006-0000-0800-000070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Size 7</t>
        </r>
      </text>
    </comment>
    <comment ref="S84" authorId="0" shapeId="0" xr:uid="{00000000-0006-0000-0800-00007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5" authorId="0" shapeId="0" xr:uid="{00000000-0006-0000-0800-00001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5" authorId="0" shapeId="0" xr:uid="{00000000-0006-0000-0800-00007D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104" authorId="0" shapeId="0" xr:uid="{00000000-0006-0000-0800-00001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5" authorId="0" shapeId="0" xr:uid="{00000000-0006-0000-0800-00001F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6" authorId="0" shapeId="0" xr:uid="{00000000-0006-0000-0800-00002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7" authorId="0" shapeId="0" xr:uid="{00000000-0006-0000-0800-00002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08" authorId="0" shapeId="0" xr:uid="{00000000-0006-0000-0800-00002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09" authorId="0" shapeId="0" xr:uid="{00000000-0006-0000-0800-00002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10" authorId="0" shapeId="0" xr:uid="{00000000-0006-0000-0800-00002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L111" authorId="0" shapeId="0" xr:uid="{00000000-0006-0000-0800-00002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Washed</t>
        </r>
      </text>
    </comment>
    <comment ref="L112" authorId="0" shapeId="0" xr:uid="{00000000-0006-0000-0800-00002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Washed</t>
        </r>
      </text>
    </comment>
    <comment ref="L113" authorId="0" shapeId="0" xr:uid="{00000000-0006-0000-0800-00002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L114" authorId="0" shapeId="0" xr:uid="{00000000-0006-0000-0800-00002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L115" authorId="0" shapeId="0" xr:uid="{00000000-0006-0000-0800-00002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N116" authorId="0" shapeId="0" xr:uid="{00000000-0006-0000-0800-00007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17" authorId="0" shapeId="0" xr:uid="{00000000-0006-0000-0800-00007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18" authorId="0" shapeId="0" xr:uid="{00000000-0006-0000-0800-00007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122" authorId="0" shapeId="0" xr:uid="{00000000-0006-0000-0800-00002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3" authorId="0" shapeId="0" xr:uid="{00000000-0006-0000-0800-00002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4" authorId="0" shapeId="0" xr:uid="{00000000-0006-0000-0800-00002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5" authorId="0" shapeId="0" xr:uid="{00000000-0006-0000-0800-00002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26" authorId="0" shapeId="0" xr:uid="{00000000-0006-0000-0800-00002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27" authorId="0" shapeId="0" xr:uid="{00000000-0006-0000-0800-00002F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43" authorId="0" shapeId="0" xr:uid="{00000000-0006-0000-0800-00003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L152" authorId="0" shapeId="0" xr:uid="{00000000-0006-0000-0800-00003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53" authorId="0" shapeId="0" xr:uid="{00000000-0006-0000-0800-00003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54" authorId="0" shapeId="0" xr:uid="{00000000-0006-0000-0800-00003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61" authorId="0" shapeId="0" xr:uid="{00000000-0006-0000-0800-00003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L162" authorId="0" shapeId="0" xr:uid="{00000000-0006-0000-0800-00003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L163" authorId="0" shapeId="0" xr:uid="{00000000-0006-0000-0800-000036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50% less sugar</t>
        </r>
      </text>
    </comment>
    <comment ref="L173" authorId="0" shapeId="0" xr:uid="{00000000-0006-0000-0800-00003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74" authorId="0" shapeId="0" xr:uid="{00000000-0006-0000-0800-00003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75" authorId="0" shapeId="0" xr:uid="{00000000-0006-0000-0800-00003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82" authorId="0" shapeId="0" xr:uid="{00000000-0006-0000-0800-00003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A203" authorId="0" shapeId="0" xr:uid="{00000000-0006-0000-0800-00000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Other foods in current and healthy diet start here</t>
        </r>
      </text>
    </comment>
    <comment ref="L203" authorId="0" shapeId="0" xr:uid="{00000000-0006-0000-0800-00003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L204" authorId="0" shapeId="0" xr:uid="{00000000-0006-0000-0800-00003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mixed (green and red)</t>
        </r>
      </text>
    </comment>
    <comment ref="L205" authorId="0" shapeId="0" xr:uid="{00000000-0006-0000-0800-00003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price for green and red grapes</t>
        </r>
      </text>
    </comment>
    <comment ref="L206" authorId="0" shapeId="0" xr:uid="{00000000-0006-0000-0800-00003E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7" authorId="0" shapeId="0" xr:uid="{00000000-0006-0000-0800-00003F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8" authorId="0" shapeId="0" xr:uid="{00000000-0006-0000-0800-000040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310" authorId="0" shapeId="0" xr:uid="{00000000-0006-0000-0800-00004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strawberry patch</t>
        </r>
      </text>
    </comment>
    <comment ref="L323" authorId="0" shapeId="0" xr:uid="{00000000-0006-0000-0800-00004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L326" authorId="0" shapeId="0" xr:uid="{00000000-0006-0000-0800-00004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L327" authorId="0" shapeId="0" xr:uid="{00000000-0006-0000-0800-00004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Pams Tender Basted Chicken Portions</t>
        </r>
      </text>
    </comment>
    <comment ref="L328" authorId="0" shapeId="0" xr:uid="{00000000-0006-0000-0800-00004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Chicken Portions Mixed</t>
        </r>
      </text>
    </comment>
    <comment ref="N329" authorId="0" shapeId="0" xr:uid="{00000000-0006-0000-0800-00007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Smoked Chicken</t>
        </r>
      </text>
    </comment>
    <comment ref="N330" authorId="0" shapeId="0" xr:uid="{00000000-0006-0000-0800-00007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Smoked Chicken</t>
        </r>
      </text>
    </comment>
    <comment ref="L341" authorId="0" shapeId="0" xr:uid="{00000000-0006-0000-0800-00004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L343" authorId="0" shapeId="0" xr:uid="{00000000-0006-0000-0800-00004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basa</t>
        </r>
      </text>
    </comment>
    <comment ref="L356" authorId="0" shapeId="0" xr:uid="{00000000-0006-0000-0800-000048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L357" authorId="0" shapeId="0" xr:uid="{00000000-0006-0000-0800-00004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L362" authorId="0" shapeId="0" xr:uid="{00000000-0006-0000-0800-00004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63" authorId="0" shapeId="0" xr:uid="{00000000-0006-0000-0800-00004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64" authorId="0" shapeId="0" xr:uid="{00000000-0006-0000-0800-00004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71" authorId="0" shapeId="0" xr:uid="{00000000-0006-0000-0800-00004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2" authorId="0" shapeId="0" xr:uid="{00000000-0006-0000-0800-00004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3" authorId="0" shapeId="0" xr:uid="{00000000-0006-0000-0800-00004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4" authorId="0" shapeId="0" xr:uid="{00000000-0006-0000-0800-00005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Cherry Fruit Cake</t>
        </r>
      </text>
    </comment>
    <comment ref="L376" authorId="0" shapeId="0" xr:uid="{00000000-0006-0000-0800-00005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light fruit cake</t>
        </r>
      </text>
    </comment>
    <comment ref="L391" authorId="0" shapeId="0" xr:uid="{00000000-0006-0000-0800-00005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L392" authorId="0" shapeId="0" xr:uid="{00000000-0006-0000-0800-00005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Chocolate Chip Muffin</t>
        </r>
      </text>
    </comment>
    <comment ref="L393" authorId="0" shapeId="0" xr:uid="{00000000-0006-0000-0800-00005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Instore Bakery Muffins Mixed</t>
        </r>
      </text>
    </comment>
    <comment ref="L397" authorId="0" shapeId="0" xr:uid="{00000000-0006-0000-0800-00005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398" authorId="0" shapeId="0" xr:uid="{00000000-0006-0000-0800-00005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399" authorId="0" shapeId="0" xr:uid="{00000000-0006-0000-0800-000057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421" authorId="0" shapeId="0" xr:uid="{00000000-0006-0000-0800-000058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L422" authorId="0" shapeId="0" xr:uid="{00000000-0006-0000-0800-00005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L423" authorId="0" shapeId="0" xr:uid="{00000000-0006-0000-0800-00005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Apricot</t>
        </r>
      </text>
    </comment>
    <comment ref="L424" authorId="0" shapeId="0" xr:uid="{00000000-0006-0000-0800-00005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25" authorId="0" shapeId="0" xr:uid="{00000000-0006-0000-0800-00005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26" authorId="0" shapeId="0" xr:uid="{00000000-0006-0000-0800-00005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36" authorId="0" shapeId="0" xr:uid="{00000000-0006-0000-0800-00005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7" authorId="0" shapeId="0" xr:uid="{00000000-0006-0000-0800-00005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8" authorId="0" shapeId="0" xr:uid="{00000000-0006-0000-0800-00006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9" authorId="0" shapeId="0" xr:uid="{00000000-0006-0000-0800-00006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442" authorId="0" shapeId="0" xr:uid="{00000000-0006-0000-0800-00006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L454" authorId="0" shapeId="0" xr:uid="{00000000-0006-0000-0800-00006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L455" authorId="0" shapeId="0" xr:uid="{00000000-0006-0000-0800-00006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L487" authorId="0" shapeId="0" xr:uid="{00000000-0006-0000-0800-00006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L489" authorId="0" shapeId="0" xr:uid="{00000000-0006-0000-0800-00006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L504" authorId="0" shapeId="0" xr:uid="{00000000-0006-0000-0800-000067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Perhaps renamed to $20 Mates Hunger Buster</t>
        </r>
      </text>
    </comment>
    <comment ref="P542" authorId="0" shapeId="0" xr:uid="{00000000-0006-0000-0800-00007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100 tablets</t>
        </r>
      </text>
    </comment>
    <comment ref="S542" authorId="0" shapeId="0" xr:uid="{00000000-0006-0000-0800-00007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not sure if this applies</t>
        </r>
      </text>
    </comment>
    <comment ref="T542" authorId="0" shapeId="0" xr:uid="{00000000-0006-0000-0800-00007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not sure if this applies</t>
        </r>
      </text>
    </comment>
    <comment ref="L558" authorId="0" shapeId="0" xr:uid="{00000000-0006-0000-0800-00006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59" authorId="0" shapeId="0" xr:uid="{00000000-0006-0000-0800-00006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60" authorId="0" shapeId="0" xr:uid="{00000000-0006-0000-0800-00006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64" authorId="0" shapeId="0" xr:uid="{00000000-0006-0000-0800-00006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L565" authorId="0" shapeId="0" xr:uid="{00000000-0006-0000-0800-00006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T576" authorId="0" shapeId="0" xr:uid="{00000000-0006-0000-0800-000080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579" authorId="0" shapeId="0" xr:uid="{00000000-0006-0000-0800-00006D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dried taro leaves
https://www.valuemart.co.nz/product/barrio-fiesta-taro-leaves-100g/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9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B5" authorId="0" shapeId="0" xr:uid="{00000000-0006-0000-0900-00000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B9" authorId="0" shapeId="0" xr:uid="{00000000-0006-0000-0900-00000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B10" authorId="0" shapeId="0" xr:uid="{00000000-0006-0000-09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11" authorId="0" shapeId="0" xr:uid="{00000000-0006-0000-0900-00000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B30" authorId="0" shapeId="0" xr:uid="{00000000-0006-0000-0900-00000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B35" authorId="0" shapeId="0" xr:uid="{00000000-0006-0000-09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B36" authorId="0" shapeId="0" xr:uid="{00000000-0006-0000-09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B38" authorId="0" shapeId="0" xr:uid="{00000000-0006-0000-09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B47" authorId="0" shapeId="0" xr:uid="{00000000-0006-0000-0900-00000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B52" authorId="0" shapeId="0" xr:uid="{00000000-0006-0000-09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3" authorId="0" shapeId="0" xr:uid="{00000000-0006-0000-09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5" authorId="0" shapeId="0" xr:uid="{00000000-0006-0000-0900-00000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B56" authorId="0" shapeId="0" xr:uid="{00000000-0006-0000-0900-00000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Large Light Fruit Cake</t>
        </r>
      </text>
    </comment>
    <comment ref="B60" authorId="0" shapeId="0" xr:uid="{00000000-0006-0000-0900-00000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B62" authorId="0" shapeId="0" xr:uid="{00000000-0006-0000-0900-00001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B75" authorId="0" shapeId="0" xr:uid="{00000000-0006-0000-0900-00001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B90" authorId="0" shapeId="0" xr:uid="{00000000-0006-0000-09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B108" authorId="0" shapeId="0" xr:uid="{00000000-0006-0000-0900-00001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B113" authorId="0" shapeId="0" xr:uid="{00000000-0006-0000-0900-00001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B114" authorId="0" shapeId="0" xr:uid="{00000000-0006-0000-0900-00001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B126" authorId="0" shapeId="0" xr:uid="{00000000-0006-0000-0900-00001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B127" authorId="0" shapeId="0" xr:uid="{00000000-0006-0000-0900-00001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B131" authorId="0" shapeId="0" xr:uid="{00000000-0006-0000-09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B132" authorId="0" shapeId="0" xr:uid="{00000000-0006-0000-0900-00001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B133" authorId="0" shapeId="0" xr:uid="{00000000-0006-0000-0900-00001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134" authorId="0" shapeId="0" xr:uid="{00000000-0006-0000-0900-00001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B153" authorId="0" shapeId="0" xr:uid="{00000000-0006-0000-0900-00001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B154" authorId="0" shapeId="0" xr:uid="{00000000-0006-0000-0900-00001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55" authorId="0" shapeId="0" xr:uid="{00000000-0006-0000-0900-00001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162" authorId="0" shapeId="0" xr:uid="{00000000-0006-0000-0900-00001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B165" authorId="0" shapeId="0" xr:uid="{00000000-0006-0000-0900-00002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B167" authorId="0" shapeId="0" xr:uid="{00000000-0006-0000-0900-00002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B168" authorId="0" shapeId="0" xr:uid="{00000000-0006-0000-0900-00002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B169" authorId="0" shapeId="0" xr:uid="{00000000-0006-0000-0900-00002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70" authorId="0" shapeId="0" xr:uid="{00000000-0006-0000-0900-00002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B175" authorId="0" shapeId="0" xr:uid="{00000000-0006-0000-0900-00002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189" authorId="0" shapeId="0" xr:uid="{00000000-0006-0000-0900-00002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B205" authorId="0" shapeId="0" xr:uid="{00000000-0006-0000-0900-00002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A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B20" authorId="0" shapeId="0" xr:uid="{00000000-0006-0000-0A00-00000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B25" authorId="0" shapeId="0" xr:uid="{00000000-0006-0000-0A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27" authorId="0" shapeId="0" xr:uid="{00000000-0006-0000-0A00-00000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B28" authorId="0" shapeId="0" xr:uid="{00000000-0006-0000-0A00-00000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B32" authorId="0" shapeId="0" xr:uid="{00000000-0006-0000-0A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 shapeId="0" xr:uid="{00000000-0006-0000-0A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B38" authorId="0" shapeId="0" xr:uid="{00000000-0006-0000-0A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B39" authorId="0" shapeId="0" xr:uid="{00000000-0006-0000-0A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B41" authorId="0" shapeId="0" xr:uid="{00000000-0006-0000-0A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42" authorId="0" shapeId="0" xr:uid="{00000000-0006-0000-0A00-00000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B46" authorId="0" shapeId="0" xr:uid="{00000000-0006-0000-0A00-00000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B48" authorId="0" shapeId="0" xr:uid="{00000000-0006-0000-0A00-00000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B52" authorId="0" shapeId="0" xr:uid="{00000000-0006-0000-0A00-00000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3" authorId="0" shapeId="0" xr:uid="{00000000-0006-0000-0A00-00000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5" authorId="0" shapeId="0" xr:uid="{00000000-0006-0000-0A00-00001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56" authorId="0" shapeId="0" xr:uid="{00000000-0006-0000-0A00-00001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60" authorId="0" shapeId="0" xr:uid="{00000000-0006-0000-0A00-00001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B63" authorId="0" shapeId="0" xr:uid="{00000000-0006-0000-0A00-00001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B74" authorId="0" shapeId="0" xr:uid="{00000000-0006-0000-0A00-00001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B85" authorId="0" shapeId="0" xr:uid="{00000000-0006-0000-0A00-00001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B99" authorId="0" shapeId="0" xr:uid="{00000000-0006-0000-0A00-00001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B100" authorId="0" shapeId="0" xr:uid="{00000000-0006-0000-0A00-00001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B105" authorId="0" shapeId="0" xr:uid="{00000000-0006-0000-0A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B108" authorId="0" shapeId="0" xr:uid="{00000000-0006-0000-0A00-00001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B110" authorId="0" shapeId="0" xr:uid="{00000000-0006-0000-0A00-00001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B111" authorId="0" shapeId="0" xr:uid="{00000000-0006-0000-0A00-00001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12" authorId="0" shapeId="0" xr:uid="{00000000-0006-0000-0A00-00001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Large Light Fruit Cake</t>
        </r>
      </text>
    </comment>
    <comment ref="B116" authorId="0" shapeId="0" xr:uid="{00000000-0006-0000-0A00-00001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B118" authorId="0" shapeId="0" xr:uid="{00000000-0006-0000-0A00-00001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B126" authorId="0" shapeId="0" xr:uid="{00000000-0006-0000-0A00-00001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B127" authorId="0" shapeId="0" xr:uid="{00000000-0006-0000-0A00-00002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B129" authorId="0" shapeId="0" xr:uid="{00000000-0006-0000-0A00-00002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B130" authorId="0" shapeId="0" xr:uid="{00000000-0006-0000-0A00-00002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31" authorId="0" shapeId="0" xr:uid="{00000000-0006-0000-0A00-00002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B135" authorId="0" shapeId="0" xr:uid="{00000000-0006-0000-0A00-00002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B145" authorId="0" shapeId="0" xr:uid="{00000000-0006-0000-0A00-00002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B167" authorId="0" shapeId="0" xr:uid="{00000000-0006-0000-0A00-00002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</commentList>
</comments>
</file>

<file path=xl/sharedStrings.xml><?xml version="1.0" encoding="utf-8"?>
<sst xmlns="http://schemas.openxmlformats.org/spreadsheetml/2006/main" count="12826" uniqueCount="803">
  <si>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</si>
  <si>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</si>
  <si>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</si>
  <si>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</si>
  <si>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</si>
  <si>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</si>
  <si>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</si>
  <si>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Child Adult Specific</t>
  </si>
  <si>
    <t>Fruit</t>
  </si>
  <si>
    <t>Apples, fresh</t>
  </si>
  <si>
    <t>01001</t>
  </si>
  <si>
    <t>c</t>
  </si>
  <si>
    <t>All, Pacific</t>
  </si>
  <si>
    <t>All</t>
  </si>
  <si>
    <t>Bananas, fresh</t>
  </si>
  <si>
    <t>01002</t>
  </si>
  <si>
    <t>Grapes, fresh</t>
  </si>
  <si>
    <t>01003</t>
  </si>
  <si>
    <t>Kiwifruit, fresh</t>
  </si>
  <si>
    <t>01004</t>
  </si>
  <si>
    <t>All, Pacifc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</si>
  <si>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</si>
  <si>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</si>
  <si>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</si>
  <si>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</si>
  <si>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</si>
  <si>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</si>
  <si>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</si>
  <si>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Pears, fresh</t>
  </si>
  <si>
    <t>01008</t>
  </si>
  <si>
    <t>Sultana, dried</t>
  </si>
  <si>
    <t>01009</t>
  </si>
  <si>
    <t>Peaches, canned in clear juice</t>
  </si>
  <si>
    <t>01010</t>
  </si>
  <si>
    <t>Peaches, canned in light syrup</t>
  </si>
  <si>
    <t>01011</t>
  </si>
  <si>
    <t>Peaches, canned no added sugar</t>
  </si>
  <si>
    <t>01012</t>
  </si>
  <si>
    <t>Canned fruit salad in juice</t>
  </si>
  <si>
    <t>01013</t>
  </si>
  <si>
    <t>Pacific</t>
  </si>
  <si>
    <t>Canned fruit salad in syrup</t>
  </si>
  <si>
    <t>01014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</si>
  <si>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</si>
  <si>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</si>
  <si>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</si>
  <si>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</si>
  <si>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</si>
  <si>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</si>
  <si>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</si>
  <si>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</si>
  <si>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</si>
  <si>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</si>
  <si>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</si>
  <si>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</si>
  <si>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</si>
  <si>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</si>
  <si>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</si>
  <si>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</si>
  <si>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</si>
  <si>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</si>
  <si>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</si>
  <si>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</si>
  <si>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</si>
  <si>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</si>
  <si>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</si>
  <si>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</si>
  <si>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</si>
  <si>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</si>
  <si>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</si>
  <si>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frozen</t>
  </si>
  <si>
    <t>02028</t>
  </si>
  <si>
    <t>Silverbeet, fresh</t>
  </si>
  <si>
    <t>02029</t>
  </si>
  <si>
    <t>Tomatoes, fresh</t>
  </si>
  <si>
    <t>02030</t>
  </si>
  <si>
    <t>Tomatoes, canned, regular</t>
  </si>
  <si>
    <t>02031</t>
  </si>
  <si>
    <t>Garlic, fresh</t>
  </si>
  <si>
    <t>02039</t>
  </si>
  <si>
    <t>Tomatoes, canned, low salt</t>
  </si>
  <si>
    <t>02040</t>
  </si>
  <si>
    <t>Kumara, fresh</t>
  </si>
  <si>
    <t>02032</t>
  </si>
  <si>
    <t>Potatoes, fresh</t>
  </si>
  <si>
    <t>02033</t>
  </si>
  <si>
    <t>Pumpkin, fresh</t>
  </si>
  <si>
    <t>02035</t>
  </si>
  <si>
    <t>Cassava, frozen</t>
  </si>
  <si>
    <t>02036</t>
  </si>
  <si>
    <t xml:space="preserve">Taro  </t>
  </si>
  <si>
    <t>02037</t>
  </si>
  <si>
    <t>Taro leaves</t>
  </si>
  <si>
    <t>02038</t>
  </si>
  <si>
    <t>Green banana</t>
  </si>
  <si>
    <t>02041</t>
  </si>
  <si>
    <t>Vegetable soup, canned</t>
  </si>
  <si>
    <t>08099</t>
  </si>
  <si>
    <t>Spring onion, fresh</t>
  </si>
  <si>
    <t>02044</t>
  </si>
  <si>
    <t>Stir Fry Vegetables, frozen</t>
  </si>
  <si>
    <t>02047</t>
  </si>
  <si>
    <t>Spinach, frozen</t>
  </si>
  <si>
    <t>02050</t>
  </si>
  <si>
    <t>Broccoli and Cauliflower, frozen</t>
  </si>
  <si>
    <t>02053</t>
  </si>
  <si>
    <t>Grains</t>
  </si>
  <si>
    <t>Bread, white</t>
  </si>
  <si>
    <t>03036</t>
  </si>
  <si>
    <t>Bread, wheatmeal</t>
  </si>
  <si>
    <t>03037</t>
  </si>
  <si>
    <t>Bread, multigrain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</si>
  <si>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</si>
  <si>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</si>
  <si>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</si>
  <si>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</si>
  <si>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</si>
  <si>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</si>
  <si>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</si>
  <si>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Muesli, natural</t>
  </si>
  <si>
    <t>03047</t>
  </si>
  <si>
    <t>Weetbix</t>
  </si>
  <si>
    <t>03048</t>
  </si>
  <si>
    <t>Rolled oats</t>
  </si>
  <si>
    <t>03049</t>
  </si>
  <si>
    <t>Pasta regular</t>
  </si>
  <si>
    <t>03051</t>
  </si>
  <si>
    <t>Pasta wholemeal</t>
  </si>
  <si>
    <t>03052</t>
  </si>
  <si>
    <t>Couscous, wholemeal wheat</t>
  </si>
  <si>
    <t>03089</t>
  </si>
  <si>
    <t>Rice, long grain, white</t>
  </si>
  <si>
    <t>03054</t>
  </si>
  <si>
    <t>Rice, brown</t>
  </si>
  <si>
    <t>03055</t>
  </si>
  <si>
    <t>Spaghetti, canned</t>
  </si>
  <si>
    <t>03056</t>
  </si>
  <si>
    <t>Crackers, cabin bread</t>
  </si>
  <si>
    <t>03062</t>
  </si>
  <si>
    <t>Vermicelli</t>
  </si>
  <si>
    <t>03064</t>
  </si>
  <si>
    <t>Muesli, toasted</t>
  </si>
  <si>
    <t>03065</t>
  </si>
  <si>
    <t>Spaghetti, canned, lite</t>
  </si>
  <si>
    <t>03066</t>
  </si>
  <si>
    <t>Rye Crispbread</t>
  </si>
  <si>
    <t>03073</t>
  </si>
  <si>
    <t>Mixed grain crackers</t>
  </si>
  <si>
    <t>03074</t>
  </si>
  <si>
    <t>Corn Chips</t>
  </si>
  <si>
    <t>03069</t>
  </si>
  <si>
    <t>Wholegrain burger bun</t>
  </si>
  <si>
    <t>03070</t>
  </si>
  <si>
    <t>Pita bread, wholemeal</t>
  </si>
  <si>
    <t>03071</t>
  </si>
  <si>
    <t>Spaghetti Pasta, wholemeal</t>
  </si>
  <si>
    <t>03072</t>
  </si>
  <si>
    <t>Dairy/alternatives</t>
  </si>
  <si>
    <t>Cheese, Colby</t>
  </si>
  <si>
    <t>04057</t>
  </si>
  <si>
    <t>Cheese, Edam</t>
  </si>
  <si>
    <t>04058</t>
  </si>
  <si>
    <t>Milk, trim</t>
  </si>
  <si>
    <t>04059</t>
  </si>
  <si>
    <t xml:space="preserve">All 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</si>
  <si>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</si>
  <si>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</si>
  <si>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</si>
  <si>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</si>
  <si>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</si>
  <si>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</si>
  <si>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</si>
  <si>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</si>
  <si>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Yoghurt, reduced fat, flavoured</t>
  </si>
  <si>
    <t>04064</t>
  </si>
  <si>
    <t>Almond milk</t>
  </si>
  <si>
    <t>04065</t>
  </si>
  <si>
    <t>Soy yoghurt with berriers</t>
  </si>
  <si>
    <t>04066</t>
  </si>
  <si>
    <t>Soy yoghurt with mango and peach</t>
  </si>
  <si>
    <t>04067</t>
  </si>
  <si>
    <t>Soy milk</t>
  </si>
  <si>
    <t>04068</t>
  </si>
  <si>
    <t>Dairy-free cheddar</t>
  </si>
  <si>
    <t>04069</t>
  </si>
  <si>
    <t>Dairy-free cream cheese</t>
  </si>
  <si>
    <t>04070</t>
  </si>
  <si>
    <t>Protein foods: Meat, poultry, seafood, eggs, legumes, nuts, seeds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</si>
  <si>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</si>
  <si>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</si>
  <si>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</si>
  <si>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</si>
  <si>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</si>
  <si>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</si>
  <si>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</si>
  <si>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</si>
  <si>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</si>
  <si>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</si>
  <si>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Beef, mince lean</t>
  </si>
  <si>
    <t>05089</t>
  </si>
  <si>
    <t>Corned beef reduced fat</t>
  </si>
  <si>
    <t>05096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</si>
  <si>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</si>
  <si>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</si>
  <si>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</si>
  <si>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</si>
  <si>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</si>
  <si>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</si>
  <si>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</si>
  <si>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</si>
  <si>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</si>
  <si>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</si>
  <si>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Lamb loin chop</t>
  </si>
  <si>
    <t>05090</t>
  </si>
  <si>
    <t>Pork leg roast</t>
  </si>
  <si>
    <t>05074</t>
  </si>
  <si>
    <t>Pork loin chop</t>
  </si>
  <si>
    <t>05094</t>
  </si>
  <si>
    <t>Pork shoulder roast</t>
  </si>
  <si>
    <t>05097</t>
  </si>
  <si>
    <t>Fish fillets, fresh</t>
  </si>
  <si>
    <t>05079</t>
  </si>
  <si>
    <t>Fish fillets, frozen</t>
  </si>
  <si>
    <t>05081</t>
  </si>
  <si>
    <t>Peanuts, plain</t>
  </si>
  <si>
    <t>05085</t>
  </si>
  <si>
    <t>Almonds, plain</t>
  </si>
  <si>
    <t>05086</t>
  </si>
  <si>
    <t>peanuts, salted</t>
  </si>
  <si>
    <t>05093</t>
  </si>
  <si>
    <t>Protein foods: Meat, poultry, seafood, eggs, legumes, nuts</t>
  </si>
  <si>
    <t>Chickpeas, canned</t>
  </si>
  <si>
    <t>05092</t>
  </si>
  <si>
    <t>Hummus dip</t>
  </si>
  <si>
    <t>05083</t>
  </si>
  <si>
    <t>Baked Beans regular</t>
  </si>
  <si>
    <t>05082</t>
  </si>
  <si>
    <t>Baked Beans 50% less sugar</t>
  </si>
  <si>
    <t>05088</t>
  </si>
  <si>
    <t>Lentils, canned in springwater</t>
  </si>
  <si>
    <t>05084</t>
  </si>
  <si>
    <t>Tuna, canned in oil</t>
  </si>
  <si>
    <t>05080</t>
  </si>
  <si>
    <t>Tuna, canned in water</t>
  </si>
  <si>
    <t>05091</t>
  </si>
  <si>
    <t>Pumpkin seeds</t>
  </si>
  <si>
    <t>05101</t>
  </si>
  <si>
    <t>Sunflower seeds</t>
  </si>
  <si>
    <t>05102</t>
  </si>
  <si>
    <t>Black Beans Canned</t>
  </si>
  <si>
    <t>05103</t>
  </si>
  <si>
    <t>Middle Eastern Falafel Lisa</t>
  </si>
  <si>
    <t>05104</t>
  </si>
  <si>
    <t>Tofu</t>
  </si>
  <si>
    <t>05105</t>
  </si>
  <si>
    <t>Masala vegetarian patty</t>
  </si>
  <si>
    <t>05106</t>
  </si>
  <si>
    <t>Sesame Seeds</t>
  </si>
  <si>
    <t>05107</t>
  </si>
  <si>
    <t>Edamame, frozen</t>
  </si>
  <si>
    <t>05108</t>
  </si>
  <si>
    <t>Red Kidney Beans, canned</t>
  </si>
  <si>
    <t>05109</t>
  </si>
  <si>
    <t>Four Bean Mix, canned</t>
  </si>
  <si>
    <t>05110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</si>
  <si>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</si>
  <si>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</si>
  <si>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</si>
  <si>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</si>
  <si>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</si>
  <si>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</si>
  <si>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</si>
  <si>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</si>
  <si>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</si>
  <si>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>coconut cream regular</t>
  </si>
  <si>
    <t>06092</t>
  </si>
  <si>
    <t>coconut cream lite</t>
  </si>
  <si>
    <t>06093</t>
  </si>
  <si>
    <t>Discretionary foods</t>
  </si>
  <si>
    <t>Cake, fruit</t>
  </si>
  <si>
    <t>03041</t>
  </si>
  <si>
    <t>d</t>
  </si>
  <si>
    <t>Biscuits, plain gingernut</t>
  </si>
  <si>
    <t>03042</t>
  </si>
  <si>
    <t>Biscuits, TimTam</t>
  </si>
  <si>
    <t>03043</t>
  </si>
  <si>
    <t>Biscuits, crackers Shapes</t>
  </si>
  <si>
    <t>03044</t>
  </si>
  <si>
    <t>Biscuits, arrowroot</t>
  </si>
  <si>
    <t>03061</t>
  </si>
  <si>
    <t>Muffin</t>
  </si>
  <si>
    <t>03045</t>
  </si>
  <si>
    <t>Quick noodles, 2 minutes</t>
  </si>
  <si>
    <t>03053</t>
  </si>
  <si>
    <t>Donut</t>
  </si>
  <si>
    <t>03058</t>
  </si>
  <si>
    <t>Coconut cream buns</t>
  </si>
  <si>
    <t>03059</t>
  </si>
  <si>
    <t>Pineapple pie</t>
  </si>
  <si>
    <t>03060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</si>
  <si>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</si>
  <si>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</si>
  <si>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</si>
  <si>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</si>
  <si>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</si>
  <si>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</si>
  <si>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</si>
  <si>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</si>
  <si>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corned beef regular</t>
  </si>
  <si>
    <t>05098</t>
  </si>
  <si>
    <t>lamb mutton flaps</t>
  </si>
  <si>
    <t>05099</t>
  </si>
  <si>
    <t>Chocolate, dairy milk block</t>
  </si>
  <si>
    <t>07092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</si>
  <si>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</si>
  <si>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</si>
  <si>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</si>
  <si>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</si>
  <si>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</si>
  <si>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</si>
  <si>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</si>
  <si>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</si>
  <si>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Cake, chocolate</t>
  </si>
  <si>
    <t>03067</t>
  </si>
  <si>
    <t>Cocoa puffs</t>
  </si>
  <si>
    <t>03068</t>
  </si>
  <si>
    <t>Child</t>
  </si>
  <si>
    <t>Potato fries, frozen, superfries, straight cut</t>
  </si>
  <si>
    <t>02034</t>
  </si>
  <si>
    <t>Rice bubbles</t>
  </si>
  <si>
    <t>03050</t>
  </si>
  <si>
    <t>Jam, strawberry</t>
  </si>
  <si>
    <t>08097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</si>
  <si>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</si>
  <si>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</si>
  <si>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</si>
  <si>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</si>
  <si>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</si>
  <si>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</si>
  <si>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</si>
  <si>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</si>
  <si>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Sauces, dressings, spreads, sugars</t>
  </si>
  <si>
    <t>Peanut butter, added salt</t>
  </si>
  <si>
    <t>08098</t>
  </si>
  <si>
    <t>Peanut butter, no added salt or sugar</t>
  </si>
  <si>
    <t>08110</t>
  </si>
  <si>
    <t>tomato sauce, lite</t>
  </si>
  <si>
    <t>08104</t>
  </si>
  <si>
    <t>soy sauce regular</t>
  </si>
  <si>
    <t>08105</t>
  </si>
  <si>
    <t>soy sauce reduced salt</t>
  </si>
  <si>
    <t>08106</t>
  </si>
  <si>
    <t>marmite</t>
  </si>
  <si>
    <t>08108</t>
  </si>
  <si>
    <t>Mild Salsa</t>
  </si>
  <si>
    <t>08109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</si>
  <si>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</si>
  <si>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</si>
  <si>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</si>
  <si>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</si>
  <si>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</si>
  <si>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</si>
  <si>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</si>
  <si>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</si>
  <si>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</si>
  <si>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</si>
  <si>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</si>
  <si>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Soft drink Powder</t>
  </si>
  <si>
    <t>09109</t>
  </si>
  <si>
    <t>Energy drink</t>
  </si>
  <si>
    <t>09110</t>
  </si>
  <si>
    <t>tea</t>
  </si>
  <si>
    <t>09111</t>
  </si>
  <si>
    <t>coffee</t>
  </si>
  <si>
    <t>09112</t>
  </si>
  <si>
    <t>water</t>
  </si>
  <si>
    <t>09113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</si>
  <si>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</si>
  <si>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</si>
  <si>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</si>
  <si>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</si>
  <si>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</si>
  <si>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</si>
  <si>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</si>
  <si>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</si>
  <si>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</si>
  <si>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</si>
  <si>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</si>
  <si>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Sandwich, subway</t>
  </si>
  <si>
    <t>10115</t>
  </si>
  <si>
    <t>KFC snack box</t>
  </si>
  <si>
    <t>10116</t>
  </si>
  <si>
    <t>Sushi</t>
  </si>
  <si>
    <t>10117</t>
  </si>
  <si>
    <t>Thai curry (chicken)</t>
  </si>
  <si>
    <t>10118</t>
  </si>
  <si>
    <t>Beef chow mein</t>
  </si>
  <si>
    <t>10119</t>
  </si>
  <si>
    <t>Butter chicken</t>
  </si>
  <si>
    <t>10120</t>
  </si>
  <si>
    <t>KFC Colonel's dinner</t>
  </si>
  <si>
    <t>10121</t>
  </si>
  <si>
    <t>McDonald's value sharepack</t>
  </si>
  <si>
    <t>10122</t>
  </si>
  <si>
    <t>McDonald's cheeseburger</t>
  </si>
  <si>
    <t>10123</t>
  </si>
  <si>
    <t>Alcohol</t>
  </si>
  <si>
    <t>Wine, medium white</t>
  </si>
  <si>
    <t>11115</t>
  </si>
  <si>
    <t>Beer, lager, draught, bitter</t>
  </si>
  <si>
    <t>11116</t>
  </si>
  <si>
    <t>Supplement</t>
  </si>
  <si>
    <t>Vitamin B12</t>
  </si>
  <si>
    <t>Yield factor</t>
  </si>
  <si>
    <t>Yield factor (%)</t>
  </si>
  <si>
    <t>Sultanas, dried</t>
  </si>
  <si>
    <t>Peas, fozen</t>
  </si>
  <si>
    <t>Tomatoes, canned, drained</t>
  </si>
  <si>
    <t>Taro</t>
  </si>
  <si>
    <t>Bread, wholegrain</t>
  </si>
  <si>
    <t>Crackers, Cabin bread</t>
  </si>
  <si>
    <t>Cheese, colby</t>
  </si>
  <si>
    <t>Yoghurt, reduced-fat flavoured</t>
  </si>
  <si>
    <t>chicken pieces with bone</t>
  </si>
  <si>
    <t>Beef, corned, canned reduced fat</t>
  </si>
  <si>
    <t>05095</t>
  </si>
  <si>
    <t>05100</t>
  </si>
  <si>
    <t>Coconut cream regular</t>
  </si>
  <si>
    <t>Coconut cream lite</t>
  </si>
  <si>
    <t>Biscuits, chocolate chip</t>
  </si>
  <si>
    <t>Muffins, scone</t>
  </si>
  <si>
    <t>Doughnuts, cream</t>
  </si>
  <si>
    <t>Corned beef regular</t>
  </si>
  <si>
    <t>Mutton flaps</t>
  </si>
  <si>
    <t>Coco Pops</t>
  </si>
  <si>
    <t>Strawberry jam</t>
  </si>
  <si>
    <t>Peanut butter</t>
  </si>
  <si>
    <t>Soy sauce, regular</t>
  </si>
  <si>
    <t>Soy sauce, reduced salt</t>
  </si>
  <si>
    <t>Marmite</t>
  </si>
  <si>
    <t>Soft Drink Powder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</si>
  <si>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</si>
  <si>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</si>
  <si>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</si>
  <si>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</si>
  <si>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</si>
  <si>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</si>
  <si>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</si>
  <si>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r>
      <rPr>
        <b/>
        <sz val="12"/>
        <rFont val="Cambria"/>
        <family val="1"/>
        <charset val="1"/>
      </rPr>
      <t xml:space="preserve">Sodium </t>
    </r>
    <r>
      <rPr>
        <b/>
        <sz val="12"/>
        <color rgb="FFFF0000"/>
        <rFont val="Cambria"/>
        <family val="1"/>
        <charset val="1"/>
      </rPr>
      <t>mg</t>
    </r>
    <r>
      <rPr>
        <b/>
        <sz val="12"/>
        <rFont val="Cambria"/>
        <family val="1"/>
        <charset val="1"/>
      </rPr>
      <t>/100g</t>
    </r>
  </si>
  <si>
    <t>Source nutrient information</t>
  </si>
  <si>
    <t>remarks</t>
  </si>
  <si>
    <t>online website chain</t>
  </si>
  <si>
    <t>FCDB</t>
  </si>
  <si>
    <t>NIP</t>
  </si>
  <si>
    <t>nutriweb, hellaby's</t>
  </si>
  <si>
    <t>nutriweb</t>
  </si>
  <si>
    <t>Eta, fibre used from regular peanuts</t>
  </si>
  <si>
    <t>Chickpeas/4 bean mix canned In springwater</t>
  </si>
  <si>
    <t>Bread, wholemeal</t>
  </si>
  <si>
    <t>budget</t>
  </si>
  <si>
    <t>Bean Supreme website</t>
  </si>
  <si>
    <t>Watties, fibre taken from reg</t>
  </si>
  <si>
    <t>chunky style sealord</t>
  </si>
  <si>
    <t>Watties</t>
  </si>
  <si>
    <t>sanitarium, fibre taken from nosalt/no sugar</t>
  </si>
  <si>
    <t>watties</t>
  </si>
  <si>
    <t>Drink Powder</t>
  </si>
  <si>
    <t>forequarter shoulder roast</t>
  </si>
  <si>
    <t>middle loin chop fast fried</t>
  </si>
  <si>
    <t>product itself</t>
  </si>
  <si>
    <t>FreshnFruity lite wildberry low fat</t>
  </si>
  <si>
    <t>nutriweb, gopala</t>
  </si>
  <si>
    <t>fibre taken from reg</t>
  </si>
  <si>
    <t>Jam</t>
  </si>
  <si>
    <t>sanitarium</t>
  </si>
  <si>
    <t>The same nutritional information as wholemeal pasta</t>
  </si>
  <si>
    <t>Budget. None found without added salt, just low salt, fibre taken from reg</t>
  </si>
  <si>
    <t>Angel Food website</t>
  </si>
  <si>
    <t>https://www.angelfood.co.nz/dairy-free-cream-cheese-alternative</t>
  </si>
  <si>
    <t>Used the most similar product in the database: Cracker, mixed grain, Cruskits, Light, Arnott's</t>
  </si>
  <si>
    <t>&lt;1</t>
  </si>
  <si>
    <t>Countdown online</t>
  </si>
  <si>
    <t>Old El Paso Dip Mild Chunky 300g</t>
  </si>
  <si>
    <t>&lt;1.00</t>
  </si>
  <si>
    <t>Used the most similar product in the database: Bread roll or bun, wholemeal, fortified</t>
  </si>
  <si>
    <t>Used the most similar product in the database: Mixed vegetables, broccoli, carrots &amp; cauliflower, frozen, boiled, drained, no salt added</t>
  </si>
  <si>
    <t>trace</t>
  </si>
  <si>
    <t>Life Pharmacy website</t>
  </si>
  <si>
    <t>Planetary_flexi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</si>
  <si>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</si>
  <si>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</si>
  <si>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</si>
  <si>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</si>
  <si>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</si>
  <si>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</si>
  <si>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</si>
  <si>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</si>
  <si>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</si>
  <si>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&lt;10% E</t>
  </si>
  <si>
    <t>&lt;10%</t>
  </si>
  <si>
    <t>15-25%</t>
  </si>
  <si>
    <t>14 boy</t>
  </si>
  <si>
    <t>adult women</t>
  </si>
  <si>
    <t>adult man</t>
  </si>
  <si>
    <t>Planetary_vegan diet per day</t>
  </si>
  <si>
    <t>Healthy diet per day</t>
  </si>
  <si>
    <t>20-35%</t>
  </si>
  <si>
    <t>45-65%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</si>
  <si>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</si>
  <si>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</si>
  <si>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</si>
  <si>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</si>
  <si>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</si>
  <si>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</si>
  <si>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</si>
  <si>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</si>
  <si>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</si>
  <si>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</si>
  <si>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</si>
  <si>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</si>
  <si>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</si>
  <si>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t xml:space="preserve"> free sugar grams</t>
  </si>
  <si>
    <t>protein %</t>
  </si>
  <si>
    <t>sat fat %</t>
  </si>
  <si>
    <t>fat %</t>
  </si>
  <si>
    <t>carb%</t>
  </si>
  <si>
    <t>red meat (g)</t>
  </si>
  <si>
    <t>7 girl min</t>
  </si>
  <si>
    <t>7 girl max</t>
  </si>
  <si>
    <t>max</t>
  </si>
  <si>
    <t>14 boy min</t>
  </si>
  <si>
    <t>14 boy max</t>
  </si>
  <si>
    <t>adult woman min</t>
  </si>
  <si>
    <t>adult woman max</t>
  </si>
  <si>
    <t>adult man min</t>
  </si>
  <si>
    <t>adult man max</t>
  </si>
  <si>
    <t>fruit (s)</t>
  </si>
  <si>
    <t>starchy vege (s)</t>
  </si>
  <si>
    <t>vege (s)</t>
  </si>
  <si>
    <t>dairy (s)</t>
  </si>
  <si>
    <t>grains (s)</t>
  </si>
  <si>
    <t>protein (s)</t>
  </si>
  <si>
    <t>Nutrient constraints                      Current diet per day</t>
  </si>
  <si>
    <t>Sodium mg+-30%</t>
  </si>
  <si>
    <t>CHO % energy +-30%</t>
  </si>
  <si>
    <t>protein % +-30%</t>
  </si>
  <si>
    <t>Fat % energy +-30%</t>
  </si>
  <si>
    <t>Sat fat % energy +-30%</t>
  </si>
  <si>
    <t>total sugars % energy +-30%</t>
  </si>
  <si>
    <t>alcohol E%+-30%</t>
  </si>
  <si>
    <t>fruit (s)+-30%</t>
  </si>
  <si>
    <t>starchy vege (s)+-30%</t>
  </si>
  <si>
    <t>vege (s)+-30%</t>
  </si>
  <si>
    <t>dairy (s)+-30%</t>
  </si>
  <si>
    <t>grains (s)+-30%</t>
  </si>
  <si>
    <t>protein (s)+-30%</t>
  </si>
  <si>
    <t>Healthy Diet</t>
  </si>
  <si>
    <t>Per week</t>
  </si>
  <si>
    <t>Individual target adult man (g)</t>
  </si>
  <si>
    <t>Target adult women (g)</t>
  </si>
  <si>
    <t>Target 14 yr boy (g)</t>
  </si>
  <si>
    <t>Target 7 yr girl (g)</t>
  </si>
  <si>
    <t xml:space="preserve">Variety </t>
  </si>
  <si>
    <t>serve size</t>
  </si>
  <si>
    <t>Min per week</t>
  </si>
  <si>
    <t>Max per week</t>
  </si>
  <si>
    <t>healthy diet</t>
  </si>
  <si>
    <t>Target</t>
  </si>
  <si>
    <t>Fruit serves</t>
  </si>
  <si>
    <t>grams</t>
  </si>
  <si>
    <t>Vegetables - non-starchy, serves</t>
  </si>
  <si>
    <t>Starchy vegetables, serves</t>
  </si>
  <si>
    <t>Grains serves</t>
  </si>
  <si>
    <t>Dairy/alternatives serves</t>
  </si>
  <si>
    <t>Meat, poultry, seafood, eggs, legumes, nuts, seeds serves</t>
  </si>
  <si>
    <t>Fats &amp; oils grams</t>
  </si>
  <si>
    <t>Discretionery foods</t>
  </si>
  <si>
    <t>Sauces, spreads</t>
  </si>
  <si>
    <t>Takeaways</t>
  </si>
  <si>
    <t>Current Diet</t>
  </si>
  <si>
    <t>current diet</t>
  </si>
  <si>
    <t>Fruit, serves</t>
  </si>
  <si>
    <t>Vegetables  serves</t>
  </si>
  <si>
    <t>starchy vegetables serves</t>
  </si>
  <si>
    <t xml:space="preserve"> Discretionary foods</t>
  </si>
  <si>
    <t>Protein foods: Meat, poultry, seafood, eggs, legumes, nuts, seeds serves</t>
  </si>
  <si>
    <t xml:space="preserve"> Discretionary foods grams</t>
  </si>
  <si>
    <t>Sauces, dressings, spreads, sugars grams</t>
  </si>
  <si>
    <t>Beverages grams</t>
  </si>
  <si>
    <t>Takeaway grams</t>
  </si>
  <si>
    <t>Alcohol grams</t>
  </si>
  <si>
    <t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</si>
  <si>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</si>
  <si>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.</t>
  </si>
  <si>
    <t>Discretionary Foods</t>
  </si>
  <si>
    <t>Planetary Diet - Vegan</t>
  </si>
  <si>
    <t>planetary diet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</si>
  <si>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</si>
  <si>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</si>
  <si>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</si>
  <si>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</si>
  <si>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</si>
  <si>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</si>
  <si>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</si>
  <si>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</si>
  <si>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outlet name</t>
  </si>
  <si>
    <t>chain</t>
  </si>
  <si>
    <t>brand</t>
  </si>
  <si>
    <t>type</t>
  </si>
  <si>
    <t>unitsize g/ml</t>
  </si>
  <si>
    <t>discount</t>
  </si>
  <si>
    <t>price</t>
  </si>
  <si>
    <t>price/100g</t>
  </si>
  <si>
    <t>price/100g AP</t>
  </si>
  <si>
    <t>New Zealand</t>
  </si>
  <si>
    <t>all</t>
  </si>
  <si>
    <t>Auckland</t>
  </si>
  <si>
    <t>yes</t>
  </si>
  <si>
    <t xml:space="preserve">spring </t>
  </si>
  <si>
    <t>NA</t>
  </si>
  <si>
    <t>supermarket</t>
  </si>
  <si>
    <t>Pak'n Save</t>
  </si>
  <si>
    <t>online</t>
  </si>
  <si>
    <t>grains</t>
  </si>
  <si>
    <t>Sanitarium</t>
  </si>
  <si>
    <t>branded</t>
  </si>
  <si>
    <t>no</t>
  </si>
  <si>
    <t>New World</t>
  </si>
  <si>
    <t>Countdown</t>
  </si>
  <si>
    <t>dairy/alternatives</t>
  </si>
  <si>
    <t>Gopala</t>
  </si>
  <si>
    <t>Value</t>
  </si>
  <si>
    <t>generic</t>
  </si>
  <si>
    <t>fruit</t>
  </si>
  <si>
    <t>Fresh Produce</t>
  </si>
  <si>
    <t>protein foods</t>
  </si>
  <si>
    <t>Pams</t>
  </si>
  <si>
    <t>Freshlife</t>
  </si>
  <si>
    <t>Molenberg</t>
  </si>
  <si>
    <t>vegetables</t>
  </si>
  <si>
    <t>Obela</t>
  </si>
  <si>
    <t>Select</t>
  </si>
  <si>
    <t>McCain</t>
  </si>
  <si>
    <t>San Remo</t>
  </si>
  <si>
    <t>Diamond</t>
  </si>
  <si>
    <t>Nature's Fresh</t>
  </si>
  <si>
    <t>sauces, dressings, spreads, sugars</t>
  </si>
  <si>
    <t>oil/fats</t>
  </si>
  <si>
    <t>Essentials</t>
  </si>
  <si>
    <t>Coulston Hill</t>
  </si>
  <si>
    <t xml:space="preserve">Otaika Valley </t>
  </si>
  <si>
    <t>Morning Harvest</t>
  </si>
  <si>
    <t>Farmer Brown</t>
  </si>
  <si>
    <t xml:space="preserve">Farmer Brown </t>
  </si>
  <si>
    <t>Ryvita</t>
  </si>
  <si>
    <t xml:space="preserve">Eta </t>
  </si>
  <si>
    <t>Huntley &amp; Palmers</t>
  </si>
  <si>
    <t>Meadows</t>
  </si>
  <si>
    <t>Talleys</t>
  </si>
  <si>
    <t>SB</t>
  </si>
  <si>
    <t>Macro</t>
  </si>
  <si>
    <t>Old El Paso</t>
  </si>
  <si>
    <t>Dannys</t>
  </si>
  <si>
    <t>Lisa's</t>
  </si>
  <si>
    <t>Check</t>
  </si>
  <si>
    <t>Morinaga</t>
  </si>
  <si>
    <t>in-store</t>
  </si>
  <si>
    <t>Rolling Meadow</t>
  </si>
  <si>
    <t>Hubbards</t>
  </si>
  <si>
    <t>Real Rice</t>
  </si>
  <si>
    <t>Mexicano</t>
  </si>
  <si>
    <t xml:space="preserve">Angel Food </t>
  </si>
  <si>
    <t>071119</t>
  </si>
  <si>
    <t>Fresh 4 You</t>
  </si>
  <si>
    <t>summer</t>
  </si>
  <si>
    <t xml:space="preserve">Dole </t>
  </si>
  <si>
    <t>Oak</t>
  </si>
  <si>
    <t>Pacific Crown</t>
  </si>
  <si>
    <t xml:space="preserve">Talley's </t>
  </si>
  <si>
    <t>020220</t>
  </si>
  <si>
    <t>Homebrand</t>
  </si>
  <si>
    <t>Giannis</t>
  </si>
  <si>
    <t>Wai Wai</t>
  </si>
  <si>
    <t>Lungkow</t>
  </si>
  <si>
    <t>Double Phoenix</t>
  </si>
  <si>
    <t>Punjas</t>
  </si>
  <si>
    <t>FMF</t>
  </si>
  <si>
    <t>Kellogg's</t>
  </si>
  <si>
    <t>dairy and dairy alternatives</t>
  </si>
  <si>
    <t xml:space="preserve">Cheese,Edam </t>
  </si>
  <si>
    <t xml:space="preserve">Value </t>
  </si>
  <si>
    <t>Meadow Fresh</t>
  </si>
  <si>
    <t>Sealord</t>
  </si>
  <si>
    <t>Hellabys</t>
  </si>
  <si>
    <t xml:space="preserve">Countdown </t>
  </si>
  <si>
    <t>Solos Choice</t>
  </si>
  <si>
    <t>Trident</t>
  </si>
  <si>
    <t>MeadowLea</t>
  </si>
  <si>
    <t>discretionary foods</t>
  </si>
  <si>
    <t>Ernest Adams</t>
  </si>
  <si>
    <t>Griffin's</t>
  </si>
  <si>
    <t>Arnott's</t>
  </si>
  <si>
    <t>bakery</t>
  </si>
  <si>
    <t>Marcel Bakery (Mangere East)</t>
  </si>
  <si>
    <t>Indomie</t>
  </si>
  <si>
    <t>Kiwi Donuts</t>
  </si>
  <si>
    <t>Original Foods</t>
  </si>
  <si>
    <t>Hellers</t>
  </si>
  <si>
    <t>Hutton's</t>
  </si>
  <si>
    <t>Cadbury</t>
  </si>
  <si>
    <t>Starburst</t>
  </si>
  <si>
    <t>Much Moore</t>
  </si>
  <si>
    <t>sauces, dressing, spreads, sugars</t>
  </si>
  <si>
    <t>High Mark</t>
  </si>
  <si>
    <t>Wattie's</t>
  </si>
  <si>
    <t>Campbell's</t>
  </si>
  <si>
    <t>beverages</t>
  </si>
  <si>
    <t>Nestle</t>
  </si>
  <si>
    <t>Coca-Cola</t>
  </si>
  <si>
    <t>Keri</t>
  </si>
  <si>
    <t>Just Juice</t>
  </si>
  <si>
    <t>Raro</t>
  </si>
  <si>
    <t>V</t>
  </si>
  <si>
    <t>Pure NZ</t>
  </si>
  <si>
    <t>takeaways</t>
  </si>
  <si>
    <t>Irvines</t>
  </si>
  <si>
    <t>Focus on Fish Takeaways</t>
  </si>
  <si>
    <t>Lambie Drive Fish &amp; Chips</t>
  </si>
  <si>
    <t>Dominos</t>
  </si>
  <si>
    <t>Pizza Hut</t>
  </si>
  <si>
    <t>BurgerFuel</t>
  </si>
  <si>
    <t>Subway</t>
  </si>
  <si>
    <t>St Pierres</t>
  </si>
  <si>
    <t>Thai Passion</t>
  </si>
  <si>
    <t>Green Thai curry (chicken)</t>
  </si>
  <si>
    <t>Phnom Penh Restaurant and Café</t>
  </si>
  <si>
    <t>Hot &amp; Pot</t>
  </si>
  <si>
    <t xml:space="preserve">The Indian Kitchen Restaurant and Takeaways </t>
  </si>
  <si>
    <t>KFC</t>
  </si>
  <si>
    <t>McDonalds</t>
  </si>
  <si>
    <t>alcohol</t>
  </si>
  <si>
    <t>Wine, sauvignon blanc</t>
  </si>
  <si>
    <t>Cleanskin</t>
  </si>
  <si>
    <t>Haagen</t>
  </si>
  <si>
    <t>Bean Supreme</t>
  </si>
  <si>
    <t>lamp</t>
  </si>
  <si>
    <t>Edgell</t>
  </si>
  <si>
    <t>fruit salad</t>
  </si>
  <si>
    <t>MacKenzie</t>
  </si>
  <si>
    <t>Mama San</t>
  </si>
  <si>
    <t>pharmacy</t>
  </si>
  <si>
    <t>Life Pharmacy</t>
  </si>
  <si>
    <t>supplement</t>
  </si>
  <si>
    <t>Thompson's</t>
  </si>
  <si>
    <t>on</t>
  </si>
  <si>
    <t>fresh produce store</t>
  </si>
  <si>
    <t>Manukau fresh fruit and vege</t>
  </si>
  <si>
    <t>Vitamin B12 supplement</t>
  </si>
  <si>
    <t xml:space="preserve">Mushroom,raw </t>
  </si>
  <si>
    <t>food waste multiple (avoidable)</t>
  </si>
  <si>
    <t>food waste multiple (total)</t>
  </si>
  <si>
    <t>decision/reason</t>
  </si>
  <si>
    <t>breakfast cereal</t>
  </si>
  <si>
    <t>because it is canned and has syrup similar to fruit juice. Also the figure for fruit will include the unedible food waste which is not in canned fruit</t>
  </si>
  <si>
    <t>closest category to this</t>
  </si>
  <si>
    <t>because it is canned. Also the figure for veg will include the unedible food waste which is not in canned foods</t>
  </si>
  <si>
    <t>snack</t>
  </si>
  <si>
    <t xml:space="preserve">Lettuce,Cos,raw </t>
  </si>
  <si>
    <t>bean</t>
  </si>
  <si>
    <t>processed potato</t>
  </si>
  <si>
    <t>fat - is the most similar as a spread</t>
  </si>
  <si>
    <t>fat</t>
  </si>
  <si>
    <t>processed potato - most similar as there is no avoidable food waste and could include frozen potato chips</t>
  </si>
  <si>
    <t>bean - part of the legume family</t>
  </si>
  <si>
    <t>lettuce/leafy salad - most similar</t>
  </si>
  <si>
    <t>fresh potato - most similar as a starchy veg</t>
  </si>
  <si>
    <t>cook in sauce - most similar</t>
  </si>
  <si>
    <t>bean - most similar</t>
  </si>
  <si>
    <t xml:space="preserve">cauliflower - most similar </t>
  </si>
  <si>
    <t>savoury snacks - most similar</t>
  </si>
  <si>
    <t>Baked beans regular</t>
  </si>
  <si>
    <t>savoury snack - most similar</t>
  </si>
  <si>
    <t>chocolate and sweets - most similar</t>
  </si>
  <si>
    <t>citrus fruit - not classified as one, but in terms of food waste, it is the most similar and wouldn't suit soft/berry fruit</t>
  </si>
  <si>
    <t>citrus fruit</t>
  </si>
  <si>
    <t>berry fruit</t>
  </si>
  <si>
    <t>cucumber - most similar</t>
  </si>
  <si>
    <t>stone fruit - most similar</t>
  </si>
  <si>
    <t>wholegrain burger bun</t>
  </si>
  <si>
    <t>most similar</t>
  </si>
  <si>
    <t>beef - default for sausages</t>
  </si>
  <si>
    <t>pork/ham/bacon - most similar to ham?</t>
  </si>
  <si>
    <t>fruit juice and smoothies - most similar</t>
  </si>
  <si>
    <t>carbonated soft drink - most similar</t>
  </si>
  <si>
    <t>tea - similar to coffee</t>
  </si>
  <si>
    <t>fish - most similar</t>
  </si>
  <si>
    <t>Sandwich, Subway</t>
  </si>
  <si>
    <t>poultry - most similar</t>
  </si>
  <si>
    <t>beef - most similar</t>
  </si>
  <si>
    <t>onion/leak - most similar</t>
  </si>
  <si>
    <t>assume 1?</t>
  </si>
  <si>
    <t>30-45%</t>
  </si>
  <si>
    <t>35-55%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</si>
</sst>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-\$* #,##0.00_-;&quot;-$&quot;* #,##0.00_-;_-\$* \-??_-;_-@_-"/>
    <numFmt numFmtId="166" formatCode="\$#,##0.00"/>
    <numFmt numFmtId="167" formatCode="_-* #,##0.00_-;\-* #,##0.00_-;_-* \-??_-;_-@_-"/>
    <numFmt numFmtId="168" formatCode="_(\$* #,##0.00_);_(\$* \(#,##0.00\);_(\$* \-??_);_(@_)"/>
    <numFmt numFmtId="169" formatCode="_-[$$-1409]* #,##0.00_-;\-[$$-1409]* #,##0.00_-;_-[$$-1409]* \-??_-;_-@_-"/>
    <numFmt numFmtId="170" formatCode="0.000"/>
  </numFmts>
  <fonts count="3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charset val="1"/>
    </font>
    <font>
      <sz val="12"/>
      <name val="Cambria"/>
      <family val="1"/>
      <charset val="1"/>
    </font>
    <font>
      <b/>
      <sz val="12"/>
      <name val="Cambria"/>
      <family val="1"/>
      <charset val="1"/>
    </font>
    <font>
      <i/>
      <sz val="12"/>
      <name val="Cambria"/>
      <family val="1"/>
      <charset val="1"/>
    </font>
    <font>
      <sz val="12"/>
      <name val="Cambria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/>
      <sz val="12"/>
      <color rgb="FFFF0000"/>
      <name val="Cambria"/>
      <family val="1"/>
      <charset val="1"/>
    </font>
    <font>
      <i/>
      <sz val="12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12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color rgb="FFFF0000"/>
      <name val="Calibri"/>
      <charset val="1"/>
    </font>
    <font>
      <b/>
      <sz val="12"/>
      <color rgb="FFFF0000"/>
      <name val="Calibri"/>
      <charset val="1"/>
    </font>
    <font>
      <i/>
      <sz val="12"/>
      <color rgb="FF000000"/>
      <name val="Calibri"/>
      <charset val="1"/>
    </font>
    <font>
      <b/>
      <sz val="12"/>
      <color rgb="FFFF0000"/>
      <name val="Cambria"/>
      <charset val="1"/>
    </font>
    <font>
      <b/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rgb="FFEAF1DD"/>
      </top>
      <bottom style="thin">
        <color rgb="FFEAF1DD"/>
      </bottom>
      <diagonal/>
    </border>
  </borders>
  <cellStyleXfs count="4">
    <xf numFmtId="0" fontId="0" fillId="0" borderId="0"/>
    <xf numFmtId="165" fontId="29" fillId="0" borderId="0" applyBorder="0" applyProtection="0"/>
    <xf numFmtId="0" fontId="11" fillId="0" borderId="0" applyBorder="0" applyProtection="0"/>
    <xf numFmtId="0" fontId="2" fillId="0" borderId="0"/>
  </cellStyleXfs>
  <cellXfs count="223">
    <xf numFmtId="0" fontId="0" fillId="0" borderId="0" xfId="0"/>
    <xf numFmtId="0" fontId="3" fillId="0" borderId="0" xfId="3" applyFont="1"/>
    <xf numFmtId="0" fontId="3" fillId="0" borderId="0" xfId="3" applyFont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3" applyFont="1" applyFill="1" applyAlignment="1">
      <alignment horizontal="center"/>
    </xf>
    <xf numFmtId="0" fontId="4" fillId="0" borderId="0" xfId="3" applyFont="1"/>
    <xf numFmtId="0" fontId="3" fillId="4" borderId="0" xfId="3" applyFont="1" applyFill="1"/>
    <xf numFmtId="0" fontId="3" fillId="4" borderId="0" xfId="3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0" fontId="7" fillId="0" borderId="0" xfId="0" applyFont="1" applyAlignment="1"/>
    <xf numFmtId="0" fontId="6" fillId="4" borderId="0" xfId="0" applyFont="1" applyFill="1" applyBorder="1"/>
    <xf numFmtId="0" fontId="8" fillId="0" borderId="0" xfId="3" applyFont="1"/>
    <xf numFmtId="0" fontId="6" fillId="0" borderId="0" xfId="0" applyFont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Alignment="1"/>
    <xf numFmtId="0" fontId="3" fillId="0" borderId="0" xfId="0" applyFont="1" applyBorder="1"/>
    <xf numFmtId="0" fontId="3" fillId="0" borderId="0" xfId="3" applyFont="1" applyAlignment="1">
      <alignment horizontal="left"/>
    </xf>
    <xf numFmtId="0" fontId="4" fillId="3" borderId="0" xfId="3" applyFont="1" applyFill="1"/>
    <xf numFmtId="0" fontId="4" fillId="3" borderId="0" xfId="3" applyFont="1" applyFill="1" applyAlignment="1">
      <alignment horizontal="left"/>
    </xf>
    <xf numFmtId="0" fontId="3" fillId="4" borderId="0" xfId="3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5" fillId="0" borderId="0" xfId="3" applyFont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right"/>
    </xf>
    <xf numFmtId="0" fontId="9" fillId="2" borderId="0" xfId="3" applyFont="1" applyFill="1"/>
    <xf numFmtId="0" fontId="9" fillId="2" borderId="0" xfId="3" applyFont="1" applyFill="1" applyAlignment="1">
      <alignment horizontal="center"/>
    </xf>
    <xf numFmtId="164" fontId="4" fillId="2" borderId="0" xfId="3" applyNumberFormat="1" applyFont="1" applyFill="1" applyAlignment="1">
      <alignment horizontal="center"/>
    </xf>
    <xf numFmtId="164" fontId="3" fillId="0" borderId="0" xfId="3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4" borderId="0" xfId="3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3" fillId="4" borderId="0" xfId="3" applyNumberFormat="1" applyFont="1" applyFill="1" applyAlignment="1">
      <alignment horizontal="center" vertical="center"/>
    </xf>
    <xf numFmtId="0" fontId="3" fillId="5" borderId="0" xfId="0" applyFont="1" applyFill="1" applyBorder="1"/>
    <xf numFmtId="0" fontId="8" fillId="2" borderId="0" xfId="0" applyFont="1" applyFill="1"/>
    <xf numFmtId="0" fontId="3" fillId="5" borderId="0" xfId="3" applyFont="1" applyFill="1"/>
    <xf numFmtId="0" fontId="3" fillId="0" borderId="0" xfId="3" applyFont="1" applyAlignment="1">
      <alignment wrapText="1"/>
    </xf>
    <xf numFmtId="0" fontId="11" fillId="5" borderId="0" xfId="2" applyFont="1" applyFill="1" applyBorder="1" applyAlignment="1" applyProtection="1"/>
    <xf numFmtId="0" fontId="3" fillId="5" borderId="0" xfId="0" applyFont="1" applyFill="1" applyBorder="1" applyAlignment="1">
      <alignment horizontal="center"/>
    </xf>
    <xf numFmtId="0" fontId="1" fillId="0" borderId="0" xfId="3" applyFont="1"/>
    <xf numFmtId="0" fontId="1" fillId="0" borderId="0" xfId="3" applyFont="1" applyAlignment="1">
      <alignment horizontal="center"/>
    </xf>
    <xf numFmtId="0" fontId="12" fillId="3" borderId="0" xfId="3" applyFont="1" applyFill="1"/>
    <xf numFmtId="0" fontId="1" fillId="3" borderId="0" xfId="3" applyFont="1" applyFill="1" applyAlignment="1">
      <alignment horizontal="center"/>
    </xf>
    <xf numFmtId="0" fontId="12" fillId="3" borderId="0" xfId="3" applyFont="1" applyFill="1" applyAlignment="1">
      <alignment horizontal="center"/>
    </xf>
    <xf numFmtId="0" fontId="12" fillId="3" borderId="0" xfId="3" applyFont="1" applyFill="1" applyAlignment="1">
      <alignment wrapText="1"/>
    </xf>
    <xf numFmtId="0" fontId="1" fillId="3" borderId="0" xfId="3" applyFont="1" applyFill="1" applyAlignment="1">
      <alignment horizontal="center" wrapText="1"/>
    </xf>
    <xf numFmtId="0" fontId="1" fillId="3" borderId="0" xfId="3" applyFont="1" applyFill="1"/>
    <xf numFmtId="0" fontId="1" fillId="2" borderId="0" xfId="3" applyFont="1" applyFill="1" applyAlignment="1">
      <alignment horizontal="center"/>
    </xf>
    <xf numFmtId="0" fontId="1" fillId="0" borderId="0" xfId="3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8" fillId="0" borderId="0" xfId="3" applyNumberFormat="1" applyFont="1" applyAlignment="1">
      <alignment horizontal="center"/>
    </xf>
    <xf numFmtId="164" fontId="1" fillId="0" borderId="0" xfId="3" applyNumberFormat="1" applyFont="1" applyAlignment="1">
      <alignment horizontal="center"/>
    </xf>
    <xf numFmtId="2" fontId="1" fillId="0" borderId="0" xfId="3" applyNumberFormat="1" applyFont="1" applyAlignment="1">
      <alignment horizontal="center"/>
    </xf>
    <xf numFmtId="0" fontId="12" fillId="2" borderId="0" xfId="3" applyFont="1" applyFill="1" applyAlignment="1">
      <alignment wrapText="1"/>
    </xf>
    <xf numFmtId="0" fontId="1" fillId="2" borderId="0" xfId="3" applyFont="1" applyFill="1" applyAlignment="1">
      <alignment horizontal="center" wrapText="1"/>
    </xf>
    <xf numFmtId="0" fontId="1" fillId="2" borderId="0" xfId="3" applyFont="1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3" applyFont="1" applyAlignment="1">
      <alignment horizontal="center"/>
    </xf>
    <xf numFmtId="0" fontId="1" fillId="6" borderId="0" xfId="3" applyFont="1" applyFill="1" applyAlignment="1">
      <alignment horizontal="center"/>
    </xf>
    <xf numFmtId="0" fontId="15" fillId="3" borderId="0" xfId="3" applyFont="1" applyFill="1"/>
    <xf numFmtId="0" fontId="15" fillId="3" borderId="0" xfId="3" applyFont="1" applyFill="1" applyAlignment="1">
      <alignment horizontal="center"/>
    </xf>
    <xf numFmtId="0" fontId="15" fillId="0" borderId="0" xfId="3" applyFont="1"/>
    <xf numFmtId="0" fontId="10" fillId="0" borderId="0" xfId="3" applyFont="1"/>
    <xf numFmtId="0" fontId="16" fillId="0" borderId="0" xfId="3" applyFont="1"/>
    <xf numFmtId="0" fontId="9" fillId="0" borderId="0" xfId="3" applyFont="1"/>
    <xf numFmtId="0" fontId="12" fillId="2" borderId="0" xfId="3" applyFont="1" applyFill="1" applyAlignment="1">
      <alignment horizontal="center"/>
    </xf>
    <xf numFmtId="0" fontId="12" fillId="6" borderId="0" xfId="3" applyFont="1" applyFill="1" applyAlignment="1">
      <alignment horizontal="center"/>
    </xf>
    <xf numFmtId="0" fontId="12" fillId="0" borderId="0" xfId="3" applyFont="1"/>
    <xf numFmtId="0" fontId="8" fillId="6" borderId="0" xfId="3" applyFont="1" applyFill="1" applyAlignment="1">
      <alignment horizontal="center"/>
    </xf>
    <xf numFmtId="0" fontId="1" fillId="7" borderId="0" xfId="3" applyFont="1" applyFill="1"/>
    <xf numFmtId="0" fontId="8" fillId="7" borderId="0" xfId="3" applyFont="1" applyFill="1"/>
    <xf numFmtId="0" fontId="1" fillId="7" borderId="0" xfId="3" applyFont="1" applyFill="1" applyAlignment="1">
      <alignment horizontal="center"/>
    </xf>
    <xf numFmtId="0" fontId="8" fillId="7" borderId="0" xfId="3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8" fillId="2" borderId="0" xfId="3" applyFont="1" applyFill="1" applyAlignment="1">
      <alignment horizontal="center"/>
    </xf>
    <xf numFmtId="0" fontId="17" fillId="6" borderId="0" xfId="3" applyFont="1" applyFill="1" applyAlignment="1">
      <alignment horizontal="center"/>
    </xf>
    <xf numFmtId="1" fontId="1" fillId="2" borderId="0" xfId="3" applyNumberFormat="1" applyFont="1" applyFill="1" applyAlignment="1">
      <alignment horizontal="center"/>
    </xf>
    <xf numFmtId="1" fontId="8" fillId="2" borderId="0" xfId="3" applyNumberFormat="1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1" fontId="8" fillId="6" borderId="0" xfId="3" applyNumberFormat="1" applyFont="1" applyFill="1" applyAlignment="1">
      <alignment horizontal="center"/>
    </xf>
    <xf numFmtId="0" fontId="8" fillId="0" borderId="0" xfId="3" applyFont="1" applyAlignment="1">
      <alignment wrapText="1"/>
    </xf>
    <xf numFmtId="164" fontId="1" fillId="6" borderId="0" xfId="3" applyNumberFormat="1" applyFont="1" applyFill="1" applyAlignment="1">
      <alignment horizontal="center"/>
    </xf>
    <xf numFmtId="0" fontId="1" fillId="9" borderId="0" xfId="3" applyFont="1" applyFill="1" applyAlignment="1">
      <alignment horizontal="center"/>
    </xf>
    <xf numFmtId="164" fontId="1" fillId="9" borderId="0" xfId="3" applyNumberFormat="1" applyFont="1" applyFill="1" applyAlignment="1">
      <alignment horizontal="center"/>
    </xf>
    <xf numFmtId="164" fontId="8" fillId="6" borderId="0" xfId="3" applyNumberFormat="1" applyFont="1" applyFill="1" applyAlignment="1">
      <alignment horizontal="center"/>
    </xf>
    <xf numFmtId="0" fontId="15" fillId="2" borderId="0" xfId="3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9" borderId="0" xfId="3" applyFont="1" applyFill="1"/>
    <xf numFmtId="0" fontId="8" fillId="9" borderId="0" xfId="3" applyFont="1" applyFill="1" applyAlignment="1">
      <alignment horizontal="center"/>
    </xf>
    <xf numFmtId="0" fontId="8" fillId="7" borderId="0" xfId="3" applyFont="1" applyFill="1" applyAlignment="1">
      <alignment wrapText="1"/>
    </xf>
    <xf numFmtId="0" fontId="16" fillId="0" borderId="0" xfId="3" applyFont="1" applyAlignment="1">
      <alignment horizontal="center"/>
    </xf>
    <xf numFmtId="1" fontId="12" fillId="2" borderId="0" xfId="3" applyNumberFormat="1" applyFont="1" applyFill="1" applyAlignment="1">
      <alignment horizontal="center"/>
    </xf>
    <xf numFmtId="0" fontId="1" fillId="0" borderId="0" xfId="3" applyFont="1" applyAlignment="1">
      <alignment horizontal="right"/>
    </xf>
    <xf numFmtId="0" fontId="1" fillId="9" borderId="0" xfId="3" applyFont="1" applyFill="1"/>
    <xf numFmtId="0" fontId="17" fillId="9" borderId="0" xfId="3" applyFont="1" applyFill="1"/>
    <xf numFmtId="0" fontId="17" fillId="9" borderId="0" xfId="3" applyFont="1" applyFill="1" applyAlignment="1">
      <alignment horizontal="center"/>
    </xf>
    <xf numFmtId="1" fontId="1" fillId="9" borderId="0" xfId="3" applyNumberFormat="1" applyFont="1" applyFill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2" fillId="0" borderId="0" xfId="3" applyFont="1" applyAlignment="1">
      <alignment horizontal="center"/>
    </xf>
    <xf numFmtId="0" fontId="0" fillId="0" borderId="0" xfId="3" applyFont="1"/>
    <xf numFmtId="0" fontId="0" fillId="0" borderId="0" xfId="3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/>
    <xf numFmtId="0" fontId="7" fillId="9" borderId="0" xfId="3" applyFont="1" applyFill="1"/>
    <xf numFmtId="0" fontId="0" fillId="9" borderId="0" xfId="3" applyFont="1" applyFill="1" applyAlignment="1">
      <alignment horizontal="center"/>
    </xf>
    <xf numFmtId="0" fontId="0" fillId="9" borderId="0" xfId="3" applyFont="1" applyFill="1"/>
    <xf numFmtId="0" fontId="0" fillId="9" borderId="0" xfId="0" applyFont="1" applyFill="1" applyAlignment="1">
      <alignment horizontal="center"/>
    </xf>
    <xf numFmtId="1" fontId="0" fillId="9" borderId="0" xfId="0" applyNumberFormat="1" applyFont="1" applyFill="1" applyAlignment="1">
      <alignment horizontal="center"/>
    </xf>
    <xf numFmtId="1" fontId="0" fillId="9" borderId="0" xfId="0" applyNumberFormat="1" applyFont="1" applyFill="1" applyBorder="1" applyAlignment="1">
      <alignment horizontal="center"/>
    </xf>
    <xf numFmtId="0" fontId="0" fillId="9" borderId="0" xfId="0" applyFont="1" applyFill="1"/>
    <xf numFmtId="0" fontId="7" fillId="0" borderId="0" xfId="3" applyFont="1"/>
    <xf numFmtId="0" fontId="7" fillId="0" borderId="0" xfId="3" applyFont="1" applyAlignment="1">
      <alignment horizontal="center"/>
    </xf>
    <xf numFmtId="0" fontId="0" fillId="6" borderId="2" xfId="0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1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2" borderId="0" xfId="3" applyFont="1" applyFill="1" applyAlignment="1">
      <alignment horizontal="center"/>
    </xf>
    <xf numFmtId="0" fontId="7" fillId="6" borderId="0" xfId="3" applyFont="1" applyFill="1" applyAlignment="1">
      <alignment horizontal="center"/>
    </xf>
    <xf numFmtId="0" fontId="7" fillId="9" borderId="0" xfId="3" applyFont="1" applyFill="1" applyAlignment="1">
      <alignment horizontal="center"/>
    </xf>
    <xf numFmtId="0" fontId="0" fillId="6" borderId="0" xfId="3" applyFont="1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1" fontId="18" fillId="2" borderId="0" xfId="0" applyNumberFormat="1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3" applyFont="1" applyAlignment="1"/>
    <xf numFmtId="0" fontId="19" fillId="3" borderId="0" xfId="3" applyFont="1" applyFill="1" applyBorder="1"/>
    <xf numFmtId="0" fontId="19" fillId="3" borderId="0" xfId="3" applyFont="1" applyFill="1" applyBorder="1" applyAlignment="1">
      <alignment horizontal="center"/>
    </xf>
    <xf numFmtId="0" fontId="19" fillId="0" borderId="0" xfId="3" applyFont="1"/>
    <xf numFmtId="0" fontId="20" fillId="0" borderId="0" xfId="3" applyFont="1"/>
    <xf numFmtId="0" fontId="20" fillId="0" borderId="0" xfId="3" applyFont="1" applyAlignment="1">
      <alignment horizontal="center"/>
    </xf>
    <xf numFmtId="0" fontId="20" fillId="10" borderId="0" xfId="3" applyFont="1" applyFill="1" applyBorder="1" applyAlignment="1">
      <alignment horizontal="center"/>
    </xf>
    <xf numFmtId="0" fontId="20" fillId="11" borderId="0" xfId="3" applyFont="1" applyFill="1" applyBorder="1"/>
    <xf numFmtId="0" fontId="20" fillId="11" borderId="0" xfId="3" applyFont="1" applyFill="1" applyBorder="1" applyAlignment="1">
      <alignment horizontal="center"/>
    </xf>
    <xf numFmtId="0" fontId="20" fillId="2" borderId="0" xfId="3" applyFont="1" applyFill="1" applyBorder="1" applyAlignment="1">
      <alignment horizontal="center"/>
    </xf>
    <xf numFmtId="0" fontId="20" fillId="10" borderId="2" xfId="3" applyFont="1" applyFill="1" applyBorder="1" applyAlignment="1">
      <alignment horizontal="center"/>
    </xf>
    <xf numFmtId="0" fontId="21" fillId="10" borderId="0" xfId="3" applyFont="1" applyFill="1" applyBorder="1" applyAlignment="1">
      <alignment horizontal="center"/>
    </xf>
    <xf numFmtId="0" fontId="20" fillId="10" borderId="3" xfId="3" applyFont="1" applyFill="1" applyBorder="1" applyAlignment="1">
      <alignment horizontal="center"/>
    </xf>
    <xf numFmtId="1" fontId="20" fillId="2" borderId="0" xfId="3" applyNumberFormat="1" applyFont="1" applyFill="1" applyBorder="1" applyAlignment="1">
      <alignment horizontal="center"/>
    </xf>
    <xf numFmtId="0" fontId="20" fillId="8" borderId="0" xfId="3" applyFont="1" applyFill="1" applyBorder="1" applyAlignment="1">
      <alignment horizontal="center"/>
    </xf>
    <xf numFmtId="1" fontId="20" fillId="10" borderId="0" xfId="3" applyNumberFormat="1" applyFont="1" applyFill="1" applyBorder="1" applyAlignment="1">
      <alignment horizontal="center"/>
    </xf>
    <xf numFmtId="0" fontId="20" fillId="0" borderId="0" xfId="3" applyFont="1" applyAlignment="1">
      <alignment wrapText="1"/>
    </xf>
    <xf numFmtId="164" fontId="20" fillId="10" borderId="0" xfId="3" applyNumberFormat="1" applyFont="1" applyFill="1" applyBorder="1" applyAlignment="1">
      <alignment horizontal="center"/>
    </xf>
    <xf numFmtId="0" fontId="20" fillId="12" borderId="0" xfId="3" applyFont="1" applyFill="1" applyBorder="1" applyAlignment="1">
      <alignment horizontal="center"/>
    </xf>
    <xf numFmtId="164" fontId="20" fillId="0" borderId="0" xfId="3" applyNumberFormat="1" applyFont="1"/>
    <xf numFmtId="0" fontId="20" fillId="12" borderId="0" xfId="3" applyFont="1" applyFill="1" applyBorder="1"/>
    <xf numFmtId="0" fontId="20" fillId="11" borderId="0" xfId="3" applyFont="1" applyFill="1" applyBorder="1" applyAlignment="1">
      <alignment wrapText="1"/>
    </xf>
    <xf numFmtId="0" fontId="20" fillId="0" borderId="0" xfId="3" applyFont="1" applyAlignment="1">
      <alignment horizontal="right"/>
    </xf>
    <xf numFmtId="0" fontId="22" fillId="0" borderId="0" xfId="3" applyFont="1"/>
    <xf numFmtId="0" fontId="22" fillId="0" borderId="0" xfId="3" applyFont="1" applyAlignment="1">
      <alignment horizontal="center"/>
    </xf>
    <xf numFmtId="1" fontId="19" fillId="2" borderId="0" xfId="3" applyNumberFormat="1" applyFont="1" applyFill="1" applyBorder="1" applyAlignment="1">
      <alignment horizontal="center"/>
    </xf>
    <xf numFmtId="0" fontId="20" fillId="2" borderId="0" xfId="3" applyFont="1" applyFill="1"/>
    <xf numFmtId="1" fontId="20" fillId="12" borderId="0" xfId="3" applyNumberFormat="1" applyFont="1" applyFill="1" applyBorder="1" applyAlignment="1">
      <alignment horizontal="center"/>
    </xf>
    <xf numFmtId="0" fontId="21" fillId="12" borderId="0" xfId="3" applyFont="1" applyFill="1" applyBorder="1" applyAlignment="1">
      <alignment horizontal="center"/>
    </xf>
    <xf numFmtId="0" fontId="19" fillId="0" borderId="0" xfId="3" applyFont="1" applyAlignment="1">
      <alignment horizontal="center"/>
    </xf>
    <xf numFmtId="0" fontId="23" fillId="0" borderId="0" xfId="3" applyFont="1"/>
    <xf numFmtId="0" fontId="24" fillId="0" borderId="0" xfId="3" applyFont="1"/>
    <xf numFmtId="0" fontId="24" fillId="2" borderId="0" xfId="3" applyFont="1" applyFill="1" applyBorder="1" applyAlignment="1">
      <alignment horizontal="center"/>
    </xf>
    <xf numFmtId="0" fontId="19" fillId="2" borderId="0" xfId="3" applyFont="1" applyFill="1" applyBorder="1" applyAlignment="1">
      <alignment horizontal="center"/>
    </xf>
    <xf numFmtId="0" fontId="19" fillId="10" borderId="0" xfId="3" applyFont="1" applyFill="1" applyBorder="1" applyAlignment="1">
      <alignment horizontal="center"/>
    </xf>
    <xf numFmtId="1" fontId="20" fillId="11" borderId="0" xfId="3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1" applyFont="1" applyBorder="1" applyAlignment="1" applyProtection="1"/>
    <xf numFmtId="0" fontId="0" fillId="3" borderId="0" xfId="3" applyFont="1" applyFill="1"/>
    <xf numFmtId="0" fontId="0" fillId="2" borderId="0" xfId="3" applyFont="1" applyFill="1"/>
    <xf numFmtId="0" fontId="0" fillId="2" borderId="0" xfId="3" applyFont="1" applyFill="1" applyAlignment="1">
      <alignment horizontal="center"/>
    </xf>
    <xf numFmtId="0" fontId="0" fillId="3" borderId="0" xfId="3" applyFont="1" applyFill="1" applyAlignment="1">
      <alignment horizontal="center"/>
    </xf>
    <xf numFmtId="0" fontId="25" fillId="2" borderId="0" xfId="3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7" fillId="3" borderId="0" xfId="3" applyFont="1" applyFill="1" applyAlignment="1">
      <alignment horizontal="center"/>
    </xf>
    <xf numFmtId="166" fontId="0" fillId="2" borderId="0" xfId="3" applyNumberFormat="1" applyFont="1" applyFill="1" applyAlignment="1">
      <alignment horizontal="center"/>
    </xf>
    <xf numFmtId="166" fontId="0" fillId="3" borderId="0" xfId="3" applyNumberFormat="1" applyFont="1" applyFill="1" applyAlignment="1">
      <alignment horizontal="center"/>
    </xf>
    <xf numFmtId="2" fontId="0" fillId="3" borderId="0" xfId="3" applyNumberFormat="1" applyFont="1" applyFill="1" applyAlignment="1">
      <alignment horizontal="center"/>
    </xf>
    <xf numFmtId="2" fontId="25" fillId="2" borderId="0" xfId="3" applyNumberFormat="1" applyFont="1" applyFill="1" applyAlignment="1">
      <alignment horizontal="center"/>
    </xf>
    <xf numFmtId="0" fontId="0" fillId="0" borderId="0" xfId="0" applyFont="1" applyAlignment="1">
      <alignment vertical="center" wrapText="1"/>
    </xf>
    <xf numFmtId="165" fontId="0" fillId="0" borderId="0" xfId="0" applyNumberFormat="1"/>
    <xf numFmtId="165" fontId="0" fillId="2" borderId="0" xfId="1" applyFont="1" applyFill="1" applyBorder="1" applyAlignment="1" applyProtection="1"/>
    <xf numFmtId="0" fontId="0" fillId="2" borderId="0" xfId="0" applyFill="1"/>
    <xf numFmtId="1" fontId="0" fillId="0" borderId="0" xfId="0" applyNumberFormat="1"/>
    <xf numFmtId="0" fontId="0" fillId="2" borderId="0" xfId="0" applyFont="1" applyFill="1" applyAlignment="1">
      <alignment vertical="center" wrapText="1"/>
    </xf>
    <xf numFmtId="2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ont="1" applyFill="1"/>
    <xf numFmtId="165" fontId="0" fillId="0" borderId="0" xfId="1" applyFont="1" applyBorder="1" applyProtection="1"/>
    <xf numFmtId="167" fontId="0" fillId="2" borderId="0" xfId="0" applyNumberFormat="1" applyFill="1"/>
    <xf numFmtId="168" fontId="0" fillId="0" borderId="0" xfId="1" applyNumberFormat="1" applyFont="1" applyBorder="1" applyAlignment="1" applyProtection="1"/>
    <xf numFmtId="0" fontId="0" fillId="2" borderId="0" xfId="0" applyFill="1" applyAlignment="1">
      <alignment vertical="center" wrapText="1"/>
    </xf>
    <xf numFmtId="165" fontId="0" fillId="2" borderId="0" xfId="1" applyFont="1" applyFill="1" applyBorder="1" applyProtection="1"/>
    <xf numFmtId="169" fontId="0" fillId="0" borderId="0" xfId="1" applyNumberFormat="1" applyFont="1" applyBorder="1" applyAlignment="1" applyProtection="1"/>
    <xf numFmtId="0" fontId="3" fillId="2" borderId="0" xfId="3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169" fontId="3" fillId="2" borderId="0" xfId="1" applyNumberFormat="1" applyFont="1" applyFill="1" applyBorder="1" applyAlignment="1" applyProtection="1">
      <alignment horizontal="center"/>
    </xf>
    <xf numFmtId="0" fontId="3" fillId="0" borderId="0" xfId="0" applyFont="1"/>
    <xf numFmtId="169" fontId="0" fillId="0" borderId="0" xfId="1" applyNumberFormat="1" applyFont="1" applyBorder="1" applyAlignment="1" applyProtection="1">
      <alignment vertical="center" wrapText="1"/>
    </xf>
    <xf numFmtId="169" fontId="0" fillId="2" borderId="0" xfId="1" applyNumberFormat="1" applyFont="1" applyFill="1" applyBorder="1" applyAlignment="1" applyProtection="1"/>
    <xf numFmtId="0" fontId="28" fillId="0" borderId="0" xfId="0" applyFont="1"/>
    <xf numFmtId="170" fontId="0" fillId="0" borderId="0" xfId="0" applyNumberFormat="1"/>
    <xf numFmtId="170" fontId="3" fillId="2" borderId="0" xfId="0" applyNumberFormat="1" applyFont="1" applyFill="1" applyAlignment="1">
      <alignment horizontal="right"/>
    </xf>
    <xf numFmtId="0" fontId="12" fillId="0" borderId="0" xfId="3" applyFont="1" applyBorder="1" applyAlignment="1">
      <alignment horizontal="center"/>
    </xf>
    <xf numFmtId="0" fontId="19" fillId="0" borderId="0" xfId="3" applyFont="1" applyBorder="1" applyAlignment="1">
      <alignment horizontal="center"/>
    </xf>
  </cellXfs>
  <cellStyles count="4">
    <cellStyle name="Currency" xfId="1" builtinId="4"/>
    <cellStyle name="Explanatory Text" xfId="3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E6B8B7"/>
      <rgbColor rgb="FFD99694"/>
      <rgbColor rgb="FFE5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242640</xdr:colOff>
      <xdr:row>88</xdr:row>
      <xdr:rowOff>190800</xdr:rowOff>
    </xdr:from>
    <xdr:to>
      <xdr:col>2</xdr:col>
      <xdr:colOff>759960</xdr:colOff>
      <xdr:row>96</xdr:row>
      <xdr:rowOff>199080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2640" y="18037800"/>
          <a:ext cx="4365720" cy="16084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523080</xdr:colOff>
      <xdr:row>46</xdr:row>
      <xdr:rowOff>156863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525840" cy="9502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28590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28590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417960</xdr:colOff>
      <xdr:row>5</xdr:row>
      <xdr:rowOff>198000</xdr:rowOff>
    </xdr:from>
    <xdr:to>
      <xdr:col>25</xdr:col>
      <xdr:colOff>396000</xdr:colOff>
      <xdr:row>27</xdr:row>
      <xdr:rowOff>158760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3010560" y="1198080"/>
          <a:ext cx="3838680" cy="43610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endParaRPr lang="en-NZ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1. Food group constraints: number of serves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2. Food item constraints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base scenario would use all the foods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Per week</a:t>
          </a:r>
          <a:endParaRPr lang="en-NZ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999360</xdr:colOff>
      <xdr:row>32</xdr:row>
      <xdr:rowOff>18360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800-0000C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800-0000D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800-0000D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800-0000D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800-0000D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800-0000E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800-0000E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800-0000E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800-0000E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800-0000E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800-0000E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800-0000E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800-0000E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800-0000E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800-0000E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800-0000E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800-0000E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800-0000E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800-0000F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800-0000F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800-0000F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800-0000F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800-0000F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800-0000F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48</xdr:row>
      <xdr:rowOff>18720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800-0000F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76" name="shapetype_202" hidden="1">
          <a:extLst>
            <a:ext uri="{FF2B5EF4-FFF2-40B4-BE49-F238E27FC236}">
              <a16:creationId xmlns:a16="http://schemas.microsoft.com/office/drawing/2014/main" id="{00000000-0008-0000-0800-00000015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74" name="shapetype_202" hidden="1">
          <a:extLst>
            <a:ext uri="{FF2B5EF4-FFF2-40B4-BE49-F238E27FC236}">
              <a16:creationId xmlns:a16="http://schemas.microsoft.com/office/drawing/2014/main" id="{00000000-0008-0000-0800-0000F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72" name="shapetype_202" hidden="1">
          <a:extLst>
            <a:ext uri="{FF2B5EF4-FFF2-40B4-BE49-F238E27FC236}">
              <a16:creationId xmlns:a16="http://schemas.microsoft.com/office/drawing/2014/main" id="{00000000-0008-0000-0800-0000F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70" name="shapetype_202" hidden="1">
          <a:extLst>
            <a:ext uri="{FF2B5EF4-FFF2-40B4-BE49-F238E27FC236}">
              <a16:creationId xmlns:a16="http://schemas.microsoft.com/office/drawing/2014/main" id="{00000000-0008-0000-0800-0000F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8" name="shapetype_202" hidden="1">
          <a:extLst>
            <a:ext uri="{FF2B5EF4-FFF2-40B4-BE49-F238E27FC236}">
              <a16:creationId xmlns:a16="http://schemas.microsoft.com/office/drawing/2014/main" id="{00000000-0008-0000-0800-0000F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6" name="shapetype_202" hidden="1">
          <a:extLst>
            <a:ext uri="{FF2B5EF4-FFF2-40B4-BE49-F238E27FC236}">
              <a16:creationId xmlns:a16="http://schemas.microsoft.com/office/drawing/2014/main" id="{00000000-0008-0000-0800-0000F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4" name="shapetype_202" hidden="1">
          <a:extLst>
            <a:ext uri="{FF2B5EF4-FFF2-40B4-BE49-F238E27FC236}">
              <a16:creationId xmlns:a16="http://schemas.microsoft.com/office/drawing/2014/main" id="{00000000-0008-0000-0800-0000F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2" name="shapetype_202" hidden="1">
          <a:extLst>
            <a:ext uri="{FF2B5EF4-FFF2-40B4-BE49-F238E27FC236}">
              <a16:creationId xmlns:a16="http://schemas.microsoft.com/office/drawing/2014/main" id="{00000000-0008-0000-0800-0000F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60" name="shapetype_202" hidden="1">
          <a:extLst>
            <a:ext uri="{FF2B5EF4-FFF2-40B4-BE49-F238E27FC236}">
              <a16:creationId xmlns:a16="http://schemas.microsoft.com/office/drawing/2014/main" id="{00000000-0008-0000-0800-0000F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8" name="shapetype_202" hidden="1">
          <a:extLst>
            <a:ext uri="{FF2B5EF4-FFF2-40B4-BE49-F238E27FC236}">
              <a16:creationId xmlns:a16="http://schemas.microsoft.com/office/drawing/2014/main" id="{00000000-0008-0000-0800-0000E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6" name="shapetype_202" hidden="1">
          <a:extLst>
            <a:ext uri="{FF2B5EF4-FFF2-40B4-BE49-F238E27FC236}">
              <a16:creationId xmlns:a16="http://schemas.microsoft.com/office/drawing/2014/main" id="{00000000-0008-0000-0800-0000E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4" name="shapetype_202" hidden="1">
          <a:extLst>
            <a:ext uri="{FF2B5EF4-FFF2-40B4-BE49-F238E27FC236}">
              <a16:creationId xmlns:a16="http://schemas.microsoft.com/office/drawing/2014/main" id="{00000000-0008-0000-0800-0000E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2" name="shapetype_202" hidden="1">
          <a:extLst>
            <a:ext uri="{FF2B5EF4-FFF2-40B4-BE49-F238E27FC236}">
              <a16:creationId xmlns:a16="http://schemas.microsoft.com/office/drawing/2014/main" id="{00000000-0008-0000-0800-0000E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50" name="shapetype_202" hidden="1">
          <a:extLst>
            <a:ext uri="{FF2B5EF4-FFF2-40B4-BE49-F238E27FC236}">
              <a16:creationId xmlns:a16="http://schemas.microsoft.com/office/drawing/2014/main" id="{00000000-0008-0000-0800-0000E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8" name="shapetype_202" hidden="1">
          <a:extLst>
            <a:ext uri="{FF2B5EF4-FFF2-40B4-BE49-F238E27FC236}">
              <a16:creationId xmlns:a16="http://schemas.microsoft.com/office/drawing/2014/main" id="{00000000-0008-0000-0800-0000E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6" name="shapetype_202" hidden="1">
          <a:extLst>
            <a:ext uri="{FF2B5EF4-FFF2-40B4-BE49-F238E27FC236}">
              <a16:creationId xmlns:a16="http://schemas.microsoft.com/office/drawing/2014/main" id="{00000000-0008-0000-0800-0000E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4" name="shapetype_202" hidden="1">
          <a:extLst>
            <a:ext uri="{FF2B5EF4-FFF2-40B4-BE49-F238E27FC236}">
              <a16:creationId xmlns:a16="http://schemas.microsoft.com/office/drawing/2014/main" id="{00000000-0008-0000-0800-0000E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2" name="shapetype_202" hidden="1">
          <a:extLst>
            <a:ext uri="{FF2B5EF4-FFF2-40B4-BE49-F238E27FC236}">
              <a16:creationId xmlns:a16="http://schemas.microsoft.com/office/drawing/2014/main" id="{00000000-0008-0000-0800-0000D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40" name="shapetype_202" hidden="1">
          <a:extLst>
            <a:ext uri="{FF2B5EF4-FFF2-40B4-BE49-F238E27FC236}">
              <a16:creationId xmlns:a16="http://schemas.microsoft.com/office/drawing/2014/main" id="{00000000-0008-0000-0800-0000D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8" name="shapetype_202" hidden="1">
          <a:extLst>
            <a:ext uri="{FF2B5EF4-FFF2-40B4-BE49-F238E27FC236}">
              <a16:creationId xmlns:a16="http://schemas.microsoft.com/office/drawing/2014/main" id="{00000000-0008-0000-0800-0000D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6" name="shapetype_202" hidden="1">
          <a:extLst>
            <a:ext uri="{FF2B5EF4-FFF2-40B4-BE49-F238E27FC236}">
              <a16:creationId xmlns:a16="http://schemas.microsoft.com/office/drawing/2014/main" id="{00000000-0008-0000-0800-0000D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4" name="shapetype_202" hidden="1">
          <a:extLst>
            <a:ext uri="{FF2B5EF4-FFF2-40B4-BE49-F238E27FC236}">
              <a16:creationId xmlns:a16="http://schemas.microsoft.com/office/drawing/2014/main" id="{00000000-0008-0000-0800-0000D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2" name="shapetype_202" hidden="1">
          <a:extLst>
            <a:ext uri="{FF2B5EF4-FFF2-40B4-BE49-F238E27FC236}">
              <a16:creationId xmlns:a16="http://schemas.microsoft.com/office/drawing/2014/main" id="{00000000-0008-0000-0800-0000D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30" name="shapetype_202" hidden="1">
          <a:extLst>
            <a:ext uri="{FF2B5EF4-FFF2-40B4-BE49-F238E27FC236}">
              <a16:creationId xmlns:a16="http://schemas.microsoft.com/office/drawing/2014/main" id="{00000000-0008-0000-0800-0000D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8" name="shapetype_202" hidden="1">
          <a:extLst>
            <a:ext uri="{FF2B5EF4-FFF2-40B4-BE49-F238E27FC236}">
              <a16:creationId xmlns:a16="http://schemas.microsoft.com/office/drawing/2014/main" id="{00000000-0008-0000-0800-0000D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6" name="shapetype_202" hidden="1">
          <a:extLst>
            <a:ext uri="{FF2B5EF4-FFF2-40B4-BE49-F238E27FC236}">
              <a16:creationId xmlns:a16="http://schemas.microsoft.com/office/drawing/2014/main" id="{00000000-0008-0000-0800-0000C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4" name="shapetype_202" hidden="1">
          <a:extLst>
            <a:ext uri="{FF2B5EF4-FFF2-40B4-BE49-F238E27FC236}">
              <a16:creationId xmlns:a16="http://schemas.microsoft.com/office/drawing/2014/main" id="{00000000-0008-0000-0800-0000C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2" name="shapetype_202" hidden="1">
          <a:extLst>
            <a:ext uri="{FF2B5EF4-FFF2-40B4-BE49-F238E27FC236}">
              <a16:creationId xmlns:a16="http://schemas.microsoft.com/office/drawing/2014/main" id="{00000000-0008-0000-0800-0000C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20" name="shapetype_202" hidden="1">
          <a:extLst>
            <a:ext uri="{FF2B5EF4-FFF2-40B4-BE49-F238E27FC236}">
              <a16:creationId xmlns:a16="http://schemas.microsoft.com/office/drawing/2014/main" id="{00000000-0008-0000-0800-0000C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8" name="shapetype_202" hidden="1">
          <a:extLst>
            <a:ext uri="{FF2B5EF4-FFF2-40B4-BE49-F238E27FC236}">
              <a16:creationId xmlns:a16="http://schemas.microsoft.com/office/drawing/2014/main" id="{00000000-0008-0000-0800-0000C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6" name="shapetype_202" hidden="1">
          <a:extLst>
            <a:ext uri="{FF2B5EF4-FFF2-40B4-BE49-F238E27FC236}">
              <a16:creationId xmlns:a16="http://schemas.microsoft.com/office/drawing/2014/main" id="{00000000-0008-0000-0800-0000C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4" name="shapetype_202" hidden="1">
          <a:extLst>
            <a:ext uri="{FF2B5EF4-FFF2-40B4-BE49-F238E27FC236}">
              <a16:creationId xmlns:a16="http://schemas.microsoft.com/office/drawing/2014/main" id="{00000000-0008-0000-0800-0000C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2" name="shapetype_202" hidden="1">
          <a:extLst>
            <a:ext uri="{FF2B5EF4-FFF2-40B4-BE49-F238E27FC236}">
              <a16:creationId xmlns:a16="http://schemas.microsoft.com/office/drawing/2014/main" id="{00000000-0008-0000-0800-0000C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10" name="shapetype_202" hidden="1">
          <a:extLst>
            <a:ext uri="{FF2B5EF4-FFF2-40B4-BE49-F238E27FC236}">
              <a16:creationId xmlns:a16="http://schemas.microsoft.com/office/drawing/2014/main" id="{00000000-0008-0000-0800-0000B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8" name="shapetype_202" hidden="1">
          <a:extLst>
            <a:ext uri="{FF2B5EF4-FFF2-40B4-BE49-F238E27FC236}">
              <a16:creationId xmlns:a16="http://schemas.microsoft.com/office/drawing/2014/main" id="{00000000-0008-0000-0800-0000B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6" name="shapetype_202" hidden="1">
          <a:extLst>
            <a:ext uri="{FF2B5EF4-FFF2-40B4-BE49-F238E27FC236}">
              <a16:creationId xmlns:a16="http://schemas.microsoft.com/office/drawing/2014/main" id="{00000000-0008-0000-0800-0000B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4" name="shapetype_202" hidden="1">
          <a:extLst>
            <a:ext uri="{FF2B5EF4-FFF2-40B4-BE49-F238E27FC236}">
              <a16:creationId xmlns:a16="http://schemas.microsoft.com/office/drawing/2014/main" id="{00000000-0008-0000-0800-0000B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2" name="shapetype_202" hidden="1">
          <a:extLst>
            <a:ext uri="{FF2B5EF4-FFF2-40B4-BE49-F238E27FC236}">
              <a16:creationId xmlns:a16="http://schemas.microsoft.com/office/drawing/2014/main" id="{00000000-0008-0000-0800-0000B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300" name="shapetype_202" hidden="1">
          <a:extLst>
            <a:ext uri="{FF2B5EF4-FFF2-40B4-BE49-F238E27FC236}">
              <a16:creationId xmlns:a16="http://schemas.microsoft.com/office/drawing/2014/main" id="{00000000-0008-0000-0800-0000B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8" name="shapetype_202" hidden="1">
          <a:extLst>
            <a:ext uri="{FF2B5EF4-FFF2-40B4-BE49-F238E27FC236}">
              <a16:creationId xmlns:a16="http://schemas.microsoft.com/office/drawing/2014/main" id="{00000000-0008-0000-0800-0000B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6" name="shapetype_202" hidden="1">
          <a:extLst>
            <a:ext uri="{FF2B5EF4-FFF2-40B4-BE49-F238E27FC236}">
              <a16:creationId xmlns:a16="http://schemas.microsoft.com/office/drawing/2014/main" id="{00000000-0008-0000-0800-0000B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4" name="shapetype_202" hidden="1">
          <a:extLst>
            <a:ext uri="{FF2B5EF4-FFF2-40B4-BE49-F238E27FC236}">
              <a16:creationId xmlns:a16="http://schemas.microsoft.com/office/drawing/2014/main" id="{00000000-0008-0000-0800-0000A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2" name="shapetype_202" hidden="1">
          <a:extLst>
            <a:ext uri="{FF2B5EF4-FFF2-40B4-BE49-F238E27FC236}">
              <a16:creationId xmlns:a16="http://schemas.microsoft.com/office/drawing/2014/main" id="{00000000-0008-0000-0800-0000A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90" name="shapetype_202" hidden="1">
          <a:extLst>
            <a:ext uri="{FF2B5EF4-FFF2-40B4-BE49-F238E27FC236}">
              <a16:creationId xmlns:a16="http://schemas.microsoft.com/office/drawing/2014/main" id="{00000000-0008-0000-0800-0000A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8" name="shapetype_202" hidden="1">
          <a:extLst>
            <a:ext uri="{FF2B5EF4-FFF2-40B4-BE49-F238E27FC236}">
              <a16:creationId xmlns:a16="http://schemas.microsoft.com/office/drawing/2014/main" id="{00000000-0008-0000-0800-0000A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6" name="shapetype_202" hidden="1">
          <a:extLst>
            <a:ext uri="{FF2B5EF4-FFF2-40B4-BE49-F238E27FC236}">
              <a16:creationId xmlns:a16="http://schemas.microsoft.com/office/drawing/2014/main" id="{00000000-0008-0000-0800-0000A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4" name="shapetype_202" hidden="1">
          <a:extLst>
            <a:ext uri="{FF2B5EF4-FFF2-40B4-BE49-F238E27FC236}">
              <a16:creationId xmlns:a16="http://schemas.microsoft.com/office/drawing/2014/main" id="{00000000-0008-0000-0800-0000A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2" name="shapetype_202" hidden="1">
          <a:extLst>
            <a:ext uri="{FF2B5EF4-FFF2-40B4-BE49-F238E27FC236}">
              <a16:creationId xmlns:a16="http://schemas.microsoft.com/office/drawing/2014/main" id="{00000000-0008-0000-0800-0000A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80" name="shapetype_202" hidden="1">
          <a:extLst>
            <a:ext uri="{FF2B5EF4-FFF2-40B4-BE49-F238E27FC236}">
              <a16:creationId xmlns:a16="http://schemas.microsoft.com/office/drawing/2014/main" id="{00000000-0008-0000-0800-0000A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8" name="shapetype_202" hidden="1">
          <a:extLst>
            <a:ext uri="{FF2B5EF4-FFF2-40B4-BE49-F238E27FC236}">
              <a16:creationId xmlns:a16="http://schemas.microsoft.com/office/drawing/2014/main" id="{00000000-0008-0000-0800-00009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6" name="shapetype_202" hidden="1">
          <a:extLst>
            <a:ext uri="{FF2B5EF4-FFF2-40B4-BE49-F238E27FC236}">
              <a16:creationId xmlns:a16="http://schemas.microsoft.com/office/drawing/2014/main" id="{00000000-0008-0000-0800-00009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4" name="shapetype_202" hidden="1">
          <a:extLst>
            <a:ext uri="{FF2B5EF4-FFF2-40B4-BE49-F238E27FC236}">
              <a16:creationId xmlns:a16="http://schemas.microsoft.com/office/drawing/2014/main" id="{00000000-0008-0000-0800-00009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2" name="shapetype_202" hidden="1">
          <a:extLst>
            <a:ext uri="{FF2B5EF4-FFF2-40B4-BE49-F238E27FC236}">
              <a16:creationId xmlns:a16="http://schemas.microsoft.com/office/drawing/2014/main" id="{00000000-0008-0000-0800-00009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70" name="shapetype_202" hidden="1">
          <a:extLst>
            <a:ext uri="{FF2B5EF4-FFF2-40B4-BE49-F238E27FC236}">
              <a16:creationId xmlns:a16="http://schemas.microsoft.com/office/drawing/2014/main" id="{00000000-0008-0000-0800-00009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8" name="shapetype_202" hidden="1">
          <a:extLst>
            <a:ext uri="{FF2B5EF4-FFF2-40B4-BE49-F238E27FC236}">
              <a16:creationId xmlns:a16="http://schemas.microsoft.com/office/drawing/2014/main" id="{00000000-0008-0000-0800-00009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6" name="shapetype_202" hidden="1">
          <a:extLst>
            <a:ext uri="{FF2B5EF4-FFF2-40B4-BE49-F238E27FC236}">
              <a16:creationId xmlns:a16="http://schemas.microsoft.com/office/drawing/2014/main" id="{00000000-0008-0000-0800-00009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4" name="shapetype_202" hidden="1">
          <a:extLst>
            <a:ext uri="{FF2B5EF4-FFF2-40B4-BE49-F238E27FC236}">
              <a16:creationId xmlns:a16="http://schemas.microsoft.com/office/drawing/2014/main" id="{00000000-0008-0000-0800-00009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2" name="shapetype_202" hidden="1">
          <a:extLst>
            <a:ext uri="{FF2B5EF4-FFF2-40B4-BE49-F238E27FC236}">
              <a16:creationId xmlns:a16="http://schemas.microsoft.com/office/drawing/2014/main" id="{00000000-0008-0000-0800-00008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60" name="shapetype_202" hidden="1">
          <a:extLst>
            <a:ext uri="{FF2B5EF4-FFF2-40B4-BE49-F238E27FC236}">
              <a16:creationId xmlns:a16="http://schemas.microsoft.com/office/drawing/2014/main" id="{00000000-0008-0000-0800-00008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8" name="shapetype_202" hidden="1">
          <a:extLst>
            <a:ext uri="{FF2B5EF4-FFF2-40B4-BE49-F238E27FC236}">
              <a16:creationId xmlns:a16="http://schemas.microsoft.com/office/drawing/2014/main" id="{00000000-0008-0000-0800-00008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6" name="shapetype_202" hidden="1">
          <a:extLst>
            <a:ext uri="{FF2B5EF4-FFF2-40B4-BE49-F238E27FC236}">
              <a16:creationId xmlns:a16="http://schemas.microsoft.com/office/drawing/2014/main" id="{00000000-0008-0000-0800-00008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4" name="shapetype_202" hidden="1">
          <a:extLst>
            <a:ext uri="{FF2B5EF4-FFF2-40B4-BE49-F238E27FC236}">
              <a16:creationId xmlns:a16="http://schemas.microsoft.com/office/drawing/2014/main" id="{00000000-0008-0000-0800-00008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2" name="shapetype_202" hidden="1">
          <a:extLst>
            <a:ext uri="{FF2B5EF4-FFF2-40B4-BE49-F238E27FC236}">
              <a16:creationId xmlns:a16="http://schemas.microsoft.com/office/drawing/2014/main" id="{00000000-0008-0000-0800-00008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50" name="shapetype_202" hidden="1">
          <a:extLst>
            <a:ext uri="{FF2B5EF4-FFF2-40B4-BE49-F238E27FC236}">
              <a16:creationId xmlns:a16="http://schemas.microsoft.com/office/drawing/2014/main" id="{00000000-0008-0000-0800-00008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8" name="shapetype_202" hidden="1">
          <a:extLst>
            <a:ext uri="{FF2B5EF4-FFF2-40B4-BE49-F238E27FC236}">
              <a16:creationId xmlns:a16="http://schemas.microsoft.com/office/drawing/2014/main" id="{00000000-0008-0000-0800-00008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6" name="shapetype_202" hidden="1">
          <a:extLst>
            <a:ext uri="{FF2B5EF4-FFF2-40B4-BE49-F238E27FC236}">
              <a16:creationId xmlns:a16="http://schemas.microsoft.com/office/drawing/2014/main" id="{00000000-0008-0000-0800-00007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4" name="shapetype_202" hidden="1">
          <a:extLst>
            <a:ext uri="{FF2B5EF4-FFF2-40B4-BE49-F238E27FC236}">
              <a16:creationId xmlns:a16="http://schemas.microsoft.com/office/drawing/2014/main" id="{00000000-0008-0000-0800-00007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2" name="shapetype_202" hidden="1">
          <a:extLst>
            <a:ext uri="{FF2B5EF4-FFF2-40B4-BE49-F238E27FC236}">
              <a16:creationId xmlns:a16="http://schemas.microsoft.com/office/drawing/2014/main" id="{00000000-0008-0000-0800-00007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40" name="shapetype_202" hidden="1">
          <a:extLst>
            <a:ext uri="{FF2B5EF4-FFF2-40B4-BE49-F238E27FC236}">
              <a16:creationId xmlns:a16="http://schemas.microsoft.com/office/drawing/2014/main" id="{00000000-0008-0000-0800-00007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8" name="shapetype_202" hidden="1">
          <a:extLst>
            <a:ext uri="{FF2B5EF4-FFF2-40B4-BE49-F238E27FC236}">
              <a16:creationId xmlns:a16="http://schemas.microsoft.com/office/drawing/2014/main" id="{00000000-0008-0000-0800-00007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6" name="shapetype_202" hidden="1">
          <a:extLst>
            <a:ext uri="{FF2B5EF4-FFF2-40B4-BE49-F238E27FC236}">
              <a16:creationId xmlns:a16="http://schemas.microsoft.com/office/drawing/2014/main" id="{00000000-0008-0000-0800-00007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4" name="shapetype_202" hidden="1">
          <a:extLst>
            <a:ext uri="{FF2B5EF4-FFF2-40B4-BE49-F238E27FC236}">
              <a16:creationId xmlns:a16="http://schemas.microsoft.com/office/drawing/2014/main" id="{00000000-0008-0000-0800-00007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2" name="shapetype_202" hidden="1">
          <a:extLst>
            <a:ext uri="{FF2B5EF4-FFF2-40B4-BE49-F238E27FC236}">
              <a16:creationId xmlns:a16="http://schemas.microsoft.com/office/drawing/2014/main" id="{00000000-0008-0000-0800-00007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30" name="shapetype_202" hidden="1">
          <a:extLst>
            <a:ext uri="{FF2B5EF4-FFF2-40B4-BE49-F238E27FC236}">
              <a16:creationId xmlns:a16="http://schemas.microsoft.com/office/drawing/2014/main" id="{00000000-0008-0000-0800-00006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8" name="shapetype_202" hidden="1">
          <a:extLst>
            <a:ext uri="{FF2B5EF4-FFF2-40B4-BE49-F238E27FC236}">
              <a16:creationId xmlns:a16="http://schemas.microsoft.com/office/drawing/2014/main" id="{00000000-0008-0000-0800-00006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6" name="shapetype_202" hidden="1">
          <a:extLst>
            <a:ext uri="{FF2B5EF4-FFF2-40B4-BE49-F238E27FC236}">
              <a16:creationId xmlns:a16="http://schemas.microsoft.com/office/drawing/2014/main" id="{00000000-0008-0000-0800-00006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4" name="shapetype_202" hidden="1">
          <a:extLst>
            <a:ext uri="{FF2B5EF4-FFF2-40B4-BE49-F238E27FC236}">
              <a16:creationId xmlns:a16="http://schemas.microsoft.com/office/drawing/2014/main" id="{00000000-0008-0000-0800-00006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2" name="shapetype_202" hidden="1">
          <a:extLst>
            <a:ext uri="{FF2B5EF4-FFF2-40B4-BE49-F238E27FC236}">
              <a16:creationId xmlns:a16="http://schemas.microsoft.com/office/drawing/2014/main" id="{00000000-0008-0000-0800-00006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20" name="shapetype_202" hidden="1">
          <a:extLst>
            <a:ext uri="{FF2B5EF4-FFF2-40B4-BE49-F238E27FC236}">
              <a16:creationId xmlns:a16="http://schemas.microsoft.com/office/drawing/2014/main" id="{00000000-0008-0000-0800-00006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8" name="shapetype_202" hidden="1">
          <a:extLst>
            <a:ext uri="{FF2B5EF4-FFF2-40B4-BE49-F238E27FC236}">
              <a16:creationId xmlns:a16="http://schemas.microsoft.com/office/drawing/2014/main" id="{00000000-0008-0000-0800-00006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6" name="shapetype_202" hidden="1">
          <a:extLst>
            <a:ext uri="{FF2B5EF4-FFF2-40B4-BE49-F238E27FC236}">
              <a16:creationId xmlns:a16="http://schemas.microsoft.com/office/drawing/2014/main" id="{00000000-0008-0000-0800-00006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4" name="shapetype_202" hidden="1">
          <a:extLst>
            <a:ext uri="{FF2B5EF4-FFF2-40B4-BE49-F238E27FC236}">
              <a16:creationId xmlns:a16="http://schemas.microsoft.com/office/drawing/2014/main" id="{00000000-0008-0000-0800-00005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2" name="shapetype_202" hidden="1">
          <a:extLst>
            <a:ext uri="{FF2B5EF4-FFF2-40B4-BE49-F238E27FC236}">
              <a16:creationId xmlns:a16="http://schemas.microsoft.com/office/drawing/2014/main" id="{00000000-0008-0000-0800-00005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10" name="shapetype_202" hidden="1">
          <a:extLst>
            <a:ext uri="{FF2B5EF4-FFF2-40B4-BE49-F238E27FC236}">
              <a16:creationId xmlns:a16="http://schemas.microsoft.com/office/drawing/2014/main" id="{00000000-0008-0000-0800-00005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8" name="shapetype_202" hidden="1">
          <a:extLst>
            <a:ext uri="{FF2B5EF4-FFF2-40B4-BE49-F238E27FC236}">
              <a16:creationId xmlns:a16="http://schemas.microsoft.com/office/drawing/2014/main" id="{00000000-0008-0000-0800-00005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6" name="shapetype_202" hidden="1">
          <a:extLst>
            <a:ext uri="{FF2B5EF4-FFF2-40B4-BE49-F238E27FC236}">
              <a16:creationId xmlns:a16="http://schemas.microsoft.com/office/drawing/2014/main" id="{00000000-0008-0000-0800-00005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4" name="shapetype_202" hidden="1">
          <a:extLst>
            <a:ext uri="{FF2B5EF4-FFF2-40B4-BE49-F238E27FC236}">
              <a16:creationId xmlns:a16="http://schemas.microsoft.com/office/drawing/2014/main" id="{00000000-0008-0000-0800-00005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2" name="shapetype_202" hidden="1">
          <a:extLst>
            <a:ext uri="{FF2B5EF4-FFF2-40B4-BE49-F238E27FC236}">
              <a16:creationId xmlns:a16="http://schemas.microsoft.com/office/drawing/2014/main" id="{00000000-0008-0000-0800-00005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200" name="shapetype_202" hidden="1">
          <a:extLst>
            <a:ext uri="{FF2B5EF4-FFF2-40B4-BE49-F238E27FC236}">
              <a16:creationId xmlns:a16="http://schemas.microsoft.com/office/drawing/2014/main" id="{00000000-0008-0000-0800-00005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8" name="shapetype_202" hidden="1">
          <a:extLst>
            <a:ext uri="{FF2B5EF4-FFF2-40B4-BE49-F238E27FC236}">
              <a16:creationId xmlns:a16="http://schemas.microsoft.com/office/drawing/2014/main" id="{00000000-0008-0000-0800-00004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6" name="shapetype_202" hidden="1">
          <a:extLst>
            <a:ext uri="{FF2B5EF4-FFF2-40B4-BE49-F238E27FC236}">
              <a16:creationId xmlns:a16="http://schemas.microsoft.com/office/drawing/2014/main" id="{00000000-0008-0000-0800-00004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4" name="shapetype_202" hidden="1">
          <a:extLst>
            <a:ext uri="{FF2B5EF4-FFF2-40B4-BE49-F238E27FC236}">
              <a16:creationId xmlns:a16="http://schemas.microsoft.com/office/drawing/2014/main" id="{00000000-0008-0000-0800-00004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2" name="shapetype_202" hidden="1">
          <a:extLst>
            <a:ext uri="{FF2B5EF4-FFF2-40B4-BE49-F238E27FC236}">
              <a16:creationId xmlns:a16="http://schemas.microsoft.com/office/drawing/2014/main" id="{00000000-0008-0000-0800-00004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90" name="shapetype_202" hidden="1">
          <a:extLst>
            <a:ext uri="{FF2B5EF4-FFF2-40B4-BE49-F238E27FC236}">
              <a16:creationId xmlns:a16="http://schemas.microsoft.com/office/drawing/2014/main" id="{00000000-0008-0000-0800-00004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8" name="shapetype_202" hidden="1">
          <a:extLst>
            <a:ext uri="{FF2B5EF4-FFF2-40B4-BE49-F238E27FC236}">
              <a16:creationId xmlns:a16="http://schemas.microsoft.com/office/drawing/2014/main" id="{00000000-0008-0000-0800-00004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6" name="shapetype_202" hidden="1">
          <a:extLst>
            <a:ext uri="{FF2B5EF4-FFF2-40B4-BE49-F238E27FC236}">
              <a16:creationId xmlns:a16="http://schemas.microsoft.com/office/drawing/2014/main" id="{00000000-0008-0000-0800-00004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4" name="shapetype_202" hidden="1">
          <a:extLst>
            <a:ext uri="{FF2B5EF4-FFF2-40B4-BE49-F238E27FC236}">
              <a16:creationId xmlns:a16="http://schemas.microsoft.com/office/drawing/2014/main" id="{00000000-0008-0000-0800-00004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2" name="shapetype_202" hidden="1">
          <a:extLst>
            <a:ext uri="{FF2B5EF4-FFF2-40B4-BE49-F238E27FC236}">
              <a16:creationId xmlns:a16="http://schemas.microsoft.com/office/drawing/2014/main" id="{00000000-0008-0000-0800-00003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80" name="shapetype_202" hidden="1">
          <a:extLst>
            <a:ext uri="{FF2B5EF4-FFF2-40B4-BE49-F238E27FC236}">
              <a16:creationId xmlns:a16="http://schemas.microsoft.com/office/drawing/2014/main" id="{00000000-0008-0000-0800-00003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8" name="shapetype_202" hidden="1">
          <a:extLst>
            <a:ext uri="{FF2B5EF4-FFF2-40B4-BE49-F238E27FC236}">
              <a16:creationId xmlns:a16="http://schemas.microsoft.com/office/drawing/2014/main" id="{00000000-0008-0000-0800-00003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6" name="shapetype_202" hidden="1">
          <a:extLst>
            <a:ext uri="{FF2B5EF4-FFF2-40B4-BE49-F238E27FC236}">
              <a16:creationId xmlns:a16="http://schemas.microsoft.com/office/drawing/2014/main" id="{00000000-0008-0000-0800-00003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4" name="shapetype_202" hidden="1">
          <a:extLst>
            <a:ext uri="{FF2B5EF4-FFF2-40B4-BE49-F238E27FC236}">
              <a16:creationId xmlns:a16="http://schemas.microsoft.com/office/drawing/2014/main" id="{00000000-0008-0000-0800-00003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2" name="shapetype_202" hidden="1">
          <a:extLst>
            <a:ext uri="{FF2B5EF4-FFF2-40B4-BE49-F238E27FC236}">
              <a16:creationId xmlns:a16="http://schemas.microsoft.com/office/drawing/2014/main" id="{00000000-0008-0000-0800-00003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70" name="shapetype_202" hidden="1">
          <a:extLst>
            <a:ext uri="{FF2B5EF4-FFF2-40B4-BE49-F238E27FC236}">
              <a16:creationId xmlns:a16="http://schemas.microsoft.com/office/drawing/2014/main" id="{00000000-0008-0000-0800-00003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8" name="shapetype_202" hidden="1">
          <a:extLst>
            <a:ext uri="{FF2B5EF4-FFF2-40B4-BE49-F238E27FC236}">
              <a16:creationId xmlns:a16="http://schemas.microsoft.com/office/drawing/2014/main" id="{00000000-0008-0000-0800-00003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6" name="shapetype_202" hidden="1">
          <a:extLst>
            <a:ext uri="{FF2B5EF4-FFF2-40B4-BE49-F238E27FC236}">
              <a16:creationId xmlns:a16="http://schemas.microsoft.com/office/drawing/2014/main" id="{00000000-0008-0000-0800-00002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4" name="shapetype_202" hidden="1">
          <a:extLst>
            <a:ext uri="{FF2B5EF4-FFF2-40B4-BE49-F238E27FC236}">
              <a16:creationId xmlns:a16="http://schemas.microsoft.com/office/drawing/2014/main" id="{00000000-0008-0000-0800-00002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2" name="shapetype_202" hidden="1">
          <a:extLst>
            <a:ext uri="{FF2B5EF4-FFF2-40B4-BE49-F238E27FC236}">
              <a16:creationId xmlns:a16="http://schemas.microsoft.com/office/drawing/2014/main" id="{00000000-0008-0000-0800-00002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60" name="shapetype_202" hidden="1">
          <a:extLst>
            <a:ext uri="{FF2B5EF4-FFF2-40B4-BE49-F238E27FC236}">
              <a16:creationId xmlns:a16="http://schemas.microsoft.com/office/drawing/2014/main" id="{00000000-0008-0000-0800-00002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8" name="shapetype_202" hidden="1">
          <a:extLst>
            <a:ext uri="{FF2B5EF4-FFF2-40B4-BE49-F238E27FC236}">
              <a16:creationId xmlns:a16="http://schemas.microsoft.com/office/drawing/2014/main" id="{00000000-0008-0000-0800-00002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6" name="shapetype_202" hidden="1">
          <a:extLst>
            <a:ext uri="{FF2B5EF4-FFF2-40B4-BE49-F238E27FC236}">
              <a16:creationId xmlns:a16="http://schemas.microsoft.com/office/drawing/2014/main" id="{00000000-0008-0000-0800-00002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4" name="shapetype_202" hidden="1">
          <a:extLst>
            <a:ext uri="{FF2B5EF4-FFF2-40B4-BE49-F238E27FC236}">
              <a16:creationId xmlns:a16="http://schemas.microsoft.com/office/drawing/2014/main" id="{00000000-0008-0000-0800-00002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2" name="shapetype_202" hidden="1">
          <a:extLst>
            <a:ext uri="{FF2B5EF4-FFF2-40B4-BE49-F238E27FC236}">
              <a16:creationId xmlns:a16="http://schemas.microsoft.com/office/drawing/2014/main" id="{00000000-0008-0000-0800-00002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50" name="shapetype_202" hidden="1">
          <a:extLst>
            <a:ext uri="{FF2B5EF4-FFF2-40B4-BE49-F238E27FC236}">
              <a16:creationId xmlns:a16="http://schemas.microsoft.com/office/drawing/2014/main" id="{00000000-0008-0000-0800-00001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8" name="shapetype_202" hidden="1">
          <a:extLst>
            <a:ext uri="{FF2B5EF4-FFF2-40B4-BE49-F238E27FC236}">
              <a16:creationId xmlns:a16="http://schemas.microsoft.com/office/drawing/2014/main" id="{00000000-0008-0000-0800-00001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6" name="shapetype_202" hidden="1">
          <a:extLst>
            <a:ext uri="{FF2B5EF4-FFF2-40B4-BE49-F238E27FC236}">
              <a16:creationId xmlns:a16="http://schemas.microsoft.com/office/drawing/2014/main" id="{00000000-0008-0000-0800-00001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4" name="shapetype_202" hidden="1">
          <a:extLst>
            <a:ext uri="{FF2B5EF4-FFF2-40B4-BE49-F238E27FC236}">
              <a16:creationId xmlns:a16="http://schemas.microsoft.com/office/drawing/2014/main" id="{00000000-0008-0000-0800-00001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2" name="shapetype_202" hidden="1">
          <a:extLst>
            <a:ext uri="{FF2B5EF4-FFF2-40B4-BE49-F238E27FC236}">
              <a16:creationId xmlns:a16="http://schemas.microsoft.com/office/drawing/2014/main" id="{00000000-0008-0000-0800-00001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40" name="shapetype_202" hidden="1">
          <a:extLst>
            <a:ext uri="{FF2B5EF4-FFF2-40B4-BE49-F238E27FC236}">
              <a16:creationId xmlns:a16="http://schemas.microsoft.com/office/drawing/2014/main" id="{00000000-0008-0000-0800-00001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8" name="shapetype_202" hidden="1">
          <a:extLst>
            <a:ext uri="{FF2B5EF4-FFF2-40B4-BE49-F238E27FC236}">
              <a16:creationId xmlns:a16="http://schemas.microsoft.com/office/drawing/2014/main" id="{00000000-0008-0000-0800-00001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6" name="shapetype_202" hidden="1">
          <a:extLst>
            <a:ext uri="{FF2B5EF4-FFF2-40B4-BE49-F238E27FC236}">
              <a16:creationId xmlns:a16="http://schemas.microsoft.com/office/drawing/2014/main" id="{00000000-0008-0000-0800-00001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8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8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8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8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8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8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8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1466280</xdr:colOff>
      <xdr:row>13</xdr:row>
      <xdr:rowOff>0</xdr:rowOff>
    </xdr:from>
    <xdr:to>
      <xdr:col>16</xdr:col>
      <xdr:colOff>450360</xdr:colOff>
      <xdr:row>15</xdr:row>
      <xdr:rowOff>6480</xdr:rowOff>
    </xdr:to>
    <xdr:sp macro="" textlink="">
      <xdr:nvSpPr>
        <xdr:cNvPr id="247" name="CustomShape 1"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SpPr/>
      </xdr:nvSpPr>
      <xdr:spPr>
        <a:xfrm>
          <a:off x="8515800" y="2485800"/>
          <a:ext cx="9703080" cy="387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6" name="CustomShape 1" hidden="1"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7" name="CustomShape 1" hidden="1"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8" name="CustomShape 1" hidden="1"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9" name="CustomShape 1" hidden="1"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0" name="CustomShape 1" hidden="1"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1" name="CustomShape 1" hidden="1"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2" name="CustomShape 1" hidden="1"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3" name="CustomShape 1" hidden="1"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4" name="CustomShape 1" hidden="1"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5" name="CustomShape 1" hidden="1"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6" name="CustomShape 1" hidden="1"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7" name="CustomShape 1" hidden="1"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8" name="CustomShape 1" hidden="1"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9" name="CustomShape 1" hidden="1"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0" name="CustomShape 1" hidden="1"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1" name="CustomShape 1" hidden="1"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2" name="CustomShape 1" hidden="1"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3" name="CustomShape 1" hidden="1"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4" name="CustomShape 1" hidden="1"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5" name="CustomShape 1" hidden="1"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6" name="CustomShape 1" hidden="1"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7" name="CustomShape 1" hidden="1"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8" name="CustomShape 1" hidden="1"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9" name="CustomShape 1" hidden="1"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0" name="CustomShape 1" hidden="1"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1" name="CustomShape 1" hidden="1"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2" name="CustomShape 1" hidden="1"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3" name="CustomShape 1" hidden="1"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22" name="shapetype_202" hidden="1">
          <a:extLst>
            <a:ext uri="{FF2B5EF4-FFF2-40B4-BE49-F238E27FC236}">
              <a16:creationId xmlns:a16="http://schemas.microsoft.com/office/drawing/2014/main" id="{00000000-0008-0000-0900-00004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20" name="shapetype_202" hidden="1">
          <a:extLst>
            <a:ext uri="{FF2B5EF4-FFF2-40B4-BE49-F238E27FC236}">
              <a16:creationId xmlns:a16="http://schemas.microsoft.com/office/drawing/2014/main" id="{00000000-0008-0000-0900-00004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8" name="shapetype_202" hidden="1">
          <a:extLst>
            <a:ext uri="{FF2B5EF4-FFF2-40B4-BE49-F238E27FC236}">
              <a16:creationId xmlns:a16="http://schemas.microsoft.com/office/drawing/2014/main" id="{00000000-0008-0000-0900-00004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6" name="shapetype_202" hidden="1">
          <a:extLst>
            <a:ext uri="{FF2B5EF4-FFF2-40B4-BE49-F238E27FC236}">
              <a16:creationId xmlns:a16="http://schemas.microsoft.com/office/drawing/2014/main" id="{00000000-0008-0000-0900-00004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4" name="shapetype_202" hidden="1">
          <a:extLst>
            <a:ext uri="{FF2B5EF4-FFF2-40B4-BE49-F238E27FC236}">
              <a16:creationId xmlns:a16="http://schemas.microsoft.com/office/drawing/2014/main" id="{00000000-0008-0000-0900-00004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2" name="shapetype_202" hidden="1">
          <a:extLst>
            <a:ext uri="{FF2B5EF4-FFF2-40B4-BE49-F238E27FC236}">
              <a16:creationId xmlns:a16="http://schemas.microsoft.com/office/drawing/2014/main" id="{00000000-0008-0000-0900-00004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10" name="shapetype_202" hidden="1">
          <a:extLst>
            <a:ext uri="{FF2B5EF4-FFF2-40B4-BE49-F238E27FC236}">
              <a16:creationId xmlns:a16="http://schemas.microsoft.com/office/drawing/2014/main" id="{00000000-0008-0000-0900-00004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8" name="shapetype_202" hidden="1">
          <a:extLst>
            <a:ext uri="{FF2B5EF4-FFF2-40B4-BE49-F238E27FC236}">
              <a16:creationId xmlns:a16="http://schemas.microsoft.com/office/drawing/2014/main" id="{00000000-0008-0000-0900-00004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6" name="shapetype_202" hidden="1">
          <a:extLst>
            <a:ext uri="{FF2B5EF4-FFF2-40B4-BE49-F238E27FC236}">
              <a16:creationId xmlns:a16="http://schemas.microsoft.com/office/drawing/2014/main" id="{00000000-0008-0000-0900-00003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4" name="shapetype_202" hidden="1">
          <a:extLst>
            <a:ext uri="{FF2B5EF4-FFF2-40B4-BE49-F238E27FC236}">
              <a16:creationId xmlns:a16="http://schemas.microsoft.com/office/drawing/2014/main" id="{00000000-0008-0000-0900-00003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2" name="shapetype_202" hidden="1">
          <a:extLst>
            <a:ext uri="{FF2B5EF4-FFF2-40B4-BE49-F238E27FC236}">
              <a16:creationId xmlns:a16="http://schemas.microsoft.com/office/drawing/2014/main" id="{00000000-0008-0000-0900-00003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200" name="shapetype_202" hidden="1">
          <a:extLst>
            <a:ext uri="{FF2B5EF4-FFF2-40B4-BE49-F238E27FC236}">
              <a16:creationId xmlns:a16="http://schemas.microsoft.com/office/drawing/2014/main" id="{00000000-0008-0000-0900-00003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8" name="shapetype_202" hidden="1">
          <a:extLst>
            <a:ext uri="{FF2B5EF4-FFF2-40B4-BE49-F238E27FC236}">
              <a16:creationId xmlns:a16="http://schemas.microsoft.com/office/drawing/2014/main" id="{00000000-0008-0000-0900-00003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6" name="shapetype_202" hidden="1">
          <a:extLst>
            <a:ext uri="{FF2B5EF4-FFF2-40B4-BE49-F238E27FC236}">
              <a16:creationId xmlns:a16="http://schemas.microsoft.com/office/drawing/2014/main" id="{00000000-0008-0000-0900-00003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4" name="shapetype_202" hidden="1">
          <a:extLst>
            <a:ext uri="{FF2B5EF4-FFF2-40B4-BE49-F238E27FC236}">
              <a16:creationId xmlns:a16="http://schemas.microsoft.com/office/drawing/2014/main" id="{00000000-0008-0000-0900-00003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2" name="shapetype_202" hidden="1">
          <a:extLst>
            <a:ext uri="{FF2B5EF4-FFF2-40B4-BE49-F238E27FC236}">
              <a16:creationId xmlns:a16="http://schemas.microsoft.com/office/drawing/2014/main" id="{00000000-0008-0000-0900-00003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90" name="shapetype_202" hidden="1">
          <a:extLst>
            <a:ext uri="{FF2B5EF4-FFF2-40B4-BE49-F238E27FC236}">
              <a16:creationId xmlns:a16="http://schemas.microsoft.com/office/drawing/2014/main" id="{00000000-0008-0000-0900-00002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8" name="shapetype_202" hidden="1">
          <a:extLst>
            <a:ext uri="{FF2B5EF4-FFF2-40B4-BE49-F238E27FC236}">
              <a16:creationId xmlns:a16="http://schemas.microsoft.com/office/drawing/2014/main" id="{00000000-0008-0000-0900-00002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6" name="shapetype_202" hidden="1">
          <a:extLst>
            <a:ext uri="{FF2B5EF4-FFF2-40B4-BE49-F238E27FC236}">
              <a16:creationId xmlns:a16="http://schemas.microsoft.com/office/drawing/2014/main" id="{00000000-0008-0000-0900-00002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4" name="shapetype_202" hidden="1">
          <a:extLst>
            <a:ext uri="{FF2B5EF4-FFF2-40B4-BE49-F238E27FC236}">
              <a16:creationId xmlns:a16="http://schemas.microsoft.com/office/drawing/2014/main" id="{00000000-0008-0000-0900-00002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2" name="shapetype_202" hidden="1">
          <a:extLst>
            <a:ext uri="{FF2B5EF4-FFF2-40B4-BE49-F238E27FC236}">
              <a16:creationId xmlns:a16="http://schemas.microsoft.com/office/drawing/2014/main" id="{00000000-0008-0000-0900-00002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80" name="shapetype_202" hidden="1">
          <a:extLst>
            <a:ext uri="{FF2B5EF4-FFF2-40B4-BE49-F238E27FC236}">
              <a16:creationId xmlns:a16="http://schemas.microsoft.com/office/drawing/2014/main" id="{00000000-0008-0000-0900-00002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8" name="shapetype_202" hidden="1">
          <a:extLst>
            <a:ext uri="{FF2B5EF4-FFF2-40B4-BE49-F238E27FC236}">
              <a16:creationId xmlns:a16="http://schemas.microsoft.com/office/drawing/2014/main" id="{00000000-0008-0000-0900-00002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6" name="shapetype_202" hidden="1">
          <a:extLst>
            <a:ext uri="{FF2B5EF4-FFF2-40B4-BE49-F238E27FC236}">
              <a16:creationId xmlns:a16="http://schemas.microsoft.com/office/drawing/2014/main" id="{00000000-0008-0000-0900-00002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4" name="shapetype_202" hidden="1">
          <a:extLst>
            <a:ext uri="{FF2B5EF4-FFF2-40B4-BE49-F238E27FC236}">
              <a16:creationId xmlns:a16="http://schemas.microsoft.com/office/drawing/2014/main" id="{00000000-0008-0000-0900-00001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2" name="shapetype_202" hidden="1">
          <a:extLst>
            <a:ext uri="{FF2B5EF4-FFF2-40B4-BE49-F238E27FC236}">
              <a16:creationId xmlns:a16="http://schemas.microsoft.com/office/drawing/2014/main" id="{00000000-0008-0000-0900-00001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70" name="shapetype_202" hidden="1">
          <a:extLst>
            <a:ext uri="{FF2B5EF4-FFF2-40B4-BE49-F238E27FC236}">
              <a16:creationId xmlns:a16="http://schemas.microsoft.com/office/drawing/2014/main" id="{00000000-0008-0000-0900-00001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8" name="shapetype_202" hidden="1">
          <a:extLst>
            <a:ext uri="{FF2B5EF4-FFF2-40B4-BE49-F238E27FC236}">
              <a16:creationId xmlns:a16="http://schemas.microsoft.com/office/drawing/2014/main" id="{00000000-0008-0000-0900-00001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6" name="shapetype_202" hidden="1">
          <a:extLst>
            <a:ext uri="{FF2B5EF4-FFF2-40B4-BE49-F238E27FC236}">
              <a16:creationId xmlns:a16="http://schemas.microsoft.com/office/drawing/2014/main" id="{00000000-0008-0000-0900-00001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4" name="shapetype_202" hidden="1">
          <a:extLst>
            <a:ext uri="{FF2B5EF4-FFF2-40B4-BE49-F238E27FC236}">
              <a16:creationId xmlns:a16="http://schemas.microsoft.com/office/drawing/2014/main" id="{00000000-0008-0000-0900-00001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2" name="shapetype_202" hidden="1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60" name="shapetype_202" hidden="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8" name="shapetype_202" hidden="1">
          <a:extLst>
            <a:ext uri="{FF2B5EF4-FFF2-40B4-BE49-F238E27FC236}">
              <a16:creationId xmlns:a16="http://schemas.microsoft.com/office/drawing/2014/main" id="{00000000-0008-0000-09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6" name="shapetype_202" hidden="1">
          <a:extLst>
            <a:ext uri="{FF2B5EF4-FFF2-40B4-BE49-F238E27FC236}">
              <a16:creationId xmlns:a16="http://schemas.microsoft.com/office/drawing/2014/main" id="{00000000-0008-0000-09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4" name="shapetype_202" hidden="1">
          <a:extLst>
            <a:ext uri="{FF2B5EF4-FFF2-40B4-BE49-F238E27FC236}">
              <a16:creationId xmlns:a16="http://schemas.microsoft.com/office/drawing/2014/main" id="{00000000-0008-0000-09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2" name="shapetype_202" hidden="1">
          <a:extLst>
            <a:ext uri="{FF2B5EF4-FFF2-40B4-BE49-F238E27FC236}">
              <a16:creationId xmlns:a16="http://schemas.microsoft.com/office/drawing/2014/main" id="{00000000-0008-0000-09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50" name="shapetype_202" hidden="1">
          <a:extLst>
            <a:ext uri="{FF2B5EF4-FFF2-40B4-BE49-F238E27FC236}">
              <a16:creationId xmlns:a16="http://schemas.microsoft.com/office/drawing/2014/main" id="{00000000-0008-0000-09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9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4" name="CustomShape 1" hidden="1">
          <a:extLst>
            <a:ext uri="{FF2B5EF4-FFF2-40B4-BE49-F238E27FC236}">
              <a16:creationId xmlns:a16="http://schemas.microsoft.com/office/drawing/2014/main" id="{00000000-0008-0000-0A00-00004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5" name="CustomShape 1" hidden="1">
          <a:extLst>
            <a:ext uri="{FF2B5EF4-FFF2-40B4-BE49-F238E27FC236}">
              <a16:creationId xmlns:a16="http://schemas.microsoft.com/office/drawing/2014/main" id="{00000000-0008-0000-0A00-00004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6" name="CustomShape 1" hidden="1">
          <a:extLst>
            <a:ext uri="{FF2B5EF4-FFF2-40B4-BE49-F238E27FC236}">
              <a16:creationId xmlns:a16="http://schemas.microsoft.com/office/drawing/2014/main" id="{00000000-0008-0000-0A00-00004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7" name="CustomShape 1" hidden="1">
          <a:extLst>
            <a:ext uri="{FF2B5EF4-FFF2-40B4-BE49-F238E27FC236}">
              <a16:creationId xmlns:a16="http://schemas.microsoft.com/office/drawing/2014/main" id="{00000000-0008-0000-0A00-00004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8" name="CustomShape 1" hidden="1">
          <a:extLst>
            <a:ext uri="{FF2B5EF4-FFF2-40B4-BE49-F238E27FC236}">
              <a16:creationId xmlns:a16="http://schemas.microsoft.com/office/drawing/2014/main" id="{00000000-0008-0000-0A00-00004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29" name="CustomShape 1" hidden="1">
          <a:extLst>
            <a:ext uri="{FF2B5EF4-FFF2-40B4-BE49-F238E27FC236}">
              <a16:creationId xmlns:a16="http://schemas.microsoft.com/office/drawing/2014/main" id="{00000000-0008-0000-0A00-000049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0" name="CustomShape 1" hidden="1">
          <a:extLst>
            <a:ext uri="{FF2B5EF4-FFF2-40B4-BE49-F238E27FC236}">
              <a16:creationId xmlns:a16="http://schemas.microsoft.com/office/drawing/2014/main" id="{00000000-0008-0000-0A00-00004A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1" name="CustomShape 1" hidden="1">
          <a:extLst>
            <a:ext uri="{FF2B5EF4-FFF2-40B4-BE49-F238E27FC236}">
              <a16:creationId xmlns:a16="http://schemas.microsoft.com/office/drawing/2014/main" id="{00000000-0008-0000-0A00-00004B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2" name="CustomShape 1" hidden="1">
          <a:extLst>
            <a:ext uri="{FF2B5EF4-FFF2-40B4-BE49-F238E27FC236}">
              <a16:creationId xmlns:a16="http://schemas.microsoft.com/office/drawing/2014/main" id="{00000000-0008-0000-0A00-00004C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3" name="CustomShape 1" hidden="1">
          <a:extLst>
            <a:ext uri="{FF2B5EF4-FFF2-40B4-BE49-F238E27FC236}">
              <a16:creationId xmlns:a16="http://schemas.microsoft.com/office/drawing/2014/main" id="{00000000-0008-0000-0A00-00004D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4" name="CustomShape 1" hidden="1">
          <a:extLst>
            <a:ext uri="{FF2B5EF4-FFF2-40B4-BE49-F238E27FC236}">
              <a16:creationId xmlns:a16="http://schemas.microsoft.com/office/drawing/2014/main" id="{00000000-0008-0000-0A00-00004E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5" name="CustomShape 1" hidden="1">
          <a:extLst>
            <a:ext uri="{FF2B5EF4-FFF2-40B4-BE49-F238E27FC236}">
              <a16:creationId xmlns:a16="http://schemas.microsoft.com/office/drawing/2014/main" id="{00000000-0008-0000-0A00-00004F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6" name="CustomShape 1" hidden="1">
          <a:extLst>
            <a:ext uri="{FF2B5EF4-FFF2-40B4-BE49-F238E27FC236}">
              <a16:creationId xmlns:a16="http://schemas.microsoft.com/office/drawing/2014/main" id="{00000000-0008-0000-0A00-000050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7" name="CustomShape 1" hidden="1">
          <a:extLst>
            <a:ext uri="{FF2B5EF4-FFF2-40B4-BE49-F238E27FC236}">
              <a16:creationId xmlns:a16="http://schemas.microsoft.com/office/drawing/2014/main" id="{00000000-0008-0000-0A00-000051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8" name="CustomShape 1" hidden="1">
          <a:extLst>
            <a:ext uri="{FF2B5EF4-FFF2-40B4-BE49-F238E27FC236}">
              <a16:creationId xmlns:a16="http://schemas.microsoft.com/office/drawing/2014/main" id="{00000000-0008-0000-0A00-000052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39" name="CustomShape 1" hidden="1">
          <a:extLst>
            <a:ext uri="{FF2B5EF4-FFF2-40B4-BE49-F238E27FC236}">
              <a16:creationId xmlns:a16="http://schemas.microsoft.com/office/drawing/2014/main" id="{00000000-0008-0000-0A00-000053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0" name="CustomShape 1" hidden="1">
          <a:extLst>
            <a:ext uri="{FF2B5EF4-FFF2-40B4-BE49-F238E27FC236}">
              <a16:creationId xmlns:a16="http://schemas.microsoft.com/office/drawing/2014/main" id="{00000000-0008-0000-0A00-00005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1" name="CustomShape 1" hidden="1">
          <a:extLst>
            <a:ext uri="{FF2B5EF4-FFF2-40B4-BE49-F238E27FC236}">
              <a16:creationId xmlns:a16="http://schemas.microsoft.com/office/drawing/2014/main" id="{00000000-0008-0000-0A00-00005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2" name="CustomShape 1" hidden="1">
          <a:extLst>
            <a:ext uri="{FF2B5EF4-FFF2-40B4-BE49-F238E27FC236}">
              <a16:creationId xmlns:a16="http://schemas.microsoft.com/office/drawing/2014/main" id="{00000000-0008-0000-0A00-00005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3" name="CustomShape 1" hidden="1">
          <a:extLst>
            <a:ext uri="{FF2B5EF4-FFF2-40B4-BE49-F238E27FC236}">
              <a16:creationId xmlns:a16="http://schemas.microsoft.com/office/drawing/2014/main" id="{00000000-0008-0000-0A00-00005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4" name="CustomShape 1" hidden="1">
          <a:extLst>
            <a:ext uri="{FF2B5EF4-FFF2-40B4-BE49-F238E27FC236}">
              <a16:creationId xmlns:a16="http://schemas.microsoft.com/office/drawing/2014/main" id="{00000000-0008-0000-0A00-00005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5" name="CustomShape 1" hidden="1">
          <a:extLst>
            <a:ext uri="{FF2B5EF4-FFF2-40B4-BE49-F238E27FC236}">
              <a16:creationId xmlns:a16="http://schemas.microsoft.com/office/drawing/2014/main" id="{00000000-0008-0000-0A00-000059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6" name="CustomShape 1" hidden="1">
          <a:extLst>
            <a:ext uri="{FF2B5EF4-FFF2-40B4-BE49-F238E27FC236}">
              <a16:creationId xmlns:a16="http://schemas.microsoft.com/office/drawing/2014/main" id="{00000000-0008-0000-0A00-00005A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7" name="CustomShape 1" hidden="1">
          <a:extLst>
            <a:ext uri="{FF2B5EF4-FFF2-40B4-BE49-F238E27FC236}">
              <a16:creationId xmlns:a16="http://schemas.microsoft.com/office/drawing/2014/main" id="{00000000-0008-0000-0A00-00005B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8" name="CustomShape 1" hidden="1">
          <a:extLst>
            <a:ext uri="{FF2B5EF4-FFF2-40B4-BE49-F238E27FC236}">
              <a16:creationId xmlns:a16="http://schemas.microsoft.com/office/drawing/2014/main" id="{00000000-0008-0000-0A00-00005C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49" name="CustomShape 1" hidden="1">
          <a:extLst>
            <a:ext uri="{FF2B5EF4-FFF2-40B4-BE49-F238E27FC236}">
              <a16:creationId xmlns:a16="http://schemas.microsoft.com/office/drawing/2014/main" id="{00000000-0008-0000-0A00-00005D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0" name="CustomShape 1" hidden="1">
          <a:extLst>
            <a:ext uri="{FF2B5EF4-FFF2-40B4-BE49-F238E27FC236}">
              <a16:creationId xmlns:a16="http://schemas.microsoft.com/office/drawing/2014/main" id="{00000000-0008-0000-0A00-00005E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1" name="CustomShape 1" hidden="1">
          <a:extLst>
            <a:ext uri="{FF2B5EF4-FFF2-40B4-BE49-F238E27FC236}">
              <a16:creationId xmlns:a16="http://schemas.microsoft.com/office/drawing/2014/main" id="{00000000-0008-0000-0A00-00005F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2" name="CustomShape 1" hidden="1">
          <a:extLst>
            <a:ext uri="{FF2B5EF4-FFF2-40B4-BE49-F238E27FC236}">
              <a16:creationId xmlns:a16="http://schemas.microsoft.com/office/drawing/2014/main" id="{00000000-0008-0000-0A00-000060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3" name="CustomShape 1" hidden="1">
          <a:extLst>
            <a:ext uri="{FF2B5EF4-FFF2-40B4-BE49-F238E27FC236}">
              <a16:creationId xmlns:a16="http://schemas.microsoft.com/office/drawing/2014/main" id="{00000000-0008-0000-0A00-000061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4" name="CustomShape 1" hidden="1">
          <a:extLst>
            <a:ext uri="{FF2B5EF4-FFF2-40B4-BE49-F238E27FC236}">
              <a16:creationId xmlns:a16="http://schemas.microsoft.com/office/drawing/2014/main" id="{00000000-0008-0000-0A00-000062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5" name="CustomShape 1" hidden="1">
          <a:extLst>
            <a:ext uri="{FF2B5EF4-FFF2-40B4-BE49-F238E27FC236}">
              <a16:creationId xmlns:a16="http://schemas.microsoft.com/office/drawing/2014/main" id="{00000000-0008-0000-0A00-000063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6" name="CustomShape 1" hidden="1">
          <a:extLst>
            <a:ext uri="{FF2B5EF4-FFF2-40B4-BE49-F238E27FC236}">
              <a16:creationId xmlns:a16="http://schemas.microsoft.com/office/drawing/2014/main" id="{00000000-0008-0000-0A00-00006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7" name="CustomShape 1" hidden="1">
          <a:extLst>
            <a:ext uri="{FF2B5EF4-FFF2-40B4-BE49-F238E27FC236}">
              <a16:creationId xmlns:a16="http://schemas.microsoft.com/office/drawing/2014/main" id="{00000000-0008-0000-0A00-00006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8" name="CustomShape 1" hidden="1">
          <a:extLst>
            <a:ext uri="{FF2B5EF4-FFF2-40B4-BE49-F238E27FC236}">
              <a16:creationId xmlns:a16="http://schemas.microsoft.com/office/drawing/2014/main" id="{00000000-0008-0000-0A00-00006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59" name="CustomShape 1" hidden="1">
          <a:extLst>
            <a:ext uri="{FF2B5EF4-FFF2-40B4-BE49-F238E27FC236}">
              <a16:creationId xmlns:a16="http://schemas.microsoft.com/office/drawing/2014/main" id="{00000000-0008-0000-0A00-00006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180360</xdr:rowOff>
    </xdr:to>
    <xdr:sp macro="" textlink="">
      <xdr:nvSpPr>
        <xdr:cNvPr id="360" name="CustomShape 1" hidden="1">
          <a:extLst>
            <a:ext uri="{FF2B5EF4-FFF2-40B4-BE49-F238E27FC236}">
              <a16:creationId xmlns:a16="http://schemas.microsoft.com/office/drawing/2014/main" id="{00000000-0008-0000-0A00-00006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1" name="CustomShape 1" hidden="1">
          <a:extLst>
            <a:ext uri="{FF2B5EF4-FFF2-40B4-BE49-F238E27FC236}">
              <a16:creationId xmlns:a16="http://schemas.microsoft.com/office/drawing/2014/main" id="{00000000-0008-0000-0A00-00006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2" name="CustomShape 1" hidden="1">
          <a:extLst>
            <a:ext uri="{FF2B5EF4-FFF2-40B4-BE49-F238E27FC236}">
              <a16:creationId xmlns:a16="http://schemas.microsoft.com/office/drawing/2014/main" id="{00000000-0008-0000-0A00-00006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3" name="CustomShape 1" hidden="1">
          <a:extLst>
            <a:ext uri="{FF2B5EF4-FFF2-40B4-BE49-F238E27FC236}">
              <a16:creationId xmlns:a16="http://schemas.microsoft.com/office/drawing/2014/main" id="{00000000-0008-0000-0A00-00006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4" name="CustomShape 1" hidden="1">
          <a:extLst>
            <a:ext uri="{FF2B5EF4-FFF2-40B4-BE49-F238E27FC236}">
              <a16:creationId xmlns:a16="http://schemas.microsoft.com/office/drawing/2014/main" id="{00000000-0008-0000-0A00-00006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5" name="CustomShape 1" hidden="1">
          <a:extLst>
            <a:ext uri="{FF2B5EF4-FFF2-40B4-BE49-F238E27FC236}">
              <a16:creationId xmlns:a16="http://schemas.microsoft.com/office/drawing/2014/main" id="{00000000-0008-0000-0A00-00006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6" name="CustomShape 1" hidden="1">
          <a:extLst>
            <a:ext uri="{FF2B5EF4-FFF2-40B4-BE49-F238E27FC236}">
              <a16:creationId xmlns:a16="http://schemas.microsoft.com/office/drawing/2014/main" id="{00000000-0008-0000-0A00-00006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7" name="CustomShape 1" hidden="1">
          <a:extLst>
            <a:ext uri="{FF2B5EF4-FFF2-40B4-BE49-F238E27FC236}">
              <a16:creationId xmlns:a16="http://schemas.microsoft.com/office/drawing/2014/main" id="{00000000-0008-0000-0A00-00006F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8" name="CustomShape 1" hidden="1">
          <a:extLst>
            <a:ext uri="{FF2B5EF4-FFF2-40B4-BE49-F238E27FC236}">
              <a16:creationId xmlns:a16="http://schemas.microsoft.com/office/drawing/2014/main" id="{00000000-0008-0000-0A00-000070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69" name="CustomShape 1" hidden="1">
          <a:extLst>
            <a:ext uri="{FF2B5EF4-FFF2-40B4-BE49-F238E27FC236}">
              <a16:creationId xmlns:a16="http://schemas.microsoft.com/office/drawing/2014/main" id="{00000000-0008-0000-0A00-000071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0" name="CustomShape 1" hidden="1">
          <a:extLst>
            <a:ext uri="{FF2B5EF4-FFF2-40B4-BE49-F238E27FC236}">
              <a16:creationId xmlns:a16="http://schemas.microsoft.com/office/drawing/2014/main" id="{00000000-0008-0000-0A00-000072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1" name="CustomShape 1" hidden="1">
          <a:extLst>
            <a:ext uri="{FF2B5EF4-FFF2-40B4-BE49-F238E27FC236}">
              <a16:creationId xmlns:a16="http://schemas.microsoft.com/office/drawing/2014/main" id="{00000000-0008-0000-0A00-000073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2" name="CustomShape 1" hidden="1">
          <a:extLst>
            <a:ext uri="{FF2B5EF4-FFF2-40B4-BE49-F238E27FC236}">
              <a16:creationId xmlns:a16="http://schemas.microsoft.com/office/drawing/2014/main" id="{00000000-0008-0000-0A00-000074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3" name="CustomShape 1" hidden="1">
          <a:extLst>
            <a:ext uri="{FF2B5EF4-FFF2-40B4-BE49-F238E27FC236}">
              <a16:creationId xmlns:a16="http://schemas.microsoft.com/office/drawing/2014/main" id="{00000000-0008-0000-0A00-000075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4" name="CustomShape 1" hidden="1">
          <a:extLst>
            <a:ext uri="{FF2B5EF4-FFF2-40B4-BE49-F238E27FC236}">
              <a16:creationId xmlns:a16="http://schemas.microsoft.com/office/drawing/2014/main" id="{00000000-0008-0000-0A00-000076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5" name="CustomShape 1" hidden="1">
          <a:extLst>
            <a:ext uri="{FF2B5EF4-FFF2-40B4-BE49-F238E27FC236}">
              <a16:creationId xmlns:a16="http://schemas.microsoft.com/office/drawing/2014/main" id="{00000000-0008-0000-0A00-000077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6" name="CustomShape 1" hidden="1">
          <a:extLst>
            <a:ext uri="{FF2B5EF4-FFF2-40B4-BE49-F238E27FC236}">
              <a16:creationId xmlns:a16="http://schemas.microsoft.com/office/drawing/2014/main" id="{00000000-0008-0000-0A00-000078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7" name="CustomShape 1" hidden="1">
          <a:extLst>
            <a:ext uri="{FF2B5EF4-FFF2-40B4-BE49-F238E27FC236}">
              <a16:creationId xmlns:a16="http://schemas.microsoft.com/office/drawing/2014/main" id="{00000000-0008-0000-0A00-00007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8" name="CustomShape 1" hidden="1">
          <a:extLst>
            <a:ext uri="{FF2B5EF4-FFF2-40B4-BE49-F238E27FC236}">
              <a16:creationId xmlns:a16="http://schemas.microsoft.com/office/drawing/2014/main" id="{00000000-0008-0000-0A00-00007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79" name="CustomShape 1" hidden="1">
          <a:extLst>
            <a:ext uri="{FF2B5EF4-FFF2-40B4-BE49-F238E27FC236}">
              <a16:creationId xmlns:a16="http://schemas.microsoft.com/office/drawing/2014/main" id="{00000000-0008-0000-0A00-00007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0" name="CustomShape 1" hidden="1">
          <a:extLst>
            <a:ext uri="{FF2B5EF4-FFF2-40B4-BE49-F238E27FC236}">
              <a16:creationId xmlns:a16="http://schemas.microsoft.com/office/drawing/2014/main" id="{00000000-0008-0000-0A00-00007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1" name="CustomShape 1" hidden="1">
          <a:extLst>
            <a:ext uri="{FF2B5EF4-FFF2-40B4-BE49-F238E27FC236}">
              <a16:creationId xmlns:a16="http://schemas.microsoft.com/office/drawing/2014/main" id="{00000000-0008-0000-0A00-00007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2" name="CustomShape 1" hidden="1">
          <a:extLst>
            <a:ext uri="{FF2B5EF4-FFF2-40B4-BE49-F238E27FC236}">
              <a16:creationId xmlns:a16="http://schemas.microsoft.com/office/drawing/2014/main" id="{00000000-0008-0000-0A00-00007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3" name="CustomShape 1" hidden="1">
          <a:extLst>
            <a:ext uri="{FF2B5EF4-FFF2-40B4-BE49-F238E27FC236}">
              <a16:creationId xmlns:a16="http://schemas.microsoft.com/office/drawing/2014/main" id="{00000000-0008-0000-0A00-00007F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4" name="CustomShape 1" hidden="1">
          <a:extLst>
            <a:ext uri="{FF2B5EF4-FFF2-40B4-BE49-F238E27FC236}">
              <a16:creationId xmlns:a16="http://schemas.microsoft.com/office/drawing/2014/main" id="{00000000-0008-0000-0A00-000080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5" name="CustomShape 1" hidden="1">
          <a:extLst>
            <a:ext uri="{FF2B5EF4-FFF2-40B4-BE49-F238E27FC236}">
              <a16:creationId xmlns:a16="http://schemas.microsoft.com/office/drawing/2014/main" id="{00000000-0008-0000-0A00-000081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6" name="CustomShape 1" hidden="1">
          <a:extLst>
            <a:ext uri="{FF2B5EF4-FFF2-40B4-BE49-F238E27FC236}">
              <a16:creationId xmlns:a16="http://schemas.microsoft.com/office/drawing/2014/main" id="{00000000-0008-0000-0A00-000082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7" name="CustomShape 1" hidden="1">
          <a:extLst>
            <a:ext uri="{FF2B5EF4-FFF2-40B4-BE49-F238E27FC236}">
              <a16:creationId xmlns:a16="http://schemas.microsoft.com/office/drawing/2014/main" id="{00000000-0008-0000-0A00-000083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8" name="CustomShape 1" hidden="1">
          <a:extLst>
            <a:ext uri="{FF2B5EF4-FFF2-40B4-BE49-F238E27FC236}">
              <a16:creationId xmlns:a16="http://schemas.microsoft.com/office/drawing/2014/main" id="{00000000-0008-0000-0A00-000084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89" name="CustomShape 1" hidden="1">
          <a:extLst>
            <a:ext uri="{FF2B5EF4-FFF2-40B4-BE49-F238E27FC236}">
              <a16:creationId xmlns:a16="http://schemas.microsoft.com/office/drawing/2014/main" id="{00000000-0008-0000-0A00-000085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0" name="CustomShape 1" hidden="1">
          <a:extLst>
            <a:ext uri="{FF2B5EF4-FFF2-40B4-BE49-F238E27FC236}">
              <a16:creationId xmlns:a16="http://schemas.microsoft.com/office/drawing/2014/main" id="{00000000-0008-0000-0A00-000086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1" name="CustomShape 1" hidden="1">
          <a:extLst>
            <a:ext uri="{FF2B5EF4-FFF2-40B4-BE49-F238E27FC236}">
              <a16:creationId xmlns:a16="http://schemas.microsoft.com/office/drawing/2014/main" id="{00000000-0008-0000-0A00-000087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2" name="CustomShape 1" hidden="1">
          <a:extLst>
            <a:ext uri="{FF2B5EF4-FFF2-40B4-BE49-F238E27FC236}">
              <a16:creationId xmlns:a16="http://schemas.microsoft.com/office/drawing/2014/main" id="{00000000-0008-0000-0A00-000088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3" name="CustomShape 1" hidden="1">
          <a:extLst>
            <a:ext uri="{FF2B5EF4-FFF2-40B4-BE49-F238E27FC236}">
              <a16:creationId xmlns:a16="http://schemas.microsoft.com/office/drawing/2014/main" id="{00000000-0008-0000-0A00-00008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4" name="CustomShape 1" hidden="1">
          <a:extLst>
            <a:ext uri="{FF2B5EF4-FFF2-40B4-BE49-F238E27FC236}">
              <a16:creationId xmlns:a16="http://schemas.microsoft.com/office/drawing/2014/main" id="{00000000-0008-0000-0A00-00008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5" name="CustomShape 1" hidden="1">
          <a:extLst>
            <a:ext uri="{FF2B5EF4-FFF2-40B4-BE49-F238E27FC236}">
              <a16:creationId xmlns:a16="http://schemas.microsoft.com/office/drawing/2014/main" id="{00000000-0008-0000-0A00-00008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6" name="CustomShape 1" hidden="1">
          <a:extLst>
            <a:ext uri="{FF2B5EF4-FFF2-40B4-BE49-F238E27FC236}">
              <a16:creationId xmlns:a16="http://schemas.microsoft.com/office/drawing/2014/main" id="{00000000-0008-0000-0A00-00008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7" name="CustomShape 1" hidden="1">
          <a:extLst>
            <a:ext uri="{FF2B5EF4-FFF2-40B4-BE49-F238E27FC236}">
              <a16:creationId xmlns:a16="http://schemas.microsoft.com/office/drawing/2014/main" id="{00000000-0008-0000-0A00-00008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171000</xdr:rowOff>
    </xdr:to>
    <xdr:sp macro="" textlink="">
      <xdr:nvSpPr>
        <xdr:cNvPr id="398" name="CustomShape 1" hidden="1">
          <a:extLst>
            <a:ext uri="{FF2B5EF4-FFF2-40B4-BE49-F238E27FC236}">
              <a16:creationId xmlns:a16="http://schemas.microsoft.com/office/drawing/2014/main" id="{00000000-0008-0000-0A00-00008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44" name="shapetype_202" hidden="1">
          <a:extLst>
            <a:ext uri="{FF2B5EF4-FFF2-40B4-BE49-F238E27FC236}">
              <a16:creationId xmlns:a16="http://schemas.microsoft.com/office/drawing/2014/main" id="{00000000-0008-0000-0A00-00004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42" name="shapetype_202" hidden="1">
          <a:extLst>
            <a:ext uri="{FF2B5EF4-FFF2-40B4-BE49-F238E27FC236}">
              <a16:creationId xmlns:a16="http://schemas.microsoft.com/office/drawing/2014/main" id="{00000000-0008-0000-0A00-00004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40" name="shapetype_202" hidden="1">
          <a:extLst>
            <a:ext uri="{FF2B5EF4-FFF2-40B4-BE49-F238E27FC236}">
              <a16:creationId xmlns:a16="http://schemas.microsoft.com/office/drawing/2014/main" id="{00000000-0008-0000-0A00-00004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8" name="shapetype_202" hidden="1">
          <a:extLst>
            <a:ext uri="{FF2B5EF4-FFF2-40B4-BE49-F238E27FC236}">
              <a16:creationId xmlns:a16="http://schemas.microsoft.com/office/drawing/2014/main" id="{00000000-0008-0000-0A00-00004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6" name="shapetype_202" hidden="1">
          <a:extLst>
            <a:ext uri="{FF2B5EF4-FFF2-40B4-BE49-F238E27FC236}">
              <a16:creationId xmlns:a16="http://schemas.microsoft.com/office/drawing/2014/main" id="{00000000-0008-0000-0A00-00004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4" name="shapetype_202" hidden="1">
          <a:extLst>
            <a:ext uri="{FF2B5EF4-FFF2-40B4-BE49-F238E27FC236}">
              <a16:creationId xmlns:a16="http://schemas.microsoft.com/office/drawing/2014/main" id="{00000000-0008-0000-0A00-00004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2" name="shapetype_202" hidden="1">
          <a:extLst>
            <a:ext uri="{FF2B5EF4-FFF2-40B4-BE49-F238E27FC236}">
              <a16:creationId xmlns:a16="http://schemas.microsoft.com/office/drawing/2014/main" id="{00000000-0008-0000-0A00-00004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30" name="shapetype_202" hidden="1">
          <a:extLst>
            <a:ext uri="{FF2B5EF4-FFF2-40B4-BE49-F238E27FC236}">
              <a16:creationId xmlns:a16="http://schemas.microsoft.com/office/drawing/2014/main" id="{00000000-0008-0000-0A00-00003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8" name="shapetype_202" hidden="1">
          <a:extLst>
            <a:ext uri="{FF2B5EF4-FFF2-40B4-BE49-F238E27FC236}">
              <a16:creationId xmlns:a16="http://schemas.microsoft.com/office/drawing/2014/main" id="{00000000-0008-0000-0A00-00003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6" name="shapetype_202" hidden="1">
          <a:extLst>
            <a:ext uri="{FF2B5EF4-FFF2-40B4-BE49-F238E27FC236}">
              <a16:creationId xmlns:a16="http://schemas.microsoft.com/office/drawing/2014/main" id="{00000000-0008-0000-0A00-00003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4" name="shapetype_202" hidden="1">
          <a:extLst>
            <a:ext uri="{FF2B5EF4-FFF2-40B4-BE49-F238E27FC236}">
              <a16:creationId xmlns:a16="http://schemas.microsoft.com/office/drawing/2014/main" id="{00000000-0008-0000-0A00-00003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2" name="shapetype_202" hidden="1">
          <a:extLst>
            <a:ext uri="{FF2B5EF4-FFF2-40B4-BE49-F238E27FC236}">
              <a16:creationId xmlns:a16="http://schemas.microsoft.com/office/drawing/2014/main" id="{00000000-0008-0000-0A00-00003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20" name="shapetype_202" hidden="1">
          <a:extLst>
            <a:ext uri="{FF2B5EF4-FFF2-40B4-BE49-F238E27FC236}">
              <a16:creationId xmlns:a16="http://schemas.microsoft.com/office/drawing/2014/main" id="{00000000-0008-0000-0A00-00003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8" name="shapetype_202" hidden="1">
          <a:extLst>
            <a:ext uri="{FF2B5EF4-FFF2-40B4-BE49-F238E27FC236}">
              <a16:creationId xmlns:a16="http://schemas.microsoft.com/office/drawing/2014/main" id="{00000000-0008-0000-0A00-00003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6" name="shapetype_202" hidden="1">
          <a:extLst>
            <a:ext uri="{FF2B5EF4-FFF2-40B4-BE49-F238E27FC236}">
              <a16:creationId xmlns:a16="http://schemas.microsoft.com/office/drawing/2014/main" id="{00000000-0008-0000-0A00-00003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4" name="shapetype_202" hidden="1">
          <a:extLst>
            <a:ext uri="{FF2B5EF4-FFF2-40B4-BE49-F238E27FC236}">
              <a16:creationId xmlns:a16="http://schemas.microsoft.com/office/drawing/2014/main" id="{00000000-0008-0000-0A00-00002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2" name="shapetype_202" hidden="1">
          <a:extLst>
            <a:ext uri="{FF2B5EF4-FFF2-40B4-BE49-F238E27FC236}">
              <a16:creationId xmlns:a16="http://schemas.microsoft.com/office/drawing/2014/main" id="{00000000-0008-0000-0A00-00002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10" name="shapetype_202" hidden="1">
          <a:extLst>
            <a:ext uri="{FF2B5EF4-FFF2-40B4-BE49-F238E27FC236}">
              <a16:creationId xmlns:a16="http://schemas.microsoft.com/office/drawing/2014/main" id="{00000000-0008-0000-0A00-00002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8" name="shapetype_202" hidden="1">
          <a:extLst>
            <a:ext uri="{FF2B5EF4-FFF2-40B4-BE49-F238E27FC236}">
              <a16:creationId xmlns:a16="http://schemas.microsoft.com/office/drawing/2014/main" id="{00000000-0008-0000-0A00-00002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6" name="shapetype_202" hidden="1">
          <a:extLst>
            <a:ext uri="{FF2B5EF4-FFF2-40B4-BE49-F238E27FC236}">
              <a16:creationId xmlns:a16="http://schemas.microsoft.com/office/drawing/2014/main" id="{00000000-0008-0000-0A00-00002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4" name="shapetype_202" hidden="1">
          <a:extLst>
            <a:ext uri="{FF2B5EF4-FFF2-40B4-BE49-F238E27FC236}">
              <a16:creationId xmlns:a16="http://schemas.microsoft.com/office/drawing/2014/main" id="{00000000-0008-0000-0A00-00002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2" name="shapetype_202" hidden="1">
          <a:extLst>
            <a:ext uri="{FF2B5EF4-FFF2-40B4-BE49-F238E27FC236}">
              <a16:creationId xmlns:a16="http://schemas.microsoft.com/office/drawing/2014/main" id="{00000000-0008-0000-0A00-00002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200" name="shapetype_202" hidden="1">
          <a:extLst>
            <a:ext uri="{FF2B5EF4-FFF2-40B4-BE49-F238E27FC236}">
              <a16:creationId xmlns:a16="http://schemas.microsoft.com/office/drawing/2014/main" id="{00000000-0008-0000-0A00-00002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8" name="shapetype_202" hidden="1">
          <a:extLst>
            <a:ext uri="{FF2B5EF4-FFF2-40B4-BE49-F238E27FC236}">
              <a16:creationId xmlns:a16="http://schemas.microsoft.com/office/drawing/2014/main" id="{00000000-0008-0000-0A00-00001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6" name="shapetype_202" hidden="1">
          <a:extLst>
            <a:ext uri="{FF2B5EF4-FFF2-40B4-BE49-F238E27FC236}">
              <a16:creationId xmlns:a16="http://schemas.microsoft.com/office/drawing/2014/main" id="{00000000-0008-0000-0A00-00001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4" name="shapetype_202" hidden="1">
          <a:extLst>
            <a:ext uri="{FF2B5EF4-FFF2-40B4-BE49-F238E27FC236}">
              <a16:creationId xmlns:a16="http://schemas.microsoft.com/office/drawing/2014/main" id="{00000000-0008-0000-0A00-00001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2" name="shapetype_202" hidden="1">
          <a:extLst>
            <a:ext uri="{FF2B5EF4-FFF2-40B4-BE49-F238E27FC236}">
              <a16:creationId xmlns:a16="http://schemas.microsoft.com/office/drawing/2014/main" id="{00000000-0008-0000-0A00-00001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90" name="shapetype_202" hidden="1">
          <a:extLst>
            <a:ext uri="{FF2B5EF4-FFF2-40B4-BE49-F238E27FC236}">
              <a16:creationId xmlns:a16="http://schemas.microsoft.com/office/drawing/2014/main" id="{00000000-0008-0000-0A00-00001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8" name="shapetype_202" hidden="1">
          <a:extLst>
            <a:ext uri="{FF2B5EF4-FFF2-40B4-BE49-F238E27FC236}">
              <a16:creationId xmlns:a16="http://schemas.microsoft.com/office/drawing/2014/main" id="{00000000-0008-0000-0A00-00001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6" name="shapetype_202" hidden="1">
          <a:extLst>
            <a:ext uri="{FF2B5EF4-FFF2-40B4-BE49-F238E27FC236}">
              <a16:creationId xmlns:a16="http://schemas.microsoft.com/office/drawing/2014/main" id="{00000000-0008-0000-0A00-00001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4" name="shapetype_202" hidden="1">
          <a:extLst>
            <a:ext uri="{FF2B5EF4-FFF2-40B4-BE49-F238E27FC236}">
              <a16:creationId xmlns:a16="http://schemas.microsoft.com/office/drawing/2014/main" id="{00000000-0008-0000-0A00-00001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2" name="shapetype_202" hidden="1">
          <a:extLst>
            <a:ext uri="{FF2B5EF4-FFF2-40B4-BE49-F238E27FC236}">
              <a16:creationId xmlns:a16="http://schemas.microsoft.com/office/drawing/2014/main" id="{00000000-0008-0000-0A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80" name="shapetype_202" hidden="1">
          <a:extLst>
            <a:ext uri="{FF2B5EF4-FFF2-40B4-BE49-F238E27FC236}">
              <a16:creationId xmlns:a16="http://schemas.microsoft.com/office/drawing/2014/main" id="{00000000-0008-0000-0A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8" name="shapetype_202" hidden="1">
          <a:extLst>
            <a:ext uri="{FF2B5EF4-FFF2-40B4-BE49-F238E27FC236}">
              <a16:creationId xmlns:a16="http://schemas.microsoft.com/office/drawing/2014/main" id="{00000000-0008-0000-0A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6" name="shapetype_202" hidden="1">
          <a:extLst>
            <a:ext uri="{FF2B5EF4-FFF2-40B4-BE49-F238E27FC236}">
              <a16:creationId xmlns:a16="http://schemas.microsoft.com/office/drawing/2014/main" id="{00000000-0008-0000-0A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4" name="shapetype_202" hidden="1">
          <a:extLst>
            <a:ext uri="{FF2B5EF4-FFF2-40B4-BE49-F238E27FC236}">
              <a16:creationId xmlns:a16="http://schemas.microsoft.com/office/drawing/2014/main" id="{00000000-0008-0000-0A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2" name="shapetype_202" hidden="1">
          <a:extLst>
            <a:ext uri="{FF2B5EF4-FFF2-40B4-BE49-F238E27FC236}">
              <a16:creationId xmlns:a16="http://schemas.microsoft.com/office/drawing/2014/main" id="{00000000-0008-0000-0A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7170" name="shapetype_202" hidden="1">
          <a:extLst>
            <a:ext uri="{FF2B5EF4-FFF2-40B4-BE49-F238E27FC236}">
              <a16:creationId xmlns:a16="http://schemas.microsoft.com/office/drawing/2014/main" id="{00000000-0008-0000-0A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ngelfood.co.nz/dairy-free-cream-cheese-alternativ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MK193"/>
  <sheetViews>
    <sheetView topLeftCell="A85" zoomScaleNormal="100" workbookViewId="0">
      <selection activeCell="G107" sqref="G107"/>
    </sheetView>
  </sheetViews>
  <sheetFormatPr defaultRowHeight="15.75" x14ac:dyDescent="0.25"/>
  <cols>
    <col min="1" max="1" width="60.7109375" style="1" customWidth="1"/>
    <col min="2" max="2" width="19.85546875" style="2" customWidth="1"/>
    <col min="3" max="3" width="35.42578125" style="1" customWidth="1"/>
    <col min="4" max="4" width="35.42578125" style="2" customWidth="1"/>
    <col min="5" max="5" width="16.140625" style="2" customWidth="1"/>
    <col min="6" max="6" width="20" style="2" customWidth="1"/>
    <col min="7" max="7" width="28.5703125" style="2" customWidth="1"/>
    <col min="8" max="8" width="31" style="2" customWidth="1"/>
    <col min="9" max="1025" width="10.85546875" style="1" customWidth="1"/>
  </cols>
  <sheetData>
    <row r="1" spans="1:8" s="8" customFormat="1" x14ac:dyDescent="0.25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pans="1:8" s="9" customFormat="1" x14ac:dyDescent="0.25">
      <c r="A2" s="9" t="s">
        <v>8</v>
      </c>
      <c r="B2" s="10">
        <v>1</v>
      </c>
      <c r="C2" s="9" t="s">
        <v>9</v>
      </c>
      <c r="D2" s="10" t="s">
        <v>10</v>
      </c>
      <c r="E2" s="11">
        <v>1</v>
      </c>
      <c r="F2" s="11" t="s">
        <v>11</v>
      </c>
      <c r="G2" s="10" t="s">
        <v>12</v>
      </c>
      <c r="H2" s="11" t="s">
        <v>13</v>
      </c>
    </row>
    <row r="3" spans="1:8" x14ac:dyDescent="0.25">
      <c r="A3" s="1" t="s">
        <v>8</v>
      </c>
      <c r="B3" s="2">
        <v>1</v>
      </c>
      <c r="C3" s="1" t="s">
        <v>14</v>
      </c>
      <c r="D3" s="2" t="s">
        <v>15</v>
      </c>
      <c r="E3" s="12">
        <v>1</v>
      </c>
      <c r="F3" s="12" t="s">
        <v>11</v>
      </c>
      <c r="G3" s="2" t="s">
        <v>12</v>
      </c>
      <c r="H3" s="12" t="s">
        <v>13</v>
      </c>
    </row>
    <row r="4" spans="1:8" x14ac:dyDescent="0.25">
      <c r="A4" s="1" t="s">
        <v>8</v>
      </c>
      <c r="B4" s="2">
        <v>1</v>
      </c>
      <c r="C4" s="1" t="s">
        <v>16</v>
      </c>
      <c r="D4" s="2" t="s">
        <v>17</v>
      </c>
      <c r="E4" s="12">
        <v>3</v>
      </c>
      <c r="F4" s="12" t="s">
        <v>11</v>
      </c>
      <c r="G4" s="2" t="s">
        <v>12</v>
      </c>
      <c r="H4" s="12" t="s">
        <v>13</v>
      </c>
    </row>
    <row r="5" spans="1:8" x14ac:dyDescent="0.25">
      <c r="A5" s="1" t="s">
        <v>8</v>
      </c>
      <c r="B5" s="2">
        <v>1</v>
      </c>
      <c r="C5" s="1" t="s">
        <v>18</v>
      </c>
      <c r="D5" s="2" t="s">
        <v>19</v>
      </c>
      <c r="E5" s="12">
        <v>2</v>
      </c>
      <c r="F5" s="12" t="s">
        <v>11</v>
      </c>
      <c r="G5" s="2" t="s">
        <v>20</v>
      </c>
      <c r="H5" s="12" t="s">
        <v>13</v>
      </c>
    </row>
    <row r="6" spans="1:8" x14ac:dyDescent="0.25">
      <c r="A6" s="1" t="s">
        <v>8</v>
      </c>
      <c r="B6" s="2">
        <v>1</v>
      </c>
      <c r="C6" s="1" t="s">
        <v>21</v>
      </c>
      <c r="D6" s="2" t="s">
        <v>22</v>
      </c>
      <c r="E6" s="12">
        <v>2</v>
      </c>
      <c r="F6" s="12" t="s">
        <v>11</v>
      </c>
      <c r="G6" s="2" t="s">
        <v>20</v>
      </c>
      <c r="H6" s="12" t="s">
        <v>13</v>
      </c>
    </row>
    <row r="7" spans="1:8" x14ac:dyDescent="0.25">
      <c r="A7" s="1" t="s">
        <v>8</v>
      </c>
      <c r="B7" s="2">
        <v>1</v>
      </c>
      <c r="C7" s="1" t="s">
        <v>23</v>
      </c>
      <c r="D7" s="2" t="s">
        <v>24</v>
      </c>
      <c r="E7" s="12">
        <v>3</v>
      </c>
      <c r="F7" s="12" t="s">
        <v>11</v>
      </c>
      <c r="G7" s="2" t="s">
        <v>13</v>
      </c>
      <c r="H7" s="12" t="s">
        <v>25</v>
      </c>
    </row>
    <row r="8" spans="1:8" x14ac:dyDescent="0.25">
      <c r="A8" s="1" t="s">
        <v>8</v>
      </c>
      <c r="B8" s="2">
        <v>1</v>
      </c>
      <c r="C8" s="1" t="s">
        <v>26</v>
      </c>
      <c r="D8" s="2" t="s">
        <v>27</v>
      </c>
      <c r="E8" s="12">
        <v>1</v>
      </c>
      <c r="F8" s="12" t="s">
        <v>11</v>
      </c>
      <c r="G8" s="2" t="s">
        <v>12</v>
      </c>
      <c r="H8" s="12" t="s">
        <v>13</v>
      </c>
    </row>
    <row r="9" spans="1:8" x14ac:dyDescent="0.25">
      <c r="A9" s="1" t="s">
        <v>8</v>
      </c>
      <c r="B9" s="2">
        <v>1</v>
      </c>
      <c r="C9" s="1" t="s">
        <v>28</v>
      </c>
      <c r="D9" s="2" t="s">
        <v>29</v>
      </c>
      <c r="E9" s="12">
        <v>2</v>
      </c>
      <c r="F9" s="12" t="s">
        <v>11</v>
      </c>
      <c r="G9" s="2" t="s">
        <v>12</v>
      </c>
      <c r="H9" s="12" t="s">
        <v>13</v>
      </c>
    </row>
    <row r="10" spans="1:8" x14ac:dyDescent="0.25">
      <c r="A10" s="1" t="s">
        <v>8</v>
      </c>
      <c r="B10" s="2">
        <v>1</v>
      </c>
      <c r="C10" s="1" t="s">
        <v>30</v>
      </c>
      <c r="D10" s="2" t="s">
        <v>31</v>
      </c>
      <c r="E10" s="12">
        <v>3</v>
      </c>
      <c r="F10" s="12" t="s">
        <v>11</v>
      </c>
      <c r="G10" s="2" t="s">
        <v>13</v>
      </c>
      <c r="H10" s="12" t="s">
        <v>25</v>
      </c>
    </row>
    <row r="11" spans="1:8" x14ac:dyDescent="0.25">
      <c r="A11" s="1" t="s">
        <v>8</v>
      </c>
      <c r="B11" s="2">
        <v>1</v>
      </c>
      <c r="C11" s="1" t="s">
        <v>32</v>
      </c>
      <c r="D11" s="2" t="s">
        <v>33</v>
      </c>
      <c r="E11" s="12">
        <v>2</v>
      </c>
      <c r="F11" s="12" t="s">
        <v>11</v>
      </c>
      <c r="G11" s="2" t="s">
        <v>13</v>
      </c>
      <c r="H11" s="12" t="s">
        <v>13</v>
      </c>
    </row>
    <row r="12" spans="1:8" x14ac:dyDescent="0.25">
      <c r="A12" s="1" t="s">
        <v>8</v>
      </c>
      <c r="B12" s="2">
        <v>1</v>
      </c>
      <c r="C12" s="1" t="s">
        <v>34</v>
      </c>
      <c r="D12" s="2" t="s">
        <v>35</v>
      </c>
      <c r="E12" s="12">
        <v>2</v>
      </c>
      <c r="F12" s="12" t="s">
        <v>11</v>
      </c>
      <c r="G12" s="2" t="s">
        <v>13</v>
      </c>
      <c r="H12" s="12" t="s">
        <v>13</v>
      </c>
    </row>
    <row r="13" spans="1:8" x14ac:dyDescent="0.25">
      <c r="A13" s="1" t="s">
        <v>8</v>
      </c>
      <c r="B13" s="2">
        <v>1</v>
      </c>
      <c r="C13" s="1" t="s">
        <v>36</v>
      </c>
      <c r="D13" s="2" t="s">
        <v>37</v>
      </c>
      <c r="E13" s="12">
        <v>2</v>
      </c>
      <c r="F13" s="12" t="s">
        <v>11</v>
      </c>
      <c r="G13" s="2" t="s">
        <v>13</v>
      </c>
      <c r="H13" s="12" t="s">
        <v>13</v>
      </c>
    </row>
    <row r="14" spans="1:8" x14ac:dyDescent="0.25">
      <c r="A14" s="1" t="s">
        <v>8</v>
      </c>
      <c r="B14" s="2">
        <v>1</v>
      </c>
      <c r="C14" s="1" t="s">
        <v>38</v>
      </c>
      <c r="D14" s="2" t="s">
        <v>39</v>
      </c>
      <c r="E14" s="12">
        <v>2</v>
      </c>
      <c r="F14" s="12" t="s">
        <v>11</v>
      </c>
      <c r="G14" s="2" t="s">
        <v>40</v>
      </c>
      <c r="H14" s="12" t="s">
        <v>13</v>
      </c>
    </row>
    <row r="15" spans="1:8" x14ac:dyDescent="0.25">
      <c r="A15" s="1" t="s">
        <v>8</v>
      </c>
      <c r="B15" s="2">
        <v>1</v>
      </c>
      <c r="C15" s="1" t="s">
        <v>41</v>
      </c>
      <c r="D15" s="2" t="s">
        <v>42</v>
      </c>
      <c r="E15" s="12">
        <v>2</v>
      </c>
      <c r="F15" s="12" t="s">
        <v>11</v>
      </c>
      <c r="G15" s="2" t="s">
        <v>40</v>
      </c>
      <c r="H15" s="12" t="s">
        <v>13</v>
      </c>
    </row>
    <row r="16" spans="1:8" s="9" customFormat="1" x14ac:dyDescent="0.25">
      <c r="A16" s="9" t="s">
        <v>43</v>
      </c>
      <c r="B16" s="10">
        <v>2</v>
      </c>
      <c r="C16" s="9" t="s">
        <v>44</v>
      </c>
      <c r="D16" s="10" t="s">
        <v>45</v>
      </c>
      <c r="E16" s="11">
        <v>3</v>
      </c>
      <c r="F16" s="11" t="s">
        <v>11</v>
      </c>
      <c r="G16" s="10" t="s">
        <v>12</v>
      </c>
      <c r="H16" s="11" t="s">
        <v>13</v>
      </c>
    </row>
    <row r="17" spans="1:8" x14ac:dyDescent="0.25">
      <c r="A17" s="1" t="s">
        <v>43</v>
      </c>
      <c r="B17" s="2">
        <v>2</v>
      </c>
      <c r="C17" s="1" t="s">
        <v>46</v>
      </c>
      <c r="D17" s="2" t="s">
        <v>47</v>
      </c>
      <c r="E17" s="12">
        <v>1</v>
      </c>
      <c r="F17" s="12" t="s">
        <v>11</v>
      </c>
      <c r="G17" s="2" t="s">
        <v>12</v>
      </c>
      <c r="H17" s="12" t="s">
        <v>13</v>
      </c>
    </row>
    <row r="18" spans="1:8" x14ac:dyDescent="0.25">
      <c r="A18" s="1" t="s">
        <v>43</v>
      </c>
      <c r="B18" s="2">
        <v>2</v>
      </c>
      <c r="C18" s="1" t="s">
        <v>48</v>
      </c>
      <c r="D18" s="2" t="s">
        <v>49</v>
      </c>
      <c r="E18" s="12">
        <v>2</v>
      </c>
      <c r="F18" s="12" t="s">
        <v>11</v>
      </c>
      <c r="G18" s="2" t="s">
        <v>12</v>
      </c>
      <c r="H18" s="12" t="s">
        <v>13</v>
      </c>
    </row>
    <row r="19" spans="1:8" x14ac:dyDescent="0.25">
      <c r="A19" s="1" t="s">
        <v>43</v>
      </c>
      <c r="B19" s="2">
        <v>2</v>
      </c>
      <c r="C19" s="1" t="s">
        <v>50</v>
      </c>
      <c r="D19" s="2" t="s">
        <v>51</v>
      </c>
      <c r="E19" s="12">
        <v>2</v>
      </c>
      <c r="F19" s="12" t="s">
        <v>11</v>
      </c>
      <c r="G19" s="2" t="s">
        <v>12</v>
      </c>
      <c r="H19" s="12" t="s">
        <v>13</v>
      </c>
    </row>
    <row r="20" spans="1:8" x14ac:dyDescent="0.25">
      <c r="A20" s="1" t="s">
        <v>43</v>
      </c>
      <c r="B20" s="2">
        <v>2</v>
      </c>
      <c r="C20" s="1" t="s">
        <v>52</v>
      </c>
      <c r="D20" s="2" t="s">
        <v>53</v>
      </c>
      <c r="E20" s="12">
        <v>1</v>
      </c>
      <c r="F20" s="12" t="s">
        <v>11</v>
      </c>
      <c r="G20" s="2" t="s">
        <v>12</v>
      </c>
      <c r="H20" s="12" t="s">
        <v>13</v>
      </c>
    </row>
    <row r="21" spans="1:8" x14ac:dyDescent="0.25">
      <c r="A21" s="1" t="s">
        <v>43</v>
      </c>
      <c r="B21" s="2">
        <v>2</v>
      </c>
      <c r="C21" s="1" t="s">
        <v>54</v>
      </c>
      <c r="D21" s="2" t="s">
        <v>55</v>
      </c>
      <c r="E21" s="12">
        <v>2</v>
      </c>
      <c r="F21" s="12" t="s">
        <v>11</v>
      </c>
      <c r="G21" s="2" t="s">
        <v>12</v>
      </c>
      <c r="H21" s="12" t="s">
        <v>13</v>
      </c>
    </row>
    <row r="22" spans="1:8" x14ac:dyDescent="0.25">
      <c r="A22" s="1" t="s">
        <v>43</v>
      </c>
      <c r="B22" s="2">
        <v>2</v>
      </c>
      <c r="C22" s="1" t="s">
        <v>56</v>
      </c>
      <c r="D22" s="2" t="s">
        <v>57</v>
      </c>
      <c r="E22" s="12">
        <v>3</v>
      </c>
      <c r="F22" s="12" t="s">
        <v>11</v>
      </c>
      <c r="G22" s="2" t="s">
        <v>12</v>
      </c>
      <c r="H22" s="12" t="s">
        <v>13</v>
      </c>
    </row>
    <row r="23" spans="1:8" x14ac:dyDescent="0.25">
      <c r="A23" s="1" t="s">
        <v>43</v>
      </c>
      <c r="B23" s="2">
        <v>2</v>
      </c>
      <c r="C23" s="1" t="s">
        <v>58</v>
      </c>
      <c r="D23" s="2" t="s">
        <v>59</v>
      </c>
      <c r="E23" s="12">
        <v>3</v>
      </c>
      <c r="F23" s="12" t="s">
        <v>11</v>
      </c>
      <c r="G23" s="2" t="s">
        <v>13</v>
      </c>
      <c r="H23" s="12" t="s">
        <v>13</v>
      </c>
    </row>
    <row r="24" spans="1:8" x14ac:dyDescent="0.25">
      <c r="A24" s="1" t="s">
        <v>43</v>
      </c>
      <c r="B24" s="2">
        <v>2</v>
      </c>
      <c r="C24" s="1" t="s">
        <v>60</v>
      </c>
      <c r="D24" s="2" t="s">
        <v>61</v>
      </c>
      <c r="E24" s="12">
        <v>2</v>
      </c>
      <c r="F24" s="12" t="s">
        <v>11</v>
      </c>
      <c r="G24" s="2" t="s">
        <v>12</v>
      </c>
      <c r="H24" s="12" t="s">
        <v>13</v>
      </c>
    </row>
    <row r="25" spans="1:8" x14ac:dyDescent="0.25">
      <c r="A25" s="1" t="s">
        <v>43</v>
      </c>
      <c r="B25" s="2">
        <v>2</v>
      </c>
      <c r="C25" s="1" t="s">
        <v>62</v>
      </c>
      <c r="D25" s="2" t="s">
        <v>63</v>
      </c>
      <c r="E25" s="12">
        <v>1</v>
      </c>
      <c r="F25" s="12" t="s">
        <v>11</v>
      </c>
      <c r="G25" s="2" t="s">
        <v>12</v>
      </c>
      <c r="H25" s="12" t="s">
        <v>13</v>
      </c>
    </row>
    <row r="26" spans="1:8" x14ac:dyDescent="0.25">
      <c r="A26" s="1" t="s">
        <v>43</v>
      </c>
      <c r="B26" s="2">
        <v>2</v>
      </c>
      <c r="C26" s="1" t="s">
        <v>64</v>
      </c>
      <c r="D26" s="2" t="s">
        <v>65</v>
      </c>
      <c r="E26" s="12">
        <v>2</v>
      </c>
      <c r="F26" s="12" t="s">
        <v>11</v>
      </c>
      <c r="G26" s="2" t="s">
        <v>12</v>
      </c>
      <c r="H26" s="12" t="s">
        <v>13</v>
      </c>
    </row>
    <row r="27" spans="1:8" x14ac:dyDescent="0.25">
      <c r="A27" s="1" t="s">
        <v>43</v>
      </c>
      <c r="B27" s="2">
        <v>2</v>
      </c>
      <c r="C27" s="1" t="s">
        <v>66</v>
      </c>
      <c r="D27" s="2" t="s">
        <v>67</v>
      </c>
      <c r="E27" s="12">
        <v>1</v>
      </c>
      <c r="F27" s="12" t="s">
        <v>11</v>
      </c>
      <c r="G27" s="2" t="s">
        <v>13</v>
      </c>
      <c r="H27" s="12" t="s">
        <v>13</v>
      </c>
    </row>
    <row r="28" spans="1:8" x14ac:dyDescent="0.25">
      <c r="A28" s="1" t="s">
        <v>43</v>
      </c>
      <c r="B28" s="2">
        <v>2</v>
      </c>
      <c r="C28" s="1" t="s">
        <v>68</v>
      </c>
      <c r="D28" s="2" t="s">
        <v>69</v>
      </c>
      <c r="E28" s="12">
        <v>1</v>
      </c>
      <c r="F28" s="12" t="s">
        <v>11</v>
      </c>
      <c r="G28" s="2" t="s">
        <v>12</v>
      </c>
      <c r="H28" s="12" t="s">
        <v>13</v>
      </c>
    </row>
    <row r="29" spans="1:8" x14ac:dyDescent="0.25">
      <c r="A29" s="1" t="s">
        <v>43</v>
      </c>
      <c r="B29" s="2">
        <v>2</v>
      </c>
      <c r="C29" s="1" t="s">
        <v>70</v>
      </c>
      <c r="D29" s="2" t="s">
        <v>71</v>
      </c>
      <c r="E29" s="12">
        <v>3</v>
      </c>
      <c r="F29" s="12" t="s">
        <v>11</v>
      </c>
      <c r="G29" s="2" t="s">
        <v>12</v>
      </c>
      <c r="H29" s="12" t="s">
        <v>13</v>
      </c>
    </row>
    <row r="30" spans="1:8" x14ac:dyDescent="0.25">
      <c r="A30" s="1" t="s">
        <v>43</v>
      </c>
      <c r="B30" s="2">
        <v>2</v>
      </c>
      <c r="C30" s="1" t="s">
        <v>72</v>
      </c>
      <c r="D30" s="2" t="s">
        <v>73</v>
      </c>
      <c r="E30" s="12">
        <v>2</v>
      </c>
      <c r="F30" s="12" t="s">
        <v>11</v>
      </c>
      <c r="G30" s="2" t="s">
        <v>12</v>
      </c>
      <c r="H30" s="12" t="s">
        <v>13</v>
      </c>
    </row>
    <row r="31" spans="1:8" x14ac:dyDescent="0.25">
      <c r="A31" s="1" t="s">
        <v>43</v>
      </c>
      <c r="B31" s="2">
        <v>2</v>
      </c>
      <c r="C31" s="1" t="s">
        <v>74</v>
      </c>
      <c r="D31" s="2" t="s">
        <v>75</v>
      </c>
      <c r="E31" s="12">
        <v>2</v>
      </c>
      <c r="F31" s="12" t="s">
        <v>11</v>
      </c>
      <c r="G31" s="2" t="s">
        <v>12</v>
      </c>
      <c r="H31" s="12" t="s">
        <v>13</v>
      </c>
    </row>
    <row r="32" spans="1:8" x14ac:dyDescent="0.25">
      <c r="A32" s="1" t="s">
        <v>43</v>
      </c>
      <c r="B32" s="2">
        <v>2</v>
      </c>
      <c r="C32" s="1" t="s">
        <v>76</v>
      </c>
      <c r="D32" s="2" t="s">
        <v>77</v>
      </c>
      <c r="E32" s="12">
        <v>3</v>
      </c>
      <c r="F32" s="12" t="s">
        <v>11</v>
      </c>
      <c r="G32" s="2" t="s">
        <v>12</v>
      </c>
      <c r="H32" s="12" t="s">
        <v>13</v>
      </c>
    </row>
    <row r="33" spans="1:26" s="13" customFormat="1" x14ac:dyDescent="0.25">
      <c r="A33" s="13" t="s">
        <v>43</v>
      </c>
      <c r="B33" s="14">
        <v>2</v>
      </c>
      <c r="C33" s="13" t="s">
        <v>78</v>
      </c>
      <c r="D33" s="14" t="s">
        <v>79</v>
      </c>
      <c r="E33" s="15">
        <v>2</v>
      </c>
      <c r="F33" s="15" t="s">
        <v>11</v>
      </c>
      <c r="G33" s="14" t="s">
        <v>40</v>
      </c>
      <c r="H33" s="15" t="s">
        <v>13</v>
      </c>
    </row>
    <row r="34" spans="1:26" x14ac:dyDescent="0.25">
      <c r="A34" s="1" t="s">
        <v>43</v>
      </c>
      <c r="B34" s="2">
        <v>2</v>
      </c>
      <c r="C34" s="1" t="s">
        <v>80</v>
      </c>
      <c r="D34" s="2" t="s">
        <v>81</v>
      </c>
      <c r="E34" s="12">
        <v>3</v>
      </c>
      <c r="F34" s="12" t="s">
        <v>11</v>
      </c>
      <c r="G34" s="2" t="s">
        <v>13</v>
      </c>
      <c r="H34" s="12" t="s">
        <v>13</v>
      </c>
    </row>
    <row r="35" spans="1:26" x14ac:dyDescent="0.25">
      <c r="A35" s="1" t="s">
        <v>43</v>
      </c>
      <c r="B35" s="2">
        <v>2</v>
      </c>
      <c r="C35" s="1" t="s">
        <v>82</v>
      </c>
      <c r="D35" s="2" t="s">
        <v>83</v>
      </c>
      <c r="E35" s="12">
        <v>2</v>
      </c>
      <c r="F35" s="12" t="s">
        <v>11</v>
      </c>
      <c r="G35" s="2" t="s">
        <v>12</v>
      </c>
      <c r="H35" s="12" t="s">
        <v>13</v>
      </c>
    </row>
    <row r="36" spans="1:26" x14ac:dyDescent="0.25">
      <c r="A36" s="1" t="s">
        <v>43</v>
      </c>
      <c r="B36" s="2">
        <v>2</v>
      </c>
      <c r="C36" s="1" t="s">
        <v>84</v>
      </c>
      <c r="D36" s="2" t="s">
        <v>85</v>
      </c>
      <c r="E36" s="12">
        <v>1</v>
      </c>
      <c r="F36" s="12" t="s">
        <v>11</v>
      </c>
      <c r="G36" s="2" t="s">
        <v>12</v>
      </c>
      <c r="H36" s="12" t="s">
        <v>13</v>
      </c>
    </row>
    <row r="37" spans="1:26" x14ac:dyDescent="0.25">
      <c r="A37" s="1" t="s">
        <v>43</v>
      </c>
      <c r="B37" s="2">
        <v>2</v>
      </c>
      <c r="C37" s="1" t="s">
        <v>86</v>
      </c>
      <c r="D37" s="2" t="s">
        <v>87</v>
      </c>
      <c r="E37" s="12">
        <v>2</v>
      </c>
      <c r="F37" s="12" t="s">
        <v>11</v>
      </c>
      <c r="G37" s="2" t="s">
        <v>12</v>
      </c>
      <c r="H37" s="12" t="s">
        <v>13</v>
      </c>
    </row>
    <row r="38" spans="1:26" s="13" customFormat="1" x14ac:dyDescent="0.25">
      <c r="A38" s="13" t="s">
        <v>43</v>
      </c>
      <c r="B38" s="14">
        <v>2</v>
      </c>
      <c r="C38" s="13" t="s">
        <v>88</v>
      </c>
      <c r="D38" s="14" t="s">
        <v>89</v>
      </c>
      <c r="E38" s="15">
        <v>2</v>
      </c>
      <c r="F38" s="15" t="s">
        <v>11</v>
      </c>
      <c r="G38" s="14" t="s">
        <v>40</v>
      </c>
      <c r="H38" s="15" t="s">
        <v>13</v>
      </c>
    </row>
    <row r="39" spans="1:26" s="13" customFormat="1" x14ac:dyDescent="0.25">
      <c r="A39" s="13" t="s">
        <v>43</v>
      </c>
      <c r="B39" s="14">
        <v>2</v>
      </c>
      <c r="C39" s="13" t="s">
        <v>90</v>
      </c>
      <c r="D39" s="14" t="s">
        <v>91</v>
      </c>
      <c r="E39" s="15">
        <v>1</v>
      </c>
      <c r="F39" s="15" t="s">
        <v>11</v>
      </c>
      <c r="G39" s="14" t="s">
        <v>40</v>
      </c>
      <c r="H39" s="15" t="s">
        <v>13</v>
      </c>
    </row>
    <row r="40" spans="1:26" s="13" customFormat="1" x14ac:dyDescent="0.25">
      <c r="A40" s="13" t="s">
        <v>43</v>
      </c>
      <c r="B40" s="14">
        <v>2</v>
      </c>
      <c r="C40" s="13" t="s">
        <v>92</v>
      </c>
      <c r="D40" s="14" t="s">
        <v>93</v>
      </c>
      <c r="E40" s="15">
        <v>2</v>
      </c>
      <c r="F40" s="15" t="s">
        <v>11</v>
      </c>
      <c r="G40" s="14" t="s">
        <v>40</v>
      </c>
      <c r="H40" s="15" t="s">
        <v>13</v>
      </c>
    </row>
    <row r="41" spans="1:26" s="13" customFormat="1" x14ac:dyDescent="0.25">
      <c r="A41" s="13" t="s">
        <v>43</v>
      </c>
      <c r="B41" s="14">
        <v>2</v>
      </c>
      <c r="C41" s="13" t="s">
        <v>94</v>
      </c>
      <c r="D41" s="14" t="s">
        <v>95</v>
      </c>
      <c r="E41" s="15">
        <v>2</v>
      </c>
      <c r="F41" s="15" t="s">
        <v>11</v>
      </c>
      <c r="G41" s="14" t="s">
        <v>40</v>
      </c>
      <c r="H41" s="15" t="s">
        <v>13</v>
      </c>
    </row>
    <row r="42" spans="1:26" x14ac:dyDescent="0.25">
      <c r="A42" s="1" t="s">
        <v>43</v>
      </c>
      <c r="B42" s="2">
        <v>2</v>
      </c>
      <c r="C42" s="1" t="s">
        <v>96</v>
      </c>
      <c r="D42" s="2" t="s">
        <v>97</v>
      </c>
      <c r="E42" s="2">
        <v>2</v>
      </c>
      <c r="F42" s="12" t="s">
        <v>11</v>
      </c>
      <c r="G42" s="2" t="s">
        <v>13</v>
      </c>
      <c r="H42" s="12" t="s">
        <v>13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1</v>
      </c>
      <c r="F43" s="17" t="s">
        <v>11</v>
      </c>
      <c r="G43" s="17" t="s">
        <v>13</v>
      </c>
      <c r="H43" s="17" t="s">
        <v>13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</v>
      </c>
      <c r="F44" s="17" t="s">
        <v>11</v>
      </c>
      <c r="G44" s="17" t="s">
        <v>13</v>
      </c>
      <c r="H44" s="17" t="s">
        <v>13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5.75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</v>
      </c>
      <c r="F45" s="17" t="s">
        <v>11</v>
      </c>
      <c r="G45" s="17" t="s">
        <v>13</v>
      </c>
      <c r="H45" s="17" t="s">
        <v>13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</v>
      </c>
      <c r="F46" s="17" t="s">
        <v>11</v>
      </c>
      <c r="G46" s="17" t="s">
        <v>13</v>
      </c>
      <c r="H46" s="17" t="s">
        <v>13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9" t="s">
        <v>107</v>
      </c>
      <c r="D47" s="10" t="s">
        <v>108</v>
      </c>
      <c r="E47" s="11">
        <v>1</v>
      </c>
      <c r="F47" s="11" t="s">
        <v>11</v>
      </c>
      <c r="G47" s="10" t="s">
        <v>12</v>
      </c>
      <c r="H47" s="11" t="s">
        <v>13</v>
      </c>
    </row>
    <row r="48" spans="1:26" x14ac:dyDescent="0.25">
      <c r="A48" s="1" t="s">
        <v>106</v>
      </c>
      <c r="B48" s="2">
        <v>3</v>
      </c>
      <c r="C48" s="1" t="s">
        <v>109</v>
      </c>
      <c r="D48" s="2" t="s">
        <v>110</v>
      </c>
      <c r="E48" s="12">
        <v>1</v>
      </c>
      <c r="F48" s="12" t="s">
        <v>11</v>
      </c>
      <c r="G48" s="2" t="s">
        <v>12</v>
      </c>
      <c r="H48" s="12" t="s">
        <v>13</v>
      </c>
    </row>
    <row r="49" spans="1:8" x14ac:dyDescent="0.25">
      <c r="A49" s="1" t="s">
        <v>106</v>
      </c>
      <c r="B49" s="2">
        <v>3</v>
      </c>
      <c r="C49" s="1" t="s">
        <v>111</v>
      </c>
      <c r="D49" s="2" t="s">
        <v>112</v>
      </c>
      <c r="E49" s="12">
        <v>2</v>
      </c>
      <c r="F49" s="12" t="s">
        <v>11</v>
      </c>
      <c r="G49" s="2" t="s">
        <v>12</v>
      </c>
      <c r="H49" s="12" t="s">
        <v>13</v>
      </c>
    </row>
    <row r="50" spans="1:8" x14ac:dyDescent="0.25">
      <c r="A50" s="1" t="s">
        <v>106</v>
      </c>
      <c r="B50" s="2">
        <v>3</v>
      </c>
      <c r="C50" s="1" t="s">
        <v>113</v>
      </c>
      <c r="D50" s="2" t="s">
        <v>114</v>
      </c>
      <c r="E50" s="12">
        <v>2</v>
      </c>
      <c r="F50" s="12" t="s">
        <v>11</v>
      </c>
      <c r="G50" s="2" t="s">
        <v>13</v>
      </c>
      <c r="H50" s="12" t="s">
        <v>13</v>
      </c>
    </row>
    <row r="51" spans="1:8" x14ac:dyDescent="0.25">
      <c r="A51" s="1" t="s">
        <v>106</v>
      </c>
      <c r="B51" s="2">
        <v>3</v>
      </c>
      <c r="C51" s="1" t="s">
        <v>115</v>
      </c>
      <c r="D51" s="2" t="s">
        <v>116</v>
      </c>
      <c r="E51" s="12">
        <v>2</v>
      </c>
      <c r="F51" s="12" t="s">
        <v>11</v>
      </c>
      <c r="G51" s="2" t="s">
        <v>12</v>
      </c>
      <c r="H51" s="12" t="s">
        <v>25</v>
      </c>
    </row>
    <row r="52" spans="1:8" x14ac:dyDescent="0.25">
      <c r="A52" s="1" t="s">
        <v>106</v>
      </c>
      <c r="B52" s="2">
        <v>3</v>
      </c>
      <c r="C52" s="1" t="s">
        <v>117</v>
      </c>
      <c r="D52" s="2" t="s">
        <v>118</v>
      </c>
      <c r="E52" s="12">
        <v>1</v>
      </c>
      <c r="F52" s="12" t="s">
        <v>11</v>
      </c>
      <c r="G52" s="2" t="s">
        <v>12</v>
      </c>
      <c r="H52" s="12" t="s">
        <v>13</v>
      </c>
    </row>
    <row r="53" spans="1:8" x14ac:dyDescent="0.25">
      <c r="A53" s="1" t="s">
        <v>106</v>
      </c>
      <c r="B53" s="2">
        <v>3</v>
      </c>
      <c r="C53" s="1" t="s">
        <v>119</v>
      </c>
      <c r="D53" s="2" t="s">
        <v>120</v>
      </c>
      <c r="E53" s="12">
        <v>2</v>
      </c>
      <c r="F53" s="12" t="s">
        <v>11</v>
      </c>
      <c r="G53" s="2" t="s">
        <v>13</v>
      </c>
      <c r="H53" s="12" t="s">
        <v>13</v>
      </c>
    </row>
    <row r="54" spans="1:8" x14ac:dyDescent="0.25">
      <c r="A54" s="1" t="s">
        <v>106</v>
      </c>
      <c r="B54" s="2">
        <v>3</v>
      </c>
      <c r="C54" s="1" t="s">
        <v>121</v>
      </c>
      <c r="D54" s="2" t="s">
        <v>122</v>
      </c>
      <c r="E54" s="12">
        <v>1</v>
      </c>
      <c r="F54" s="12" t="s">
        <v>11</v>
      </c>
      <c r="G54" s="2" t="s">
        <v>12</v>
      </c>
      <c r="H54" s="12" t="s">
        <v>13</v>
      </c>
    </row>
    <row r="55" spans="1:8" x14ac:dyDescent="0.25">
      <c r="A55" s="1" t="s">
        <v>106</v>
      </c>
      <c r="B55" s="2">
        <v>3</v>
      </c>
      <c r="C55" s="1" t="s">
        <v>123</v>
      </c>
      <c r="D55" s="2" t="s">
        <v>124</v>
      </c>
      <c r="E55" s="12">
        <v>1</v>
      </c>
      <c r="F55" s="12" t="s">
        <v>11</v>
      </c>
      <c r="G55" s="2" t="s">
        <v>12</v>
      </c>
      <c r="H55" s="12" t="s">
        <v>13</v>
      </c>
    </row>
    <row r="56" spans="1:8" x14ac:dyDescent="0.25">
      <c r="A56" s="1" t="s">
        <v>106</v>
      </c>
      <c r="B56" s="2">
        <v>3</v>
      </c>
      <c r="C56" s="1" t="s">
        <v>125</v>
      </c>
      <c r="D56" s="2" t="s">
        <v>126</v>
      </c>
      <c r="E56" s="12">
        <v>1</v>
      </c>
      <c r="F56" s="12" t="s">
        <v>11</v>
      </c>
      <c r="G56" s="2" t="s">
        <v>12</v>
      </c>
      <c r="H56" s="12" t="s">
        <v>13</v>
      </c>
    </row>
    <row r="57" spans="1:8" x14ac:dyDescent="0.25">
      <c r="A57" s="1" t="s">
        <v>106</v>
      </c>
      <c r="B57" s="2">
        <v>3</v>
      </c>
      <c r="C57" s="1" t="s">
        <v>127</v>
      </c>
      <c r="D57" s="2" t="s">
        <v>128</v>
      </c>
      <c r="E57" s="12">
        <v>2</v>
      </c>
      <c r="F57" s="12" t="s">
        <v>11</v>
      </c>
      <c r="G57" s="2" t="s">
        <v>12</v>
      </c>
      <c r="H57" s="12" t="s">
        <v>13</v>
      </c>
    </row>
    <row r="58" spans="1:8" x14ac:dyDescent="0.25">
      <c r="A58" s="1" t="s">
        <v>106</v>
      </c>
      <c r="B58" s="2">
        <v>3</v>
      </c>
      <c r="C58" s="1" t="s">
        <v>129</v>
      </c>
      <c r="D58" s="2" t="s">
        <v>130</v>
      </c>
      <c r="E58" s="12">
        <v>1</v>
      </c>
      <c r="F58" s="12" t="s">
        <v>11</v>
      </c>
      <c r="G58" s="2" t="s">
        <v>12</v>
      </c>
      <c r="H58" s="12" t="s">
        <v>13</v>
      </c>
    </row>
    <row r="59" spans="1:8" x14ac:dyDescent="0.25">
      <c r="A59" s="1" t="s">
        <v>106</v>
      </c>
      <c r="B59" s="2">
        <v>3</v>
      </c>
      <c r="C59" s="1" t="s">
        <v>131</v>
      </c>
      <c r="D59" s="2" t="s">
        <v>132</v>
      </c>
      <c r="E59" s="12">
        <v>1</v>
      </c>
      <c r="F59" s="12" t="s">
        <v>11</v>
      </c>
      <c r="G59" s="2" t="s">
        <v>12</v>
      </c>
      <c r="H59" s="12" t="s">
        <v>13</v>
      </c>
    </row>
    <row r="60" spans="1:8" x14ac:dyDescent="0.25">
      <c r="A60" s="1" t="s">
        <v>106</v>
      </c>
      <c r="B60" s="2">
        <v>3</v>
      </c>
      <c r="C60" s="1" t="s">
        <v>133</v>
      </c>
      <c r="D60" s="2" t="s">
        <v>134</v>
      </c>
      <c r="E60" s="12">
        <v>2</v>
      </c>
      <c r="F60" s="12" t="s">
        <v>11</v>
      </c>
      <c r="G60" s="2" t="s">
        <v>12</v>
      </c>
      <c r="H60" s="12" t="s">
        <v>13</v>
      </c>
    </row>
    <row r="61" spans="1:8" x14ac:dyDescent="0.25">
      <c r="A61" s="1" t="s">
        <v>106</v>
      </c>
      <c r="B61" s="2">
        <v>3</v>
      </c>
      <c r="C61" s="1" t="s">
        <v>135</v>
      </c>
      <c r="D61" s="2" t="s">
        <v>136</v>
      </c>
      <c r="E61" s="12">
        <v>2</v>
      </c>
      <c r="F61" s="12" t="s">
        <v>11</v>
      </c>
      <c r="G61" s="2" t="s">
        <v>12</v>
      </c>
      <c r="H61" s="12" t="s">
        <v>13</v>
      </c>
    </row>
    <row r="62" spans="1:8" s="13" customFormat="1" x14ac:dyDescent="0.25">
      <c r="A62" s="13" t="s">
        <v>106</v>
      </c>
      <c r="B62" s="14">
        <v>3</v>
      </c>
      <c r="C62" s="13" t="s">
        <v>137</v>
      </c>
      <c r="D62" s="14" t="s">
        <v>138</v>
      </c>
      <c r="E62" s="15">
        <v>2</v>
      </c>
      <c r="F62" s="15" t="s">
        <v>11</v>
      </c>
      <c r="G62" s="14" t="s">
        <v>40</v>
      </c>
      <c r="H62" s="15" t="s">
        <v>13</v>
      </c>
    </row>
    <row r="63" spans="1:8" s="13" customFormat="1" x14ac:dyDescent="0.25">
      <c r="A63" s="13" t="s">
        <v>106</v>
      </c>
      <c r="B63" s="14">
        <v>3</v>
      </c>
      <c r="C63" s="13" t="s">
        <v>139</v>
      </c>
      <c r="D63" s="14" t="s">
        <v>140</v>
      </c>
      <c r="E63" s="15">
        <v>2</v>
      </c>
      <c r="F63" s="15" t="s">
        <v>11</v>
      </c>
      <c r="G63" s="14" t="s">
        <v>40</v>
      </c>
      <c r="H63" s="15" t="s">
        <v>13</v>
      </c>
    </row>
    <row r="64" spans="1:8" s="13" customFormat="1" x14ac:dyDescent="0.25">
      <c r="A64" s="13" t="s">
        <v>106</v>
      </c>
      <c r="B64" s="14">
        <v>3</v>
      </c>
      <c r="C64" s="13" t="s">
        <v>141</v>
      </c>
      <c r="D64" s="14" t="s">
        <v>142</v>
      </c>
      <c r="E64" s="15">
        <v>2</v>
      </c>
      <c r="F64" s="15" t="s">
        <v>11</v>
      </c>
      <c r="G64" s="14" t="s">
        <v>40</v>
      </c>
      <c r="H64" s="15" t="s">
        <v>13</v>
      </c>
    </row>
    <row r="65" spans="1:26" x14ac:dyDescent="0.25">
      <c r="A65" s="1" t="s">
        <v>106</v>
      </c>
      <c r="B65" s="2">
        <v>3</v>
      </c>
      <c r="C65" s="1" t="s">
        <v>143</v>
      </c>
      <c r="D65" s="2" t="s">
        <v>144</v>
      </c>
      <c r="E65" s="12">
        <v>3</v>
      </c>
      <c r="F65" s="12" t="s">
        <v>11</v>
      </c>
      <c r="G65" s="2" t="s">
        <v>12</v>
      </c>
      <c r="H65" s="12" t="s">
        <v>13</v>
      </c>
    </row>
    <row r="66" spans="1:26" s="18" customFormat="1" ht="15.75" customHeight="1" x14ac:dyDescent="0.25">
      <c r="A66" s="16" t="s">
        <v>106</v>
      </c>
      <c r="B66" s="17">
        <v>3</v>
      </c>
      <c r="C66" s="16" t="s">
        <v>145</v>
      </c>
      <c r="D66" s="17" t="s">
        <v>146</v>
      </c>
      <c r="E66" s="17">
        <v>1</v>
      </c>
      <c r="F66" s="17" t="s">
        <v>11</v>
      </c>
      <c r="G66" s="17" t="s">
        <v>13</v>
      </c>
      <c r="H66" s="17" t="s">
        <v>13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147</v>
      </c>
      <c r="D67" s="17" t="s">
        <v>148</v>
      </c>
      <c r="E67" s="17">
        <v>1</v>
      </c>
      <c r="F67" s="17" t="s">
        <v>11</v>
      </c>
      <c r="G67" s="17" t="s">
        <v>13</v>
      </c>
      <c r="H67" s="17" t="s">
        <v>13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149</v>
      </c>
      <c r="D68" s="17" t="s">
        <v>150</v>
      </c>
      <c r="E68" s="17">
        <v>1</v>
      </c>
      <c r="F68" s="17" t="s">
        <v>11</v>
      </c>
      <c r="G68" s="17" t="s">
        <v>13</v>
      </c>
      <c r="H68" s="17" t="s">
        <v>13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151</v>
      </c>
      <c r="D69" s="17" t="s">
        <v>152</v>
      </c>
      <c r="E69" s="17">
        <v>1</v>
      </c>
      <c r="F69" s="17" t="s">
        <v>11</v>
      </c>
      <c r="G69" s="17" t="s">
        <v>13</v>
      </c>
      <c r="H69" s="17" t="s">
        <v>13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153</v>
      </c>
      <c r="D70" s="17" t="s">
        <v>154</v>
      </c>
      <c r="E70" s="17">
        <v>1</v>
      </c>
      <c r="F70" s="17" t="s">
        <v>11</v>
      </c>
      <c r="G70" s="17" t="s">
        <v>13</v>
      </c>
      <c r="H70" s="17" t="s">
        <v>13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6" t="s">
        <v>106</v>
      </c>
      <c r="B71" s="17">
        <v>3</v>
      </c>
      <c r="C71" s="16" t="s">
        <v>155</v>
      </c>
      <c r="D71" s="17" t="s">
        <v>156</v>
      </c>
      <c r="E71" s="17">
        <v>1</v>
      </c>
      <c r="F71" s="17" t="s">
        <v>11</v>
      </c>
      <c r="G71" s="17" t="s">
        <v>13</v>
      </c>
      <c r="H71" s="17" t="s">
        <v>13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9" t="s">
        <v>157</v>
      </c>
      <c r="B72" s="10">
        <v>4</v>
      </c>
      <c r="C72" s="20" t="s">
        <v>158</v>
      </c>
      <c r="D72" s="10" t="s">
        <v>159</v>
      </c>
      <c r="E72" s="11">
        <v>1</v>
      </c>
      <c r="F72" s="11" t="s">
        <v>11</v>
      </c>
      <c r="G72" s="10" t="s">
        <v>12</v>
      </c>
      <c r="H72" s="11" t="s">
        <v>13</v>
      </c>
    </row>
    <row r="73" spans="1:26" x14ac:dyDescent="0.25">
      <c r="A73" s="21" t="s">
        <v>157</v>
      </c>
      <c r="B73" s="2">
        <v>4</v>
      </c>
      <c r="C73" s="1" t="s">
        <v>160</v>
      </c>
      <c r="D73" s="2" t="s">
        <v>161</v>
      </c>
      <c r="E73" s="12">
        <v>2</v>
      </c>
      <c r="F73" s="12" t="s">
        <v>11</v>
      </c>
      <c r="G73" s="2" t="s">
        <v>12</v>
      </c>
      <c r="H73" s="12" t="s">
        <v>25</v>
      </c>
    </row>
    <row r="74" spans="1:26" x14ac:dyDescent="0.25">
      <c r="A74" s="21" t="s">
        <v>157</v>
      </c>
      <c r="B74" s="2">
        <v>4</v>
      </c>
      <c r="C74" s="1" t="s">
        <v>162</v>
      </c>
      <c r="D74" s="2" t="s">
        <v>163</v>
      </c>
      <c r="E74" s="12">
        <v>1</v>
      </c>
      <c r="F74" s="12" t="s">
        <v>11</v>
      </c>
      <c r="G74" s="2" t="s">
        <v>164</v>
      </c>
      <c r="H74" s="12" t="s">
        <v>13</v>
      </c>
    </row>
    <row r="75" spans="1:26" x14ac:dyDescent="0.25">
      <c r="A75" s="21" t="s">
        <v>157</v>
      </c>
      <c r="B75" s="2">
        <v>4</v>
      </c>
      <c r="C75" s="1" t="s">
        <v>165</v>
      </c>
      <c r="D75" s="2" t="s">
        <v>166</v>
      </c>
      <c r="E75" s="12">
        <v>1</v>
      </c>
      <c r="F75" s="12" t="s">
        <v>11</v>
      </c>
      <c r="G75" s="2" t="s">
        <v>12</v>
      </c>
      <c r="H75" s="12" t="s">
        <v>13</v>
      </c>
    </row>
    <row r="76" spans="1:26" x14ac:dyDescent="0.25">
      <c r="A76" s="21" t="s">
        <v>157</v>
      </c>
      <c r="B76" s="2">
        <v>4</v>
      </c>
      <c r="C76" s="1" t="s">
        <v>167</v>
      </c>
      <c r="D76" s="2" t="s">
        <v>168</v>
      </c>
      <c r="E76" s="12">
        <v>1</v>
      </c>
      <c r="F76" s="12" t="s">
        <v>11</v>
      </c>
      <c r="G76" s="2" t="s">
        <v>12</v>
      </c>
      <c r="H76" s="12" t="s">
        <v>13</v>
      </c>
    </row>
    <row r="77" spans="1:26" x14ac:dyDescent="0.25">
      <c r="A77" s="21" t="s">
        <v>157</v>
      </c>
      <c r="B77" s="2">
        <v>4</v>
      </c>
      <c r="C77" s="1" t="s">
        <v>169</v>
      </c>
      <c r="D77" s="2" t="s">
        <v>170</v>
      </c>
      <c r="E77" s="12">
        <v>2</v>
      </c>
      <c r="F77" s="12" t="s">
        <v>11</v>
      </c>
      <c r="G77" s="2" t="s">
        <v>13</v>
      </c>
      <c r="H77" s="12" t="s">
        <v>13</v>
      </c>
    </row>
    <row r="78" spans="1:26" x14ac:dyDescent="0.25">
      <c r="A78" s="21" t="s">
        <v>157</v>
      </c>
      <c r="B78" s="2">
        <v>4</v>
      </c>
      <c r="C78" s="1" t="s">
        <v>171</v>
      </c>
      <c r="D78" s="2" t="s">
        <v>172</v>
      </c>
      <c r="E78" s="12">
        <v>3</v>
      </c>
      <c r="F78" s="12" t="s">
        <v>11</v>
      </c>
      <c r="G78" s="2" t="s">
        <v>13</v>
      </c>
      <c r="H78" s="12" t="s">
        <v>25</v>
      </c>
    </row>
    <row r="79" spans="1:26" ht="18" customHeight="1" x14ac:dyDescent="0.25">
      <c r="A79" s="21" t="s">
        <v>157</v>
      </c>
      <c r="B79" s="2">
        <v>4</v>
      </c>
      <c r="C79" s="1" t="s">
        <v>173</v>
      </c>
      <c r="D79" s="2" t="s">
        <v>174</v>
      </c>
      <c r="E79" s="12">
        <v>3</v>
      </c>
      <c r="F79" s="12" t="s">
        <v>11</v>
      </c>
      <c r="G79" s="2" t="s">
        <v>12</v>
      </c>
      <c r="H79" s="12" t="s">
        <v>13</v>
      </c>
    </row>
    <row r="80" spans="1:26" s="18" customFormat="1" ht="15.75" customHeight="1" x14ac:dyDescent="0.25">
      <c r="A80" s="16" t="s">
        <v>157</v>
      </c>
      <c r="B80" s="17">
        <v>4</v>
      </c>
      <c r="C80" s="16" t="s">
        <v>175</v>
      </c>
      <c r="D80" s="17" t="s">
        <v>176</v>
      </c>
      <c r="E80" s="17">
        <v>1</v>
      </c>
      <c r="F80" s="17" t="s">
        <v>11</v>
      </c>
      <c r="G80" s="17" t="s">
        <v>13</v>
      </c>
      <c r="H80" s="17" t="s">
        <v>13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157</v>
      </c>
      <c r="B81" s="17">
        <v>4</v>
      </c>
      <c r="C81" s="16" t="s">
        <v>177</v>
      </c>
      <c r="D81" s="17" t="s">
        <v>178</v>
      </c>
      <c r="E81" s="17">
        <v>1</v>
      </c>
      <c r="F81" s="17" t="s">
        <v>11</v>
      </c>
      <c r="G81" s="17" t="s">
        <v>13</v>
      </c>
      <c r="H81" s="17" t="s">
        <v>13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157</v>
      </c>
      <c r="B82" s="17">
        <v>4</v>
      </c>
      <c r="C82" s="16" t="s">
        <v>179</v>
      </c>
      <c r="D82" s="17" t="s">
        <v>180</v>
      </c>
      <c r="E82" s="17">
        <v>1</v>
      </c>
      <c r="F82" s="17" t="s">
        <v>11</v>
      </c>
      <c r="G82" s="17" t="s">
        <v>13</v>
      </c>
      <c r="H82" s="17" t="s">
        <v>13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157</v>
      </c>
      <c r="B83" s="17">
        <v>4</v>
      </c>
      <c r="C83" s="16" t="s">
        <v>181</v>
      </c>
      <c r="D83" s="17" t="s">
        <v>182</v>
      </c>
      <c r="E83" s="17">
        <v>1</v>
      </c>
      <c r="F83" s="17" t="s">
        <v>11</v>
      </c>
      <c r="G83" s="17" t="s">
        <v>13</v>
      </c>
      <c r="H83" s="17" t="s">
        <v>13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6" t="s">
        <v>157</v>
      </c>
      <c r="B84" s="17">
        <v>4</v>
      </c>
      <c r="C84" s="16" t="s">
        <v>183</v>
      </c>
      <c r="D84" s="17" t="s">
        <v>184</v>
      </c>
      <c r="E84" s="17">
        <v>1</v>
      </c>
      <c r="F84" s="17" t="s">
        <v>11</v>
      </c>
      <c r="G84" s="17" t="s">
        <v>13</v>
      </c>
      <c r="H84" s="17" t="s">
        <v>13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18" customFormat="1" ht="15.75" customHeight="1" x14ac:dyDescent="0.25">
      <c r="A85" s="16" t="s">
        <v>157</v>
      </c>
      <c r="B85" s="17">
        <v>4</v>
      </c>
      <c r="C85" s="16" t="s">
        <v>185</v>
      </c>
      <c r="D85" s="17" t="s">
        <v>186</v>
      </c>
      <c r="E85" s="17">
        <v>1</v>
      </c>
      <c r="F85" s="17" t="s">
        <v>11</v>
      </c>
      <c r="G85" s="17" t="s">
        <v>13</v>
      </c>
      <c r="H85" s="17" t="s">
        <v>13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9" customFormat="1" x14ac:dyDescent="0.25">
      <c r="A86" s="19" t="s">
        <v>187</v>
      </c>
      <c r="B86" s="10">
        <v>5</v>
      </c>
      <c r="C86" s="9" t="s">
        <v>188</v>
      </c>
      <c r="D86" s="10" t="s">
        <v>189</v>
      </c>
      <c r="E86" s="11">
        <v>1</v>
      </c>
      <c r="F86" s="11" t="s">
        <v>11</v>
      </c>
      <c r="G86" s="10" t="s">
        <v>12</v>
      </c>
      <c r="H86" s="11" t="s">
        <v>13</v>
      </c>
    </row>
    <row r="87" spans="1:26" x14ac:dyDescent="0.25">
      <c r="A87" s="21" t="s">
        <v>187</v>
      </c>
      <c r="B87" s="2">
        <v>5</v>
      </c>
      <c r="C87" s="1" t="s">
        <v>190</v>
      </c>
      <c r="D87" s="2" t="s">
        <v>191</v>
      </c>
      <c r="E87" s="12">
        <v>2</v>
      </c>
      <c r="F87" s="12" t="s">
        <v>11</v>
      </c>
      <c r="G87" s="2" t="s">
        <v>12</v>
      </c>
      <c r="H87" s="12" t="s">
        <v>13</v>
      </c>
    </row>
    <row r="88" spans="1:26" x14ac:dyDescent="0.25">
      <c r="A88" s="21" t="s">
        <v>187</v>
      </c>
      <c r="B88" s="2">
        <v>5</v>
      </c>
      <c r="C88" s="1" t="s">
        <v>192</v>
      </c>
      <c r="D88" s="2" t="s">
        <v>193</v>
      </c>
      <c r="E88" s="12">
        <v>2</v>
      </c>
      <c r="F88" s="12" t="s">
        <v>11</v>
      </c>
      <c r="G88" s="2" t="s">
        <v>12</v>
      </c>
      <c r="H88" s="12" t="s">
        <v>13</v>
      </c>
    </row>
    <row r="89" spans="1:26" x14ac:dyDescent="0.25">
      <c r="A89" s="21" t="s">
        <v>187</v>
      </c>
      <c r="B89" s="2">
        <v>5</v>
      </c>
      <c r="C89" s="1" t="s">
        <v>194</v>
      </c>
      <c r="D89" s="2" t="s">
        <v>195</v>
      </c>
      <c r="E89" s="12">
        <v>3</v>
      </c>
      <c r="F89" s="12" t="s">
        <v>11</v>
      </c>
      <c r="G89" s="2" t="s">
        <v>12</v>
      </c>
      <c r="H89" s="12" t="s">
        <v>13</v>
      </c>
    </row>
    <row r="90" spans="1:26" x14ac:dyDescent="0.25">
      <c r="A90" s="21" t="s">
        <v>187</v>
      </c>
      <c r="B90" s="2">
        <v>5</v>
      </c>
      <c r="C90" s="1" t="s">
        <v>196</v>
      </c>
      <c r="D90" s="2" t="s">
        <v>197</v>
      </c>
      <c r="E90" s="12">
        <v>1</v>
      </c>
      <c r="F90" s="12" t="s">
        <v>11</v>
      </c>
      <c r="G90" s="2" t="s">
        <v>12</v>
      </c>
      <c r="H90" s="12" t="s">
        <v>13</v>
      </c>
    </row>
    <row r="91" spans="1:26" x14ac:dyDescent="0.25">
      <c r="A91" s="21" t="s">
        <v>187</v>
      </c>
      <c r="B91" s="2">
        <v>5</v>
      </c>
      <c r="C91" s="1" t="s">
        <v>198</v>
      </c>
      <c r="D91" s="2" t="s">
        <v>199</v>
      </c>
      <c r="E91" s="2">
        <v>1</v>
      </c>
      <c r="F91" s="12" t="s">
        <v>11</v>
      </c>
      <c r="G91" s="2" t="s">
        <v>12</v>
      </c>
      <c r="H91" s="12" t="s">
        <v>13</v>
      </c>
    </row>
    <row r="92" spans="1:26" s="13" customFormat="1" x14ac:dyDescent="0.25">
      <c r="A92" s="13" t="s">
        <v>187</v>
      </c>
      <c r="B92" s="14">
        <v>5</v>
      </c>
      <c r="C92" s="13" t="s">
        <v>200</v>
      </c>
      <c r="D92" s="14" t="s">
        <v>201</v>
      </c>
      <c r="E92" s="14">
        <v>1</v>
      </c>
      <c r="F92" s="15" t="s">
        <v>11</v>
      </c>
      <c r="G92" s="14" t="s">
        <v>40</v>
      </c>
      <c r="H92" s="15" t="s">
        <v>13</v>
      </c>
    </row>
    <row r="93" spans="1:26" x14ac:dyDescent="0.25">
      <c r="A93" s="21" t="s">
        <v>187</v>
      </c>
      <c r="B93" s="2">
        <v>5</v>
      </c>
      <c r="C93" s="1" t="s">
        <v>202</v>
      </c>
      <c r="D93" s="2" t="s">
        <v>203</v>
      </c>
      <c r="E93" s="12">
        <v>1</v>
      </c>
      <c r="F93" s="12" t="s">
        <v>11</v>
      </c>
      <c r="G93" s="2" t="s">
        <v>13</v>
      </c>
      <c r="H93" s="12" t="s">
        <v>13</v>
      </c>
    </row>
    <row r="94" spans="1:26" x14ac:dyDescent="0.25">
      <c r="A94" s="21" t="s">
        <v>187</v>
      </c>
      <c r="B94" s="2">
        <v>5</v>
      </c>
      <c r="C94" s="1" t="s">
        <v>204</v>
      </c>
      <c r="D94" s="2" t="s">
        <v>205</v>
      </c>
      <c r="E94" s="12">
        <v>2</v>
      </c>
      <c r="F94" s="12" t="s">
        <v>11</v>
      </c>
      <c r="G94" s="2" t="s">
        <v>12</v>
      </c>
      <c r="H94" s="12" t="s">
        <v>13</v>
      </c>
    </row>
    <row r="95" spans="1:26" x14ac:dyDescent="0.25">
      <c r="A95" s="21" t="s">
        <v>187</v>
      </c>
      <c r="B95" s="2">
        <v>5</v>
      </c>
      <c r="C95" s="1" t="s">
        <v>206</v>
      </c>
      <c r="D95" s="2" t="s">
        <v>207</v>
      </c>
      <c r="E95" s="12">
        <v>3</v>
      </c>
      <c r="F95" s="12" t="s">
        <v>11</v>
      </c>
      <c r="G95" s="2" t="s">
        <v>12</v>
      </c>
      <c r="H95" s="12" t="s">
        <v>13</v>
      </c>
    </row>
    <row r="96" spans="1:26" x14ac:dyDescent="0.25">
      <c r="A96" s="21" t="s">
        <v>187</v>
      </c>
      <c r="B96" s="2">
        <v>5</v>
      </c>
      <c r="C96" s="1" t="s">
        <v>208</v>
      </c>
      <c r="D96" s="2" t="s">
        <v>209</v>
      </c>
      <c r="E96" s="12">
        <v>1</v>
      </c>
      <c r="F96" s="12" t="s">
        <v>11</v>
      </c>
      <c r="G96" s="2" t="s">
        <v>13</v>
      </c>
      <c r="H96" s="12" t="s">
        <v>13</v>
      </c>
    </row>
    <row r="97" spans="1:8" x14ac:dyDescent="0.25">
      <c r="A97" s="21" t="s">
        <v>187</v>
      </c>
      <c r="B97" s="2">
        <v>5</v>
      </c>
      <c r="C97" s="1" t="s">
        <v>210</v>
      </c>
      <c r="D97" s="2" t="s">
        <v>211</v>
      </c>
      <c r="E97" s="12">
        <v>2</v>
      </c>
      <c r="F97" s="12" t="s">
        <v>11</v>
      </c>
      <c r="G97" s="2" t="s">
        <v>12</v>
      </c>
      <c r="H97" s="12" t="s">
        <v>13</v>
      </c>
    </row>
    <row r="98" spans="1:8" s="13" customFormat="1" x14ac:dyDescent="0.25">
      <c r="A98" s="13" t="s">
        <v>187</v>
      </c>
      <c r="B98" s="14">
        <v>5</v>
      </c>
      <c r="C98" s="13" t="s">
        <v>212</v>
      </c>
      <c r="D98" s="14" t="s">
        <v>213</v>
      </c>
      <c r="E98" s="15">
        <v>1</v>
      </c>
      <c r="F98" s="15" t="s">
        <v>11</v>
      </c>
      <c r="G98" s="14" t="s">
        <v>40</v>
      </c>
      <c r="H98" s="15" t="s">
        <v>13</v>
      </c>
    </row>
    <row r="99" spans="1:8" x14ac:dyDescent="0.25">
      <c r="A99" s="21" t="s">
        <v>187</v>
      </c>
      <c r="B99" s="2">
        <v>5</v>
      </c>
      <c r="C99" s="1" t="s">
        <v>214</v>
      </c>
      <c r="D99" s="2" t="s">
        <v>215</v>
      </c>
      <c r="E99" s="12">
        <v>1</v>
      </c>
      <c r="F99" s="12" t="s">
        <v>11</v>
      </c>
      <c r="G99" s="2" t="s">
        <v>12</v>
      </c>
      <c r="H99" s="12" t="s">
        <v>13</v>
      </c>
    </row>
    <row r="100" spans="1:8" s="13" customFormat="1" x14ac:dyDescent="0.25">
      <c r="A100" s="13" t="s">
        <v>187</v>
      </c>
      <c r="B100" s="14">
        <v>5</v>
      </c>
      <c r="C100" s="13" t="s">
        <v>216</v>
      </c>
      <c r="D100" s="14" t="s">
        <v>217</v>
      </c>
      <c r="E100" s="14">
        <v>1</v>
      </c>
      <c r="F100" s="14" t="s">
        <v>11</v>
      </c>
      <c r="G100" s="14" t="s">
        <v>40</v>
      </c>
      <c r="H100" s="15" t="s">
        <v>13</v>
      </c>
    </row>
    <row r="101" spans="1:8" s="13" customFormat="1" x14ac:dyDescent="0.25">
      <c r="A101" s="13" t="s">
        <v>187</v>
      </c>
      <c r="B101" s="14">
        <v>5</v>
      </c>
      <c r="C101" s="13" t="s">
        <v>218</v>
      </c>
      <c r="D101" s="14" t="s">
        <v>219</v>
      </c>
      <c r="E101" s="14">
        <v>1</v>
      </c>
      <c r="F101" s="14" t="s">
        <v>11</v>
      </c>
      <c r="G101" s="14" t="s">
        <v>40</v>
      </c>
      <c r="H101" s="15" t="s">
        <v>13</v>
      </c>
    </row>
    <row r="102" spans="1:8" x14ac:dyDescent="0.25">
      <c r="A102" s="21" t="s">
        <v>187</v>
      </c>
      <c r="B102" s="2">
        <v>5</v>
      </c>
      <c r="C102" s="1" t="s">
        <v>220</v>
      </c>
      <c r="D102" s="2" t="s">
        <v>221</v>
      </c>
      <c r="E102" s="12">
        <v>1</v>
      </c>
      <c r="F102" s="12" t="s">
        <v>11</v>
      </c>
      <c r="G102" s="2" t="s">
        <v>13</v>
      </c>
      <c r="H102" s="12" t="s">
        <v>13</v>
      </c>
    </row>
    <row r="103" spans="1:8" x14ac:dyDescent="0.25">
      <c r="A103" s="21" t="s">
        <v>187</v>
      </c>
      <c r="B103" s="2">
        <v>5</v>
      </c>
      <c r="C103" s="1" t="s">
        <v>222</v>
      </c>
      <c r="D103" s="2" t="s">
        <v>223</v>
      </c>
      <c r="E103" s="12">
        <v>1</v>
      </c>
      <c r="F103" s="12" t="s">
        <v>11</v>
      </c>
      <c r="G103" s="2" t="s">
        <v>12</v>
      </c>
      <c r="H103" s="12" t="s">
        <v>13</v>
      </c>
    </row>
    <row r="104" spans="1:8" x14ac:dyDescent="0.25">
      <c r="A104" s="21" t="s">
        <v>187</v>
      </c>
      <c r="B104" s="2">
        <v>5</v>
      </c>
      <c r="C104" s="1" t="s">
        <v>224</v>
      </c>
      <c r="D104" s="2" t="s">
        <v>225</v>
      </c>
      <c r="E104" s="2">
        <v>1</v>
      </c>
      <c r="F104" s="12" t="s">
        <v>11</v>
      </c>
      <c r="G104" s="2" t="s">
        <v>12</v>
      </c>
      <c r="H104" s="12" t="s">
        <v>13</v>
      </c>
    </row>
    <row r="105" spans="1:8" x14ac:dyDescent="0.25">
      <c r="A105" s="21" t="s">
        <v>187</v>
      </c>
      <c r="B105" s="2">
        <v>5</v>
      </c>
      <c r="C105" s="1" t="s">
        <v>226</v>
      </c>
      <c r="D105" s="2" t="s">
        <v>227</v>
      </c>
      <c r="E105" s="2">
        <v>3</v>
      </c>
      <c r="F105" s="12" t="s">
        <v>11</v>
      </c>
      <c r="G105" s="2" t="s">
        <v>13</v>
      </c>
      <c r="H105" s="12" t="s">
        <v>13</v>
      </c>
    </row>
    <row r="106" spans="1:8" x14ac:dyDescent="0.25">
      <c r="A106" s="21" t="s">
        <v>187</v>
      </c>
      <c r="B106" s="2">
        <v>5</v>
      </c>
      <c r="C106" s="1" t="s">
        <v>228</v>
      </c>
      <c r="D106" s="2" t="s">
        <v>229</v>
      </c>
      <c r="E106" s="2">
        <v>1</v>
      </c>
      <c r="F106" s="2" t="s">
        <v>11</v>
      </c>
      <c r="G106" s="2" t="s">
        <v>13</v>
      </c>
      <c r="H106" s="12" t="s">
        <v>13</v>
      </c>
    </row>
    <row r="107" spans="1:8" s="13" customFormat="1" x14ac:dyDescent="0.25">
      <c r="A107" s="13" t="s">
        <v>230</v>
      </c>
      <c r="B107" s="14">
        <v>5</v>
      </c>
      <c r="C107" s="13" t="s">
        <v>231</v>
      </c>
      <c r="D107" s="14" t="s">
        <v>232</v>
      </c>
      <c r="E107" s="14">
        <v>1</v>
      </c>
      <c r="F107" s="15" t="s">
        <v>11</v>
      </c>
      <c r="G107" s="2" t="s">
        <v>13</v>
      </c>
      <c r="H107" s="15" t="s">
        <v>13</v>
      </c>
    </row>
    <row r="108" spans="1:8" x14ac:dyDescent="0.25">
      <c r="A108" s="21" t="s">
        <v>187</v>
      </c>
      <c r="B108" s="2">
        <v>5</v>
      </c>
      <c r="C108" s="1" t="s">
        <v>233</v>
      </c>
      <c r="D108" s="2" t="s">
        <v>234</v>
      </c>
      <c r="E108" s="12">
        <v>2</v>
      </c>
      <c r="F108" s="12" t="s">
        <v>11</v>
      </c>
      <c r="G108" s="2" t="s">
        <v>13</v>
      </c>
      <c r="H108" s="12" t="s">
        <v>13</v>
      </c>
    </row>
    <row r="109" spans="1:8" x14ac:dyDescent="0.25">
      <c r="A109" s="21" t="s">
        <v>187</v>
      </c>
      <c r="B109" s="2">
        <v>5</v>
      </c>
      <c r="C109" s="1" t="s">
        <v>235</v>
      </c>
      <c r="D109" s="2" t="s">
        <v>236</v>
      </c>
      <c r="E109" s="12">
        <v>1</v>
      </c>
      <c r="F109" s="12" t="s">
        <v>11</v>
      </c>
      <c r="G109" s="2" t="s">
        <v>12</v>
      </c>
      <c r="H109" s="12" t="s">
        <v>13</v>
      </c>
    </row>
    <row r="110" spans="1:8" x14ac:dyDescent="0.25">
      <c r="A110" s="21" t="s">
        <v>187</v>
      </c>
      <c r="B110" s="2">
        <v>5</v>
      </c>
      <c r="C110" s="1" t="s">
        <v>237</v>
      </c>
      <c r="D110" s="2" t="s">
        <v>238</v>
      </c>
      <c r="E110" s="2">
        <v>1</v>
      </c>
      <c r="F110" s="12" t="s">
        <v>11</v>
      </c>
      <c r="G110" s="2" t="s">
        <v>13</v>
      </c>
      <c r="H110" s="12" t="s">
        <v>13</v>
      </c>
    </row>
    <row r="111" spans="1:8" x14ac:dyDescent="0.25">
      <c r="A111" s="21" t="s">
        <v>187</v>
      </c>
      <c r="B111" s="2">
        <v>5</v>
      </c>
      <c r="C111" s="1" t="s">
        <v>239</v>
      </c>
      <c r="D111" s="2" t="s">
        <v>240</v>
      </c>
      <c r="E111" s="2">
        <v>3</v>
      </c>
      <c r="F111" s="12" t="s">
        <v>11</v>
      </c>
      <c r="G111" s="2" t="s">
        <v>13</v>
      </c>
      <c r="H111" s="12" t="s">
        <v>13</v>
      </c>
    </row>
    <row r="112" spans="1:8" x14ac:dyDescent="0.25">
      <c r="A112" s="21" t="s">
        <v>187</v>
      </c>
      <c r="B112" s="2">
        <v>5</v>
      </c>
      <c r="C112" s="1" t="s">
        <v>241</v>
      </c>
      <c r="D112" s="2" t="s">
        <v>242</v>
      </c>
      <c r="E112" s="12">
        <v>1</v>
      </c>
      <c r="F112" s="12" t="s">
        <v>11</v>
      </c>
      <c r="G112" s="2" t="s">
        <v>12</v>
      </c>
      <c r="H112" s="12" t="s">
        <v>13</v>
      </c>
    </row>
    <row r="113" spans="1:26" x14ac:dyDescent="0.25">
      <c r="A113" s="21" t="s">
        <v>187</v>
      </c>
      <c r="B113" s="2">
        <v>5</v>
      </c>
      <c r="C113" s="1" t="s">
        <v>243</v>
      </c>
      <c r="D113" s="2" t="s">
        <v>244</v>
      </c>
      <c r="E113" s="2">
        <v>1</v>
      </c>
      <c r="F113" s="12" t="s">
        <v>11</v>
      </c>
      <c r="G113" s="2" t="s">
        <v>12</v>
      </c>
      <c r="H113" s="12" t="s">
        <v>13</v>
      </c>
    </row>
    <row r="114" spans="1:26" s="24" customFormat="1" ht="15.75" customHeight="1" x14ac:dyDescent="0.25">
      <c r="A114" s="22" t="s">
        <v>187</v>
      </c>
      <c r="B114" s="23">
        <v>5</v>
      </c>
      <c r="C114" s="22" t="s">
        <v>245</v>
      </c>
      <c r="D114" s="23" t="s">
        <v>246</v>
      </c>
      <c r="E114" s="23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s="24" customFormat="1" ht="15.75" customHeight="1" x14ac:dyDescent="0.25">
      <c r="A115" s="22" t="s">
        <v>187</v>
      </c>
      <c r="B115" s="23">
        <v>5</v>
      </c>
      <c r="C115" s="22" t="s">
        <v>247</v>
      </c>
      <c r="D115" s="23" t="s">
        <v>248</v>
      </c>
      <c r="E115" s="23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s="24" customFormat="1" ht="15.75" customHeight="1" x14ac:dyDescent="0.25">
      <c r="A116" s="22" t="s">
        <v>187</v>
      </c>
      <c r="B116" s="23">
        <v>5</v>
      </c>
      <c r="C116" s="22" t="s">
        <v>249</v>
      </c>
      <c r="D116" s="23" t="s">
        <v>250</v>
      </c>
      <c r="E116" s="23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s="24" customFormat="1" ht="15.75" customHeight="1" x14ac:dyDescent="0.25">
      <c r="A117" s="22" t="s">
        <v>187</v>
      </c>
      <c r="B117" s="23">
        <v>5</v>
      </c>
      <c r="C117" s="22" t="s">
        <v>251</v>
      </c>
      <c r="D117" s="23" t="s">
        <v>252</v>
      </c>
      <c r="E117" s="23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s="24" customFormat="1" ht="15.75" customHeight="1" x14ac:dyDescent="0.25">
      <c r="A118" s="22" t="s">
        <v>187</v>
      </c>
      <c r="B118" s="23">
        <v>5</v>
      </c>
      <c r="C118" s="22" t="s">
        <v>253</v>
      </c>
      <c r="D118" s="23" t="s">
        <v>254</v>
      </c>
      <c r="E118" s="23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s="24" customFormat="1" ht="15" customHeight="1" x14ac:dyDescent="0.25">
      <c r="A119" s="22" t="s">
        <v>187</v>
      </c>
      <c r="B119" s="23">
        <v>5</v>
      </c>
      <c r="C119" s="22" t="s">
        <v>255</v>
      </c>
      <c r="D119" s="23" t="s">
        <v>256</v>
      </c>
      <c r="E119" s="23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s="24" customFormat="1" ht="15.75" customHeight="1" x14ac:dyDescent="0.25">
      <c r="A120" s="22" t="s">
        <v>187</v>
      </c>
      <c r="B120" s="23">
        <v>5</v>
      </c>
      <c r="C120" s="22" t="s">
        <v>257</v>
      </c>
      <c r="D120" s="23" t="s">
        <v>258</v>
      </c>
      <c r="E120" s="23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s="24" customFormat="1" ht="15.75" customHeight="1" x14ac:dyDescent="0.25">
      <c r="A121" s="22" t="s">
        <v>187</v>
      </c>
      <c r="B121" s="23">
        <v>5</v>
      </c>
      <c r="C121" s="22" t="s">
        <v>259</v>
      </c>
      <c r="D121" s="23" t="s">
        <v>260</v>
      </c>
      <c r="E121" s="23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s="24" customFormat="1" ht="15.75" customHeight="1" x14ac:dyDescent="0.25">
      <c r="A122" s="22" t="s">
        <v>187</v>
      </c>
      <c r="B122" s="23">
        <v>5</v>
      </c>
      <c r="C122" s="22" t="s">
        <v>261</v>
      </c>
      <c r="D122" s="23" t="s">
        <v>262</v>
      </c>
      <c r="E122" s="23">
        <v>1</v>
      </c>
      <c r="F122" s="23" t="s">
        <v>11</v>
      </c>
      <c r="G122" s="23" t="s">
        <v>13</v>
      </c>
      <c r="H122" s="23" t="s">
        <v>13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s="24" customFormat="1" ht="15.75" customHeight="1" x14ac:dyDescent="0.25">
      <c r="A123" s="22" t="s">
        <v>187</v>
      </c>
      <c r="B123" s="23">
        <v>5</v>
      </c>
      <c r="C123" s="22" t="s">
        <v>263</v>
      </c>
      <c r="D123" s="23" t="s">
        <v>264</v>
      </c>
      <c r="E123" s="23">
        <v>1</v>
      </c>
      <c r="F123" s="23" t="s">
        <v>11</v>
      </c>
      <c r="G123" s="23" t="s">
        <v>13</v>
      </c>
      <c r="H123" s="23" t="s">
        <v>13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s="9" customFormat="1" x14ac:dyDescent="0.25">
      <c r="A124" s="9" t="s">
        <v>265</v>
      </c>
      <c r="B124" s="10">
        <v>6</v>
      </c>
      <c r="C124" s="9" t="s">
        <v>266</v>
      </c>
      <c r="D124" s="10" t="s">
        <v>267</v>
      </c>
      <c r="E124" s="10">
        <v>1</v>
      </c>
      <c r="F124" s="11" t="s">
        <v>11</v>
      </c>
      <c r="G124" s="10" t="s">
        <v>12</v>
      </c>
      <c r="H124" s="11" t="s">
        <v>13</v>
      </c>
    </row>
    <row r="125" spans="1:26" x14ac:dyDescent="0.25">
      <c r="A125" s="1" t="s">
        <v>265</v>
      </c>
      <c r="B125" s="2">
        <v>6</v>
      </c>
      <c r="C125" s="1" t="s">
        <v>268</v>
      </c>
      <c r="D125" s="2" t="s">
        <v>269</v>
      </c>
      <c r="E125" s="2">
        <v>1</v>
      </c>
      <c r="F125" s="12" t="s">
        <v>11</v>
      </c>
      <c r="G125" s="2" t="s">
        <v>12</v>
      </c>
      <c r="H125" s="12" t="s">
        <v>13</v>
      </c>
    </row>
    <row r="126" spans="1:26" x14ac:dyDescent="0.25">
      <c r="A126" s="1" t="s">
        <v>265</v>
      </c>
      <c r="B126" s="2">
        <v>6</v>
      </c>
      <c r="C126" s="1" t="s">
        <v>270</v>
      </c>
      <c r="D126" s="2" t="s">
        <v>271</v>
      </c>
      <c r="E126" s="2">
        <v>1</v>
      </c>
      <c r="F126" s="12" t="s">
        <v>11</v>
      </c>
      <c r="G126" s="2" t="s">
        <v>12</v>
      </c>
      <c r="H126" s="12" t="s">
        <v>13</v>
      </c>
    </row>
    <row r="127" spans="1:26" x14ac:dyDescent="0.25">
      <c r="A127" s="1" t="s">
        <v>265</v>
      </c>
      <c r="B127" s="2">
        <v>6</v>
      </c>
      <c r="C127" s="1" t="s">
        <v>272</v>
      </c>
      <c r="D127" s="2" t="s">
        <v>273</v>
      </c>
      <c r="E127" s="2">
        <v>1</v>
      </c>
      <c r="F127" s="12" t="s">
        <v>11</v>
      </c>
      <c r="G127" s="2" t="s">
        <v>12</v>
      </c>
      <c r="H127" s="12" t="s">
        <v>13</v>
      </c>
    </row>
    <row r="128" spans="1:26" s="13" customFormat="1" x14ac:dyDescent="0.25">
      <c r="A128" s="13" t="s">
        <v>265</v>
      </c>
      <c r="B128" s="14">
        <v>6</v>
      </c>
      <c r="C128" s="13" t="s">
        <v>274</v>
      </c>
      <c r="D128" s="14" t="s">
        <v>275</v>
      </c>
      <c r="E128" s="14">
        <v>1</v>
      </c>
      <c r="F128" s="15" t="s">
        <v>11</v>
      </c>
      <c r="G128" s="14" t="s">
        <v>40</v>
      </c>
      <c r="H128" s="15" t="s">
        <v>13</v>
      </c>
    </row>
    <row r="129" spans="1:8" s="13" customFormat="1" x14ac:dyDescent="0.25">
      <c r="A129" s="13" t="s">
        <v>265</v>
      </c>
      <c r="B129" s="14">
        <v>6</v>
      </c>
      <c r="C129" s="13" t="s">
        <v>276</v>
      </c>
      <c r="D129" s="14" t="s">
        <v>277</v>
      </c>
      <c r="E129" s="14">
        <v>1</v>
      </c>
      <c r="F129" s="15" t="s">
        <v>11</v>
      </c>
      <c r="G129" s="14" t="s">
        <v>40</v>
      </c>
      <c r="H129" s="15" t="s">
        <v>13</v>
      </c>
    </row>
    <row r="130" spans="1:8" s="9" customFormat="1" x14ac:dyDescent="0.25">
      <c r="A130" s="9" t="s">
        <v>278</v>
      </c>
      <c r="B130" s="10">
        <v>7</v>
      </c>
      <c r="C130" s="9" t="s">
        <v>279</v>
      </c>
      <c r="D130" s="10" t="s">
        <v>280</v>
      </c>
      <c r="E130" s="11">
        <v>1</v>
      </c>
      <c r="F130" s="11" t="s">
        <v>281</v>
      </c>
      <c r="G130" s="10" t="s">
        <v>13</v>
      </c>
      <c r="H130" s="11" t="s">
        <v>13</v>
      </c>
    </row>
    <row r="131" spans="1:8" x14ac:dyDescent="0.25">
      <c r="A131" s="1" t="s">
        <v>278</v>
      </c>
      <c r="B131" s="2">
        <v>7</v>
      </c>
      <c r="C131" s="1" t="s">
        <v>282</v>
      </c>
      <c r="D131" s="2" t="s">
        <v>283</v>
      </c>
      <c r="E131" s="12">
        <v>1</v>
      </c>
      <c r="F131" s="12" t="s">
        <v>281</v>
      </c>
      <c r="G131" s="2" t="s">
        <v>13</v>
      </c>
      <c r="H131" s="12" t="s">
        <v>13</v>
      </c>
    </row>
    <row r="132" spans="1:8" x14ac:dyDescent="0.25">
      <c r="A132" s="1" t="s">
        <v>278</v>
      </c>
      <c r="B132" s="2">
        <v>7</v>
      </c>
      <c r="C132" s="1" t="s">
        <v>284</v>
      </c>
      <c r="D132" s="2" t="s">
        <v>285</v>
      </c>
      <c r="E132" s="12">
        <v>1</v>
      </c>
      <c r="F132" s="12" t="s">
        <v>281</v>
      </c>
      <c r="G132" s="2" t="s">
        <v>13</v>
      </c>
      <c r="H132" s="12" t="s">
        <v>13</v>
      </c>
    </row>
    <row r="133" spans="1:8" x14ac:dyDescent="0.25">
      <c r="A133" s="1" t="s">
        <v>278</v>
      </c>
      <c r="B133" s="2">
        <v>7</v>
      </c>
      <c r="C133" s="1" t="s">
        <v>286</v>
      </c>
      <c r="D133" s="2" t="s">
        <v>287</v>
      </c>
      <c r="E133" s="12">
        <v>1</v>
      </c>
      <c r="F133" s="12" t="s">
        <v>281</v>
      </c>
      <c r="G133" s="2" t="s">
        <v>13</v>
      </c>
      <c r="H133" s="12" t="s">
        <v>13</v>
      </c>
    </row>
    <row r="134" spans="1:8" s="13" customFormat="1" x14ac:dyDescent="0.25">
      <c r="A134" s="13" t="s">
        <v>278</v>
      </c>
      <c r="B134" s="14">
        <v>7</v>
      </c>
      <c r="C134" s="13" t="s">
        <v>288</v>
      </c>
      <c r="D134" s="14" t="s">
        <v>289</v>
      </c>
      <c r="E134" s="15">
        <v>2</v>
      </c>
      <c r="F134" s="15" t="s">
        <v>281</v>
      </c>
      <c r="G134" s="14" t="s">
        <v>40</v>
      </c>
      <c r="H134" s="15" t="s">
        <v>13</v>
      </c>
    </row>
    <row r="135" spans="1:8" x14ac:dyDescent="0.25">
      <c r="A135" s="1" t="s">
        <v>278</v>
      </c>
      <c r="B135" s="2">
        <v>7</v>
      </c>
      <c r="C135" s="1" t="s">
        <v>290</v>
      </c>
      <c r="D135" s="2" t="s">
        <v>291</v>
      </c>
      <c r="E135" s="12">
        <v>2</v>
      </c>
      <c r="F135" s="12" t="s">
        <v>281</v>
      </c>
      <c r="G135" s="2" t="s">
        <v>13</v>
      </c>
      <c r="H135" s="12" t="s">
        <v>13</v>
      </c>
    </row>
    <row r="136" spans="1:8" x14ac:dyDescent="0.25">
      <c r="A136" s="1" t="s">
        <v>278</v>
      </c>
      <c r="B136" s="2">
        <v>7</v>
      </c>
      <c r="C136" s="1" t="s">
        <v>292</v>
      </c>
      <c r="D136" s="2" t="s">
        <v>293</v>
      </c>
      <c r="E136" s="12">
        <v>1</v>
      </c>
      <c r="F136" s="12" t="s">
        <v>281</v>
      </c>
      <c r="G136" s="2" t="s">
        <v>12</v>
      </c>
      <c r="H136" s="12" t="s">
        <v>13</v>
      </c>
    </row>
    <row r="137" spans="1:8" x14ac:dyDescent="0.25">
      <c r="A137" s="1" t="s">
        <v>278</v>
      </c>
      <c r="B137" s="2">
        <v>7</v>
      </c>
      <c r="C137" s="1" t="s">
        <v>294</v>
      </c>
      <c r="D137" s="2" t="s">
        <v>295</v>
      </c>
      <c r="E137" s="12">
        <v>1</v>
      </c>
      <c r="F137" s="12" t="s">
        <v>281</v>
      </c>
      <c r="G137" s="2" t="s">
        <v>12</v>
      </c>
      <c r="H137" s="12" t="s">
        <v>13</v>
      </c>
    </row>
    <row r="138" spans="1:8" s="13" customFormat="1" x14ac:dyDescent="0.25">
      <c r="A138" s="13" t="s">
        <v>278</v>
      </c>
      <c r="B138" s="14">
        <v>7</v>
      </c>
      <c r="C138" s="13" t="s">
        <v>296</v>
      </c>
      <c r="D138" s="14" t="s">
        <v>297</v>
      </c>
      <c r="E138" s="15">
        <v>1</v>
      </c>
      <c r="F138" s="15" t="s">
        <v>281</v>
      </c>
      <c r="G138" s="14" t="s">
        <v>40</v>
      </c>
      <c r="H138" s="15" t="s">
        <v>13</v>
      </c>
    </row>
    <row r="139" spans="1:8" s="13" customFormat="1" x14ac:dyDescent="0.25">
      <c r="A139" s="13" t="s">
        <v>278</v>
      </c>
      <c r="B139" s="14">
        <v>7</v>
      </c>
      <c r="C139" s="13" t="s">
        <v>298</v>
      </c>
      <c r="D139" s="14" t="s">
        <v>299</v>
      </c>
      <c r="E139" s="15">
        <v>1</v>
      </c>
      <c r="F139" s="15" t="s">
        <v>281</v>
      </c>
      <c r="G139" s="14" t="s">
        <v>40</v>
      </c>
      <c r="H139" s="15" t="s">
        <v>13</v>
      </c>
    </row>
    <row r="140" spans="1:8" x14ac:dyDescent="0.25">
      <c r="A140" s="1" t="s">
        <v>278</v>
      </c>
      <c r="B140" s="2">
        <v>7</v>
      </c>
      <c r="C140" s="25" t="s">
        <v>300</v>
      </c>
      <c r="D140" s="12" t="s">
        <v>301</v>
      </c>
      <c r="E140" s="12">
        <v>3</v>
      </c>
      <c r="F140" s="12" t="s">
        <v>281</v>
      </c>
      <c r="G140" s="2" t="s">
        <v>12</v>
      </c>
      <c r="H140" s="12" t="s">
        <v>13</v>
      </c>
    </row>
    <row r="141" spans="1:8" x14ac:dyDescent="0.25">
      <c r="A141" s="1" t="s">
        <v>278</v>
      </c>
      <c r="B141" s="2">
        <v>7</v>
      </c>
      <c r="C141" s="25" t="s">
        <v>302</v>
      </c>
      <c r="D141" s="12" t="s">
        <v>303</v>
      </c>
      <c r="E141" s="12">
        <v>2</v>
      </c>
      <c r="F141" s="12" t="s">
        <v>281</v>
      </c>
      <c r="G141" s="2" t="s">
        <v>12</v>
      </c>
      <c r="H141" s="12" t="s">
        <v>13</v>
      </c>
    </row>
    <row r="142" spans="1:8" x14ac:dyDescent="0.25">
      <c r="A142" s="1" t="s">
        <v>278</v>
      </c>
      <c r="B142" s="2">
        <v>7</v>
      </c>
      <c r="C142" s="25" t="s">
        <v>304</v>
      </c>
      <c r="D142" s="12" t="s">
        <v>305</v>
      </c>
      <c r="E142" s="12">
        <v>3</v>
      </c>
      <c r="F142" s="12" t="s">
        <v>281</v>
      </c>
      <c r="G142" s="2" t="s">
        <v>12</v>
      </c>
      <c r="H142" s="12" t="s">
        <v>13</v>
      </c>
    </row>
    <row r="143" spans="1:8" x14ac:dyDescent="0.25">
      <c r="A143" s="1" t="s">
        <v>278</v>
      </c>
      <c r="B143" s="2">
        <v>7</v>
      </c>
      <c r="C143" s="25" t="s">
        <v>306</v>
      </c>
      <c r="D143" s="12" t="s">
        <v>307</v>
      </c>
      <c r="E143" s="12">
        <v>3</v>
      </c>
      <c r="F143" s="12" t="s">
        <v>281</v>
      </c>
      <c r="G143" s="2" t="s">
        <v>12</v>
      </c>
      <c r="H143" s="12" t="s">
        <v>13</v>
      </c>
    </row>
    <row r="144" spans="1:8" s="13" customFormat="1" x14ac:dyDescent="0.25">
      <c r="A144" s="13" t="s">
        <v>278</v>
      </c>
      <c r="B144" s="14">
        <v>7</v>
      </c>
      <c r="C144" s="13" t="s">
        <v>308</v>
      </c>
      <c r="D144" s="14" t="s">
        <v>309</v>
      </c>
      <c r="E144" s="14">
        <v>1</v>
      </c>
      <c r="F144" s="15" t="s">
        <v>281</v>
      </c>
      <c r="G144" s="14" t="s">
        <v>40</v>
      </c>
      <c r="H144" s="14" t="s">
        <v>13</v>
      </c>
    </row>
    <row r="145" spans="1:8" s="13" customFormat="1" x14ac:dyDescent="0.25">
      <c r="A145" s="13" t="s">
        <v>278</v>
      </c>
      <c r="B145" s="14">
        <v>7</v>
      </c>
      <c r="C145" s="13" t="s">
        <v>310</v>
      </c>
      <c r="D145" s="14" t="s">
        <v>311</v>
      </c>
      <c r="E145" s="14">
        <v>1</v>
      </c>
      <c r="F145" s="15" t="s">
        <v>281</v>
      </c>
      <c r="G145" s="14" t="s">
        <v>40</v>
      </c>
      <c r="H145" s="14" t="s">
        <v>13</v>
      </c>
    </row>
    <row r="146" spans="1:8" x14ac:dyDescent="0.25">
      <c r="A146" s="1" t="s">
        <v>278</v>
      </c>
      <c r="B146" s="2">
        <v>7</v>
      </c>
      <c r="C146" s="1" t="s">
        <v>312</v>
      </c>
      <c r="D146" s="2" t="s">
        <v>313</v>
      </c>
      <c r="E146" s="2">
        <v>2</v>
      </c>
      <c r="F146" s="12" t="s">
        <v>281</v>
      </c>
      <c r="G146" s="2" t="s">
        <v>12</v>
      </c>
      <c r="H146" s="12" t="s">
        <v>13</v>
      </c>
    </row>
    <row r="147" spans="1:8" x14ac:dyDescent="0.25">
      <c r="A147" s="1" t="s">
        <v>278</v>
      </c>
      <c r="B147" s="2">
        <v>7</v>
      </c>
      <c r="C147" s="1" t="s">
        <v>314</v>
      </c>
      <c r="D147" s="2" t="s">
        <v>315</v>
      </c>
      <c r="E147" s="2">
        <v>2</v>
      </c>
      <c r="F147" s="12" t="s">
        <v>281</v>
      </c>
      <c r="G147" s="2" t="s">
        <v>12</v>
      </c>
      <c r="H147" s="12" t="s">
        <v>13</v>
      </c>
    </row>
    <row r="148" spans="1:8" x14ac:dyDescent="0.25">
      <c r="A148" s="1" t="s">
        <v>278</v>
      </c>
      <c r="B148" s="2">
        <v>7</v>
      </c>
      <c r="C148" s="1" t="s">
        <v>316</v>
      </c>
      <c r="D148" s="2" t="s">
        <v>317</v>
      </c>
      <c r="E148" s="2">
        <v>1</v>
      </c>
      <c r="F148" s="12" t="s">
        <v>281</v>
      </c>
      <c r="G148" s="2" t="s">
        <v>12</v>
      </c>
      <c r="H148" s="12" t="s">
        <v>13</v>
      </c>
    </row>
    <row r="149" spans="1:8" x14ac:dyDescent="0.25">
      <c r="A149" s="1" t="s">
        <v>278</v>
      </c>
      <c r="B149" s="2">
        <v>7</v>
      </c>
      <c r="C149" s="1" t="s">
        <v>318</v>
      </c>
      <c r="D149" s="2" t="s">
        <v>319</v>
      </c>
      <c r="E149" s="2">
        <v>1</v>
      </c>
      <c r="F149" s="12" t="s">
        <v>281</v>
      </c>
      <c r="G149" s="2" t="s">
        <v>12</v>
      </c>
      <c r="H149" s="12" t="s">
        <v>13</v>
      </c>
    </row>
    <row r="150" spans="1:8" x14ac:dyDescent="0.25">
      <c r="A150" s="1" t="s">
        <v>278</v>
      </c>
      <c r="B150" s="2">
        <v>7</v>
      </c>
      <c r="C150" s="1" t="s">
        <v>320</v>
      </c>
      <c r="D150" s="2" t="s">
        <v>321</v>
      </c>
      <c r="E150" s="2">
        <v>1</v>
      </c>
      <c r="F150" s="12" t="s">
        <v>281</v>
      </c>
      <c r="G150" s="2" t="s">
        <v>12</v>
      </c>
      <c r="H150" s="12" t="s">
        <v>13</v>
      </c>
    </row>
    <row r="151" spans="1:8" s="13" customFormat="1" x14ac:dyDescent="0.25">
      <c r="A151" s="13" t="s">
        <v>278</v>
      </c>
      <c r="B151" s="14">
        <v>7</v>
      </c>
      <c r="C151" s="13" t="s">
        <v>322</v>
      </c>
      <c r="D151" s="14" t="s">
        <v>323</v>
      </c>
      <c r="E151" s="14">
        <v>1</v>
      </c>
      <c r="F151" s="15" t="s">
        <v>281</v>
      </c>
      <c r="G151" s="14" t="s">
        <v>40</v>
      </c>
      <c r="H151" s="15" t="s">
        <v>13</v>
      </c>
    </row>
    <row r="152" spans="1:8" s="13" customFormat="1" x14ac:dyDescent="0.25">
      <c r="A152" s="13" t="s">
        <v>278</v>
      </c>
      <c r="B152" s="14">
        <v>7</v>
      </c>
      <c r="C152" s="13" t="s">
        <v>324</v>
      </c>
      <c r="D152" s="14" t="s">
        <v>325</v>
      </c>
      <c r="E152" s="15">
        <v>2</v>
      </c>
      <c r="F152" s="15" t="s">
        <v>281</v>
      </c>
      <c r="G152" s="14" t="s">
        <v>40</v>
      </c>
      <c r="H152" s="15" t="s">
        <v>326</v>
      </c>
    </row>
    <row r="153" spans="1:8" x14ac:dyDescent="0.25">
      <c r="A153" s="1" t="s">
        <v>278</v>
      </c>
      <c r="B153" s="2">
        <v>7</v>
      </c>
      <c r="C153" s="1" t="s">
        <v>327</v>
      </c>
      <c r="D153" s="2" t="s">
        <v>328</v>
      </c>
      <c r="E153" s="12">
        <v>1</v>
      </c>
      <c r="F153" s="12" t="s">
        <v>281</v>
      </c>
      <c r="G153" s="2" t="s">
        <v>12</v>
      </c>
      <c r="H153" s="12" t="s">
        <v>13</v>
      </c>
    </row>
    <row r="154" spans="1:8" x14ac:dyDescent="0.25">
      <c r="A154" s="1" t="s">
        <v>278</v>
      </c>
      <c r="B154" s="2">
        <v>7</v>
      </c>
      <c r="C154" s="1" t="s">
        <v>329</v>
      </c>
      <c r="D154" s="2" t="s">
        <v>330</v>
      </c>
      <c r="E154" s="12">
        <v>3</v>
      </c>
      <c r="F154" s="12" t="s">
        <v>281</v>
      </c>
      <c r="G154" s="2" t="s">
        <v>13</v>
      </c>
      <c r="H154" s="12" t="s">
        <v>326</v>
      </c>
    </row>
    <row r="155" spans="1:8" x14ac:dyDescent="0.25">
      <c r="A155" s="1" t="s">
        <v>278</v>
      </c>
      <c r="B155" s="2">
        <v>7</v>
      </c>
      <c r="C155" s="1" t="s">
        <v>331</v>
      </c>
      <c r="D155" s="2" t="s">
        <v>332</v>
      </c>
      <c r="E155" s="2">
        <v>1</v>
      </c>
      <c r="F155" s="12" t="s">
        <v>281</v>
      </c>
      <c r="G155" s="2" t="s">
        <v>12</v>
      </c>
      <c r="H155" s="12" t="s">
        <v>13</v>
      </c>
    </row>
    <row r="156" spans="1:8" x14ac:dyDescent="0.25">
      <c r="A156" s="1" t="s">
        <v>278</v>
      </c>
      <c r="B156" s="2">
        <v>7</v>
      </c>
      <c r="C156" s="1" t="s">
        <v>333</v>
      </c>
      <c r="D156" s="2" t="s">
        <v>334</v>
      </c>
      <c r="E156" s="2">
        <v>2</v>
      </c>
      <c r="F156" s="12" t="s">
        <v>281</v>
      </c>
      <c r="G156" s="2" t="s">
        <v>12</v>
      </c>
      <c r="H156" s="12" t="s">
        <v>13</v>
      </c>
    </row>
    <row r="157" spans="1:8" x14ac:dyDescent="0.25">
      <c r="A157" s="1" t="s">
        <v>278</v>
      </c>
      <c r="B157" s="2">
        <v>7</v>
      </c>
      <c r="C157" s="1" t="s">
        <v>335</v>
      </c>
      <c r="D157" s="2" t="s">
        <v>336</v>
      </c>
      <c r="E157" s="2">
        <v>2</v>
      </c>
      <c r="F157" s="12" t="s">
        <v>281</v>
      </c>
      <c r="G157" s="2" t="s">
        <v>12</v>
      </c>
      <c r="H157" s="12" t="s">
        <v>13</v>
      </c>
    </row>
    <row r="158" spans="1:8" x14ac:dyDescent="0.25">
      <c r="A158" s="1" t="s">
        <v>278</v>
      </c>
      <c r="B158" s="2">
        <v>7</v>
      </c>
      <c r="C158" s="1" t="s">
        <v>337</v>
      </c>
      <c r="D158" s="2" t="s">
        <v>338</v>
      </c>
      <c r="E158" s="2">
        <v>1</v>
      </c>
      <c r="F158" s="12" t="s">
        <v>281</v>
      </c>
      <c r="G158" s="2" t="s">
        <v>12</v>
      </c>
      <c r="H158" s="12" t="s">
        <v>13</v>
      </c>
    </row>
    <row r="159" spans="1:8" x14ac:dyDescent="0.25">
      <c r="A159" s="1" t="s">
        <v>278</v>
      </c>
      <c r="B159" s="2">
        <v>7</v>
      </c>
      <c r="C159" s="1" t="s">
        <v>339</v>
      </c>
      <c r="D159" s="2" t="s">
        <v>340</v>
      </c>
      <c r="E159" s="2">
        <v>1</v>
      </c>
      <c r="F159" s="12" t="s">
        <v>281</v>
      </c>
      <c r="G159" s="2" t="s">
        <v>12</v>
      </c>
      <c r="H159" s="12" t="s">
        <v>13</v>
      </c>
    </row>
    <row r="160" spans="1:8" s="9" customFormat="1" x14ac:dyDescent="0.25">
      <c r="A160" s="9" t="s">
        <v>341</v>
      </c>
      <c r="B160" s="10">
        <v>8</v>
      </c>
      <c r="C160" s="9" t="s">
        <v>342</v>
      </c>
      <c r="D160" s="10" t="s">
        <v>343</v>
      </c>
      <c r="E160" s="10">
        <v>1</v>
      </c>
      <c r="F160" s="11" t="s">
        <v>11</v>
      </c>
      <c r="G160" s="10" t="s">
        <v>12</v>
      </c>
      <c r="H160" s="11" t="s">
        <v>13</v>
      </c>
    </row>
    <row r="161" spans="1:26" x14ac:dyDescent="0.25">
      <c r="A161" s="1" t="s">
        <v>341</v>
      </c>
      <c r="B161" s="2">
        <v>8</v>
      </c>
      <c r="C161" s="1" t="s">
        <v>344</v>
      </c>
      <c r="D161" s="2" t="s">
        <v>345</v>
      </c>
      <c r="E161" s="2">
        <v>1</v>
      </c>
      <c r="F161" s="12" t="s">
        <v>11</v>
      </c>
      <c r="G161" s="2" t="s">
        <v>12</v>
      </c>
      <c r="H161" s="12" t="s">
        <v>13</v>
      </c>
    </row>
    <row r="162" spans="1:26" x14ac:dyDescent="0.25">
      <c r="A162" s="1" t="s">
        <v>341</v>
      </c>
      <c r="B162" s="2">
        <v>8</v>
      </c>
      <c r="C162" s="1" t="s">
        <v>346</v>
      </c>
      <c r="D162" s="2" t="s">
        <v>347</v>
      </c>
      <c r="E162" s="2">
        <v>3</v>
      </c>
      <c r="F162" s="12" t="s">
        <v>11</v>
      </c>
      <c r="G162" s="2" t="s">
        <v>13</v>
      </c>
      <c r="H162" s="12" t="s">
        <v>13</v>
      </c>
    </row>
    <row r="163" spans="1:26" s="13" customFormat="1" x14ac:dyDescent="0.25">
      <c r="A163" s="13" t="s">
        <v>341</v>
      </c>
      <c r="B163" s="14">
        <v>8</v>
      </c>
      <c r="C163" s="13" t="s">
        <v>348</v>
      </c>
      <c r="D163" s="14" t="s">
        <v>349</v>
      </c>
      <c r="E163" s="14">
        <v>2</v>
      </c>
      <c r="F163" s="15" t="s">
        <v>11</v>
      </c>
      <c r="G163" s="14" t="s">
        <v>40</v>
      </c>
      <c r="H163" s="15" t="s">
        <v>13</v>
      </c>
    </row>
    <row r="164" spans="1:26" s="13" customFormat="1" x14ac:dyDescent="0.25">
      <c r="A164" s="13" t="s">
        <v>341</v>
      </c>
      <c r="B164" s="14">
        <v>8</v>
      </c>
      <c r="C164" s="13" t="s">
        <v>350</v>
      </c>
      <c r="D164" s="14" t="s">
        <v>351</v>
      </c>
      <c r="E164" s="14">
        <v>3</v>
      </c>
      <c r="F164" s="15" t="s">
        <v>11</v>
      </c>
      <c r="G164" s="14" t="s">
        <v>40</v>
      </c>
      <c r="H164" s="15" t="s">
        <v>13</v>
      </c>
    </row>
    <row r="165" spans="1:26" s="13" customFormat="1" x14ac:dyDescent="0.25">
      <c r="A165" s="13" t="s">
        <v>341</v>
      </c>
      <c r="B165" s="14">
        <v>8</v>
      </c>
      <c r="C165" s="13" t="s">
        <v>352</v>
      </c>
      <c r="D165" s="14" t="s">
        <v>353</v>
      </c>
      <c r="E165" s="14">
        <v>1</v>
      </c>
      <c r="F165" s="15" t="s">
        <v>11</v>
      </c>
      <c r="G165" s="14" t="s">
        <v>40</v>
      </c>
      <c r="H165" s="15" t="s">
        <v>13</v>
      </c>
    </row>
    <row r="166" spans="1:26" s="18" customFormat="1" ht="15.75" customHeight="1" x14ac:dyDescent="0.25">
      <c r="A166" s="16" t="s">
        <v>341</v>
      </c>
      <c r="B166" s="17">
        <v>8</v>
      </c>
      <c r="C166" s="16" t="s">
        <v>354</v>
      </c>
      <c r="D166" s="17" t="s">
        <v>355</v>
      </c>
      <c r="E166" s="17">
        <v>1</v>
      </c>
      <c r="F166" s="17" t="s">
        <v>11</v>
      </c>
      <c r="G166" s="17" t="s">
        <v>13</v>
      </c>
      <c r="H166" s="17" t="s">
        <v>13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9" t="s">
        <v>356</v>
      </c>
      <c r="B167" s="10">
        <v>9</v>
      </c>
      <c r="C167" s="9" t="s">
        <v>357</v>
      </c>
      <c r="D167" s="10" t="s">
        <v>358</v>
      </c>
      <c r="E167" s="10">
        <v>2</v>
      </c>
      <c r="F167" s="11" t="s">
        <v>281</v>
      </c>
      <c r="G167" s="10" t="s">
        <v>12</v>
      </c>
      <c r="H167" s="11" t="s">
        <v>13</v>
      </c>
    </row>
    <row r="168" spans="1:26" x14ac:dyDescent="0.25">
      <c r="A168" s="1" t="s">
        <v>356</v>
      </c>
      <c r="B168" s="2">
        <v>9</v>
      </c>
      <c r="C168" s="1" t="s">
        <v>359</v>
      </c>
      <c r="D168" s="2" t="s">
        <v>360</v>
      </c>
      <c r="E168" s="2">
        <v>1</v>
      </c>
      <c r="F168" s="12" t="s">
        <v>281</v>
      </c>
      <c r="G168" s="2" t="s">
        <v>12</v>
      </c>
      <c r="H168" s="12" t="s">
        <v>13</v>
      </c>
    </row>
    <row r="169" spans="1:26" x14ac:dyDescent="0.25">
      <c r="A169" s="1" t="s">
        <v>356</v>
      </c>
      <c r="B169" s="2">
        <v>9</v>
      </c>
      <c r="C169" s="1" t="s">
        <v>361</v>
      </c>
      <c r="D169" s="2" t="s">
        <v>362</v>
      </c>
      <c r="E169" s="2">
        <v>2</v>
      </c>
      <c r="F169" s="12" t="s">
        <v>281</v>
      </c>
      <c r="G169" s="2" t="s">
        <v>12</v>
      </c>
      <c r="H169" s="12" t="s">
        <v>13</v>
      </c>
    </row>
    <row r="170" spans="1:26" x14ac:dyDescent="0.25">
      <c r="A170" s="1" t="s">
        <v>356</v>
      </c>
      <c r="B170" s="2">
        <v>9</v>
      </c>
      <c r="C170" s="1" t="s">
        <v>363</v>
      </c>
      <c r="D170" s="2" t="s">
        <v>364</v>
      </c>
      <c r="E170" s="2">
        <v>2</v>
      </c>
      <c r="F170" s="12" t="s">
        <v>281</v>
      </c>
      <c r="G170" s="2" t="s">
        <v>12</v>
      </c>
      <c r="H170" s="12" t="s">
        <v>13</v>
      </c>
    </row>
    <row r="171" spans="1:26" x14ac:dyDescent="0.25">
      <c r="A171" s="1" t="s">
        <v>356</v>
      </c>
      <c r="B171" s="2">
        <v>9</v>
      </c>
      <c r="C171" s="1" t="s">
        <v>365</v>
      </c>
      <c r="D171" s="2" t="s">
        <v>366</v>
      </c>
      <c r="E171" s="2">
        <v>1</v>
      </c>
      <c r="F171" s="12" t="s">
        <v>281</v>
      </c>
      <c r="G171" s="2" t="s">
        <v>12</v>
      </c>
      <c r="H171" s="12" t="s">
        <v>13</v>
      </c>
    </row>
    <row r="172" spans="1:26" x14ac:dyDescent="0.25">
      <c r="A172" s="1" t="s">
        <v>356</v>
      </c>
      <c r="B172" s="2">
        <v>9</v>
      </c>
      <c r="C172" s="1" t="s">
        <v>367</v>
      </c>
      <c r="D172" s="2" t="s">
        <v>368</v>
      </c>
      <c r="E172" s="2">
        <v>3</v>
      </c>
      <c r="F172" s="12" t="s">
        <v>281</v>
      </c>
      <c r="G172" s="2" t="s">
        <v>12</v>
      </c>
      <c r="H172" s="12" t="s">
        <v>13</v>
      </c>
    </row>
    <row r="173" spans="1:26" x14ac:dyDescent="0.25">
      <c r="A173" s="1" t="s">
        <v>356</v>
      </c>
      <c r="B173" s="2">
        <v>9</v>
      </c>
      <c r="C173" s="1" t="s">
        <v>369</v>
      </c>
      <c r="D173" s="2" t="s">
        <v>370</v>
      </c>
      <c r="E173" s="2">
        <v>3</v>
      </c>
      <c r="F173" s="12" t="s">
        <v>281</v>
      </c>
      <c r="G173" s="2" t="s">
        <v>12</v>
      </c>
      <c r="H173" s="12" t="s">
        <v>25</v>
      </c>
    </row>
    <row r="174" spans="1:26" x14ac:dyDescent="0.25">
      <c r="A174" s="1" t="s">
        <v>356</v>
      </c>
      <c r="B174" s="2">
        <v>9</v>
      </c>
      <c r="C174" s="1" t="s">
        <v>371</v>
      </c>
      <c r="D174" s="2" t="s">
        <v>372</v>
      </c>
      <c r="E174" s="2">
        <v>1</v>
      </c>
      <c r="F174" s="12" t="s">
        <v>11</v>
      </c>
      <c r="G174" s="2" t="s">
        <v>12</v>
      </c>
      <c r="H174" s="12" t="s">
        <v>25</v>
      </c>
    </row>
    <row r="175" spans="1:26" x14ac:dyDescent="0.25">
      <c r="A175" s="1" t="s">
        <v>356</v>
      </c>
      <c r="B175" s="2">
        <v>9</v>
      </c>
      <c r="C175" s="1" t="s">
        <v>373</v>
      </c>
      <c r="D175" s="2" t="s">
        <v>374</v>
      </c>
      <c r="E175" s="2">
        <v>1</v>
      </c>
      <c r="F175" s="12" t="s">
        <v>11</v>
      </c>
      <c r="G175" s="2" t="s">
        <v>12</v>
      </c>
      <c r="H175" s="12" t="s">
        <v>25</v>
      </c>
    </row>
    <row r="176" spans="1:26" x14ac:dyDescent="0.25">
      <c r="A176" s="1" t="s">
        <v>356</v>
      </c>
      <c r="B176" s="2">
        <v>9</v>
      </c>
      <c r="C176" s="1" t="s">
        <v>375</v>
      </c>
      <c r="D176" s="2" t="s">
        <v>376</v>
      </c>
      <c r="E176" s="2">
        <v>1</v>
      </c>
      <c r="F176" s="12" t="s">
        <v>11</v>
      </c>
      <c r="G176" s="2" t="s">
        <v>12</v>
      </c>
      <c r="H176" s="12" t="s">
        <v>13</v>
      </c>
    </row>
    <row r="177" spans="1:8" s="9" customFormat="1" x14ac:dyDescent="0.25">
      <c r="A177" s="9" t="s">
        <v>377</v>
      </c>
      <c r="B177" s="10">
        <v>10</v>
      </c>
      <c r="C177" s="9" t="s">
        <v>378</v>
      </c>
      <c r="D177" s="10" t="s">
        <v>379</v>
      </c>
      <c r="E177" s="10">
        <v>1</v>
      </c>
      <c r="F177" s="11" t="s">
        <v>281</v>
      </c>
      <c r="G177" s="10" t="s">
        <v>12</v>
      </c>
      <c r="H177" s="11" t="s">
        <v>13</v>
      </c>
    </row>
    <row r="178" spans="1:8" x14ac:dyDescent="0.25">
      <c r="A178" s="1" t="s">
        <v>377</v>
      </c>
      <c r="B178" s="2">
        <v>10</v>
      </c>
      <c r="C178" s="1" t="s">
        <v>380</v>
      </c>
      <c r="D178" s="2" t="s">
        <v>381</v>
      </c>
      <c r="E178" s="2">
        <v>1</v>
      </c>
      <c r="F178" s="12" t="s">
        <v>281</v>
      </c>
      <c r="G178" s="2" t="s">
        <v>12</v>
      </c>
      <c r="H178" s="12" t="s">
        <v>13</v>
      </c>
    </row>
    <row r="179" spans="1:8" x14ac:dyDescent="0.25">
      <c r="A179" s="1" t="s">
        <v>377</v>
      </c>
      <c r="B179" s="2">
        <v>10</v>
      </c>
      <c r="C179" s="1" t="s">
        <v>382</v>
      </c>
      <c r="D179" s="2" t="s">
        <v>383</v>
      </c>
      <c r="E179" s="2">
        <v>1</v>
      </c>
      <c r="F179" s="12" t="s">
        <v>281</v>
      </c>
      <c r="G179" s="2" t="s">
        <v>12</v>
      </c>
      <c r="H179" s="12" t="s">
        <v>13</v>
      </c>
    </row>
    <row r="180" spans="1:8" x14ac:dyDescent="0.25">
      <c r="A180" s="1" t="s">
        <v>377</v>
      </c>
      <c r="B180" s="2">
        <v>10</v>
      </c>
      <c r="C180" s="1" t="s">
        <v>384</v>
      </c>
      <c r="D180" s="2" t="s">
        <v>385</v>
      </c>
      <c r="E180" s="2">
        <v>1</v>
      </c>
      <c r="F180" s="12" t="s">
        <v>281</v>
      </c>
      <c r="G180" s="2" t="s">
        <v>12</v>
      </c>
      <c r="H180" s="12" t="s">
        <v>13</v>
      </c>
    </row>
    <row r="181" spans="1:8" x14ac:dyDescent="0.25">
      <c r="A181" s="1" t="s">
        <v>377</v>
      </c>
      <c r="B181" s="2">
        <v>10</v>
      </c>
      <c r="C181" s="1" t="s">
        <v>386</v>
      </c>
      <c r="D181" s="2" t="s">
        <v>387</v>
      </c>
      <c r="E181" s="2">
        <v>1</v>
      </c>
      <c r="F181" s="12" t="s">
        <v>281</v>
      </c>
      <c r="G181" s="2" t="s">
        <v>12</v>
      </c>
      <c r="H181" s="12" t="s">
        <v>13</v>
      </c>
    </row>
    <row r="182" spans="1:8" s="13" customFormat="1" x14ac:dyDescent="0.25">
      <c r="A182" s="13" t="s">
        <v>377</v>
      </c>
      <c r="B182" s="14">
        <v>10</v>
      </c>
      <c r="C182" s="13" t="s">
        <v>388</v>
      </c>
      <c r="D182" s="14" t="s">
        <v>389</v>
      </c>
      <c r="E182" s="14">
        <v>2</v>
      </c>
      <c r="F182" s="15" t="s">
        <v>11</v>
      </c>
      <c r="G182" s="14" t="s">
        <v>40</v>
      </c>
      <c r="H182" s="15" t="s">
        <v>13</v>
      </c>
    </row>
    <row r="183" spans="1:8" s="13" customFormat="1" x14ac:dyDescent="0.25">
      <c r="A183" s="13" t="s">
        <v>377</v>
      </c>
      <c r="B183" s="14">
        <v>10</v>
      </c>
      <c r="C183" s="13" t="s">
        <v>390</v>
      </c>
      <c r="D183" s="14" t="s">
        <v>391</v>
      </c>
      <c r="E183" s="14">
        <v>1</v>
      </c>
      <c r="F183" s="15" t="s">
        <v>281</v>
      </c>
      <c r="G183" s="14" t="s">
        <v>40</v>
      </c>
      <c r="H183" s="15" t="s">
        <v>13</v>
      </c>
    </row>
    <row r="184" spans="1:8" s="13" customFormat="1" x14ac:dyDescent="0.25">
      <c r="A184" s="13" t="s">
        <v>377</v>
      </c>
      <c r="B184" s="14">
        <v>10</v>
      </c>
      <c r="C184" s="13" t="s">
        <v>392</v>
      </c>
      <c r="D184" s="14" t="s">
        <v>393</v>
      </c>
      <c r="E184" s="14">
        <v>2</v>
      </c>
      <c r="F184" s="15" t="s">
        <v>11</v>
      </c>
      <c r="G184" s="14" t="s">
        <v>40</v>
      </c>
      <c r="H184" s="15" t="s">
        <v>25</v>
      </c>
    </row>
    <row r="185" spans="1:8" x14ac:dyDescent="0.25">
      <c r="A185" s="1" t="s">
        <v>377</v>
      </c>
      <c r="B185" s="2">
        <v>10</v>
      </c>
      <c r="C185" s="1" t="s">
        <v>394</v>
      </c>
      <c r="D185" s="2" t="s">
        <v>395</v>
      </c>
      <c r="E185" s="2">
        <v>3</v>
      </c>
      <c r="F185" s="12" t="s">
        <v>11</v>
      </c>
      <c r="G185" s="2" t="s">
        <v>13</v>
      </c>
      <c r="H185" s="12" t="s">
        <v>13</v>
      </c>
    </row>
    <row r="186" spans="1:8" x14ac:dyDescent="0.25">
      <c r="A186" s="1" t="s">
        <v>377</v>
      </c>
      <c r="B186" s="2">
        <v>10</v>
      </c>
      <c r="C186" s="1" t="s">
        <v>396</v>
      </c>
      <c r="D186" s="2" t="s">
        <v>397</v>
      </c>
      <c r="E186" s="2">
        <v>2</v>
      </c>
      <c r="F186" s="12" t="s">
        <v>11</v>
      </c>
      <c r="G186" s="2" t="s">
        <v>13</v>
      </c>
      <c r="H186" s="12" t="s">
        <v>13</v>
      </c>
    </row>
    <row r="187" spans="1:8" x14ac:dyDescent="0.25">
      <c r="A187" s="1" t="s">
        <v>377</v>
      </c>
      <c r="B187" s="2">
        <v>10</v>
      </c>
      <c r="C187" s="1" t="s">
        <v>398</v>
      </c>
      <c r="D187" s="2" t="s">
        <v>399</v>
      </c>
      <c r="E187" s="2">
        <v>2</v>
      </c>
      <c r="F187" s="12" t="s">
        <v>11</v>
      </c>
      <c r="G187" s="2" t="s">
        <v>13</v>
      </c>
      <c r="H187" s="12" t="s">
        <v>13</v>
      </c>
    </row>
    <row r="188" spans="1:8" x14ac:dyDescent="0.25">
      <c r="A188" s="1" t="s">
        <v>377</v>
      </c>
      <c r="B188" s="2">
        <v>10</v>
      </c>
      <c r="C188" s="1" t="s">
        <v>400</v>
      </c>
      <c r="D188" s="2" t="s">
        <v>401</v>
      </c>
      <c r="E188" s="2">
        <v>2</v>
      </c>
      <c r="F188" s="12" t="s">
        <v>281</v>
      </c>
      <c r="G188" s="2" t="s">
        <v>13</v>
      </c>
      <c r="H188" s="12" t="s">
        <v>13</v>
      </c>
    </row>
    <row r="189" spans="1:8" x14ac:dyDescent="0.25">
      <c r="A189" s="1" t="s">
        <v>377</v>
      </c>
      <c r="B189" s="2">
        <v>10</v>
      </c>
      <c r="C189" s="1" t="s">
        <v>402</v>
      </c>
      <c r="D189" s="2" t="s">
        <v>403</v>
      </c>
      <c r="E189" s="2">
        <v>1</v>
      </c>
      <c r="F189" s="2" t="s">
        <v>281</v>
      </c>
      <c r="G189" s="2" t="s">
        <v>13</v>
      </c>
      <c r="H189" s="2" t="s">
        <v>13</v>
      </c>
    </row>
    <row r="190" spans="1:8" x14ac:dyDescent="0.25">
      <c r="A190" s="1" t="s">
        <v>377</v>
      </c>
      <c r="B190" s="2">
        <v>10</v>
      </c>
      <c r="C190" s="1" t="s">
        <v>404</v>
      </c>
      <c r="D190" s="2" t="s">
        <v>405</v>
      </c>
      <c r="E190" s="2">
        <v>1</v>
      </c>
      <c r="F190" s="2" t="s">
        <v>281</v>
      </c>
      <c r="G190" s="2" t="s">
        <v>13</v>
      </c>
      <c r="H190" s="2" t="s">
        <v>13</v>
      </c>
    </row>
    <row r="191" spans="1:8" s="9" customFormat="1" x14ac:dyDescent="0.25">
      <c r="A191" s="9" t="s">
        <v>406</v>
      </c>
      <c r="B191" s="10">
        <v>11</v>
      </c>
      <c r="C191" s="9" t="s">
        <v>407</v>
      </c>
      <c r="D191" s="10" t="s">
        <v>408</v>
      </c>
      <c r="E191" s="10">
        <v>1</v>
      </c>
      <c r="F191" s="11" t="s">
        <v>281</v>
      </c>
      <c r="G191" s="10" t="s">
        <v>20</v>
      </c>
      <c r="H191" s="11" t="s">
        <v>25</v>
      </c>
    </row>
    <row r="192" spans="1:8" x14ac:dyDescent="0.25">
      <c r="A192" s="1" t="s">
        <v>406</v>
      </c>
      <c r="B192" s="2">
        <v>11</v>
      </c>
      <c r="C192" s="1" t="s">
        <v>409</v>
      </c>
      <c r="D192" s="2" t="s">
        <v>410</v>
      </c>
      <c r="E192" s="2">
        <v>1</v>
      </c>
      <c r="F192" s="2" t="s">
        <v>281</v>
      </c>
      <c r="G192" s="2" t="s">
        <v>12</v>
      </c>
      <c r="H192" s="2" t="s">
        <v>25</v>
      </c>
    </row>
    <row r="193" spans="1:8" s="9" customFormat="1" x14ac:dyDescent="0.25">
      <c r="A193" s="9" t="s">
        <v>411</v>
      </c>
      <c r="B193" s="10">
        <v>12</v>
      </c>
      <c r="C193" s="9" t="s">
        <v>412</v>
      </c>
      <c r="D193" s="10">
        <v>12001</v>
      </c>
      <c r="E193" s="10">
        <v>1</v>
      </c>
      <c r="F193" s="11" t="s">
        <v>11</v>
      </c>
      <c r="G193" s="10" t="s">
        <v>13</v>
      </c>
      <c r="H193" s="11" t="s">
        <v>13</v>
      </c>
    </row>
  </sheetData>
  <autoFilter ref="A1:H193" xr:uid="{00000000-0009-0000-0000-000000000000}"/>
  <pageMargins left="0.75" right="0.75" top="1" bottom="1" header="0.51180555555555496" footer="0.51180555555555496"/>
  <pageSetup paperSize="9" firstPageNumber="0" fitToHeight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H205"/>
  <sheetViews>
    <sheetView topLeftCell="A63" zoomScaleNormal="100" workbookViewId="0">
      <selection activeCell="C77" sqref="C77"/>
    </sheetView>
  </sheetViews>
  <sheetFormatPr defaultRowHeight="15" x14ac:dyDescent="0.25"/>
  <cols>
    <col min="1" max="1" width="13" customWidth="1"/>
    <col min="2" max="2" width="32.140625" customWidth="1"/>
    <col min="3" max="3" width="34.140625" style="182" customWidth="1"/>
    <col min="4" max="4" width="17.7109375" style="211" customWidth="1"/>
    <col min="5" max="1025" width="8.5703125" customWidth="1"/>
  </cols>
  <sheetData>
    <row r="1" spans="1:8" s="215" customFormat="1" ht="15.75" x14ac:dyDescent="0.25">
      <c r="A1" s="212" t="s">
        <v>0</v>
      </c>
      <c r="B1" s="212" t="s">
        <v>2</v>
      </c>
      <c r="C1" s="213" t="s">
        <v>3</v>
      </c>
      <c r="D1" s="214" t="s">
        <v>613</v>
      </c>
    </row>
    <row r="2" spans="1:8" x14ac:dyDescent="0.25">
      <c r="A2" t="s">
        <v>411</v>
      </c>
      <c r="B2" t="s">
        <v>757</v>
      </c>
      <c r="C2" s="182">
        <v>12001</v>
      </c>
      <c r="D2" s="211">
        <f>'food prices'!T542</f>
        <v>0.19989999999999999</v>
      </c>
    </row>
    <row r="3" spans="1:8" x14ac:dyDescent="0.25">
      <c r="A3" t="s">
        <v>633</v>
      </c>
      <c r="B3" s="196" t="str">
        <f>'common foods'!C2</f>
        <v>Apples, fresh</v>
      </c>
      <c r="C3" s="182" t="s">
        <v>10</v>
      </c>
      <c r="D3" s="211">
        <f>AVERAGE('food prices'!T53:T55)</f>
        <v>0.35909090909090913</v>
      </c>
    </row>
    <row r="4" spans="1:8" x14ac:dyDescent="0.25">
      <c r="A4" t="s">
        <v>633</v>
      </c>
      <c r="B4" s="196" t="str">
        <f>'common foods'!C3</f>
        <v>Bananas, fresh</v>
      </c>
      <c r="C4" s="182" t="s">
        <v>15</v>
      </c>
      <c r="D4" s="211">
        <f>AVERAGE('food prices'!T29:T31)</f>
        <v>0.27566666666666667</v>
      </c>
      <c r="H4" s="183"/>
    </row>
    <row r="5" spans="1:8" x14ac:dyDescent="0.25">
      <c r="A5" s="123" t="s">
        <v>633</v>
      </c>
      <c r="B5" t="s">
        <v>16</v>
      </c>
      <c r="C5" s="182" t="s">
        <v>17</v>
      </c>
      <c r="D5" s="211">
        <f>AVERAGE('food prices'!T203:T205)</f>
        <v>0.79887999999999992</v>
      </c>
      <c r="H5" s="183"/>
    </row>
    <row r="6" spans="1:8" x14ac:dyDescent="0.25">
      <c r="A6" t="s">
        <v>633</v>
      </c>
      <c r="B6" s="196" t="str">
        <f>'common foods'!C5</f>
        <v>Kiwifruit, fresh</v>
      </c>
      <c r="C6" s="182" t="s">
        <v>19</v>
      </c>
      <c r="D6" s="211">
        <f>AVERAGE('food prices'!T11:T13)</f>
        <v>0.52431372549019617</v>
      </c>
      <c r="H6" s="183"/>
    </row>
    <row r="7" spans="1:8" x14ac:dyDescent="0.25">
      <c r="A7" t="s">
        <v>633</v>
      </c>
      <c r="B7" s="196" t="str">
        <f>'common foods'!C6</f>
        <v>Mandarins, fresh</v>
      </c>
      <c r="C7" s="182" t="s">
        <v>22</v>
      </c>
      <c r="D7" s="211">
        <f>AVERAGE('food prices'!T95:T97)</f>
        <v>0.60092592592592597</v>
      </c>
      <c r="H7" s="183"/>
    </row>
    <row r="8" spans="1:8" s="196" customFormat="1" x14ac:dyDescent="0.25">
      <c r="A8" s="199" t="s">
        <v>633</v>
      </c>
      <c r="B8" s="199" t="s">
        <v>23</v>
      </c>
      <c r="C8" s="204" t="s">
        <v>24</v>
      </c>
      <c r="D8" s="211">
        <f>AVERAGE('food prices'!T567:T569)</f>
        <v>0.62805333333333346</v>
      </c>
      <c r="H8" s="183"/>
    </row>
    <row r="9" spans="1:8" x14ac:dyDescent="0.25">
      <c r="A9" t="s">
        <v>633</v>
      </c>
      <c r="B9" s="196" t="str">
        <f>'common foods'!C8</f>
        <v>Oranges, fresh</v>
      </c>
      <c r="C9" s="182" t="s">
        <v>27</v>
      </c>
      <c r="D9" s="211">
        <f>AVERAGE('food prices'!T125:T127)</f>
        <v>0.46875</v>
      </c>
      <c r="H9" s="183"/>
    </row>
    <row r="10" spans="1:8" x14ac:dyDescent="0.25">
      <c r="A10" s="123" t="s">
        <v>633</v>
      </c>
      <c r="B10" t="s">
        <v>28</v>
      </c>
      <c r="C10" s="182" t="s">
        <v>29</v>
      </c>
      <c r="D10" s="211">
        <f>AVERAGE('food prices'!T206:T208)</f>
        <v>0.39248</v>
      </c>
      <c r="H10" s="183"/>
    </row>
    <row r="11" spans="1:8" x14ac:dyDescent="0.25">
      <c r="A11" s="123" t="s">
        <v>633</v>
      </c>
      <c r="B11" s="196" t="str">
        <f>'common foods'!C9</f>
        <v>Pears, fresh</v>
      </c>
      <c r="C11" s="182" t="s">
        <v>29</v>
      </c>
      <c r="D11" s="211">
        <f>AVERAGE('food prices'!T173:T175)</f>
        <v>0.45454545454545459</v>
      </c>
      <c r="H11" s="183"/>
    </row>
    <row r="12" spans="1:8" x14ac:dyDescent="0.25">
      <c r="A12" s="123" t="s">
        <v>633</v>
      </c>
      <c r="B12" t="s">
        <v>30</v>
      </c>
      <c r="C12" s="182" t="s">
        <v>31</v>
      </c>
      <c r="D12" s="211">
        <f>AVERAGE('food prices'!T209:T211)</f>
        <v>0.52281578947368423</v>
      </c>
      <c r="H12" s="183"/>
    </row>
    <row r="13" spans="1:8" x14ac:dyDescent="0.25">
      <c r="A13" s="199" t="s">
        <v>633</v>
      </c>
      <c r="B13" s="199" t="s">
        <v>32</v>
      </c>
      <c r="C13" s="204" t="s">
        <v>33</v>
      </c>
      <c r="D13" s="211">
        <f>AVERAGE('food prices'!T218:T220)</f>
        <v>0.19902439024390248</v>
      </c>
      <c r="H13" s="183"/>
    </row>
    <row r="14" spans="1:8" x14ac:dyDescent="0.25">
      <c r="A14" s="123" t="s">
        <v>633</v>
      </c>
      <c r="B14" t="s">
        <v>34</v>
      </c>
      <c r="C14" s="182" t="s">
        <v>35</v>
      </c>
      <c r="D14" s="211">
        <f>AVERAGE('food prices'!T212:T214)</f>
        <v>0.15529933481152994</v>
      </c>
      <c r="H14" s="183"/>
    </row>
    <row r="15" spans="1:8" x14ac:dyDescent="0.25">
      <c r="A15" s="123" t="s">
        <v>633</v>
      </c>
      <c r="B15" t="s">
        <v>36</v>
      </c>
      <c r="C15" s="182" t="s">
        <v>37</v>
      </c>
      <c r="D15" s="211">
        <f>AVERAGE('food prices'!T215:T217)</f>
        <v>0.28849999999999998</v>
      </c>
      <c r="H15" s="183"/>
    </row>
    <row r="16" spans="1:8" x14ac:dyDescent="0.25">
      <c r="A16" t="s">
        <v>633</v>
      </c>
      <c r="B16" s="196" t="str">
        <f>'common foods'!C11</f>
        <v>Peaches, canned in clear juice</v>
      </c>
      <c r="C16" s="182" t="s">
        <v>39</v>
      </c>
      <c r="D16" s="211">
        <f>AVERAGE('food prices'!T77:T79)</f>
        <v>0.51666666666666672</v>
      </c>
      <c r="H16" s="183"/>
    </row>
    <row r="17" spans="1:8" x14ac:dyDescent="0.25">
      <c r="A17" s="199" t="s">
        <v>633</v>
      </c>
      <c r="B17" s="199" t="s">
        <v>38</v>
      </c>
      <c r="C17" s="204" t="s">
        <v>39</v>
      </c>
      <c r="D17" s="211">
        <f>AVERAGE('food prices'!T221:T223)</f>
        <v>0.23675022583559169</v>
      </c>
      <c r="H17" s="183"/>
    </row>
    <row r="18" spans="1:8" x14ac:dyDescent="0.25">
      <c r="A18" s="199" t="s">
        <v>633</v>
      </c>
      <c r="B18" s="199" t="s">
        <v>41</v>
      </c>
      <c r="C18" s="204" t="s">
        <v>42</v>
      </c>
      <c r="D18" s="211">
        <f>AVERAGE('food prices'!T224:T226)</f>
        <v>0.38617886178861793</v>
      </c>
      <c r="H18" s="183"/>
    </row>
    <row r="19" spans="1:8" x14ac:dyDescent="0.25">
      <c r="A19" t="s">
        <v>639</v>
      </c>
      <c r="B19" s="196" t="str">
        <f>'common foods'!C16</f>
        <v>Avocados, fresh</v>
      </c>
      <c r="C19" s="182" t="s">
        <v>45</v>
      </c>
      <c r="D19" s="211">
        <f>AVERAGE('food prices'!T62:T64)</f>
        <v>1.0666666666666667</v>
      </c>
      <c r="H19" s="183"/>
    </row>
    <row r="20" spans="1:8" x14ac:dyDescent="0.25">
      <c r="A20" s="123" t="s">
        <v>639</v>
      </c>
      <c r="B20" t="s">
        <v>46</v>
      </c>
      <c r="C20" s="182" t="s">
        <v>47</v>
      </c>
      <c r="D20" s="211">
        <f>AVERAGE('food prices'!T230:T232)</f>
        <v>0.45948717948717949</v>
      </c>
      <c r="H20" s="183"/>
    </row>
    <row r="21" spans="1:8" x14ac:dyDescent="0.25">
      <c r="A21" t="s">
        <v>639</v>
      </c>
      <c r="B21" s="196" t="str">
        <f>'common foods'!C18</f>
        <v>Cabbage, fresh</v>
      </c>
      <c r="C21" s="182" t="s">
        <v>49</v>
      </c>
      <c r="D21" s="211">
        <f>AVERAGE('food prices'!T137:T139)</f>
        <v>0.22162962962962965</v>
      </c>
      <c r="H21" s="183"/>
    </row>
    <row r="22" spans="1:8" x14ac:dyDescent="0.25">
      <c r="A22" t="s">
        <v>639</v>
      </c>
      <c r="B22" s="196" t="str">
        <f>'common foods'!C19</f>
        <v>Capsicums, fresh</v>
      </c>
      <c r="C22" s="182" t="s">
        <v>51</v>
      </c>
      <c r="D22" s="211">
        <f>AVERAGE('food prices'!T140:T142)</f>
        <v>1.2026515151515149</v>
      </c>
      <c r="H22" s="183"/>
    </row>
    <row r="23" spans="1:8" x14ac:dyDescent="0.25">
      <c r="A23" s="123" t="s">
        <v>639</v>
      </c>
      <c r="B23" s="196" t="str">
        <f>'common foods'!C20</f>
        <v>Carrots, fresh</v>
      </c>
      <c r="C23" s="182" t="s">
        <v>53</v>
      </c>
      <c r="D23" s="211">
        <f>AVERAGE('food prices'!T170:T172)</f>
        <v>0.23333333333333331</v>
      </c>
      <c r="H23" s="183"/>
    </row>
    <row r="24" spans="1:8" x14ac:dyDescent="0.25">
      <c r="A24" t="s">
        <v>639</v>
      </c>
      <c r="B24" s="196" t="str">
        <f>'common foods'!C21</f>
        <v>Cauliflower, fresh</v>
      </c>
      <c r="C24" s="182" t="s">
        <v>55</v>
      </c>
      <c r="D24" s="211">
        <f>AVERAGE('food prices'!T41:T43)</f>
        <v>0.54982363315696647</v>
      </c>
      <c r="H24" s="183"/>
    </row>
    <row r="25" spans="1:8" x14ac:dyDescent="0.25">
      <c r="A25" s="123" t="s">
        <v>639</v>
      </c>
      <c r="B25" t="s">
        <v>56</v>
      </c>
      <c r="C25" s="182" t="s">
        <v>57</v>
      </c>
      <c r="D25" s="211">
        <f>AVERAGE('food prices'!T233:T235)</f>
        <v>0.35899999999999999</v>
      </c>
      <c r="H25" s="183"/>
    </row>
    <row r="26" spans="1:8" x14ac:dyDescent="0.25">
      <c r="A26" t="s">
        <v>639</v>
      </c>
      <c r="B26" s="196" t="str">
        <f>'common foods'!C23</f>
        <v>Courgettes, fresh</v>
      </c>
      <c r="C26" s="182" t="s">
        <v>59</v>
      </c>
      <c r="D26" s="211">
        <f>AVERAGE('food prices'!T92:T94)</f>
        <v>0.6308111111111111</v>
      </c>
      <c r="H26" s="183"/>
    </row>
    <row r="27" spans="1:8" x14ac:dyDescent="0.25">
      <c r="A27" t="s">
        <v>639</v>
      </c>
      <c r="B27" s="196" t="str">
        <f>'common foods'!C24</f>
        <v>Cucumber, fresh</v>
      </c>
      <c r="C27" s="182" t="s">
        <v>61</v>
      </c>
      <c r="D27" s="216">
        <f>AVERAGE('food prices'!T20:T22)</f>
        <v>0.55670103092783518</v>
      </c>
      <c r="H27" s="183"/>
    </row>
    <row r="28" spans="1:8" x14ac:dyDescent="0.25">
      <c r="A28" t="s">
        <v>639</v>
      </c>
      <c r="B28" s="196" t="str">
        <f>'common foods'!C25</f>
        <v>Lettuce, fresh</v>
      </c>
      <c r="C28" s="182" t="s">
        <v>63</v>
      </c>
      <c r="D28" s="211">
        <f>AVERAGE('food prices'!T86:T88)</f>
        <v>0.15937254901960785</v>
      </c>
      <c r="H28" s="183"/>
    </row>
    <row r="29" spans="1:8" x14ac:dyDescent="0.25">
      <c r="A29" s="199" t="s">
        <v>639</v>
      </c>
      <c r="B29" s="199" t="s">
        <v>64</v>
      </c>
      <c r="C29" s="204" t="s">
        <v>65</v>
      </c>
      <c r="D29" s="211">
        <f>AVERAGE('food prices'!T561:T563)</f>
        <v>0.219</v>
      </c>
      <c r="H29" s="183"/>
    </row>
    <row r="30" spans="1:8" x14ac:dyDescent="0.25">
      <c r="A30" t="s">
        <v>639</v>
      </c>
      <c r="B30" s="196" t="s">
        <v>758</v>
      </c>
      <c r="C30" s="182" t="s">
        <v>67</v>
      </c>
      <c r="D30" s="211">
        <f>AVERAGE('food prices'!T113:T115)</f>
        <v>1.0993333333333333</v>
      </c>
      <c r="H30" s="183"/>
    </row>
    <row r="31" spans="1:8" x14ac:dyDescent="0.25">
      <c r="A31" s="123" t="s">
        <v>639</v>
      </c>
      <c r="B31" s="196" t="str">
        <f>'common foods'!C28</f>
        <v>Onions, fresh</v>
      </c>
      <c r="C31" s="182" t="s">
        <v>69</v>
      </c>
      <c r="D31" s="211">
        <f>AVERAGE('food prices'!T179:T181)</f>
        <v>0.23529411764705885</v>
      </c>
      <c r="H31" s="183"/>
    </row>
    <row r="32" spans="1:8" x14ac:dyDescent="0.25">
      <c r="A32" s="123" t="s">
        <v>639</v>
      </c>
      <c r="B32" t="s">
        <v>70</v>
      </c>
      <c r="C32" s="182" t="s">
        <v>71</v>
      </c>
      <c r="D32" s="211">
        <f>AVERAGE('food prices'!T236:T238)</f>
        <v>0.26233333333333336</v>
      </c>
      <c r="H32" s="183"/>
    </row>
    <row r="33" spans="1:8" x14ac:dyDescent="0.25">
      <c r="A33" s="123" t="s">
        <v>639</v>
      </c>
      <c r="B33" t="s">
        <v>72</v>
      </c>
      <c r="C33" s="182" t="s">
        <v>73</v>
      </c>
      <c r="D33" s="211">
        <f>AVERAGE('food prices'!T239:T241)</f>
        <v>0.34803864734299511</v>
      </c>
      <c r="H33" s="183"/>
    </row>
    <row r="34" spans="1:8" x14ac:dyDescent="0.25">
      <c r="A34" t="s">
        <v>639</v>
      </c>
      <c r="B34" s="196" t="str">
        <f>'common foods'!C31</f>
        <v>Tomatoes, fresh</v>
      </c>
      <c r="C34" s="182" t="s">
        <v>75</v>
      </c>
      <c r="D34" s="211">
        <f>AVERAGE('food prices'!T26:T28)</f>
        <v>0.58233333333333326</v>
      </c>
      <c r="H34" s="183"/>
    </row>
    <row r="35" spans="1:8" x14ac:dyDescent="0.25">
      <c r="A35" t="s">
        <v>639</v>
      </c>
      <c r="B35" s="196" t="str">
        <f>'common foods'!C35</f>
        <v>Kumara, fresh</v>
      </c>
      <c r="C35" s="182" t="s">
        <v>83</v>
      </c>
      <c r="D35" s="211">
        <f>AVERAGE('food prices'!T50:T52)</f>
        <v>0.4206896551724138</v>
      </c>
      <c r="H35" s="183"/>
    </row>
    <row r="36" spans="1:8" x14ac:dyDescent="0.25">
      <c r="A36" t="s">
        <v>639</v>
      </c>
      <c r="B36" s="196" t="str">
        <f>'common foods'!C36</f>
        <v>Potatoes, fresh</v>
      </c>
      <c r="C36" s="182" t="s">
        <v>85</v>
      </c>
      <c r="D36" s="211">
        <f>AVERAGE('food prices'!T110:T112)</f>
        <v>0.21287037037037038</v>
      </c>
      <c r="H36" s="183"/>
    </row>
    <row r="37" spans="1:8" x14ac:dyDescent="0.25">
      <c r="A37" s="123" t="s">
        <v>639</v>
      </c>
      <c r="B37" t="s">
        <v>327</v>
      </c>
      <c r="C37" s="182" t="s">
        <v>328</v>
      </c>
      <c r="D37" s="211">
        <f>AVERAGE('food prices'!T245:T247)</f>
        <v>0.24466666666666667</v>
      </c>
      <c r="H37" s="183"/>
    </row>
    <row r="38" spans="1:8" x14ac:dyDescent="0.25">
      <c r="A38" t="s">
        <v>639</v>
      </c>
      <c r="B38" s="196" t="str">
        <f>'common foods'!C37</f>
        <v>Pumpkin, fresh</v>
      </c>
      <c r="C38" s="182" t="s">
        <v>87</v>
      </c>
      <c r="D38" s="211">
        <f>AVERAGE('food prices'!T143:T145)</f>
        <v>0.37429337231968818</v>
      </c>
      <c r="H38" s="183"/>
    </row>
    <row r="39" spans="1:8" x14ac:dyDescent="0.25">
      <c r="A39" s="199" t="s">
        <v>639</v>
      </c>
      <c r="B39" s="199" t="s">
        <v>88</v>
      </c>
      <c r="C39" s="204" t="s">
        <v>89</v>
      </c>
      <c r="D39" s="211">
        <f>AVERAGE('food prices'!T227)</f>
        <v>0.22450000000000001</v>
      </c>
      <c r="H39" s="183"/>
    </row>
    <row r="40" spans="1:8" x14ac:dyDescent="0.25">
      <c r="A40" s="199" t="s">
        <v>639</v>
      </c>
      <c r="B40" s="199" t="s">
        <v>90</v>
      </c>
      <c r="C40" s="204" t="s">
        <v>91</v>
      </c>
      <c r="D40" s="211">
        <f>AVERAGE('food prices'!T576:T577)</f>
        <v>0.68152500000000005</v>
      </c>
      <c r="H40" s="183"/>
    </row>
    <row r="41" spans="1:8" x14ac:dyDescent="0.25">
      <c r="A41" s="199" t="s">
        <v>639</v>
      </c>
      <c r="B41" s="199" t="s">
        <v>92</v>
      </c>
      <c r="C41" s="204" t="s">
        <v>93</v>
      </c>
      <c r="D41" s="211">
        <f>'food prices'!T579</f>
        <v>0.83743842364532028</v>
      </c>
      <c r="H41" s="183"/>
    </row>
    <row r="42" spans="1:8" x14ac:dyDescent="0.25">
      <c r="A42" s="199" t="s">
        <v>639</v>
      </c>
      <c r="B42" s="199" t="str">
        <f>'food prices'!L242</f>
        <v>Garlic, fresh</v>
      </c>
      <c r="C42" s="204" t="str">
        <f>'food prices'!M243</f>
        <v>02039</v>
      </c>
      <c r="D42" s="211">
        <f>AVERAGE('food prices'!T242:T244)</f>
        <v>2.3323333333333331</v>
      </c>
      <c r="H42" s="183"/>
    </row>
    <row r="43" spans="1:8" s="199" customFormat="1" ht="19.5" customHeight="1" x14ac:dyDescent="0.25">
      <c r="A43" s="205" t="s">
        <v>639</v>
      </c>
      <c r="B43" s="199" t="s">
        <v>80</v>
      </c>
      <c r="C43" s="203" t="s">
        <v>81</v>
      </c>
      <c r="D43" s="217">
        <f>AVERAGE('food prices'!T251:T253)</f>
        <v>0.13250000000000001</v>
      </c>
      <c r="H43" s="204"/>
    </row>
    <row r="44" spans="1:8" s="199" customFormat="1" x14ac:dyDescent="0.25">
      <c r="A44" s="199" t="s">
        <v>639</v>
      </c>
      <c r="B44" s="201" t="str">
        <f>'food prices'!L250</f>
        <v>Tomatoes, canned, regular</v>
      </c>
      <c r="C44" s="203" t="str">
        <f>'food prices'!M250</f>
        <v>02031</v>
      </c>
      <c r="D44" s="217">
        <f>AVERAGE('food prices'!T248:T250)</f>
        <v>0.22083333333333333</v>
      </c>
      <c r="H44" s="204"/>
    </row>
    <row r="45" spans="1:8" x14ac:dyDescent="0.25">
      <c r="A45" s="199" t="s">
        <v>639</v>
      </c>
      <c r="B45" s="199" t="s">
        <v>94</v>
      </c>
      <c r="C45" s="204" t="s">
        <v>95</v>
      </c>
      <c r="D45" s="211">
        <f>AVERAGE('food prices'!T546:T548)</f>
        <v>0.1636</v>
      </c>
      <c r="H45" s="183"/>
    </row>
    <row r="46" spans="1:8" ht="15.75" x14ac:dyDescent="0.25">
      <c r="A46" s="1" t="s">
        <v>639</v>
      </c>
      <c r="B46" t="str">
        <f>'common foods'!C43</f>
        <v>Spring onion, fresh</v>
      </c>
      <c r="C46" s="182" t="s">
        <v>99</v>
      </c>
      <c r="D46" s="211">
        <f>AVERAGE('food prices'!T521:T523)</f>
        <v>1.2938888888888889</v>
      </c>
      <c r="H46" s="183"/>
    </row>
    <row r="47" spans="1:8" x14ac:dyDescent="0.25">
      <c r="A47" t="s">
        <v>639</v>
      </c>
      <c r="B47" s="196" t="s">
        <v>100</v>
      </c>
      <c r="C47" s="182" t="s">
        <v>101</v>
      </c>
      <c r="D47" s="211">
        <f>AVERAGE('food prices'!T38:T40)</f>
        <v>0.3666666666666667</v>
      </c>
      <c r="H47" s="183"/>
    </row>
    <row r="48" spans="1:8" x14ac:dyDescent="0.25">
      <c r="A48" t="s">
        <v>639</v>
      </c>
      <c r="B48" s="196" t="str">
        <f>'common foods'!C45</f>
        <v>Spinach, frozen</v>
      </c>
      <c r="C48" s="182" t="s">
        <v>103</v>
      </c>
      <c r="D48" s="211">
        <f>AVERAGE('food prices'!T116:T118)</f>
        <v>0.55500000000000005</v>
      </c>
      <c r="H48" s="183"/>
    </row>
    <row r="49" spans="1:8" x14ac:dyDescent="0.25">
      <c r="A49" t="s">
        <v>639</v>
      </c>
      <c r="B49" t="str">
        <f>'common foods'!C46</f>
        <v>Broccoli and Cauliflower, frozen</v>
      </c>
      <c r="C49" s="182" t="s">
        <v>105</v>
      </c>
      <c r="D49" s="211">
        <f>AVERAGE('food prices'!T524:T526)</f>
        <v>0.52717948717948726</v>
      </c>
      <c r="H49" s="183"/>
    </row>
    <row r="50" spans="1:8" x14ac:dyDescent="0.25">
      <c r="A50" s="123" t="s">
        <v>623</v>
      </c>
      <c r="B50" t="s">
        <v>107</v>
      </c>
      <c r="C50" s="182" t="s">
        <v>108</v>
      </c>
      <c r="D50" s="211">
        <f>AVERAGE('food prices'!T254:T256)</f>
        <v>0.19944444444444442</v>
      </c>
      <c r="H50" s="183"/>
    </row>
    <row r="51" spans="1:8" x14ac:dyDescent="0.25">
      <c r="A51" s="123" t="s">
        <v>623</v>
      </c>
      <c r="B51" t="s">
        <v>109</v>
      </c>
      <c r="C51" s="182" t="s">
        <v>110</v>
      </c>
      <c r="D51" s="211">
        <f>AVERAGE('food prices'!T257:T259)</f>
        <v>0.19944444444444442</v>
      </c>
      <c r="H51" s="183"/>
    </row>
    <row r="52" spans="1:8" x14ac:dyDescent="0.25">
      <c r="A52" t="s">
        <v>623</v>
      </c>
      <c r="B52" s="196" t="str">
        <f>'common foods'!C48</f>
        <v>Bread, wheatmeal</v>
      </c>
      <c r="C52" s="182" t="s">
        <v>110</v>
      </c>
      <c r="D52" s="211">
        <f>AVERAGE('food prices'!T59:T61)</f>
        <v>0.46619047619047621</v>
      </c>
      <c r="H52" s="183"/>
    </row>
    <row r="53" spans="1:8" x14ac:dyDescent="0.25">
      <c r="A53" t="s">
        <v>623</v>
      </c>
      <c r="B53" s="196" t="str">
        <f>'common foods'!C49</f>
        <v>Bread, multigrain</v>
      </c>
      <c r="C53" s="182" t="s">
        <v>112</v>
      </c>
      <c r="D53" s="211">
        <f>AVERAGE('food prices'!T17:T19)</f>
        <v>0.46190476190476187</v>
      </c>
      <c r="H53" s="183"/>
    </row>
    <row r="54" spans="1:8" x14ac:dyDescent="0.25">
      <c r="A54" s="123" t="s">
        <v>623</v>
      </c>
      <c r="B54" t="str">
        <f>'common foods'!C50</f>
        <v>Pita bread</v>
      </c>
      <c r="C54" s="182" t="s">
        <v>114</v>
      </c>
      <c r="D54" s="211">
        <f>AVERAGE('food prices'!T260:T262)</f>
        <v>0.7939844961240311</v>
      </c>
      <c r="H54" s="183"/>
    </row>
    <row r="55" spans="1:8" x14ac:dyDescent="0.25">
      <c r="A55" t="s">
        <v>623</v>
      </c>
      <c r="B55" s="201" t="str">
        <f>'common foods'!C67</f>
        <v>Mixed grain crackers</v>
      </c>
      <c r="C55" s="182" t="s">
        <v>116</v>
      </c>
      <c r="D55" s="211">
        <f>AVERAGE('food prices'!T104:T106)</f>
        <v>1.3053333333333332</v>
      </c>
      <c r="H55" s="183"/>
    </row>
    <row r="56" spans="1:8" ht="15.75" x14ac:dyDescent="0.25">
      <c r="A56" s="1" t="s">
        <v>278</v>
      </c>
      <c r="B56" t="s">
        <v>279</v>
      </c>
      <c r="C56" s="182" t="s">
        <v>280</v>
      </c>
      <c r="D56" s="211">
        <f>AVERAGE('food prices'!T374:T376)</f>
        <v>1.1353041324056505</v>
      </c>
      <c r="H56" s="183"/>
    </row>
    <row r="57" spans="1:8" ht="15.75" x14ac:dyDescent="0.25">
      <c r="A57" s="1" t="s">
        <v>278</v>
      </c>
      <c r="B57" t="s">
        <v>282</v>
      </c>
      <c r="C57" s="182" t="s">
        <v>283</v>
      </c>
      <c r="D57" s="211">
        <f>AVERAGE('food prices'!T377:T379)</f>
        <v>0.66533333333333333</v>
      </c>
      <c r="H57" s="183"/>
    </row>
    <row r="58" spans="1:8" ht="15.75" x14ac:dyDescent="0.25">
      <c r="A58" s="1" t="s">
        <v>278</v>
      </c>
      <c r="B58" t="s">
        <v>284</v>
      </c>
      <c r="C58" s="182" t="s">
        <v>285</v>
      </c>
      <c r="D58" s="211">
        <f>AVERAGE('food prices'!T383:T385)</f>
        <v>1.4846969696969696</v>
      </c>
      <c r="H58" s="183"/>
    </row>
    <row r="59" spans="1:8" ht="15.75" x14ac:dyDescent="0.25">
      <c r="A59" s="1" t="s">
        <v>278</v>
      </c>
      <c r="B59" t="s">
        <v>286</v>
      </c>
      <c r="C59" s="182" t="s">
        <v>287</v>
      </c>
      <c r="D59" s="211">
        <f>AVERAGE('food prices'!T388:T390)</f>
        <v>1.4723809523809523</v>
      </c>
      <c r="H59" s="183"/>
    </row>
    <row r="60" spans="1:8" ht="15.75" x14ac:dyDescent="0.25">
      <c r="A60" s="1" t="s">
        <v>278</v>
      </c>
      <c r="B60" t="s">
        <v>290</v>
      </c>
      <c r="C60" s="182" t="s">
        <v>291</v>
      </c>
      <c r="D60" s="211">
        <f>AVERAGE('food prices'!T391:T393)</f>
        <v>1.0814814814814815</v>
      </c>
      <c r="H60" s="183"/>
    </row>
    <row r="61" spans="1:8" x14ac:dyDescent="0.25">
      <c r="A61" s="123" t="s">
        <v>623</v>
      </c>
      <c r="B61" t="s">
        <v>117</v>
      </c>
      <c r="C61" s="182" t="s">
        <v>118</v>
      </c>
      <c r="D61" s="211">
        <f>AVERAGE('food prices'!T263:T265)</f>
        <v>0.53200000000000003</v>
      </c>
      <c r="H61" s="183"/>
    </row>
    <row r="62" spans="1:8" x14ac:dyDescent="0.25">
      <c r="A62" s="123" t="s">
        <v>623</v>
      </c>
      <c r="B62" s="201" t="str">
        <f>'common foods'!C64</f>
        <v>Muesli, toasted</v>
      </c>
      <c r="C62" s="182" t="s">
        <v>120</v>
      </c>
      <c r="D62" s="211">
        <f>AVERAGE('food prices'!T152:T154)</f>
        <v>0.92</v>
      </c>
      <c r="H62" s="183"/>
    </row>
    <row r="63" spans="1:8" x14ac:dyDescent="0.25">
      <c r="A63" t="s">
        <v>623</v>
      </c>
      <c r="B63" s="196" t="str">
        <f>'common foods'!C55</f>
        <v>Rolled oats</v>
      </c>
      <c r="C63" s="182" t="s">
        <v>124</v>
      </c>
      <c r="D63" s="211">
        <f>AVERAGE('food prices'!T74:T76)</f>
        <v>6.2064156206415623E-2</v>
      </c>
      <c r="H63" s="183"/>
    </row>
    <row r="64" spans="1:8" x14ac:dyDescent="0.25">
      <c r="A64" s="123" t="s">
        <v>623</v>
      </c>
      <c r="B64" t="s">
        <v>329</v>
      </c>
      <c r="C64" s="182" t="s">
        <v>330</v>
      </c>
      <c r="D64" s="211">
        <f>AVERAGE('food prices'!T276:T277)</f>
        <v>1.0114782608695652</v>
      </c>
      <c r="H64" s="183"/>
    </row>
    <row r="65" spans="1:8" x14ac:dyDescent="0.25">
      <c r="A65" s="123" t="s">
        <v>623</v>
      </c>
      <c r="B65" t="s">
        <v>125</v>
      </c>
      <c r="C65" s="182" t="s">
        <v>126</v>
      </c>
      <c r="D65" s="211">
        <f>AVERAGE('food prices'!T278:T280)</f>
        <v>0.44639999999999996</v>
      </c>
      <c r="H65" s="183"/>
    </row>
    <row r="66" spans="1:8" x14ac:dyDescent="0.25">
      <c r="A66" t="s">
        <v>623</v>
      </c>
      <c r="B66" s="196" t="str">
        <f>'common foods'!C57</f>
        <v>Pasta wholemeal</v>
      </c>
      <c r="C66" s="182" t="s">
        <v>128</v>
      </c>
      <c r="D66" s="211">
        <f>AVERAGE('food prices'!T44:T46)</f>
        <v>0.16611111111111113</v>
      </c>
      <c r="H66" s="183"/>
    </row>
    <row r="67" spans="1:8" x14ac:dyDescent="0.25">
      <c r="A67" t="s">
        <v>623</v>
      </c>
      <c r="B67" s="196" t="str">
        <f>'common foods'!C58</f>
        <v>Couscous, wholemeal wheat</v>
      </c>
      <c r="C67" s="182" t="s">
        <v>128</v>
      </c>
      <c r="D67" s="211">
        <f>AVERAGE('food prices'!T47:T49)</f>
        <v>0.21250000000000002</v>
      </c>
      <c r="H67" s="183"/>
    </row>
    <row r="68" spans="1:8" ht="15.75" x14ac:dyDescent="0.25">
      <c r="A68" s="1" t="s">
        <v>278</v>
      </c>
      <c r="B68" t="s">
        <v>292</v>
      </c>
      <c r="C68" s="182" t="s">
        <v>293</v>
      </c>
      <c r="D68" s="211">
        <f>AVERAGE('food prices'!T394:T396)</f>
        <v>3.2082352941176473</v>
      </c>
      <c r="H68" s="183"/>
    </row>
    <row r="69" spans="1:8" x14ac:dyDescent="0.25">
      <c r="A69" s="123" t="s">
        <v>623</v>
      </c>
      <c r="B69" t="s">
        <v>131</v>
      </c>
      <c r="C69" s="182" t="s">
        <v>132</v>
      </c>
      <c r="D69" s="211">
        <f>AVERAGE('food prices'!T281:T283)</f>
        <v>0.41919999999999996</v>
      </c>
      <c r="H69" s="183"/>
    </row>
    <row r="70" spans="1:8" x14ac:dyDescent="0.25">
      <c r="A70" s="123" t="s">
        <v>623</v>
      </c>
      <c r="B70" s="196" t="str">
        <f>'common foods'!C60</f>
        <v>Rice, brown</v>
      </c>
      <c r="C70" s="182" t="s">
        <v>134</v>
      </c>
      <c r="D70" s="211">
        <f>AVERAGE('food prices'!T155:T157)</f>
        <v>7.4999999999999997E-2</v>
      </c>
      <c r="H70" s="183"/>
    </row>
    <row r="71" spans="1:8" x14ac:dyDescent="0.25">
      <c r="A71" s="123" t="s">
        <v>623</v>
      </c>
      <c r="B71" t="s">
        <v>135</v>
      </c>
      <c r="C71" s="182" t="s">
        <v>136</v>
      </c>
      <c r="D71" s="211">
        <f>AVERAGE('food prices'!T284:T286)</f>
        <v>0.25006535947712416</v>
      </c>
      <c r="H71" s="183"/>
    </row>
    <row r="72" spans="1:8" x14ac:dyDescent="0.25">
      <c r="A72" s="123" t="s">
        <v>623</v>
      </c>
      <c r="B72" s="196" t="str">
        <f>'common foods'!C54</f>
        <v>Weetbix</v>
      </c>
      <c r="C72" s="182" t="s">
        <v>136</v>
      </c>
      <c r="D72" s="211">
        <f>AVERAGE('food prices'!T2:T4)</f>
        <v>0.59177777777777774</v>
      </c>
      <c r="H72" s="183"/>
    </row>
    <row r="73" spans="1:8" ht="15.75" x14ac:dyDescent="0.25">
      <c r="A73" s="1" t="s">
        <v>278</v>
      </c>
      <c r="B73" s="196" t="str">
        <f>'food prices'!L386</f>
        <v>Coconut cream buns</v>
      </c>
      <c r="C73" s="182" t="str">
        <f>'food prices'!M386</f>
        <v>03059</v>
      </c>
      <c r="D73" s="211">
        <f>'food prices'!T386</f>
        <v>0.96774193548387089</v>
      </c>
      <c r="H73" s="183"/>
    </row>
    <row r="74" spans="1:8" ht="15.75" x14ac:dyDescent="0.25">
      <c r="A74" s="1" t="s">
        <v>278</v>
      </c>
      <c r="B74" s="196" t="str">
        <f>'food prices'!L387</f>
        <v>Pineapple pie</v>
      </c>
      <c r="C74" s="182" t="str">
        <f>'food prices'!M387</f>
        <v>03060</v>
      </c>
      <c r="D74" s="211">
        <f>'food prices'!T387</f>
        <v>0.8571428571428571</v>
      </c>
      <c r="H74" s="183"/>
    </row>
    <row r="75" spans="1:8" ht="15.75" x14ac:dyDescent="0.25">
      <c r="A75" s="1" t="s">
        <v>278</v>
      </c>
      <c r="B75" t="s">
        <v>294</v>
      </c>
      <c r="C75" s="182" t="s">
        <v>295</v>
      </c>
      <c r="D75" s="211">
        <f>AVERAGE('food prices'!T397:T399)</f>
        <v>1.2799108138238575</v>
      </c>
      <c r="H75" s="183"/>
    </row>
    <row r="76" spans="1:8" x14ac:dyDescent="0.25">
      <c r="A76" s="199" t="s">
        <v>623</v>
      </c>
      <c r="B76" s="209" t="s">
        <v>141</v>
      </c>
      <c r="C76" s="199" t="s">
        <v>142</v>
      </c>
      <c r="D76" s="211">
        <f>AVERAGE('food prices'!T564:T566)</f>
        <v>0.79333333333333333</v>
      </c>
      <c r="H76" s="183"/>
    </row>
    <row r="77" spans="1:8" x14ac:dyDescent="0.25">
      <c r="A77" s="199" t="s">
        <v>635</v>
      </c>
      <c r="B77" s="199" t="s">
        <v>212</v>
      </c>
      <c r="C77" s="204" t="s">
        <v>213</v>
      </c>
      <c r="D77" s="211">
        <f>AVERAGE('food prices'!T549:T551)</f>
        <v>1.2152566666666667</v>
      </c>
      <c r="H77" s="183"/>
    </row>
    <row r="78" spans="1:8" x14ac:dyDescent="0.25">
      <c r="A78" s="199" t="str">
        <f>'food prices'!K267</f>
        <v>grains</v>
      </c>
      <c r="B78" s="199" t="str">
        <f>'food prices'!L267</f>
        <v>Vermicelli</v>
      </c>
      <c r="C78" s="204" t="str">
        <f>'food prices'!M267</f>
        <v>03064</v>
      </c>
      <c r="D78" s="211">
        <f>AVERAGE('food prices'!T266:T268)</f>
        <v>0.10098765432098766</v>
      </c>
      <c r="H78" s="183"/>
    </row>
    <row r="79" spans="1:8" x14ac:dyDescent="0.25">
      <c r="A79" s="199" t="s">
        <v>278</v>
      </c>
      <c r="B79" s="199" t="str">
        <f>'food prices'!L380</f>
        <v>Biscuits, arrowroot</v>
      </c>
      <c r="C79" s="204" t="str">
        <f>'food prices'!M380</f>
        <v>03061</v>
      </c>
      <c r="D79" s="211">
        <f>AVERAGE('food prices'!T380:T382)</f>
        <v>0.68533333333333335</v>
      </c>
      <c r="H79" s="183"/>
    </row>
    <row r="80" spans="1:8" x14ac:dyDescent="0.25">
      <c r="A80" s="199" t="str">
        <f>'food prices'!K268</f>
        <v>grains</v>
      </c>
      <c r="B80" s="199" t="str">
        <f>'food prices'!L269</f>
        <v>Crackers, cabin bread</v>
      </c>
      <c r="C80" s="204" t="str">
        <f>'food prices'!M269</f>
        <v>03062</v>
      </c>
      <c r="D80" s="211">
        <f>AVERAGE('food prices'!T269:T271)</f>
        <v>0.43244444444444446</v>
      </c>
      <c r="H80" s="183"/>
    </row>
    <row r="81" spans="1:8" x14ac:dyDescent="0.25">
      <c r="A81" s="199" t="s">
        <v>623</v>
      </c>
      <c r="B81" s="199" t="str">
        <f>'food prices'!L272</f>
        <v>Weetbix</v>
      </c>
      <c r="C81" s="204" t="str">
        <f>'food prices'!M272</f>
        <v>03048</v>
      </c>
      <c r="D81" s="211">
        <f>AVERAGE('food prices'!T272:T274)</f>
        <v>0.59177777777777762</v>
      </c>
      <c r="H81" s="183"/>
    </row>
    <row r="82" spans="1:8" x14ac:dyDescent="0.25">
      <c r="A82" s="199" t="s">
        <v>623</v>
      </c>
      <c r="B82" s="199" t="str">
        <f>'food prices'!L287</f>
        <v>Cocoa puffs</v>
      </c>
      <c r="C82" s="204" t="str">
        <f>'food prices'!M288</f>
        <v>03068</v>
      </c>
      <c r="D82" s="211">
        <f>AVERAGE('food prices'!T287:T289)</f>
        <v>0.66</v>
      </c>
      <c r="H82" s="183"/>
    </row>
    <row r="83" spans="1:8" x14ac:dyDescent="0.25">
      <c r="A83" s="123" t="s">
        <v>623</v>
      </c>
      <c r="B83" t="s">
        <v>143</v>
      </c>
      <c r="C83" s="182" t="s">
        <v>144</v>
      </c>
      <c r="D83" s="211">
        <f>AVERAGE('food prices'!T290:T292)</f>
        <v>0.51428571428571423</v>
      </c>
      <c r="H83" s="183"/>
    </row>
    <row r="84" spans="1:8" x14ac:dyDescent="0.25">
      <c r="A84" t="s">
        <v>623</v>
      </c>
      <c r="B84" s="196" t="str">
        <f>'common foods'!C66</f>
        <v>Rye Crispbread</v>
      </c>
      <c r="C84" s="182" t="s">
        <v>323</v>
      </c>
      <c r="D84" s="211">
        <f>AVERAGE('food prices'!T98:T100)</f>
        <v>1.1319999999999999</v>
      </c>
      <c r="H84" s="183"/>
    </row>
    <row r="85" spans="1:8" x14ac:dyDescent="0.25">
      <c r="A85" s="123" t="s">
        <v>623</v>
      </c>
      <c r="B85" s="196" t="str">
        <f>'common foods'!C68</f>
        <v>Corn Chips</v>
      </c>
      <c r="C85" s="182" t="s">
        <v>150</v>
      </c>
      <c r="D85" s="211">
        <f>AVERAGE('food prices'!T185:T187)</f>
        <v>1.1088888888888888</v>
      </c>
      <c r="H85" s="183"/>
    </row>
    <row r="86" spans="1:8" x14ac:dyDescent="0.25">
      <c r="A86" t="s">
        <v>623</v>
      </c>
      <c r="B86" t="str">
        <f>'common foods'!C69</f>
        <v>Wholegrain burger bun</v>
      </c>
      <c r="C86" s="182" t="s">
        <v>152</v>
      </c>
      <c r="D86" s="211">
        <f>AVERAGE('food prices'!T533:T535)</f>
        <v>0.95401178065937786</v>
      </c>
      <c r="H86" s="183"/>
    </row>
    <row r="87" spans="1:8" x14ac:dyDescent="0.25">
      <c r="A87" t="s">
        <v>623</v>
      </c>
      <c r="B87" s="201" t="str">
        <f>'common foods'!C70</f>
        <v>Pita bread, wholemeal</v>
      </c>
      <c r="C87" s="182" t="s">
        <v>154</v>
      </c>
      <c r="D87" s="211">
        <f>AVERAGE('food prices'!T128:T130)</f>
        <v>1.1528888888888889</v>
      </c>
      <c r="H87" s="183"/>
    </row>
    <row r="88" spans="1:8" ht="15.75" x14ac:dyDescent="0.25">
      <c r="A88" s="1" t="s">
        <v>623</v>
      </c>
      <c r="B88" t="str">
        <f>'common foods'!C71</f>
        <v>Spaghetti Pasta, wholemeal</v>
      </c>
      <c r="C88" s="182" t="s">
        <v>156</v>
      </c>
      <c r="D88" s="211">
        <f>AVERAGE('food prices'!T518:T520)</f>
        <v>0.90879999999999994</v>
      </c>
      <c r="H88" s="183"/>
    </row>
    <row r="89" spans="1:8" x14ac:dyDescent="0.25">
      <c r="A89" s="199" t="s">
        <v>623</v>
      </c>
      <c r="B89" s="209" t="s">
        <v>145</v>
      </c>
      <c r="C89" s="199" t="s">
        <v>146</v>
      </c>
      <c r="D89" s="211">
        <f>AVERAGE('food prices'!T555:T557)</f>
        <v>1.1319999999999999</v>
      </c>
      <c r="H89" s="183"/>
    </row>
    <row r="90" spans="1:8" x14ac:dyDescent="0.25">
      <c r="A90" s="199" t="s">
        <v>623</v>
      </c>
      <c r="B90" s="209" t="s">
        <v>147</v>
      </c>
      <c r="C90" s="199" t="s">
        <v>148</v>
      </c>
      <c r="D90" s="211">
        <f>AVERAGE('food prices'!T558:T560)</f>
        <v>1.3053333333333332</v>
      </c>
      <c r="H90" s="183"/>
    </row>
    <row r="91" spans="1:8" x14ac:dyDescent="0.25">
      <c r="A91" s="199" t="s">
        <v>623</v>
      </c>
      <c r="B91" s="199" t="s">
        <v>129</v>
      </c>
      <c r="C91" s="204" t="s">
        <v>130</v>
      </c>
      <c r="D91" s="211">
        <f>AVERAGE('food prices'!T543:T544)</f>
        <v>0.21166666666666667</v>
      </c>
      <c r="H91" s="183"/>
    </row>
    <row r="92" spans="1:8" x14ac:dyDescent="0.25">
      <c r="A92" t="s">
        <v>688</v>
      </c>
      <c r="B92" s="196" t="str">
        <f>'common foods'!C73</f>
        <v>Cheese, Edam</v>
      </c>
      <c r="C92" s="182" t="s">
        <v>159</v>
      </c>
      <c r="D92" s="211">
        <f>AVERAGE('food prices'!T146:T148)</f>
        <v>0.99666666666666659</v>
      </c>
      <c r="H92" s="183"/>
    </row>
    <row r="93" spans="1:8" x14ac:dyDescent="0.25">
      <c r="A93" t="s">
        <v>629</v>
      </c>
      <c r="B93" t="str">
        <f>'common foods'!C73</f>
        <v>Cheese, Edam</v>
      </c>
      <c r="C93" s="182" t="s">
        <v>159</v>
      </c>
      <c r="D93" s="211">
        <f>AVERAGE('food prices'!T296:T298)</f>
        <v>0.96600000000000008</v>
      </c>
      <c r="H93" s="183"/>
    </row>
    <row r="94" spans="1:8" x14ac:dyDescent="0.25">
      <c r="A94" t="s">
        <v>629</v>
      </c>
      <c r="B94" s="196" t="str">
        <f>'common foods'!C74</f>
        <v>Milk, trim</v>
      </c>
      <c r="C94" s="182" t="s">
        <v>163</v>
      </c>
      <c r="D94" s="211">
        <f>AVERAGE('food prices'!T8:T10)</f>
        <v>0.17233333333333331</v>
      </c>
      <c r="H94" s="183"/>
    </row>
    <row r="95" spans="1:8" x14ac:dyDescent="0.25">
      <c r="A95" t="s">
        <v>629</v>
      </c>
      <c r="B95" t="s">
        <v>165</v>
      </c>
      <c r="C95" s="182" t="s">
        <v>166</v>
      </c>
      <c r="D95" s="211">
        <f>AVERAGE('food prices'!T299:T301)</f>
        <v>0.17066666666666666</v>
      </c>
      <c r="H95" s="183"/>
    </row>
    <row r="96" spans="1:8" x14ac:dyDescent="0.25">
      <c r="A96" t="s">
        <v>629</v>
      </c>
      <c r="B96" t="s">
        <v>167</v>
      </c>
      <c r="C96" s="182" t="s">
        <v>168</v>
      </c>
      <c r="D96" s="211">
        <f>AVERAGE('food prices'!T302:T304)</f>
        <v>0.38577777777777778</v>
      </c>
      <c r="H96" s="183"/>
    </row>
    <row r="97" spans="1:8" x14ac:dyDescent="0.25">
      <c r="A97" t="s">
        <v>629</v>
      </c>
      <c r="B97" s="196" t="str">
        <f>'common foods'!C77</f>
        <v>Yoghurt, natural, low-fat</v>
      </c>
      <c r="C97" s="182" t="s">
        <v>170</v>
      </c>
      <c r="D97" s="211">
        <f>AVERAGE('food prices'!T5:T7)</f>
        <v>0.42</v>
      </c>
      <c r="H97" s="183"/>
    </row>
    <row r="98" spans="1:8" x14ac:dyDescent="0.25">
      <c r="A98" t="s">
        <v>629</v>
      </c>
      <c r="B98" s="196" t="str">
        <f>'food prices'!L293</f>
        <v xml:space="preserve">Cheese,Edam </v>
      </c>
      <c r="C98" s="182" t="str">
        <f>'food prices'!M293</f>
        <v>04058</v>
      </c>
      <c r="D98" s="211">
        <f>AVERAGE('food prices'!T293:T295)</f>
        <v>0.99666666666666659</v>
      </c>
      <c r="H98" s="183"/>
    </row>
    <row r="99" spans="1:8" x14ac:dyDescent="0.25">
      <c r="A99" t="s">
        <v>629</v>
      </c>
      <c r="B99" s="196" t="str">
        <f>'food prices'!L296</f>
        <v>Cheese, Colby</v>
      </c>
      <c r="C99" s="182" t="str">
        <f>'food prices'!M297</f>
        <v>04057</v>
      </c>
      <c r="D99" s="211">
        <f>AVERAGE('food prices'!T296:T298)</f>
        <v>0.96600000000000008</v>
      </c>
      <c r="H99" s="183"/>
    </row>
    <row r="100" spans="1:8" x14ac:dyDescent="0.25">
      <c r="A100" s="123" t="s">
        <v>688</v>
      </c>
      <c r="B100" t="s">
        <v>171</v>
      </c>
      <c r="C100" s="182" t="s">
        <v>172</v>
      </c>
      <c r="D100" s="211">
        <f>AVERAGE('food prices'!T305:T307)</f>
        <v>1.0519999999999998</v>
      </c>
      <c r="H100" s="183"/>
    </row>
    <row r="101" spans="1:8" x14ac:dyDescent="0.25">
      <c r="A101" s="123" t="s">
        <v>688</v>
      </c>
      <c r="B101" t="s">
        <v>173</v>
      </c>
      <c r="C101" s="182" t="s">
        <v>174</v>
      </c>
      <c r="D101" s="211">
        <f>AVERAGE('food prices'!T308:T310)</f>
        <v>0.46266666666666662</v>
      </c>
      <c r="H101" s="183"/>
    </row>
    <row r="102" spans="1:8" x14ac:dyDescent="0.25">
      <c r="A102" t="s">
        <v>629</v>
      </c>
      <c r="B102" t="str">
        <f>'common foods'!C80</f>
        <v>Almond milk</v>
      </c>
      <c r="C102" s="182" t="s">
        <v>176</v>
      </c>
      <c r="D102" s="211">
        <f>AVERAGE('food prices'!T194:T196)</f>
        <v>0.41333333333333339</v>
      </c>
      <c r="H102" s="183"/>
    </row>
    <row r="103" spans="1:8" x14ac:dyDescent="0.25">
      <c r="A103" t="s">
        <v>629</v>
      </c>
      <c r="B103" t="str">
        <f>'common foods'!C81</f>
        <v>Soy yoghurt with berriers</v>
      </c>
      <c r="C103" s="182" t="s">
        <v>178</v>
      </c>
      <c r="D103" s="211">
        <f>AVERAGE('food prices'!T197:T199)</f>
        <v>1.3573333333333333</v>
      </c>
      <c r="H103" s="183"/>
    </row>
    <row r="104" spans="1:8" x14ac:dyDescent="0.25">
      <c r="A104" t="s">
        <v>629</v>
      </c>
      <c r="B104" t="str">
        <f>'common foods'!C82</f>
        <v>Soy yoghurt with mango and peach</v>
      </c>
      <c r="C104" s="182" t="s">
        <v>180</v>
      </c>
      <c r="D104" s="211">
        <f>AVERAGE('food prices'!T200:T202)</f>
        <v>1.3440000000000001</v>
      </c>
      <c r="H104" s="183"/>
    </row>
    <row r="105" spans="1:8" x14ac:dyDescent="0.25">
      <c r="A105" t="s">
        <v>629</v>
      </c>
      <c r="B105" t="str">
        <f>'common foods'!C83</f>
        <v>Soy milk</v>
      </c>
      <c r="C105" s="182" t="s">
        <v>182</v>
      </c>
      <c r="D105" s="211">
        <f>AVERAGE('food prices'!T536:T538)</f>
        <v>0.33266666666666667</v>
      </c>
      <c r="H105" s="183"/>
    </row>
    <row r="106" spans="1:8" x14ac:dyDescent="0.25">
      <c r="A106" t="s">
        <v>629</v>
      </c>
      <c r="B106" t="str">
        <f>'common foods'!C84</f>
        <v>Dairy-free cheddar</v>
      </c>
      <c r="C106" s="182" t="s">
        <v>184</v>
      </c>
      <c r="D106" s="211">
        <f>AVERAGE('food prices'!T191:T193)</f>
        <v>3.6933333333333334</v>
      </c>
      <c r="H106" s="183"/>
    </row>
    <row r="107" spans="1:8" x14ac:dyDescent="0.25">
      <c r="A107" t="s">
        <v>629</v>
      </c>
      <c r="B107" t="str">
        <f>'common foods'!C85</f>
        <v>Dairy-free cream cheese</v>
      </c>
      <c r="C107" s="182" t="s">
        <v>186</v>
      </c>
      <c r="D107" s="211">
        <f>AVERAGE('food prices'!T188:T190)</f>
        <v>3.1888888888888887</v>
      </c>
      <c r="H107" s="183"/>
    </row>
    <row r="108" spans="1:8" x14ac:dyDescent="0.25">
      <c r="A108" t="s">
        <v>635</v>
      </c>
      <c r="B108" s="196" t="str">
        <f>'common foods'!C86</f>
        <v>Eggs</v>
      </c>
      <c r="C108" s="182" t="s">
        <v>189</v>
      </c>
      <c r="D108" s="211">
        <f>AVERAGE('food prices'!T80:T82)</f>
        <v>0.60784313725490202</v>
      </c>
      <c r="H108" s="183"/>
    </row>
    <row r="109" spans="1:8" ht="15.75" x14ac:dyDescent="0.25">
      <c r="A109" s="218" t="s">
        <v>187</v>
      </c>
      <c r="B109" t="s">
        <v>190</v>
      </c>
      <c r="C109" s="182" t="s">
        <v>191</v>
      </c>
      <c r="D109" s="211">
        <f>AVERAGE('food prices'!T311:T313)</f>
        <v>0.70109333333333324</v>
      </c>
      <c r="H109" s="183"/>
    </row>
    <row r="110" spans="1:8" ht="15.75" x14ac:dyDescent="0.25">
      <c r="A110" s="218" t="s">
        <v>187</v>
      </c>
      <c r="B110" t="s">
        <v>192</v>
      </c>
      <c r="C110" s="182" t="s">
        <v>193</v>
      </c>
      <c r="D110" s="211">
        <f>AVERAGE('food prices'!T314:T316)</f>
        <v>1.3485266666666667</v>
      </c>
      <c r="H110" s="183"/>
    </row>
    <row r="111" spans="1:8" ht="15.75" x14ac:dyDescent="0.25">
      <c r="A111" s="218" t="s">
        <v>187</v>
      </c>
      <c r="B111" t="s">
        <v>194</v>
      </c>
      <c r="C111" s="182" t="s">
        <v>195</v>
      </c>
      <c r="D111" s="211">
        <f>AVERAGE('food prices'!T317:T319)</f>
        <v>1.3721933333333334</v>
      </c>
      <c r="H111" s="183"/>
    </row>
    <row r="112" spans="1:8" ht="15.75" x14ac:dyDescent="0.25">
      <c r="A112" s="218" t="s">
        <v>187</v>
      </c>
      <c r="B112" t="s">
        <v>196</v>
      </c>
      <c r="C112" s="182" t="s">
        <v>197</v>
      </c>
      <c r="D112" s="211">
        <f>AVERAGE('food prices'!T320:T322)</f>
        <v>1.1611</v>
      </c>
      <c r="H112" s="183"/>
    </row>
    <row r="113" spans="1:8" x14ac:dyDescent="0.25">
      <c r="A113" s="123" t="s">
        <v>635</v>
      </c>
      <c r="B113" s="196" t="str">
        <f>'common foods'!C93</f>
        <v>Chicken breast fresh</v>
      </c>
      <c r="C113" s="182" t="s">
        <v>203</v>
      </c>
      <c r="D113" s="211">
        <f>AVERAGE('food prices'!T107:T109)</f>
        <v>1.7555555555555555</v>
      </c>
      <c r="H113" s="183"/>
    </row>
    <row r="114" spans="1:8" ht="15.75" x14ac:dyDescent="0.25">
      <c r="A114" s="218" t="s">
        <v>187</v>
      </c>
      <c r="B114" t="s">
        <v>204</v>
      </c>
      <c r="C114" s="182" t="s">
        <v>205</v>
      </c>
      <c r="D114" s="211">
        <f>AVERAGE('food prices'!T326:T328)</f>
        <v>0.27179999999999999</v>
      </c>
      <c r="H114" s="183"/>
    </row>
    <row r="115" spans="1:8" ht="15.75" x14ac:dyDescent="0.25">
      <c r="A115" s="218" t="s">
        <v>187</v>
      </c>
      <c r="B115" t="s">
        <v>206</v>
      </c>
      <c r="C115" s="182" t="s">
        <v>207</v>
      </c>
      <c r="D115" s="211">
        <f>AVERAGE('food prices'!T329:T331)</f>
        <v>0.55500610837438424</v>
      </c>
      <c r="H115" s="183"/>
    </row>
    <row r="116" spans="1:8" ht="15.75" x14ac:dyDescent="0.25">
      <c r="A116" s="218" t="s">
        <v>187</v>
      </c>
      <c r="B116" t="s">
        <v>208</v>
      </c>
      <c r="C116" s="182" t="s">
        <v>209</v>
      </c>
      <c r="D116" s="211">
        <f>AVERAGE('food prices'!T332:T334)</f>
        <v>0.28784000000000004</v>
      </c>
      <c r="H116" s="183"/>
    </row>
    <row r="117" spans="1:8" x14ac:dyDescent="0.25">
      <c r="A117" s="123" t="s">
        <v>635</v>
      </c>
      <c r="B117" s="196" t="str">
        <f>'common foods'!C97</f>
        <v>Lamb shoulder chops</v>
      </c>
      <c r="C117" s="182" t="s">
        <v>211</v>
      </c>
      <c r="D117" s="211">
        <f>AVERAGE('food prices'!T164:T166)</f>
        <v>2.4722222222222223</v>
      </c>
      <c r="H117" s="183"/>
    </row>
    <row r="118" spans="1:8" ht="15.75" x14ac:dyDescent="0.25">
      <c r="A118" s="218" t="s">
        <v>187</v>
      </c>
      <c r="B118" t="s">
        <v>210</v>
      </c>
      <c r="C118" s="182" t="s">
        <v>211</v>
      </c>
      <c r="D118" s="211">
        <f>AVERAGE('food prices'!T335:T337)</f>
        <v>0.94959999999999989</v>
      </c>
      <c r="H118" s="183"/>
    </row>
    <row r="119" spans="1:8" x14ac:dyDescent="0.25">
      <c r="A119" s="123" t="s">
        <v>635</v>
      </c>
      <c r="B119" s="196" t="str">
        <f>'common foods'!C99</f>
        <v>Pork leg roast</v>
      </c>
      <c r="C119" s="182" t="s">
        <v>215</v>
      </c>
      <c r="D119" s="211">
        <f>AVERAGE('food prices'!T167:T169)</f>
        <v>1.6666666666666667</v>
      </c>
      <c r="H119" s="183"/>
    </row>
    <row r="120" spans="1:8" ht="15.75" x14ac:dyDescent="0.25">
      <c r="A120" s="218" t="s">
        <v>187</v>
      </c>
      <c r="B120" t="s">
        <v>214</v>
      </c>
      <c r="C120" s="182" t="s">
        <v>215</v>
      </c>
      <c r="D120" s="211">
        <f>AVERAGE('food prices'!T338:T340)</f>
        <v>0.57178000000000007</v>
      </c>
      <c r="H120" s="183"/>
    </row>
    <row r="121" spans="1:8" ht="15.75" x14ac:dyDescent="0.25">
      <c r="A121" s="1" t="s">
        <v>278</v>
      </c>
      <c r="B121" t="s">
        <v>300</v>
      </c>
      <c r="C121" s="182" t="s">
        <v>301</v>
      </c>
      <c r="D121" s="211">
        <f>AVERAGE('food prices'!T400:T402)</f>
        <v>1.3182583333333335</v>
      </c>
      <c r="H121" s="183"/>
    </row>
    <row r="122" spans="1:8" ht="15.75" x14ac:dyDescent="0.25">
      <c r="A122" s="1" t="s">
        <v>278</v>
      </c>
      <c r="B122" t="s">
        <v>302</v>
      </c>
      <c r="C122" s="182" t="s">
        <v>303</v>
      </c>
      <c r="D122" s="211">
        <f>AVERAGE('food prices'!T403:T405)</f>
        <v>1.8296666666666666</v>
      </c>
      <c r="H122" s="183"/>
    </row>
    <row r="123" spans="1:8" ht="15.75" x14ac:dyDescent="0.25">
      <c r="A123" s="1" t="s">
        <v>278</v>
      </c>
      <c r="B123" t="s">
        <v>304</v>
      </c>
      <c r="C123" s="182" t="s">
        <v>305</v>
      </c>
      <c r="D123" s="211">
        <f>AVERAGE('food prices'!T406:T408)</f>
        <v>0.61724000000000012</v>
      </c>
      <c r="H123" s="183"/>
    </row>
    <row r="124" spans="1:8" ht="15.75" x14ac:dyDescent="0.25">
      <c r="A124" s="1" t="s">
        <v>278</v>
      </c>
      <c r="B124" t="s">
        <v>306</v>
      </c>
      <c r="C124" s="182" t="s">
        <v>307</v>
      </c>
      <c r="D124" s="211">
        <f>AVERAGE('food prices'!T409:T411)</f>
        <v>0.75458333333333327</v>
      </c>
      <c r="H124" s="183"/>
    </row>
    <row r="125" spans="1:8" ht="15.75" x14ac:dyDescent="0.25">
      <c r="A125" s="123" t="s">
        <v>635</v>
      </c>
      <c r="B125" s="1" t="s">
        <v>220</v>
      </c>
      <c r="C125" s="182" t="s">
        <v>221</v>
      </c>
      <c r="D125" s="211">
        <f>AVERAGE('food prices'!T158:T160)</f>
        <v>2.8941176470588235</v>
      </c>
      <c r="H125" s="183"/>
    </row>
    <row r="126" spans="1:8" ht="15.75" x14ac:dyDescent="0.25">
      <c r="A126" s="218" t="s">
        <v>187</v>
      </c>
      <c r="B126" t="s">
        <v>241</v>
      </c>
      <c r="C126" s="182" t="s">
        <v>242</v>
      </c>
      <c r="D126" s="211">
        <f>AVERAGE('food prices'!T356:T358)</f>
        <v>0.98870175438596497</v>
      </c>
      <c r="H126" s="183"/>
    </row>
    <row r="127" spans="1:8" ht="15.75" x14ac:dyDescent="0.25">
      <c r="A127" s="218" t="s">
        <v>187</v>
      </c>
      <c r="B127" t="s">
        <v>222</v>
      </c>
      <c r="C127" s="182" t="s">
        <v>223</v>
      </c>
      <c r="D127" s="211">
        <f>AVERAGE('food prices'!T341:T343)</f>
        <v>1.8575294117647057</v>
      </c>
      <c r="H127" s="183"/>
    </row>
    <row r="128" spans="1:8" ht="15.75" x14ac:dyDescent="0.25">
      <c r="A128" s="218" t="s">
        <v>187</v>
      </c>
      <c r="B128" t="s">
        <v>235</v>
      </c>
      <c r="C128" s="182" t="s">
        <v>236</v>
      </c>
      <c r="D128" s="211">
        <f>AVERAGE('food prices'!T353:T355)</f>
        <v>0.1775067750677507</v>
      </c>
      <c r="H128" s="183"/>
    </row>
    <row r="129" spans="1:8" x14ac:dyDescent="0.25">
      <c r="A129" t="s">
        <v>635</v>
      </c>
      <c r="B129" s="196" t="str">
        <f>'common foods'!C108</f>
        <v>Hummus dip</v>
      </c>
      <c r="C129" s="182" t="s">
        <v>234</v>
      </c>
      <c r="D129" s="211">
        <f>AVERAGE('food prices'!T23:T25)</f>
        <v>0.85</v>
      </c>
      <c r="H129" s="183"/>
    </row>
    <row r="130" spans="1:8" x14ac:dyDescent="0.25">
      <c r="A130" t="s">
        <v>635</v>
      </c>
      <c r="B130" s="196" t="str">
        <f>'common foods'!C111</f>
        <v>Lentils, canned in springwater</v>
      </c>
      <c r="C130" s="182" t="s">
        <v>240</v>
      </c>
      <c r="D130" s="211">
        <f>AVERAGE('food prices'!T89:T91)</f>
        <v>0.4777777777777778</v>
      </c>
      <c r="H130" s="183"/>
    </row>
    <row r="131" spans="1:8" x14ac:dyDescent="0.25">
      <c r="A131" s="123" t="s">
        <v>635</v>
      </c>
      <c r="B131" s="196" t="str">
        <f>'common foods'!C104</f>
        <v>Peanuts, plain</v>
      </c>
      <c r="C131" s="182" t="s">
        <v>225</v>
      </c>
      <c r="D131" s="211">
        <f>AVERAGE('food prices'!T182:T184)</f>
        <v>0.99333333333333329</v>
      </c>
      <c r="H131" s="183"/>
    </row>
    <row r="132" spans="1:8" x14ac:dyDescent="0.25">
      <c r="A132" s="123" t="s">
        <v>635</v>
      </c>
      <c r="B132" s="196" t="str">
        <f>'common foods'!C105</f>
        <v>Almonds, plain</v>
      </c>
      <c r="C132" s="182" t="s">
        <v>227</v>
      </c>
      <c r="D132" s="211">
        <f>AVERAGE('food prices'!T56:T58)</f>
        <v>1.8509444444444443</v>
      </c>
      <c r="H132" s="183"/>
    </row>
    <row r="133" spans="1:8" x14ac:dyDescent="0.25">
      <c r="A133" s="123" t="s">
        <v>635</v>
      </c>
      <c r="B133" s="201" t="str">
        <f>'food prices'!L161</f>
        <v>Baked Beans 50% less sugar</v>
      </c>
      <c r="C133" s="182" t="str">
        <f>'food prices'!M161</f>
        <v>05088</v>
      </c>
      <c r="D133" s="211">
        <f>AVERAGE('food prices'!T161:T163)</f>
        <v>0.53809523809523807</v>
      </c>
      <c r="H133" s="183"/>
    </row>
    <row r="134" spans="1:8" ht="15.75" x14ac:dyDescent="0.25">
      <c r="A134" s="218" t="s">
        <v>187</v>
      </c>
      <c r="B134" t="s">
        <v>198</v>
      </c>
      <c r="C134" s="182" t="s">
        <v>199</v>
      </c>
      <c r="D134" s="211">
        <f>AVERAGE('food prices'!T323:T325)</f>
        <v>1.6711</v>
      </c>
      <c r="H134" s="183"/>
    </row>
    <row r="135" spans="1:8" x14ac:dyDescent="0.25">
      <c r="A135" s="199" t="s">
        <v>635</v>
      </c>
      <c r="B135" s="199" t="s">
        <v>216</v>
      </c>
      <c r="C135" s="182" t="str">
        <f>'food prices'!M572</f>
        <v>05094</v>
      </c>
      <c r="D135" s="211">
        <f>AVERAGE('food prices'!T570:T572)</f>
        <v>1.0795999999999999</v>
      </c>
      <c r="H135" s="183"/>
    </row>
    <row r="136" spans="1:8" ht="15.75" x14ac:dyDescent="0.25">
      <c r="A136" s="218" t="s">
        <v>187</v>
      </c>
      <c r="B136" t="s">
        <v>243</v>
      </c>
      <c r="C136" s="182" t="s">
        <v>244</v>
      </c>
      <c r="D136" s="211">
        <f>AVERAGE('food prices'!T359:T361)</f>
        <v>0.72695400663821708</v>
      </c>
      <c r="H136" s="183"/>
    </row>
    <row r="137" spans="1:8" x14ac:dyDescent="0.25">
      <c r="A137" t="s">
        <v>635</v>
      </c>
      <c r="B137" s="196" t="str">
        <f>'common foods'!C114</f>
        <v>Pumpkin seeds</v>
      </c>
      <c r="C137" s="182" t="str">
        <f>'food prices'!M15</f>
        <v>05101</v>
      </c>
      <c r="D137" s="211">
        <f>AVERAGE('food prices'!T14:T16)</f>
        <v>1.6433333333333333</v>
      </c>
      <c r="H137" s="183"/>
    </row>
    <row r="138" spans="1:8" x14ac:dyDescent="0.25">
      <c r="A138" t="s">
        <v>635</v>
      </c>
      <c r="B138" s="196" t="str">
        <f>'common foods'!C107</f>
        <v>Chickpeas, canned</v>
      </c>
      <c r="C138" s="182" t="s">
        <v>232</v>
      </c>
      <c r="D138" s="211">
        <f>AVERAGE('food prices'!T32:T34)</f>
        <v>0.50555555555555565</v>
      </c>
      <c r="H138" s="183"/>
    </row>
    <row r="139" spans="1:8" ht="15.75" x14ac:dyDescent="0.25">
      <c r="A139" s="218" t="s">
        <v>187</v>
      </c>
      <c r="B139" t="s">
        <v>228</v>
      </c>
      <c r="C139" s="182" t="s">
        <v>229</v>
      </c>
      <c r="D139" s="211">
        <f>AVERAGE('food prices'!T344:T346)</f>
        <v>0.67911111111111111</v>
      </c>
      <c r="H139" s="183"/>
    </row>
    <row r="140" spans="1:8" x14ac:dyDescent="0.25">
      <c r="A140" s="199" t="s">
        <v>635</v>
      </c>
      <c r="B140" s="199" t="s">
        <v>218</v>
      </c>
      <c r="C140" s="204" t="s">
        <v>219</v>
      </c>
      <c r="D140" s="211">
        <f>AVERAGE('food prices'!T573:T575)</f>
        <v>0.65714000000000006</v>
      </c>
      <c r="H140" s="183"/>
    </row>
    <row r="141" spans="1:8" x14ac:dyDescent="0.25">
      <c r="A141" t="s">
        <v>635</v>
      </c>
      <c r="B141" s="199" t="str">
        <f>'food prices'!L347</f>
        <v>corned beef regular</v>
      </c>
      <c r="C141" s="204" t="str">
        <f>'food prices'!M348</f>
        <v>05098</v>
      </c>
      <c r="D141" s="211">
        <f>AVERAGE('food prices'!T347:T349)</f>
        <v>1.2039215686274511</v>
      </c>
      <c r="H141" s="183"/>
    </row>
    <row r="142" spans="1:8" x14ac:dyDescent="0.25">
      <c r="A142" t="s">
        <v>635</v>
      </c>
      <c r="B142" s="199" t="str">
        <f>'food prices'!L350</f>
        <v>Corned beef reduced fat</v>
      </c>
      <c r="C142" s="204" t="str">
        <f>'food prices'!M351</f>
        <v>05096</v>
      </c>
      <c r="D142" s="211">
        <f>AVERAGE('food prices'!T350:T352)</f>
        <v>2.3509803921568628</v>
      </c>
      <c r="H142" s="183"/>
    </row>
    <row r="143" spans="1:8" x14ac:dyDescent="0.25">
      <c r="A143" s="199" t="s">
        <v>635</v>
      </c>
      <c r="B143" s="199" t="s">
        <v>310</v>
      </c>
      <c r="C143" s="204" t="s">
        <v>311</v>
      </c>
      <c r="D143" s="211">
        <f>AVERAGE('food prices'!T552:T553)</f>
        <v>1.0133999999999999</v>
      </c>
      <c r="H143" s="183"/>
    </row>
    <row r="144" spans="1:8" x14ac:dyDescent="0.25">
      <c r="A144" t="s">
        <v>635</v>
      </c>
      <c r="B144" s="196" t="str">
        <f>'common foods'!C115</f>
        <v>Sunflower seeds</v>
      </c>
      <c r="C144" s="182" t="str">
        <f>'common foods'!D115</f>
        <v>05102</v>
      </c>
      <c r="D144" s="211">
        <f>AVERAGE('food prices'!T68:T70)</f>
        <v>1.0533333333333335</v>
      </c>
      <c r="H144" s="183"/>
    </row>
    <row r="145" spans="1:8" x14ac:dyDescent="0.25">
      <c r="A145" t="s">
        <v>635</v>
      </c>
      <c r="B145" s="196" t="str">
        <f>'common foods'!C116</f>
        <v>Black Beans Canned</v>
      </c>
      <c r="C145" s="182" t="str">
        <f>'common foods'!D116</f>
        <v>05103</v>
      </c>
      <c r="D145" s="211">
        <f>AVERAGE('food prices'!T119:T121)</f>
        <v>0.51666666666666661</v>
      </c>
      <c r="H145" s="183"/>
    </row>
    <row r="146" spans="1:8" x14ac:dyDescent="0.25">
      <c r="A146" t="s">
        <v>635</v>
      </c>
      <c r="B146" s="196" t="str">
        <f>'common foods'!C117</f>
        <v>Middle Eastern Falafel Lisa</v>
      </c>
      <c r="C146" s="182" t="str">
        <f>'common foods'!D117</f>
        <v>05104</v>
      </c>
      <c r="D146" s="211">
        <f>AVERAGE('food prices'!T131:T133)</f>
        <v>1.4649999999999999</v>
      </c>
      <c r="H146" s="183"/>
    </row>
    <row r="147" spans="1:8" x14ac:dyDescent="0.25">
      <c r="A147" t="s">
        <v>635</v>
      </c>
      <c r="B147" s="196" t="str">
        <f>'common foods'!C118</f>
        <v>Tofu</v>
      </c>
      <c r="C147" s="182" t="str">
        <f>'common foods'!D118</f>
        <v>05105</v>
      </c>
      <c r="D147" s="211">
        <f>AVERAGE('food prices'!T134:T136)</f>
        <v>0.95000000000000007</v>
      </c>
      <c r="H147" s="183"/>
    </row>
    <row r="148" spans="1:8" x14ac:dyDescent="0.25">
      <c r="A148" t="s">
        <v>187</v>
      </c>
      <c r="B148" t="str">
        <f>'common foods'!C119</f>
        <v>Masala vegetarian patty</v>
      </c>
      <c r="C148" s="182" t="str">
        <f>'common foods'!D119</f>
        <v>05106</v>
      </c>
      <c r="D148" s="211">
        <f>AVERAGE('food prices'!T512:T514)</f>
        <v>1.9274509803921569</v>
      </c>
      <c r="H148" s="183"/>
    </row>
    <row r="149" spans="1:8" ht="15.75" x14ac:dyDescent="0.25">
      <c r="A149" s="1" t="s">
        <v>187</v>
      </c>
      <c r="B149" t="s">
        <v>257</v>
      </c>
      <c r="C149" s="182" t="str">
        <f>'common foods'!D120</f>
        <v>05107</v>
      </c>
      <c r="D149" s="211">
        <f>AVERAGE('food prices'!T515:T517)</f>
        <v>0.99119047619047629</v>
      </c>
      <c r="H149" s="183"/>
    </row>
    <row r="150" spans="1:8" x14ac:dyDescent="0.25">
      <c r="A150" t="s">
        <v>187</v>
      </c>
      <c r="B150" t="str">
        <f>'common foods'!C121</f>
        <v>Edamame, frozen</v>
      </c>
      <c r="C150" s="182" t="str">
        <f>'common foods'!D121</f>
        <v>05108</v>
      </c>
      <c r="D150" s="211">
        <f>AVERAGE('food prices'!T539:T541)</f>
        <v>0.76074074074074083</v>
      </c>
      <c r="H150" s="183"/>
    </row>
    <row r="151" spans="1:8" x14ac:dyDescent="0.25">
      <c r="A151" s="123" t="s">
        <v>635</v>
      </c>
      <c r="B151" s="196" t="str">
        <f>'common foods'!C122</f>
        <v>Red Kidney Beans, canned</v>
      </c>
      <c r="C151" s="182" t="str">
        <f>'common foods'!D122</f>
        <v>05109</v>
      </c>
      <c r="D151" s="211">
        <f>AVERAGE('food prices'!T176:T178)</f>
        <v>0.46111111111111108</v>
      </c>
      <c r="H151" s="183"/>
    </row>
    <row r="152" spans="1:8" x14ac:dyDescent="0.25">
      <c r="A152" t="s">
        <v>187</v>
      </c>
      <c r="B152" t="s">
        <v>263</v>
      </c>
      <c r="C152" s="182" t="str">
        <f>'common foods'!D123</f>
        <v>05110</v>
      </c>
      <c r="D152" s="211">
        <f>AVERAGE('food prices'!T527:T529)</f>
        <v>0.18400000000000002</v>
      </c>
      <c r="H152" s="183"/>
    </row>
    <row r="153" spans="1:8" ht="15.75" x14ac:dyDescent="0.25">
      <c r="A153" s="1" t="s">
        <v>265</v>
      </c>
      <c r="B153" t="s">
        <v>266</v>
      </c>
      <c r="C153" s="182" t="s">
        <v>267</v>
      </c>
      <c r="D153" s="211">
        <f>AVERAGE('food prices'!T362:T364)</f>
        <v>1.1586666666666667</v>
      </c>
      <c r="H153" s="183"/>
    </row>
    <row r="154" spans="1:8" ht="15.75" x14ac:dyDescent="0.25">
      <c r="A154" s="1" t="s">
        <v>265</v>
      </c>
      <c r="B154" t="s">
        <v>268</v>
      </c>
      <c r="C154" s="182" t="s">
        <v>269</v>
      </c>
      <c r="D154" s="211">
        <f>AVERAGE('food prices'!T371:T373)</f>
        <v>0.55200000000000005</v>
      </c>
      <c r="H154" s="183"/>
    </row>
    <row r="155" spans="1:8" x14ac:dyDescent="0.25">
      <c r="A155" t="s">
        <v>647</v>
      </c>
      <c r="B155" s="196" t="str">
        <f>'common foods'!C126</f>
        <v>Olive oil</v>
      </c>
      <c r="C155" s="182" t="s">
        <v>271</v>
      </c>
      <c r="D155" s="211">
        <f>AVERAGE('food prices'!T71:T73)</f>
        <v>0.98566666666666658</v>
      </c>
      <c r="H155" s="183"/>
    </row>
    <row r="156" spans="1:8" x14ac:dyDescent="0.25">
      <c r="A156" t="s">
        <v>647</v>
      </c>
      <c r="B156" s="196" t="str">
        <f>'food prices'!L365</f>
        <v>coconut cream regular</v>
      </c>
      <c r="C156" s="182" t="str">
        <f>'food prices'!M365</f>
        <v>06092</v>
      </c>
      <c r="D156" s="211">
        <f>AVERAGE('food prices'!T365:T367)</f>
        <v>0.29000000000000004</v>
      </c>
      <c r="H156" s="183"/>
    </row>
    <row r="157" spans="1:8" x14ac:dyDescent="0.25">
      <c r="A157" t="s">
        <v>647</v>
      </c>
      <c r="B157" s="196" t="str">
        <f>'food prices'!L368</f>
        <v>coconut cream lite</v>
      </c>
      <c r="C157" s="182" t="str">
        <f>'food prices'!M368</f>
        <v>06093</v>
      </c>
      <c r="D157" s="211">
        <f>AVERAGE('food prices'!T368:T370)</f>
        <v>0.47333333333333338</v>
      </c>
      <c r="H157" s="183"/>
    </row>
    <row r="158" spans="1:8" x14ac:dyDescent="0.25">
      <c r="A158" t="s">
        <v>647</v>
      </c>
      <c r="B158" s="196" t="str">
        <f>'food prices'!L149</f>
        <v>Canola oil</v>
      </c>
      <c r="C158" s="182" t="s">
        <v>273</v>
      </c>
      <c r="D158" s="211">
        <f>AVERAGE('food prices'!T149:T151)</f>
        <v>0.24655555555555556</v>
      </c>
      <c r="H158" s="183"/>
    </row>
    <row r="159" spans="1:8" ht="15.75" x14ac:dyDescent="0.25">
      <c r="A159" s="1" t="s">
        <v>278</v>
      </c>
      <c r="B159" t="s">
        <v>312</v>
      </c>
      <c r="C159" s="182" t="s">
        <v>313</v>
      </c>
      <c r="D159" s="211">
        <f>AVERAGE('food prices'!T412:T414)</f>
        <v>1.8092592592592593</v>
      </c>
      <c r="H159" s="183"/>
    </row>
    <row r="160" spans="1:8" ht="15.75" x14ac:dyDescent="0.25">
      <c r="A160" s="1" t="s">
        <v>278</v>
      </c>
      <c r="B160" t="s">
        <v>314</v>
      </c>
      <c r="C160" s="182" t="s">
        <v>315</v>
      </c>
      <c r="D160" s="211">
        <f>AVERAGE('food prices'!T415:T417)</f>
        <v>1.2370370370370372</v>
      </c>
      <c r="H160" s="183"/>
    </row>
    <row r="161" spans="1:8" ht="15.75" x14ac:dyDescent="0.25">
      <c r="A161" s="1" t="s">
        <v>278</v>
      </c>
      <c r="B161" t="s">
        <v>316</v>
      </c>
      <c r="C161" s="182" t="s">
        <v>317</v>
      </c>
      <c r="D161" s="211">
        <f>AVERAGE('food prices'!T418:T420)</f>
        <v>0.218</v>
      </c>
      <c r="H161" s="183"/>
    </row>
    <row r="162" spans="1:8" ht="15.75" x14ac:dyDescent="0.25">
      <c r="A162" s="1" t="s">
        <v>278</v>
      </c>
      <c r="B162" t="s">
        <v>318</v>
      </c>
      <c r="C162" s="182" t="s">
        <v>319</v>
      </c>
      <c r="D162" s="211">
        <f>AVERAGE('food prices'!T421:T423)</f>
        <v>1.1265765765765765</v>
      </c>
      <c r="H162" s="183"/>
    </row>
    <row r="163" spans="1:8" ht="15.75" x14ac:dyDescent="0.25">
      <c r="A163" s="1" t="s">
        <v>278</v>
      </c>
      <c r="B163" t="str">
        <f>'food prices'!L380</f>
        <v>Biscuits, arrowroot</v>
      </c>
      <c r="C163" s="182" t="str">
        <f>'food prices'!M380</f>
        <v>03061</v>
      </c>
      <c r="D163" s="211">
        <f>AVERAGE('food prices'!T380:T382)</f>
        <v>0.68533333333333335</v>
      </c>
      <c r="H163" s="183"/>
    </row>
    <row r="164" spans="1:8" ht="15.75" x14ac:dyDescent="0.25">
      <c r="A164" s="1" t="s">
        <v>278</v>
      </c>
      <c r="B164" t="str">
        <f>'food prices'!L386</f>
        <v>Coconut cream buns</v>
      </c>
      <c r="C164" s="182" t="str">
        <f>'food prices'!M386</f>
        <v>03059</v>
      </c>
      <c r="D164" s="211">
        <f>AVERAGE('food prices'!T386:T386)</f>
        <v>0.96774193548387089</v>
      </c>
      <c r="H164" s="183"/>
    </row>
    <row r="165" spans="1:8" ht="15.75" x14ac:dyDescent="0.25">
      <c r="A165" s="1" t="s">
        <v>278</v>
      </c>
      <c r="B165" t="s">
        <v>320</v>
      </c>
      <c r="C165" s="182" t="s">
        <v>321</v>
      </c>
      <c r="D165" s="211">
        <f>AVERAGE('food prices'!T424:T426)</f>
        <v>0.98666666666666669</v>
      </c>
      <c r="H165" s="183"/>
    </row>
    <row r="166" spans="1:8" ht="15.75" x14ac:dyDescent="0.25">
      <c r="A166" s="1" t="s">
        <v>341</v>
      </c>
      <c r="B166" t="s">
        <v>331</v>
      </c>
      <c r="C166" s="182" t="s">
        <v>332</v>
      </c>
      <c r="D166" s="211">
        <f>AVERAGE('food prices'!T433:T435)</f>
        <v>0.55200000000000005</v>
      </c>
      <c r="H166" s="183"/>
    </row>
    <row r="167" spans="1:8" ht="15.75" x14ac:dyDescent="0.25">
      <c r="A167" s="1" t="s">
        <v>341</v>
      </c>
      <c r="B167" t="s">
        <v>342</v>
      </c>
      <c r="C167" s="182" t="s">
        <v>343</v>
      </c>
      <c r="D167" s="211">
        <f>AVERAGE('food prices'!T436:T438)</f>
        <v>0.56711111111111112</v>
      </c>
      <c r="H167" s="183"/>
    </row>
    <row r="168" spans="1:8" ht="15.75" x14ac:dyDescent="0.25">
      <c r="A168" s="1" t="s">
        <v>639</v>
      </c>
      <c r="B168" t="s">
        <v>96</v>
      </c>
      <c r="C168" s="182" t="s">
        <v>97</v>
      </c>
      <c r="D168" s="211">
        <f>AVERAGE('food prices'!T454:T456)</f>
        <v>0.47460317460317464</v>
      </c>
      <c r="H168" s="183"/>
    </row>
    <row r="169" spans="1:8" ht="15.75" x14ac:dyDescent="0.25">
      <c r="A169" s="1" t="s">
        <v>341</v>
      </c>
      <c r="B169" t="s">
        <v>333</v>
      </c>
      <c r="C169" s="182" t="s">
        <v>334</v>
      </c>
      <c r="D169" s="211">
        <f>AVERAGE('food prices'!T439:T441)</f>
        <v>0.51428571428571423</v>
      </c>
      <c r="H169" s="183"/>
    </row>
    <row r="170" spans="1:8" ht="15.75" x14ac:dyDescent="0.25">
      <c r="A170" s="1" t="s">
        <v>341</v>
      </c>
      <c r="B170" t="s">
        <v>335</v>
      </c>
      <c r="C170" s="182" t="s">
        <v>336</v>
      </c>
      <c r="D170" s="211">
        <f>AVERAGE('food prices'!T442:T444)</f>
        <v>0.64943361786653786</v>
      </c>
      <c r="H170" s="183"/>
    </row>
    <row r="171" spans="1:8" ht="15.75" x14ac:dyDescent="0.25">
      <c r="A171" s="1" t="s">
        <v>341</v>
      </c>
      <c r="B171" t="s">
        <v>337</v>
      </c>
      <c r="C171" s="182" t="s">
        <v>338</v>
      </c>
      <c r="D171" s="211">
        <f>AVERAGE('food prices'!T445:T447)</f>
        <v>0.29100000000000004</v>
      </c>
      <c r="H171" s="183"/>
    </row>
    <row r="172" spans="1:8" ht="15.75" x14ac:dyDescent="0.25">
      <c r="A172" s="1" t="s">
        <v>341</v>
      </c>
      <c r="B172" t="s">
        <v>339</v>
      </c>
      <c r="C172" s="182" t="s">
        <v>340</v>
      </c>
      <c r="D172" s="211">
        <f>AVERAGE('food prices'!T448:T450)</f>
        <v>0.17320000000000002</v>
      </c>
      <c r="H172" s="183"/>
    </row>
    <row r="173" spans="1:8" ht="15.75" x14ac:dyDescent="0.25">
      <c r="A173" s="1" t="s">
        <v>341</v>
      </c>
      <c r="B173" t="s">
        <v>346</v>
      </c>
      <c r="C173" s="182" t="s">
        <v>347</v>
      </c>
      <c r="D173" s="211">
        <f>AVERAGE('food prices'!T451:T453)</f>
        <v>0.36130952380952386</v>
      </c>
      <c r="H173" s="183"/>
    </row>
    <row r="174" spans="1:8" x14ac:dyDescent="0.25">
      <c r="A174" t="s">
        <v>646</v>
      </c>
      <c r="B174" s="196" t="str">
        <f>'common foods'!C165</f>
        <v>marmite</v>
      </c>
      <c r="C174" s="182" t="s">
        <v>353</v>
      </c>
      <c r="D174" s="211">
        <f>AVERAGE('food prices'!T65:T67)</f>
        <v>1.2866666666666666</v>
      </c>
      <c r="H174" s="183"/>
    </row>
    <row r="175" spans="1:8" x14ac:dyDescent="0.25">
      <c r="A175" t="str">
        <f>'food prices'!K123</f>
        <v>Sauces, dressings, spreads, sugars</v>
      </c>
      <c r="B175" s="196" t="str">
        <f>'common foods'!C166</f>
        <v>Mild Salsa</v>
      </c>
      <c r="C175" s="182" t="s">
        <v>355</v>
      </c>
      <c r="D175" s="211">
        <f>AVERAGE('food prices'!T122:T124)</f>
        <v>1.2522222222222223</v>
      </c>
      <c r="H175" s="183"/>
    </row>
    <row r="176" spans="1:8" x14ac:dyDescent="0.25">
      <c r="A176" t="str">
        <f>'food prices'!K124</f>
        <v>Sauces, dressings, spreads, sugars</v>
      </c>
      <c r="B176" s="196" t="str">
        <f>'food prices'!L427</f>
        <v>soy sauce regular</v>
      </c>
      <c r="C176" s="182" t="str">
        <f>'food prices'!M427</f>
        <v>08105</v>
      </c>
      <c r="D176" s="211">
        <f>AVERAGE('food prices'!T427:T429)</f>
        <v>0.44121212121212122</v>
      </c>
      <c r="H176" s="183"/>
    </row>
    <row r="177" spans="1:8" x14ac:dyDescent="0.25">
      <c r="A177" t="s">
        <v>341</v>
      </c>
      <c r="B177" s="196" t="str">
        <f>'food prices'!L430</f>
        <v>soy sauce reduced salt</v>
      </c>
      <c r="C177" s="182" t="str">
        <f>'food prices'!M430</f>
        <v>08106</v>
      </c>
      <c r="D177" s="211">
        <f>AVERAGE('food prices'!T430:T432)</f>
        <v>0.66787878787878796</v>
      </c>
      <c r="H177" s="183"/>
    </row>
    <row r="178" spans="1:8" ht="30" x14ac:dyDescent="0.25">
      <c r="A178" t="s">
        <v>646</v>
      </c>
      <c r="B178" s="196" t="str">
        <f>'food prices'!L101</f>
        <v>Peanut butter, no added salt or sugar</v>
      </c>
      <c r="C178" s="182" t="s">
        <v>345</v>
      </c>
      <c r="D178" s="211">
        <f>AVERAGE('food prices'!T101:T103)</f>
        <v>0.62666666666666659</v>
      </c>
      <c r="H178" s="183"/>
    </row>
    <row r="179" spans="1:8" ht="15.75" x14ac:dyDescent="0.25">
      <c r="A179" s="1" t="s">
        <v>356</v>
      </c>
      <c r="B179" t="s">
        <v>357</v>
      </c>
      <c r="C179" s="182" t="s">
        <v>358</v>
      </c>
      <c r="D179" s="211">
        <f>AVERAGE('food prices'!T457:T459)</f>
        <v>1.3692592592592592</v>
      </c>
      <c r="H179" s="183"/>
    </row>
    <row r="180" spans="1:8" ht="15.75" x14ac:dyDescent="0.25">
      <c r="A180" s="1" t="s">
        <v>356</v>
      </c>
      <c r="B180" t="s">
        <v>359</v>
      </c>
      <c r="C180" s="182" t="s">
        <v>360</v>
      </c>
      <c r="D180" s="211">
        <f>AVERAGE('food prices'!T460:T462)</f>
        <v>0.15303703703703705</v>
      </c>
      <c r="H180" s="183"/>
    </row>
    <row r="181" spans="1:8" ht="15.75" x14ac:dyDescent="0.25">
      <c r="A181" s="1" t="s">
        <v>356</v>
      </c>
      <c r="B181" t="s">
        <v>361</v>
      </c>
      <c r="C181" s="182" t="s">
        <v>362</v>
      </c>
      <c r="D181" s="211">
        <f>AVERAGE('food prices'!T463:T465)</f>
        <v>7.2888888888888892E-2</v>
      </c>
      <c r="H181" s="183"/>
    </row>
    <row r="182" spans="1:8" ht="15.75" x14ac:dyDescent="0.25">
      <c r="A182" s="1" t="s">
        <v>356</v>
      </c>
      <c r="B182" t="s">
        <v>363</v>
      </c>
      <c r="C182" s="182" t="s">
        <v>364</v>
      </c>
      <c r="D182" s="211">
        <f>AVERAGE('food prices'!T466:T468)</f>
        <v>0.14977777777777779</v>
      </c>
      <c r="H182" s="183"/>
    </row>
    <row r="183" spans="1:8" ht="15.75" x14ac:dyDescent="0.25">
      <c r="A183" s="1" t="s">
        <v>356</v>
      </c>
      <c r="B183" t="s">
        <v>365</v>
      </c>
      <c r="C183" s="182" t="s">
        <v>366</v>
      </c>
      <c r="D183" s="211">
        <f>AVERAGE('food prices'!T469:T471)</f>
        <v>0.27266666666666667</v>
      </c>
      <c r="H183" s="183"/>
    </row>
    <row r="184" spans="1:8" ht="15.75" x14ac:dyDescent="0.25">
      <c r="A184" s="1" t="s">
        <v>356</v>
      </c>
      <c r="B184" t="s">
        <v>367</v>
      </c>
      <c r="C184" s="182" t="s">
        <v>368</v>
      </c>
      <c r="D184" s="211">
        <f>AVERAGE('food prices'!T472:T474)</f>
        <v>0.51944444444444449</v>
      </c>
      <c r="H184" s="183"/>
    </row>
    <row r="185" spans="1:8" ht="15.75" x14ac:dyDescent="0.25">
      <c r="A185" s="1" t="s">
        <v>356</v>
      </c>
      <c r="B185" t="s">
        <v>369</v>
      </c>
      <c r="C185" s="182" t="s">
        <v>370</v>
      </c>
      <c r="D185" s="211">
        <f>AVERAGE('food prices'!T475:T477)</f>
        <v>0.51689201877934277</v>
      </c>
      <c r="H185" s="183"/>
    </row>
    <row r="186" spans="1:8" ht="15.75" x14ac:dyDescent="0.25">
      <c r="A186" s="1" t="s">
        <v>356</v>
      </c>
      <c r="B186" t="s">
        <v>371</v>
      </c>
      <c r="C186" s="182" t="s">
        <v>372</v>
      </c>
      <c r="D186" s="211">
        <f>AVERAGE('food prices'!T481:T483)</f>
        <v>1.1788888888888889</v>
      </c>
    </row>
    <row r="187" spans="1:8" ht="15.75" x14ac:dyDescent="0.25">
      <c r="A187" s="1" t="s">
        <v>356</v>
      </c>
      <c r="B187" t="s">
        <v>373</v>
      </c>
      <c r="C187" s="182" t="s">
        <v>374</v>
      </c>
      <c r="D187" s="211">
        <f>AVERAGE('food prices'!T484:T486)</f>
        <v>2.1407407407407404</v>
      </c>
    </row>
    <row r="188" spans="1:8" x14ac:dyDescent="0.25">
      <c r="A188" s="199" t="s">
        <v>716</v>
      </c>
      <c r="B188" s="199" t="s">
        <v>375</v>
      </c>
      <c r="C188" s="204" t="s">
        <v>376</v>
      </c>
      <c r="D188" s="211">
        <f>AVERAGE('food prices'!T478:T480)</f>
        <v>6.9555555555555551E-2</v>
      </c>
    </row>
    <row r="189" spans="1:8" ht="15.75" x14ac:dyDescent="0.25">
      <c r="A189" s="1" t="s">
        <v>578</v>
      </c>
      <c r="B189" t="s">
        <v>378</v>
      </c>
      <c r="C189" s="182" t="s">
        <v>379</v>
      </c>
      <c r="D189" s="211">
        <f>AVERAGE('food prices'!T487:T489)</f>
        <v>1</v>
      </c>
    </row>
    <row r="190" spans="1:8" ht="15.75" x14ac:dyDescent="0.25">
      <c r="A190" s="1" t="s">
        <v>578</v>
      </c>
      <c r="B190" t="s">
        <v>380</v>
      </c>
      <c r="C190" s="182" t="s">
        <v>381</v>
      </c>
      <c r="D190" s="211">
        <f>'food prices'!T490</f>
        <v>1.6666666666666667</v>
      </c>
    </row>
    <row r="191" spans="1:8" ht="15.75" x14ac:dyDescent="0.25">
      <c r="A191" s="1" t="s">
        <v>578</v>
      </c>
      <c r="B191" t="s">
        <v>382</v>
      </c>
      <c r="C191" s="182" t="s">
        <v>383</v>
      </c>
      <c r="D191" s="211">
        <f>AVERAGE('food prices'!T491)</f>
        <v>1.5254237288135595</v>
      </c>
    </row>
    <row r="192" spans="1:8" ht="15.75" x14ac:dyDescent="0.25">
      <c r="A192" s="1" t="s">
        <v>578</v>
      </c>
      <c r="B192" t="s">
        <v>384</v>
      </c>
      <c r="C192" s="182" t="s">
        <v>385</v>
      </c>
      <c r="D192" s="211">
        <f>AVERAGE('food prices'!T492:T493)</f>
        <v>1.2250000000000001</v>
      </c>
    </row>
    <row r="193" spans="1:4" ht="15.75" x14ac:dyDescent="0.25">
      <c r="A193" s="1" t="s">
        <v>578</v>
      </c>
      <c r="B193" t="s">
        <v>386</v>
      </c>
      <c r="C193" s="182" t="s">
        <v>387</v>
      </c>
      <c r="D193" s="211">
        <f>'food prices'!T494</f>
        <v>3.8461538461538463</v>
      </c>
    </row>
    <row r="194" spans="1:4" ht="15.75" x14ac:dyDescent="0.25">
      <c r="A194" s="1" t="s">
        <v>578</v>
      </c>
      <c r="B194" t="str">
        <f>'common foods'!C182</f>
        <v>Sandwich, subway</v>
      </c>
      <c r="C194" s="182" t="s">
        <v>389</v>
      </c>
      <c r="D194" s="211">
        <f>AVERAGE('food prices'!T495)</f>
        <v>2.19</v>
      </c>
    </row>
    <row r="195" spans="1:4" ht="15.75" x14ac:dyDescent="0.25">
      <c r="A195" s="1" t="s">
        <v>578</v>
      </c>
      <c r="B195" t="s">
        <v>392</v>
      </c>
      <c r="C195" s="182" t="s">
        <v>393</v>
      </c>
      <c r="D195" s="211">
        <f>AVERAGE('food prices'!T496:T497)</f>
        <v>3.3</v>
      </c>
    </row>
    <row r="196" spans="1:4" ht="15.75" x14ac:dyDescent="0.25">
      <c r="A196" s="1" t="s">
        <v>578</v>
      </c>
      <c r="B196" t="s">
        <v>394</v>
      </c>
      <c r="C196" s="182" t="s">
        <v>395</v>
      </c>
      <c r="D196" s="211">
        <f>AVERAGE('food prices'!T498:T499)</f>
        <v>1.8617852546423976</v>
      </c>
    </row>
    <row r="197" spans="1:4" ht="15.75" x14ac:dyDescent="0.25">
      <c r="A197" s="1" t="s">
        <v>578</v>
      </c>
      <c r="B197" t="s">
        <v>396</v>
      </c>
      <c r="C197" s="182" t="s">
        <v>397</v>
      </c>
      <c r="D197" s="211">
        <f>AVERAGE('food prices'!T500)</f>
        <v>1.8112633181126332</v>
      </c>
    </row>
    <row r="198" spans="1:4" ht="15.75" x14ac:dyDescent="0.25">
      <c r="A198" s="1" t="s">
        <v>578</v>
      </c>
      <c r="B198" t="s">
        <v>398</v>
      </c>
      <c r="C198" s="182" t="s">
        <v>399</v>
      </c>
      <c r="D198" s="211">
        <f>AVERAGE('food prices'!T501)</f>
        <v>2.1579545454545452</v>
      </c>
    </row>
    <row r="199" spans="1:4" ht="15.75" x14ac:dyDescent="0.25">
      <c r="A199" s="1" t="s">
        <v>578</v>
      </c>
      <c r="B199" t="str">
        <f>'common foods'!C183</f>
        <v>KFC snack box</v>
      </c>
      <c r="C199" s="182" t="str">
        <f>'common foods'!D183</f>
        <v>10116</v>
      </c>
      <c r="D199" s="211">
        <f>'food prices'!T502</f>
        <v>2.161572052401747</v>
      </c>
    </row>
    <row r="200" spans="1:4" ht="15.75" x14ac:dyDescent="0.25">
      <c r="A200" s="1" t="s">
        <v>578</v>
      </c>
      <c r="B200" t="s">
        <v>400</v>
      </c>
      <c r="C200" s="182" t="s">
        <v>401</v>
      </c>
      <c r="D200" s="211">
        <f>AVERAGE('food prices'!T503)</f>
        <v>1.4102564102564104</v>
      </c>
    </row>
    <row r="201" spans="1:4" ht="15.75" x14ac:dyDescent="0.25">
      <c r="A201" s="1" t="s">
        <v>578</v>
      </c>
      <c r="B201" t="s">
        <v>402</v>
      </c>
      <c r="C201" s="182" t="s">
        <v>403</v>
      </c>
      <c r="D201" s="211">
        <f>AVERAGE('food prices'!T504)</f>
        <v>2.1413276231263385</v>
      </c>
    </row>
    <row r="202" spans="1:4" ht="15.75" x14ac:dyDescent="0.25">
      <c r="A202" s="1" t="s">
        <v>578</v>
      </c>
      <c r="B202" t="s">
        <v>404</v>
      </c>
      <c r="C202" s="182" t="s">
        <v>405</v>
      </c>
      <c r="D202" s="211">
        <f>AVERAGE('food prices'!T505)</f>
        <v>2.7007299270072993</v>
      </c>
    </row>
    <row r="203" spans="1:4" ht="15.75" x14ac:dyDescent="0.25">
      <c r="A203" s="1" t="s">
        <v>406</v>
      </c>
      <c r="B203" t="str">
        <f>'food prices'!L507</f>
        <v>Wine, sauvignon blanc</v>
      </c>
      <c r="C203" s="182" t="s">
        <v>408</v>
      </c>
      <c r="D203" s="211">
        <f>AVERAGE('food prices'!T506:T508)</f>
        <v>0.92355555555555569</v>
      </c>
    </row>
    <row r="204" spans="1:4" ht="15.75" x14ac:dyDescent="0.25">
      <c r="A204" s="1" t="s">
        <v>406</v>
      </c>
      <c r="B204" t="s">
        <v>409</v>
      </c>
      <c r="C204" s="182" t="s">
        <v>410</v>
      </c>
      <c r="D204" s="211">
        <f>AVERAGE('food prices'!T509:T511)</f>
        <v>2.0791111111111111</v>
      </c>
    </row>
    <row r="205" spans="1:4" s="123" customFormat="1" x14ac:dyDescent="0.25">
      <c r="B205" s="196"/>
      <c r="C205" s="183"/>
      <c r="D205" s="211"/>
    </row>
  </sheetData>
  <autoFilter ref="A1:D186" xr:uid="{00000000-0009-0000-0000-000009000000}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BB59"/>
  </sheetPr>
  <dimension ref="A1:F170"/>
  <sheetViews>
    <sheetView zoomScaleNormal="100" workbookViewId="0">
      <selection activeCell="D23" sqref="D23"/>
    </sheetView>
  </sheetViews>
  <sheetFormatPr defaultRowHeight="15" x14ac:dyDescent="0.25"/>
  <cols>
    <col min="1" max="1" width="13" customWidth="1"/>
    <col min="2" max="2" width="32.140625" customWidth="1"/>
    <col min="3" max="4" width="34.140625" style="182" customWidth="1"/>
    <col min="5" max="5" width="28.140625" style="219" customWidth="1"/>
    <col min="6" max="6" width="19.28515625" customWidth="1"/>
    <col min="7" max="1025" width="8.5703125" customWidth="1"/>
  </cols>
  <sheetData>
    <row r="1" spans="1:6" ht="15.75" x14ac:dyDescent="0.25">
      <c r="A1" s="212" t="s">
        <v>0</v>
      </c>
      <c r="B1" s="212" t="s">
        <v>2</v>
      </c>
      <c r="C1" s="213" t="s">
        <v>3</v>
      </c>
      <c r="D1" s="213" t="s">
        <v>759</v>
      </c>
      <c r="E1" s="220" t="s">
        <v>760</v>
      </c>
      <c r="F1" s="213" t="s">
        <v>761</v>
      </c>
    </row>
    <row r="2" spans="1:6" x14ac:dyDescent="0.25">
      <c r="A2" t="s">
        <v>623</v>
      </c>
      <c r="B2" s="196" t="str">
        <f>'common foods'!C55</f>
        <v>Rolled oats</v>
      </c>
      <c r="C2" s="182" t="s">
        <v>124</v>
      </c>
      <c r="D2" s="219">
        <v>1.1020000000000001</v>
      </c>
      <c r="E2" s="219">
        <v>1.1020000000000001</v>
      </c>
      <c r="F2" t="s">
        <v>762</v>
      </c>
    </row>
    <row r="3" spans="1:6" x14ac:dyDescent="0.25">
      <c r="A3" t="s">
        <v>629</v>
      </c>
      <c r="B3" s="196" t="str">
        <f>'common foods'!C77</f>
        <v>Yoghurt, natural, low-fat</v>
      </c>
      <c r="C3" s="182" t="s">
        <v>170</v>
      </c>
      <c r="D3" s="219">
        <v>1.0880000000000001</v>
      </c>
      <c r="E3" s="219">
        <v>1.0880000000000001</v>
      </c>
    </row>
    <row r="4" spans="1:6" x14ac:dyDescent="0.25">
      <c r="A4" t="s">
        <v>629</v>
      </c>
      <c r="B4" s="196" t="str">
        <f>'common foods'!C74</f>
        <v>Milk, trim</v>
      </c>
      <c r="C4" s="182" t="s">
        <v>163</v>
      </c>
      <c r="D4" s="219">
        <v>1.07</v>
      </c>
      <c r="E4" s="219">
        <v>1.07</v>
      </c>
    </row>
    <row r="5" spans="1:6" x14ac:dyDescent="0.25">
      <c r="A5" s="123" t="s">
        <v>633</v>
      </c>
      <c r="B5" t="s">
        <v>34</v>
      </c>
      <c r="C5" s="182" t="s">
        <v>35</v>
      </c>
      <c r="D5" s="219">
        <v>1.1200000000000001</v>
      </c>
      <c r="E5" s="219">
        <v>1.1200000000000001</v>
      </c>
      <c r="F5" t="s">
        <v>763</v>
      </c>
    </row>
    <row r="6" spans="1:6" x14ac:dyDescent="0.25">
      <c r="A6" t="s">
        <v>635</v>
      </c>
      <c r="B6" s="196" t="str">
        <f>'common foods'!C114</f>
        <v>Pumpkin seeds</v>
      </c>
      <c r="C6" s="182" t="s">
        <v>232</v>
      </c>
      <c r="D6" s="219">
        <v>1.085</v>
      </c>
      <c r="E6" s="219">
        <v>1.085</v>
      </c>
      <c r="F6" t="s">
        <v>764</v>
      </c>
    </row>
    <row r="7" spans="1:6" x14ac:dyDescent="0.25">
      <c r="A7" s="123" t="s">
        <v>623</v>
      </c>
      <c r="B7" s="196" t="str">
        <f>'common foods'!C60</f>
        <v>Rice, brown</v>
      </c>
      <c r="C7" s="182" t="s">
        <v>134</v>
      </c>
      <c r="D7" s="219">
        <v>1.0589999999999999</v>
      </c>
      <c r="E7" s="219">
        <v>1.0589999999999999</v>
      </c>
    </row>
    <row r="8" spans="1:6" x14ac:dyDescent="0.25">
      <c r="A8" s="123" t="s">
        <v>639</v>
      </c>
      <c r="B8" t="str">
        <f>'common foods'!C34</f>
        <v>Tomatoes, canned, low salt</v>
      </c>
      <c r="C8" s="182" t="s">
        <v>81</v>
      </c>
      <c r="D8" s="219">
        <v>1.1200000000000001</v>
      </c>
      <c r="E8" s="219">
        <v>1.1200000000000001</v>
      </c>
      <c r="F8" t="s">
        <v>765</v>
      </c>
    </row>
    <row r="9" spans="1:6" x14ac:dyDescent="0.25">
      <c r="A9" t="s">
        <v>635</v>
      </c>
      <c r="B9" s="196" t="str">
        <f>'common foods'!C108</f>
        <v>Hummus dip</v>
      </c>
      <c r="C9" s="182" t="s">
        <v>234</v>
      </c>
      <c r="D9" s="219">
        <v>1.085</v>
      </c>
      <c r="E9" s="219">
        <v>1.085</v>
      </c>
      <c r="F9" t="s">
        <v>766</v>
      </c>
    </row>
    <row r="10" spans="1:6" x14ac:dyDescent="0.25">
      <c r="A10" t="s">
        <v>639</v>
      </c>
      <c r="B10" s="196" t="s">
        <v>767</v>
      </c>
      <c r="C10" s="182" t="s">
        <v>63</v>
      </c>
      <c r="D10" s="182">
        <v>1.3779999999999999</v>
      </c>
      <c r="E10" s="219">
        <v>1.444</v>
      </c>
    </row>
    <row r="11" spans="1:6" x14ac:dyDescent="0.25">
      <c r="A11" t="s">
        <v>633</v>
      </c>
      <c r="B11" s="196" t="str">
        <f>'common foods'!C3</f>
        <v>Bananas, fresh</v>
      </c>
      <c r="C11" s="182" t="s">
        <v>15</v>
      </c>
      <c r="D11" s="182">
        <v>1.0940000000000001</v>
      </c>
      <c r="E11" s="219">
        <v>1.4370000000000001</v>
      </c>
    </row>
    <row r="12" spans="1:6" x14ac:dyDescent="0.25">
      <c r="A12" t="s">
        <v>635</v>
      </c>
      <c r="B12" s="196" t="str">
        <f>'common foods'!C107</f>
        <v>Chickpeas, canned</v>
      </c>
      <c r="C12" s="182" t="s">
        <v>232</v>
      </c>
      <c r="D12" s="182">
        <v>1.119</v>
      </c>
      <c r="E12" s="219">
        <v>1.19</v>
      </c>
      <c r="F12" t="s">
        <v>768</v>
      </c>
    </row>
    <row r="13" spans="1:6" x14ac:dyDescent="0.25">
      <c r="A13" t="s">
        <v>639</v>
      </c>
      <c r="B13" s="196" t="str">
        <f>'common foods'!C36</f>
        <v>Potatoes, fresh</v>
      </c>
      <c r="C13" s="182" t="s">
        <v>85</v>
      </c>
      <c r="D13" s="182">
        <v>1.202</v>
      </c>
      <c r="E13" s="219">
        <v>1.462</v>
      </c>
    </row>
    <row r="14" spans="1:6" x14ac:dyDescent="0.25">
      <c r="A14" t="s">
        <v>639</v>
      </c>
      <c r="B14" s="196" t="str">
        <f>'common foods'!C18</f>
        <v>Cabbage, fresh</v>
      </c>
      <c r="C14" s="182" t="s">
        <v>49</v>
      </c>
      <c r="D14" s="182">
        <v>1.2090000000000001</v>
      </c>
      <c r="E14" s="219">
        <v>1.6279999999999999</v>
      </c>
    </row>
    <row r="15" spans="1:6" x14ac:dyDescent="0.25">
      <c r="A15" s="123" t="s">
        <v>639</v>
      </c>
      <c r="B15" s="196" t="str">
        <f>'common foods'!C20</f>
        <v>Carrots, fresh</v>
      </c>
      <c r="C15" s="182" t="s">
        <v>53</v>
      </c>
      <c r="D15" s="182">
        <v>1.2190000000000001</v>
      </c>
      <c r="E15" s="219">
        <v>1.4139999999999999</v>
      </c>
    </row>
    <row r="16" spans="1:6" x14ac:dyDescent="0.25">
      <c r="A16" t="s">
        <v>623</v>
      </c>
      <c r="B16" s="196" t="str">
        <f>'common foods'!C57</f>
        <v>Pasta wholemeal</v>
      </c>
      <c r="C16" s="182" t="s">
        <v>128</v>
      </c>
      <c r="D16" s="219">
        <v>1.0620000000000001</v>
      </c>
      <c r="E16" s="219">
        <v>1.0620000000000001</v>
      </c>
    </row>
    <row r="17" spans="1:6" x14ac:dyDescent="0.25">
      <c r="A17" s="123" t="s">
        <v>623</v>
      </c>
      <c r="B17" t="s">
        <v>107</v>
      </c>
      <c r="C17" s="182" t="s">
        <v>108</v>
      </c>
      <c r="E17" s="219">
        <v>1.29</v>
      </c>
    </row>
    <row r="18" spans="1:6" x14ac:dyDescent="0.25">
      <c r="A18" s="123" t="s">
        <v>639</v>
      </c>
      <c r="B18" s="196" t="str">
        <f>'common foods'!C28</f>
        <v>Onions, fresh</v>
      </c>
      <c r="C18" s="182" t="s">
        <v>69</v>
      </c>
      <c r="D18" s="182">
        <v>1.173</v>
      </c>
      <c r="E18" s="219">
        <v>1.407</v>
      </c>
    </row>
    <row r="19" spans="1:6" x14ac:dyDescent="0.25">
      <c r="A19" s="123" t="s">
        <v>633</v>
      </c>
      <c r="B19" t="s">
        <v>36</v>
      </c>
      <c r="C19" s="182" t="s">
        <v>37</v>
      </c>
      <c r="D19" s="219">
        <v>1.1200000000000001</v>
      </c>
      <c r="E19" s="219">
        <v>1.1200000000000001</v>
      </c>
      <c r="F19" t="s">
        <v>763</v>
      </c>
    </row>
    <row r="20" spans="1:6" x14ac:dyDescent="0.25">
      <c r="A20" s="123" t="s">
        <v>635</v>
      </c>
      <c r="B20" s="196" t="str">
        <f>'common foods'!C105</f>
        <v>Almonds, plain</v>
      </c>
      <c r="C20" s="182" t="s">
        <v>227</v>
      </c>
      <c r="D20" s="219">
        <v>1.085</v>
      </c>
      <c r="E20" s="219">
        <v>1.085</v>
      </c>
      <c r="F20" t="s">
        <v>766</v>
      </c>
    </row>
    <row r="21" spans="1:6" x14ac:dyDescent="0.25">
      <c r="A21" s="123" t="s">
        <v>623</v>
      </c>
      <c r="B21" t="str">
        <f>'common foods'!C48</f>
        <v>Bread, wheatmeal</v>
      </c>
      <c r="C21" s="182" t="s">
        <v>110</v>
      </c>
      <c r="D21" s="182">
        <v>1.224</v>
      </c>
      <c r="E21" s="219">
        <v>1.29</v>
      </c>
    </row>
    <row r="22" spans="1:6" x14ac:dyDescent="0.25">
      <c r="A22" s="123" t="s">
        <v>639</v>
      </c>
      <c r="B22" t="str">
        <f>'common foods'!C153</f>
        <v>Potato fries, frozen, superfries, straight cut</v>
      </c>
      <c r="C22" s="182" t="s">
        <v>328</v>
      </c>
      <c r="D22" s="219">
        <v>1.1339999999999999</v>
      </c>
      <c r="E22" s="219">
        <v>1.1339999999999999</v>
      </c>
      <c r="F22" t="s">
        <v>769</v>
      </c>
    </row>
    <row r="23" spans="1:6" x14ac:dyDescent="0.25">
      <c r="A23" t="s">
        <v>646</v>
      </c>
      <c r="B23" s="196" t="str">
        <f>'common foods'!C165</f>
        <v>marmite</v>
      </c>
      <c r="C23" s="182" t="s">
        <v>353</v>
      </c>
      <c r="D23" s="182">
        <v>1.03</v>
      </c>
      <c r="E23" s="219">
        <v>1.032</v>
      </c>
      <c r="F23" t="s">
        <v>770</v>
      </c>
    </row>
    <row r="24" spans="1:6" x14ac:dyDescent="0.25">
      <c r="A24" t="s">
        <v>635</v>
      </c>
      <c r="B24" s="196" t="str">
        <f>'common foods'!C115</f>
        <v>Sunflower seeds</v>
      </c>
      <c r="C24" s="182" t="str">
        <f>'common foods'!D115</f>
        <v>05102</v>
      </c>
      <c r="D24" s="219">
        <v>1.085</v>
      </c>
      <c r="E24" s="219">
        <v>1.085</v>
      </c>
      <c r="F24" t="s">
        <v>766</v>
      </c>
    </row>
    <row r="25" spans="1:6" x14ac:dyDescent="0.25">
      <c r="A25" t="s">
        <v>647</v>
      </c>
      <c r="B25" s="196" t="str">
        <f>'common foods'!C126</f>
        <v>Olive oil</v>
      </c>
      <c r="C25" s="182" t="s">
        <v>271</v>
      </c>
      <c r="D25" s="182">
        <v>1.03</v>
      </c>
      <c r="E25" s="219">
        <v>1.032</v>
      </c>
      <c r="F25" t="s">
        <v>771</v>
      </c>
    </row>
    <row r="26" spans="1:6" x14ac:dyDescent="0.25">
      <c r="A26" t="s">
        <v>623</v>
      </c>
      <c r="B26" s="196" t="s">
        <v>129</v>
      </c>
      <c r="C26" s="182" t="str">
        <f>'common foods'!D58</f>
        <v>03089</v>
      </c>
      <c r="D26" s="219">
        <v>1.0620000000000001</v>
      </c>
      <c r="E26" s="219">
        <v>1.0620000000000001</v>
      </c>
    </row>
    <row r="27" spans="1:6" x14ac:dyDescent="0.25">
      <c r="A27" t="s">
        <v>633</v>
      </c>
      <c r="B27" s="196" t="str">
        <f>'common foods'!C2</f>
        <v>Apples, fresh</v>
      </c>
      <c r="C27" s="182" t="s">
        <v>10</v>
      </c>
      <c r="D27" s="182">
        <v>1.131</v>
      </c>
      <c r="E27" s="219">
        <v>1.238</v>
      </c>
    </row>
    <row r="28" spans="1:6" x14ac:dyDescent="0.25">
      <c r="A28" t="s">
        <v>635</v>
      </c>
      <c r="B28" s="196" t="str">
        <f>'common foods'!C86</f>
        <v>Eggs</v>
      </c>
      <c r="C28" s="182" t="str">
        <f>'common foods'!D86</f>
        <v>05064</v>
      </c>
      <c r="D28" s="182">
        <v>1.0649999999999999</v>
      </c>
      <c r="E28" s="219">
        <v>1.232</v>
      </c>
    </row>
    <row r="29" spans="1:6" x14ac:dyDescent="0.25">
      <c r="A29" s="123" t="s">
        <v>639</v>
      </c>
      <c r="B29" t="str">
        <f>'common foods'!C29</f>
        <v>Peas, frozen</v>
      </c>
      <c r="C29" s="182" t="str">
        <f>'common foods'!D29</f>
        <v>02028</v>
      </c>
      <c r="D29" s="219">
        <v>1.1339999999999999</v>
      </c>
      <c r="E29" s="219">
        <v>1.1339999999999999</v>
      </c>
      <c r="F29" t="s">
        <v>772</v>
      </c>
    </row>
    <row r="30" spans="1:6" x14ac:dyDescent="0.25">
      <c r="A30" t="s">
        <v>635</v>
      </c>
      <c r="B30" s="196" t="str">
        <f>'common foods'!C111</f>
        <v>Lentils, canned in springwater</v>
      </c>
      <c r="C30" s="182" t="s">
        <v>240</v>
      </c>
      <c r="D30" s="182">
        <v>1.119</v>
      </c>
      <c r="E30" s="219">
        <v>1.19</v>
      </c>
      <c r="F30" t="s">
        <v>773</v>
      </c>
    </row>
    <row r="31" spans="1:6" x14ac:dyDescent="0.25">
      <c r="A31" s="123" t="s">
        <v>639</v>
      </c>
      <c r="B31" t="s">
        <v>72</v>
      </c>
      <c r="C31" s="182" t="s">
        <v>73</v>
      </c>
      <c r="D31" s="182">
        <v>1.3779999999999999</v>
      </c>
      <c r="E31" s="219">
        <v>1.444</v>
      </c>
      <c r="F31" t="s">
        <v>774</v>
      </c>
    </row>
    <row r="32" spans="1:6" x14ac:dyDescent="0.25">
      <c r="A32" s="123" t="s">
        <v>633</v>
      </c>
      <c r="B32" t="s">
        <v>28</v>
      </c>
      <c r="C32" s="182" t="s">
        <v>29</v>
      </c>
      <c r="D32" s="182">
        <v>1.1659999999999999</v>
      </c>
      <c r="E32" s="219">
        <v>1.2070000000000001</v>
      </c>
    </row>
    <row r="33" spans="1:6" x14ac:dyDescent="0.25">
      <c r="A33" s="123" t="s">
        <v>623</v>
      </c>
      <c r="B33" t="s">
        <v>135</v>
      </c>
      <c r="C33" s="182" t="s">
        <v>136</v>
      </c>
      <c r="D33" s="219">
        <v>1.085</v>
      </c>
      <c r="E33" s="219">
        <v>1.085</v>
      </c>
      <c r="F33" t="s">
        <v>766</v>
      </c>
    </row>
    <row r="34" spans="1:6" ht="30" x14ac:dyDescent="0.25">
      <c r="A34" t="s">
        <v>646</v>
      </c>
      <c r="B34" s="196" t="str">
        <f>'common foods'!C161</f>
        <v>Peanut butter, no added salt or sugar</v>
      </c>
      <c r="C34" s="182" t="s">
        <v>345</v>
      </c>
      <c r="D34" s="219">
        <v>1.085</v>
      </c>
      <c r="E34" s="219">
        <v>1.085</v>
      </c>
      <c r="F34" t="s">
        <v>766</v>
      </c>
    </row>
    <row r="35" spans="1:6" x14ac:dyDescent="0.25">
      <c r="A35" s="123" t="s">
        <v>623</v>
      </c>
      <c r="B35" t="s">
        <v>131</v>
      </c>
      <c r="C35" s="182" t="s">
        <v>132</v>
      </c>
      <c r="D35" s="219">
        <v>1.0589999999999999</v>
      </c>
      <c r="E35" s="219">
        <v>1.0589999999999999</v>
      </c>
    </row>
    <row r="36" spans="1:6" x14ac:dyDescent="0.25">
      <c r="A36" s="123" t="s">
        <v>635</v>
      </c>
      <c r="B36" s="196" t="str">
        <f>'common foods'!C93</f>
        <v>Chicken breast fresh</v>
      </c>
      <c r="C36" s="182" t="s">
        <v>203</v>
      </c>
      <c r="D36" s="182">
        <v>1.131</v>
      </c>
      <c r="E36" s="219">
        <v>1.3420000000000001</v>
      </c>
    </row>
    <row r="37" spans="1:6" x14ac:dyDescent="0.25">
      <c r="A37" s="123" t="s">
        <v>639</v>
      </c>
      <c r="B37" t="s">
        <v>56</v>
      </c>
      <c r="C37" s="182" t="s">
        <v>57</v>
      </c>
      <c r="D37" s="219">
        <v>1.1339999999999999</v>
      </c>
      <c r="E37" s="219">
        <v>1.1339999999999999</v>
      </c>
      <c r="F37" t="s">
        <v>772</v>
      </c>
    </row>
    <row r="38" spans="1:6" x14ac:dyDescent="0.25">
      <c r="A38" t="s">
        <v>639</v>
      </c>
      <c r="B38" s="196" t="s">
        <v>100</v>
      </c>
      <c r="C38" s="182" t="s">
        <v>101</v>
      </c>
      <c r="D38" s="219">
        <v>1.1339999999999999</v>
      </c>
      <c r="E38" s="219">
        <v>1.1339999999999999</v>
      </c>
      <c r="F38" t="s">
        <v>772</v>
      </c>
    </row>
    <row r="39" spans="1:6" x14ac:dyDescent="0.25">
      <c r="A39" t="s">
        <v>639</v>
      </c>
      <c r="B39" s="196" t="str">
        <f>'common foods'!C37</f>
        <v>Pumpkin, fresh</v>
      </c>
      <c r="C39" s="182" t="s">
        <v>87</v>
      </c>
      <c r="D39" s="182">
        <v>1.202</v>
      </c>
      <c r="E39" s="219">
        <v>1.462</v>
      </c>
      <c r="F39" t="s">
        <v>775</v>
      </c>
    </row>
    <row r="40" spans="1:6" x14ac:dyDescent="0.25">
      <c r="A40" t="s">
        <v>635</v>
      </c>
      <c r="B40" s="196" t="str">
        <f>'common foods'!C116</f>
        <v>Black Beans Canned</v>
      </c>
      <c r="C40" s="182" t="str">
        <f>'common foods'!D116</f>
        <v>05103</v>
      </c>
      <c r="D40" s="182">
        <v>1.119</v>
      </c>
      <c r="E40" s="219">
        <v>1.19</v>
      </c>
    </row>
    <row r="41" spans="1:6" x14ac:dyDescent="0.25">
      <c r="A41" t="str">
        <f>'food prices to use'!A41</f>
        <v>vegetables</v>
      </c>
      <c r="B41" s="196" t="str">
        <f>'common foods'!C166</f>
        <v>Mild Salsa</v>
      </c>
      <c r="C41" s="182" t="s">
        <v>355</v>
      </c>
      <c r="D41" s="219">
        <v>1.1100000000000001</v>
      </c>
      <c r="E41" s="219">
        <v>1.1100000000000001</v>
      </c>
      <c r="F41" t="s">
        <v>776</v>
      </c>
    </row>
    <row r="42" spans="1:6" x14ac:dyDescent="0.25">
      <c r="A42" s="123" t="s">
        <v>633</v>
      </c>
      <c r="B42" s="196" t="str">
        <f>'common foods'!C9</f>
        <v>Pears, fresh</v>
      </c>
      <c r="C42" s="182" t="s">
        <v>29</v>
      </c>
      <c r="D42" s="182">
        <v>1.1659999999999999</v>
      </c>
      <c r="E42" s="219">
        <v>1.2070000000000001</v>
      </c>
    </row>
    <row r="43" spans="1:6" x14ac:dyDescent="0.25">
      <c r="A43" s="123" t="s">
        <v>623</v>
      </c>
      <c r="B43" t="s">
        <v>125</v>
      </c>
      <c r="C43" s="182" t="s">
        <v>126</v>
      </c>
      <c r="D43" s="219">
        <v>1.0620000000000001</v>
      </c>
      <c r="E43" s="219">
        <v>1.0620000000000001</v>
      </c>
    </row>
    <row r="44" spans="1:6" x14ac:dyDescent="0.25">
      <c r="A44" t="s">
        <v>635</v>
      </c>
      <c r="B44" s="196" t="str">
        <f>'common foods'!C117</f>
        <v>Middle Eastern Falafel Lisa</v>
      </c>
      <c r="C44" s="182" t="str">
        <f>'common foods'!D117</f>
        <v>05104</v>
      </c>
      <c r="D44" s="182">
        <v>1.119</v>
      </c>
      <c r="E44" s="219">
        <v>1.19</v>
      </c>
      <c r="F44" t="s">
        <v>777</v>
      </c>
    </row>
    <row r="45" spans="1:6" x14ac:dyDescent="0.25">
      <c r="A45" t="s">
        <v>635</v>
      </c>
      <c r="B45" s="196" t="str">
        <f>'common foods'!C118</f>
        <v>Tofu</v>
      </c>
      <c r="C45" s="182" t="s">
        <v>201</v>
      </c>
      <c r="D45" s="182">
        <v>1.119</v>
      </c>
      <c r="E45" s="219">
        <v>1.19</v>
      </c>
      <c r="F45" t="s">
        <v>777</v>
      </c>
    </row>
    <row r="46" spans="1:6" x14ac:dyDescent="0.25">
      <c r="A46" t="s">
        <v>639</v>
      </c>
      <c r="B46" s="196" t="str">
        <f>'common foods'!C35</f>
        <v>Kumara, fresh</v>
      </c>
      <c r="C46" s="182" t="s">
        <v>83</v>
      </c>
      <c r="D46" s="182">
        <v>1.202</v>
      </c>
      <c r="E46" s="219">
        <v>1.462</v>
      </c>
      <c r="F46" t="s">
        <v>775</v>
      </c>
    </row>
    <row r="47" spans="1:6" x14ac:dyDescent="0.25">
      <c r="A47" s="123" t="s">
        <v>639</v>
      </c>
      <c r="B47" t="s">
        <v>46</v>
      </c>
      <c r="C47" s="182" t="s">
        <v>47</v>
      </c>
      <c r="D47" s="182">
        <v>1.073</v>
      </c>
      <c r="E47" s="219">
        <v>1.2629999999999999</v>
      </c>
      <c r="F47" t="s">
        <v>778</v>
      </c>
    </row>
    <row r="48" spans="1:6" ht="15.75" x14ac:dyDescent="0.25">
      <c r="A48" s="1" t="s">
        <v>639</v>
      </c>
      <c r="B48" t="s">
        <v>96</v>
      </c>
      <c r="C48" s="182" t="s">
        <v>97</v>
      </c>
      <c r="D48" s="219">
        <v>1.085</v>
      </c>
      <c r="E48" s="219">
        <v>1.085</v>
      </c>
      <c r="F48" t="s">
        <v>779</v>
      </c>
    </row>
    <row r="49" spans="1:6" x14ac:dyDescent="0.25">
      <c r="A49" t="s">
        <v>688</v>
      </c>
      <c r="B49" s="196" t="str">
        <f>'common foods'!C72</f>
        <v>Cheese, Colby</v>
      </c>
      <c r="C49" s="182" t="str">
        <f>'common foods'!D72</f>
        <v>04057</v>
      </c>
      <c r="D49" s="219">
        <v>1.0900000000000001</v>
      </c>
      <c r="E49" s="219">
        <v>1.0900000000000001</v>
      </c>
    </row>
    <row r="50" spans="1:6" x14ac:dyDescent="0.25">
      <c r="A50" t="s">
        <v>688</v>
      </c>
      <c r="B50" s="196" t="str">
        <f>'common foods'!C73</f>
        <v>Cheese, Edam</v>
      </c>
      <c r="C50" s="182" t="str">
        <f>'common foods'!D73</f>
        <v>04058</v>
      </c>
      <c r="D50" s="219">
        <v>1.0900000000000001</v>
      </c>
      <c r="E50" s="219">
        <v>1.0900000000000001</v>
      </c>
    </row>
    <row r="51" spans="1:6" x14ac:dyDescent="0.25">
      <c r="A51" t="s">
        <v>647</v>
      </c>
      <c r="B51" s="196" t="str">
        <f>'common foods'!C127</f>
        <v>Canola oil</v>
      </c>
      <c r="C51" s="182" t="s">
        <v>273</v>
      </c>
      <c r="D51" s="182">
        <v>1.03</v>
      </c>
      <c r="E51" s="219">
        <v>1.032</v>
      </c>
    </row>
    <row r="52" spans="1:6" x14ac:dyDescent="0.25">
      <c r="A52" t="s">
        <v>623</v>
      </c>
      <c r="B52" s="196" t="str">
        <f>'common foods'!C49</f>
        <v>Bread, multigrain</v>
      </c>
      <c r="C52" s="182" t="s">
        <v>112</v>
      </c>
      <c r="D52" s="182">
        <v>1.224</v>
      </c>
      <c r="E52" s="219">
        <v>1.29</v>
      </c>
    </row>
    <row r="53" spans="1:6" x14ac:dyDescent="0.25">
      <c r="A53" t="s">
        <v>623</v>
      </c>
      <c r="B53" s="196" t="str">
        <f>'common foods'!C48</f>
        <v>Bread, wheatmeal</v>
      </c>
      <c r="C53" s="182" t="s">
        <v>110</v>
      </c>
      <c r="D53" s="182">
        <v>1.224</v>
      </c>
      <c r="E53" s="219">
        <v>1.29</v>
      </c>
    </row>
    <row r="54" spans="1:6" ht="15.75" x14ac:dyDescent="0.25">
      <c r="A54" s="123" t="s">
        <v>635</v>
      </c>
      <c r="B54" s="1" t="s">
        <v>220</v>
      </c>
      <c r="C54" s="182" t="s">
        <v>221</v>
      </c>
      <c r="D54" s="182">
        <v>1.0960000000000001</v>
      </c>
      <c r="E54" s="219">
        <v>1.1180000000000001</v>
      </c>
    </row>
    <row r="55" spans="1:6" x14ac:dyDescent="0.25">
      <c r="A55" s="123" t="s">
        <v>635</v>
      </c>
      <c r="B55" s="201" t="s">
        <v>780</v>
      </c>
      <c r="C55" s="182" t="s">
        <v>236</v>
      </c>
      <c r="D55" s="182">
        <v>1.119</v>
      </c>
      <c r="E55" s="219">
        <v>1.19</v>
      </c>
      <c r="F55" t="s">
        <v>777</v>
      </c>
    </row>
    <row r="56" spans="1:6" x14ac:dyDescent="0.25">
      <c r="A56" s="123" t="s">
        <v>635</v>
      </c>
      <c r="B56" s="201" t="str">
        <f>'food prices to use'!FL_62_12</f>
        <v>Cake, fruit</v>
      </c>
      <c r="C56" s="182" t="str">
        <f>'food prices to use'!C56</f>
        <v>03041</v>
      </c>
      <c r="D56" s="182">
        <v>1.119</v>
      </c>
      <c r="E56" s="219">
        <v>1.19</v>
      </c>
      <c r="F56" t="s">
        <v>777</v>
      </c>
    </row>
    <row r="57" spans="1:6" x14ac:dyDescent="0.25">
      <c r="A57" s="123" t="s">
        <v>635</v>
      </c>
      <c r="B57" s="196" t="str">
        <f>'common foods'!C97</f>
        <v>Lamb shoulder chops</v>
      </c>
      <c r="C57" s="182" t="s">
        <v>211</v>
      </c>
      <c r="D57" s="182">
        <v>1.044</v>
      </c>
      <c r="E57" s="219">
        <v>1.1200000000000001</v>
      </c>
    </row>
    <row r="58" spans="1:6" x14ac:dyDescent="0.25">
      <c r="A58" s="123" t="s">
        <v>635</v>
      </c>
      <c r="B58" s="196" t="str">
        <f>'common foods'!C99</f>
        <v>Pork leg roast</v>
      </c>
      <c r="C58" s="182" t="s">
        <v>215</v>
      </c>
      <c r="D58" s="182">
        <v>1.1240000000000001</v>
      </c>
      <c r="E58" s="219">
        <v>1.1759999999999999</v>
      </c>
    </row>
    <row r="59" spans="1:6" x14ac:dyDescent="0.25">
      <c r="A59" t="s">
        <v>639</v>
      </c>
      <c r="B59" t="str">
        <f>'common foods'!C46</f>
        <v>Broccoli and Cauliflower, frozen</v>
      </c>
      <c r="C59" s="182" t="str">
        <f>'common foods'!D46</f>
        <v>02053</v>
      </c>
      <c r="D59" s="219">
        <v>1.1339999999999999</v>
      </c>
      <c r="E59" s="219">
        <v>1.1339999999999999</v>
      </c>
    </row>
    <row r="60" spans="1:6" x14ac:dyDescent="0.25">
      <c r="A60" t="s">
        <v>633</v>
      </c>
      <c r="B60" s="196" t="str">
        <f>'common foods'!C8</f>
        <v>Oranges, fresh</v>
      </c>
      <c r="C60" s="182" t="s">
        <v>27</v>
      </c>
      <c r="D60" s="182">
        <v>1.1759999999999999</v>
      </c>
      <c r="E60" s="219">
        <v>1.4330000000000001</v>
      </c>
    </row>
    <row r="61" spans="1:6" x14ac:dyDescent="0.25">
      <c r="A61" s="123" t="s">
        <v>635</v>
      </c>
      <c r="B61" s="196" t="str">
        <f>'common foods'!C101</f>
        <v>Pork shoulder roast</v>
      </c>
      <c r="C61" s="182" t="str">
        <f>'common foods'!D101</f>
        <v>05097</v>
      </c>
      <c r="D61" s="182">
        <v>1.119</v>
      </c>
      <c r="E61" s="219">
        <v>1.19</v>
      </c>
      <c r="F61" t="s">
        <v>777</v>
      </c>
    </row>
    <row r="62" spans="1:6" x14ac:dyDescent="0.25">
      <c r="A62" t="s">
        <v>639</v>
      </c>
      <c r="B62" s="196" t="str">
        <f>'common foods'!C21</f>
        <v>Cauliflower, fresh</v>
      </c>
      <c r="C62" s="182" t="s">
        <v>55</v>
      </c>
      <c r="D62" s="182">
        <v>1.073</v>
      </c>
      <c r="E62" s="219">
        <v>1.2629999999999999</v>
      </c>
    </row>
    <row r="63" spans="1:6" x14ac:dyDescent="0.25">
      <c r="A63" s="123" t="s">
        <v>635</v>
      </c>
      <c r="B63" s="196" t="str">
        <f>'common foods'!C104</f>
        <v>Peanuts, plain</v>
      </c>
      <c r="C63" s="182" t="s">
        <v>225</v>
      </c>
      <c r="D63" s="219">
        <v>1.085</v>
      </c>
      <c r="E63" s="219">
        <v>1.085</v>
      </c>
      <c r="F63" t="s">
        <v>781</v>
      </c>
    </row>
    <row r="64" spans="1:6" x14ac:dyDescent="0.25">
      <c r="A64" s="123" t="s">
        <v>623</v>
      </c>
      <c r="B64" t="str">
        <f>'common foods'!C65</f>
        <v>Spaghetti, canned, lite</v>
      </c>
      <c r="C64" s="182" t="s">
        <v>144</v>
      </c>
      <c r="D64" s="219">
        <v>1.085</v>
      </c>
      <c r="E64" s="219">
        <v>1.085</v>
      </c>
      <c r="F64" t="s">
        <v>766</v>
      </c>
    </row>
    <row r="65" spans="1:6" x14ac:dyDescent="0.25">
      <c r="A65" t="s">
        <v>629</v>
      </c>
      <c r="B65" t="str">
        <f>'common foods'!C85</f>
        <v>Dairy-free cream cheese</v>
      </c>
      <c r="C65" s="182" t="s">
        <v>186</v>
      </c>
      <c r="D65" s="219">
        <v>1.0900000000000001</v>
      </c>
      <c r="E65" s="219">
        <v>1.0900000000000001</v>
      </c>
    </row>
    <row r="66" spans="1:6" x14ac:dyDescent="0.25">
      <c r="A66" t="s">
        <v>629</v>
      </c>
      <c r="B66" t="str">
        <f>'common foods'!C84</f>
        <v>Dairy-free cheddar</v>
      </c>
      <c r="C66" s="182" t="s">
        <v>184</v>
      </c>
      <c r="D66" s="219">
        <v>1.0900000000000001</v>
      </c>
      <c r="E66" s="219">
        <v>1.0900000000000001</v>
      </c>
    </row>
    <row r="67" spans="1:6" x14ac:dyDescent="0.25">
      <c r="A67" t="s">
        <v>629</v>
      </c>
      <c r="B67" t="str">
        <f>'common foods'!C80</f>
        <v>Almond milk</v>
      </c>
      <c r="C67" s="182" t="s">
        <v>176</v>
      </c>
      <c r="D67" s="219">
        <v>1.07</v>
      </c>
      <c r="E67" s="219">
        <v>1.07</v>
      </c>
    </row>
    <row r="68" spans="1:6" x14ac:dyDescent="0.25">
      <c r="A68" t="s">
        <v>629</v>
      </c>
      <c r="B68" t="str">
        <f>'common foods'!C81</f>
        <v>Soy yoghurt with berriers</v>
      </c>
      <c r="C68" s="182" t="s">
        <v>178</v>
      </c>
      <c r="D68" s="219">
        <v>1.0880000000000001</v>
      </c>
      <c r="E68" s="219">
        <v>1.0880000000000001</v>
      </c>
    </row>
    <row r="69" spans="1:6" x14ac:dyDescent="0.25">
      <c r="A69" t="s">
        <v>629</v>
      </c>
      <c r="B69" t="str">
        <f>'common foods'!C82</f>
        <v>Soy yoghurt with mango and peach</v>
      </c>
      <c r="C69" s="182" t="s">
        <v>180</v>
      </c>
      <c r="D69" s="219">
        <v>1.0880000000000001</v>
      </c>
      <c r="E69" s="219">
        <v>1.0880000000000001</v>
      </c>
    </row>
    <row r="70" spans="1:6" x14ac:dyDescent="0.25">
      <c r="A70" t="s">
        <v>633</v>
      </c>
      <c r="B70" s="196" t="str">
        <f>'common foods'!C11</f>
        <v>Peaches, canned in clear juice</v>
      </c>
      <c r="C70" s="182" t="str">
        <f>'common foods'!D11</f>
        <v>01010</v>
      </c>
      <c r="D70" s="219">
        <v>1.1200000000000001</v>
      </c>
      <c r="E70" s="219">
        <v>1.1200000000000001</v>
      </c>
      <c r="F70" t="s">
        <v>763</v>
      </c>
    </row>
    <row r="71" spans="1:6" x14ac:dyDescent="0.25">
      <c r="A71" s="123" t="s">
        <v>633</v>
      </c>
      <c r="B71" t="s">
        <v>30</v>
      </c>
      <c r="C71" s="182" t="s">
        <v>31</v>
      </c>
      <c r="D71" s="219">
        <v>1.044</v>
      </c>
      <c r="E71" s="219">
        <v>1.044</v>
      </c>
      <c r="F71" t="s">
        <v>782</v>
      </c>
    </row>
    <row r="72" spans="1:6" x14ac:dyDescent="0.25">
      <c r="A72" t="s">
        <v>633</v>
      </c>
      <c r="B72" s="196" t="str">
        <f>'common foods'!C5</f>
        <v>Kiwifruit, fresh</v>
      </c>
      <c r="C72" s="182" t="s">
        <v>19</v>
      </c>
      <c r="D72" s="182">
        <v>1.1759999999999999</v>
      </c>
      <c r="E72" s="219">
        <v>1.4330000000000001</v>
      </c>
      <c r="F72" t="s">
        <v>783</v>
      </c>
    </row>
    <row r="73" spans="1:6" x14ac:dyDescent="0.25">
      <c r="A73" t="s">
        <v>633</v>
      </c>
      <c r="B73" s="196" t="str">
        <f>'common foods'!C6</f>
        <v>Mandarins, fresh</v>
      </c>
      <c r="C73" s="182" t="s">
        <v>22</v>
      </c>
      <c r="D73" s="182">
        <v>1.1759999999999999</v>
      </c>
      <c r="E73" s="219">
        <v>1.4330000000000001</v>
      </c>
      <c r="F73" t="s">
        <v>784</v>
      </c>
    </row>
    <row r="74" spans="1:6" x14ac:dyDescent="0.25">
      <c r="A74" s="123" t="s">
        <v>633</v>
      </c>
      <c r="B74" t="s">
        <v>16</v>
      </c>
      <c r="C74" s="182" t="s">
        <v>17</v>
      </c>
      <c r="D74" s="182">
        <v>1.131</v>
      </c>
      <c r="E74" s="219">
        <v>1.4330000000000001</v>
      </c>
      <c r="F74" t="s">
        <v>785</v>
      </c>
    </row>
    <row r="75" spans="1:6" x14ac:dyDescent="0.25">
      <c r="A75" t="s">
        <v>639</v>
      </c>
      <c r="B75" s="196" t="str">
        <f>'common foods'!C45</f>
        <v>Spinach, frozen</v>
      </c>
      <c r="C75" s="182" t="s">
        <v>103</v>
      </c>
      <c r="D75" s="182">
        <v>1.3779999999999999</v>
      </c>
      <c r="E75" s="219">
        <v>1.444</v>
      </c>
    </row>
    <row r="76" spans="1:6" x14ac:dyDescent="0.25">
      <c r="A76" t="s">
        <v>639</v>
      </c>
      <c r="B76" s="196" t="str">
        <f>'common foods'!C24</f>
        <v>Cucumber, fresh</v>
      </c>
      <c r="C76" s="182" t="s">
        <v>61</v>
      </c>
      <c r="D76" s="182">
        <v>1.2350000000000001</v>
      </c>
      <c r="E76" s="219">
        <v>1.3</v>
      </c>
    </row>
    <row r="77" spans="1:6" x14ac:dyDescent="0.25">
      <c r="A77" t="s">
        <v>639</v>
      </c>
      <c r="B77" s="196" t="str">
        <f>'common foods'!C31</f>
        <v>Tomatoes, fresh</v>
      </c>
      <c r="C77" s="182" t="s">
        <v>75</v>
      </c>
      <c r="D77" s="182">
        <v>1.1619999999999999</v>
      </c>
      <c r="E77" s="219">
        <v>1.1739999999999999</v>
      </c>
    </row>
    <row r="78" spans="1:6" x14ac:dyDescent="0.25">
      <c r="A78" t="s">
        <v>639</v>
      </c>
      <c r="B78" s="196" t="str">
        <f>'common foods'!C23</f>
        <v>Courgettes, fresh</v>
      </c>
      <c r="C78" s="182" t="s">
        <v>59</v>
      </c>
      <c r="D78" s="182">
        <v>1.2350000000000001</v>
      </c>
      <c r="E78" s="219">
        <v>1.3</v>
      </c>
      <c r="F78" t="s">
        <v>786</v>
      </c>
    </row>
    <row r="79" spans="1:6" x14ac:dyDescent="0.25">
      <c r="A79" t="s">
        <v>639</v>
      </c>
      <c r="B79" s="196" t="str">
        <f>'common foods'!C34</f>
        <v>Tomatoes, canned, low salt</v>
      </c>
      <c r="C79" s="182" t="s">
        <v>81</v>
      </c>
      <c r="D79" s="219">
        <v>1.1200000000000001</v>
      </c>
      <c r="E79" s="219">
        <v>1.1200000000000001</v>
      </c>
      <c r="F79" t="s">
        <v>765</v>
      </c>
    </row>
    <row r="80" spans="1:6" x14ac:dyDescent="0.25">
      <c r="A80" t="s">
        <v>639</v>
      </c>
      <c r="B80" s="196" t="str">
        <f>'common foods'!C16</f>
        <v>Avocados, fresh</v>
      </c>
      <c r="C80" s="182" t="s">
        <v>45</v>
      </c>
      <c r="D80" s="182">
        <v>1.175</v>
      </c>
      <c r="E80" s="219">
        <v>1.2989999999999999</v>
      </c>
      <c r="F80" t="s">
        <v>787</v>
      </c>
    </row>
    <row r="81" spans="1:6" x14ac:dyDescent="0.25">
      <c r="A81" s="123" t="s">
        <v>623</v>
      </c>
      <c r="B81" t="str">
        <f>'common foods'!C52</f>
        <v>Cornflakes</v>
      </c>
      <c r="C81" s="182" t="s">
        <v>118</v>
      </c>
      <c r="D81" s="219">
        <v>1.1020000000000001</v>
      </c>
      <c r="E81" s="219">
        <v>1.1020000000000001</v>
      </c>
      <c r="F81" t="s">
        <v>762</v>
      </c>
    </row>
    <row r="82" spans="1:6" x14ac:dyDescent="0.25">
      <c r="A82" s="123" t="s">
        <v>623</v>
      </c>
      <c r="B82" s="196" t="str">
        <f>'common foods'!C54</f>
        <v>Weetbix</v>
      </c>
      <c r="C82" s="182" t="s">
        <v>136</v>
      </c>
      <c r="D82" s="219">
        <v>1.1020000000000001</v>
      </c>
      <c r="E82" s="219">
        <v>1.1020000000000001</v>
      </c>
      <c r="F82" t="s">
        <v>762</v>
      </c>
    </row>
    <row r="83" spans="1:6" x14ac:dyDescent="0.25">
      <c r="A83" s="123" t="s">
        <v>623</v>
      </c>
      <c r="B83" t="s">
        <v>113</v>
      </c>
      <c r="C83" s="182" t="s">
        <v>114</v>
      </c>
      <c r="D83" s="182">
        <v>1.224</v>
      </c>
      <c r="E83" s="219">
        <v>1.29</v>
      </c>
    </row>
    <row r="84" spans="1:6" ht="15.75" x14ac:dyDescent="0.25">
      <c r="A84" s="1" t="s">
        <v>623</v>
      </c>
      <c r="B84" t="str">
        <f>'common foods'!C71</f>
        <v>Spaghetti Pasta, wholemeal</v>
      </c>
      <c r="C84" s="182" t="s">
        <v>156</v>
      </c>
      <c r="D84" s="219">
        <v>1.0620000000000001</v>
      </c>
      <c r="E84" s="219">
        <v>1.0620000000000001</v>
      </c>
    </row>
    <row r="85" spans="1:6" x14ac:dyDescent="0.25">
      <c r="A85" s="123" t="s">
        <v>623</v>
      </c>
      <c r="B85" s="201" t="str">
        <f>'common foods'!C64</f>
        <v>Muesli, toasted</v>
      </c>
      <c r="C85" s="182" t="str">
        <f>'common foods'!D64</f>
        <v>03065</v>
      </c>
      <c r="D85" s="219">
        <v>1.1020000000000001</v>
      </c>
      <c r="E85" s="219">
        <v>1.1020000000000001</v>
      </c>
      <c r="F85" t="s">
        <v>762</v>
      </c>
    </row>
    <row r="86" spans="1:6" x14ac:dyDescent="0.25">
      <c r="A86" t="s">
        <v>623</v>
      </c>
      <c r="B86" t="s">
        <v>788</v>
      </c>
      <c r="C86" s="182" t="s">
        <v>152</v>
      </c>
      <c r="D86" s="182">
        <v>1.224</v>
      </c>
      <c r="E86" s="219">
        <v>1.29</v>
      </c>
    </row>
    <row r="87" spans="1:6" x14ac:dyDescent="0.25">
      <c r="A87" s="123" t="s">
        <v>623</v>
      </c>
      <c r="B87" t="s">
        <v>329</v>
      </c>
      <c r="C87" s="182" t="s">
        <v>330</v>
      </c>
      <c r="D87" s="219">
        <v>1.1020000000000001</v>
      </c>
      <c r="E87" s="219">
        <v>1.1020000000000001</v>
      </c>
    </row>
    <row r="88" spans="1:6" x14ac:dyDescent="0.25">
      <c r="A88" s="123" t="s">
        <v>623</v>
      </c>
      <c r="B88" s="196" t="str">
        <f>'common foods'!C68</f>
        <v>Corn Chips</v>
      </c>
      <c r="C88" s="182" t="s">
        <v>150</v>
      </c>
      <c r="D88" s="219">
        <v>1.085</v>
      </c>
      <c r="E88" s="219">
        <v>1.085</v>
      </c>
    </row>
    <row r="89" spans="1:6" x14ac:dyDescent="0.25">
      <c r="A89" t="s">
        <v>623</v>
      </c>
      <c r="B89" s="196" t="str">
        <f>'common foods'!C66</f>
        <v>Rye Crispbread</v>
      </c>
      <c r="C89" s="182" t="s">
        <v>323</v>
      </c>
      <c r="D89" s="219">
        <v>1.085</v>
      </c>
      <c r="E89" s="219">
        <v>1.085</v>
      </c>
    </row>
    <row r="90" spans="1:6" x14ac:dyDescent="0.25">
      <c r="A90" t="s">
        <v>629</v>
      </c>
      <c r="B90" t="str">
        <f>'common foods'!C72</f>
        <v>Cheese, Colby</v>
      </c>
      <c r="C90" s="182" t="s">
        <v>159</v>
      </c>
      <c r="D90" s="219">
        <v>1.0900000000000001</v>
      </c>
      <c r="E90" s="219">
        <v>1.0900000000000001</v>
      </c>
    </row>
    <row r="91" spans="1:6" x14ac:dyDescent="0.25">
      <c r="A91" t="s">
        <v>629</v>
      </c>
      <c r="B91" t="s">
        <v>165</v>
      </c>
      <c r="C91" s="182" t="s">
        <v>166</v>
      </c>
      <c r="D91" s="219">
        <v>1.07</v>
      </c>
      <c r="E91" s="219">
        <v>1.07</v>
      </c>
    </row>
    <row r="92" spans="1:6" x14ac:dyDescent="0.25">
      <c r="A92" t="s">
        <v>629</v>
      </c>
      <c r="B92" t="s">
        <v>167</v>
      </c>
      <c r="C92" s="182" t="s">
        <v>168</v>
      </c>
      <c r="D92" s="219">
        <v>1.0880000000000001</v>
      </c>
      <c r="E92" s="219">
        <v>1.0880000000000001</v>
      </c>
    </row>
    <row r="93" spans="1:6" x14ac:dyDescent="0.25">
      <c r="A93" s="123" t="s">
        <v>688</v>
      </c>
      <c r="B93" t="s">
        <v>171</v>
      </c>
      <c r="C93" s="182" t="s">
        <v>172</v>
      </c>
      <c r="D93" s="219">
        <v>1.0900000000000001</v>
      </c>
      <c r="E93" s="219">
        <v>1.0900000000000001</v>
      </c>
    </row>
    <row r="94" spans="1:6" x14ac:dyDescent="0.25">
      <c r="A94" s="123" t="s">
        <v>688</v>
      </c>
      <c r="B94" t="s">
        <v>173</v>
      </c>
      <c r="C94" s="182" t="s">
        <v>174</v>
      </c>
      <c r="D94" s="219">
        <v>1.0880000000000001</v>
      </c>
      <c r="E94" s="219">
        <v>1.0880000000000001</v>
      </c>
    </row>
    <row r="95" spans="1:6" ht="15.75" x14ac:dyDescent="0.25">
      <c r="A95" s="218" t="s">
        <v>187</v>
      </c>
      <c r="B95" t="s">
        <v>190</v>
      </c>
      <c r="C95" s="182" t="s">
        <v>191</v>
      </c>
      <c r="D95" s="219">
        <v>1.077</v>
      </c>
      <c r="E95" s="219">
        <v>1.1259999999999999</v>
      </c>
    </row>
    <row r="96" spans="1:6" ht="15.75" x14ac:dyDescent="0.25">
      <c r="A96" s="218" t="s">
        <v>187</v>
      </c>
      <c r="B96" t="s">
        <v>192</v>
      </c>
      <c r="C96" s="182" t="s">
        <v>193</v>
      </c>
      <c r="D96" s="219">
        <v>1.077</v>
      </c>
      <c r="E96" s="219">
        <v>1.1259999999999999</v>
      </c>
    </row>
    <row r="97" spans="1:6" ht="15.75" x14ac:dyDescent="0.25">
      <c r="A97" s="218" t="s">
        <v>187</v>
      </c>
      <c r="B97" t="s">
        <v>194</v>
      </c>
      <c r="C97" s="182" t="s">
        <v>195</v>
      </c>
      <c r="D97" s="219">
        <v>1.077</v>
      </c>
      <c r="E97" s="219">
        <v>1.1259999999999999</v>
      </c>
    </row>
    <row r="98" spans="1:6" ht="15.75" x14ac:dyDescent="0.25">
      <c r="A98" s="218" t="s">
        <v>187</v>
      </c>
      <c r="B98" t="s">
        <v>196</v>
      </c>
      <c r="C98" s="182" t="s">
        <v>197</v>
      </c>
      <c r="D98" s="219">
        <v>1.077</v>
      </c>
      <c r="E98" s="219">
        <v>1.1259999999999999</v>
      </c>
    </row>
    <row r="99" spans="1:6" ht="15.75" x14ac:dyDescent="0.25">
      <c r="A99" s="218" t="s">
        <v>187</v>
      </c>
      <c r="B99" t="s">
        <v>198</v>
      </c>
      <c r="C99" s="182" t="s">
        <v>199</v>
      </c>
      <c r="D99" s="219">
        <v>1.077</v>
      </c>
      <c r="E99" s="219">
        <v>1.1259999999999999</v>
      </c>
    </row>
    <row r="100" spans="1:6" ht="15.75" x14ac:dyDescent="0.25">
      <c r="A100" s="218" t="s">
        <v>187</v>
      </c>
      <c r="B100" t="s">
        <v>204</v>
      </c>
      <c r="C100" s="182" t="s">
        <v>205</v>
      </c>
      <c r="D100" s="182">
        <v>1.131</v>
      </c>
      <c r="E100" s="219">
        <v>1.3420000000000001</v>
      </c>
    </row>
    <row r="101" spans="1:6" ht="15.75" x14ac:dyDescent="0.25">
      <c r="A101" s="218" t="s">
        <v>187</v>
      </c>
      <c r="B101" t="s">
        <v>206</v>
      </c>
      <c r="C101" s="182" t="s">
        <v>207</v>
      </c>
      <c r="D101" s="182">
        <v>1.131</v>
      </c>
      <c r="E101" s="219">
        <v>1.3420000000000001</v>
      </c>
    </row>
    <row r="102" spans="1:6" ht="15.75" x14ac:dyDescent="0.25">
      <c r="A102" s="218" t="s">
        <v>187</v>
      </c>
      <c r="B102" t="s">
        <v>208</v>
      </c>
      <c r="C102" s="182" t="s">
        <v>209</v>
      </c>
      <c r="D102" s="182">
        <v>1.131</v>
      </c>
      <c r="E102" s="219">
        <v>1.3420000000000001</v>
      </c>
    </row>
    <row r="103" spans="1:6" ht="15.75" x14ac:dyDescent="0.25">
      <c r="A103" s="218" t="s">
        <v>187</v>
      </c>
      <c r="B103" t="s">
        <v>210</v>
      </c>
      <c r="C103" s="182" t="s">
        <v>211</v>
      </c>
      <c r="D103" s="182">
        <v>1.044</v>
      </c>
      <c r="E103" s="219">
        <v>1.1200000000000001</v>
      </c>
    </row>
    <row r="104" spans="1:6" ht="15.75" x14ac:dyDescent="0.25">
      <c r="A104" s="218" t="s">
        <v>187</v>
      </c>
      <c r="B104" t="s">
        <v>214</v>
      </c>
      <c r="C104" s="182" t="s">
        <v>215</v>
      </c>
      <c r="D104" s="182">
        <v>1.1240000000000001</v>
      </c>
      <c r="E104" s="219">
        <v>1.1759999999999999</v>
      </c>
    </row>
    <row r="105" spans="1:6" ht="15.75" x14ac:dyDescent="0.25">
      <c r="A105" s="218" t="s">
        <v>187</v>
      </c>
      <c r="B105" t="s">
        <v>222</v>
      </c>
      <c r="C105" s="182" t="s">
        <v>223</v>
      </c>
      <c r="D105" s="182">
        <v>1.0960000000000001</v>
      </c>
      <c r="E105" s="219">
        <v>1.1180000000000001</v>
      </c>
    </row>
    <row r="106" spans="1:6" ht="15.75" x14ac:dyDescent="0.25">
      <c r="A106" s="218" t="s">
        <v>187</v>
      </c>
      <c r="B106" t="str">
        <f>'common foods'!C106</f>
        <v>peanuts, salted</v>
      </c>
      <c r="C106" s="182" t="s">
        <v>229</v>
      </c>
      <c r="D106" s="219">
        <v>1.085</v>
      </c>
      <c r="E106" s="219">
        <v>1.085</v>
      </c>
      <c r="F106" t="s">
        <v>789</v>
      </c>
    </row>
    <row r="107" spans="1:6" ht="15.75" x14ac:dyDescent="0.25">
      <c r="A107" s="218" t="s">
        <v>187</v>
      </c>
      <c r="B107" t="s">
        <v>235</v>
      </c>
      <c r="C107" s="182" t="s">
        <v>236</v>
      </c>
      <c r="D107" s="182">
        <v>1.119</v>
      </c>
      <c r="E107" s="219">
        <v>1.19</v>
      </c>
      <c r="F107" t="s">
        <v>777</v>
      </c>
    </row>
    <row r="108" spans="1:6" ht="15.75" x14ac:dyDescent="0.25">
      <c r="A108" s="218" t="s">
        <v>187</v>
      </c>
      <c r="B108" t="s">
        <v>241</v>
      </c>
      <c r="C108" s="182" t="s">
        <v>242</v>
      </c>
      <c r="D108" s="182">
        <v>1.0960000000000001</v>
      </c>
      <c r="E108" s="219">
        <v>1.1180000000000001</v>
      </c>
    </row>
    <row r="109" spans="1:6" ht="15.75" x14ac:dyDescent="0.25">
      <c r="A109" s="218" t="s">
        <v>187</v>
      </c>
      <c r="B109" t="s">
        <v>243</v>
      </c>
      <c r="C109" s="182" t="s">
        <v>244</v>
      </c>
      <c r="D109" s="182">
        <v>1.0960000000000001</v>
      </c>
      <c r="E109" s="219">
        <v>1.1180000000000001</v>
      </c>
    </row>
    <row r="110" spans="1:6" ht="15.75" x14ac:dyDescent="0.25">
      <c r="A110" s="1" t="s">
        <v>265</v>
      </c>
      <c r="B110" t="s">
        <v>266</v>
      </c>
      <c r="C110" s="182" t="s">
        <v>267</v>
      </c>
      <c r="D110" s="182">
        <v>1.03</v>
      </c>
      <c r="E110" s="219">
        <v>1.032</v>
      </c>
    </row>
    <row r="111" spans="1:6" ht="15.75" x14ac:dyDescent="0.25">
      <c r="A111" s="1" t="s">
        <v>265</v>
      </c>
      <c r="B111" t="s">
        <v>268</v>
      </c>
      <c r="C111" s="182" t="s">
        <v>269</v>
      </c>
      <c r="D111" s="182">
        <v>1.03</v>
      </c>
      <c r="E111" s="219">
        <v>1.032</v>
      </c>
    </row>
    <row r="112" spans="1:6" ht="15.75" x14ac:dyDescent="0.25">
      <c r="A112" s="1" t="s">
        <v>278</v>
      </c>
      <c r="B112" t="s">
        <v>279</v>
      </c>
      <c r="C112" s="182" t="s">
        <v>280</v>
      </c>
      <c r="D112" s="219">
        <v>1.1499999999999999</v>
      </c>
      <c r="E112" s="219">
        <v>1.1499999999999999</v>
      </c>
    </row>
    <row r="113" spans="1:6" ht="15.75" x14ac:dyDescent="0.25">
      <c r="A113" s="1" t="s">
        <v>278</v>
      </c>
      <c r="B113" t="s">
        <v>282</v>
      </c>
      <c r="C113" s="182" t="s">
        <v>283</v>
      </c>
      <c r="D113" s="219">
        <v>1.0429999999999999</v>
      </c>
      <c r="E113" s="219">
        <v>1.0429999999999999</v>
      </c>
    </row>
    <row r="114" spans="1:6" ht="15.75" x14ac:dyDescent="0.25">
      <c r="A114" s="1" t="s">
        <v>278</v>
      </c>
      <c r="B114" t="s">
        <v>284</v>
      </c>
      <c r="C114" s="182" t="s">
        <v>285</v>
      </c>
      <c r="D114" s="219">
        <v>1.1499999999999999</v>
      </c>
      <c r="E114" s="219">
        <v>1.0429999999999999</v>
      </c>
    </row>
    <row r="115" spans="1:6" ht="15.75" x14ac:dyDescent="0.25">
      <c r="A115" s="1" t="s">
        <v>278</v>
      </c>
      <c r="B115" t="s">
        <v>286</v>
      </c>
      <c r="C115" s="182" t="s">
        <v>287</v>
      </c>
      <c r="D115" s="219">
        <v>1.1499999999999999</v>
      </c>
      <c r="E115" s="219">
        <v>1.085</v>
      </c>
    </row>
    <row r="116" spans="1:6" ht="15.75" x14ac:dyDescent="0.25">
      <c r="A116" s="1" t="s">
        <v>278</v>
      </c>
      <c r="B116" t="s">
        <v>290</v>
      </c>
      <c r="C116" s="182" t="s">
        <v>291</v>
      </c>
      <c r="D116" s="219">
        <v>1.1499999999999999</v>
      </c>
      <c r="E116" s="219">
        <v>1.1499999999999999</v>
      </c>
    </row>
    <row r="117" spans="1:6" ht="15.75" x14ac:dyDescent="0.25">
      <c r="A117" s="1" t="s">
        <v>278</v>
      </c>
      <c r="B117" t="s">
        <v>292</v>
      </c>
      <c r="C117" s="182" t="s">
        <v>293</v>
      </c>
      <c r="D117" s="219">
        <v>1.085</v>
      </c>
      <c r="E117" s="219">
        <v>1.085</v>
      </c>
    </row>
    <row r="118" spans="1:6" ht="15.75" x14ac:dyDescent="0.25">
      <c r="A118" s="1" t="s">
        <v>278</v>
      </c>
      <c r="B118" t="s">
        <v>294</v>
      </c>
      <c r="C118" s="182" t="s">
        <v>295</v>
      </c>
      <c r="D118" s="219">
        <v>1.1499999999999999</v>
      </c>
      <c r="E118" s="219">
        <v>1.1499999999999999</v>
      </c>
    </row>
    <row r="119" spans="1:6" ht="15.75" x14ac:dyDescent="0.25">
      <c r="A119" s="1" t="s">
        <v>278</v>
      </c>
      <c r="B119" t="s">
        <v>300</v>
      </c>
      <c r="C119" s="182" t="s">
        <v>301</v>
      </c>
      <c r="D119" s="182">
        <v>1.1240000000000001</v>
      </c>
      <c r="E119" s="219">
        <v>1.1759999999999999</v>
      </c>
    </row>
    <row r="120" spans="1:6" ht="15.75" x14ac:dyDescent="0.25">
      <c r="A120" s="1" t="s">
        <v>278</v>
      </c>
      <c r="B120" t="s">
        <v>302</v>
      </c>
      <c r="C120" s="182" t="s">
        <v>303</v>
      </c>
      <c r="D120" s="182">
        <v>1.1240000000000001</v>
      </c>
      <c r="E120" s="219">
        <v>1.1759999999999999</v>
      </c>
    </row>
    <row r="121" spans="1:6" ht="15.75" x14ac:dyDescent="0.25">
      <c r="A121" s="1" t="s">
        <v>278</v>
      </c>
      <c r="B121" t="s">
        <v>304</v>
      </c>
      <c r="C121" s="182" t="s">
        <v>305</v>
      </c>
      <c r="D121" s="182">
        <v>1.077</v>
      </c>
      <c r="E121" s="219">
        <v>1.1259999999999999</v>
      </c>
      <c r="F121" t="s">
        <v>790</v>
      </c>
    </row>
    <row r="122" spans="1:6" ht="15.75" x14ac:dyDescent="0.25">
      <c r="A122" s="1" t="s">
        <v>278</v>
      </c>
      <c r="B122" t="s">
        <v>306</v>
      </c>
      <c r="C122" s="182" t="s">
        <v>307</v>
      </c>
      <c r="D122" s="182">
        <v>1.1240000000000001</v>
      </c>
      <c r="E122" s="219">
        <v>1.1759999999999999</v>
      </c>
      <c r="F122" t="s">
        <v>791</v>
      </c>
    </row>
    <row r="123" spans="1:6" ht="15.75" x14ac:dyDescent="0.25">
      <c r="A123" s="1" t="s">
        <v>278</v>
      </c>
      <c r="B123" t="s">
        <v>312</v>
      </c>
      <c r="C123" s="182" t="s">
        <v>313</v>
      </c>
      <c r="D123" s="219">
        <v>1.044</v>
      </c>
      <c r="E123" s="219">
        <v>1.044</v>
      </c>
    </row>
    <row r="124" spans="1:6" ht="15.75" x14ac:dyDescent="0.25">
      <c r="A124" s="1" t="s">
        <v>278</v>
      </c>
      <c r="B124" t="s">
        <v>314</v>
      </c>
      <c r="C124" s="182" t="s">
        <v>315</v>
      </c>
      <c r="D124" s="219">
        <v>1.044</v>
      </c>
      <c r="E124" s="219">
        <v>1.044</v>
      </c>
    </row>
    <row r="125" spans="1:6" ht="15.75" x14ac:dyDescent="0.25">
      <c r="A125" s="1" t="s">
        <v>278</v>
      </c>
      <c r="B125" t="s">
        <v>316</v>
      </c>
      <c r="C125" s="182" t="s">
        <v>317</v>
      </c>
      <c r="D125" s="219">
        <v>1.044</v>
      </c>
      <c r="E125" s="219">
        <v>1.044</v>
      </c>
    </row>
    <row r="126" spans="1:6" ht="15.75" x14ac:dyDescent="0.25">
      <c r="A126" s="1" t="s">
        <v>278</v>
      </c>
      <c r="B126" t="s">
        <v>318</v>
      </c>
      <c r="C126" s="182" t="s">
        <v>319</v>
      </c>
      <c r="D126" s="219">
        <v>1.0429999999999999</v>
      </c>
      <c r="E126" s="219">
        <v>1.0429999999999999</v>
      </c>
    </row>
    <row r="127" spans="1:6" ht="15.75" x14ac:dyDescent="0.25">
      <c r="A127" s="1" t="s">
        <v>278</v>
      </c>
      <c r="B127" t="s">
        <v>320</v>
      </c>
      <c r="C127" s="182" t="s">
        <v>321</v>
      </c>
      <c r="D127" s="219">
        <v>1.1339999999999999</v>
      </c>
      <c r="E127" s="219">
        <v>1.1339999999999999</v>
      </c>
    </row>
    <row r="128" spans="1:6" ht="15.75" x14ac:dyDescent="0.25">
      <c r="A128" s="1" t="s">
        <v>341</v>
      </c>
      <c r="B128" t="s">
        <v>331</v>
      </c>
      <c r="C128" s="182" t="s">
        <v>332</v>
      </c>
      <c r="D128" s="219">
        <v>1.044</v>
      </c>
      <c r="E128" s="219">
        <v>1.044</v>
      </c>
      <c r="F128" t="s">
        <v>782</v>
      </c>
    </row>
    <row r="129" spans="1:6" ht="15.75" x14ac:dyDescent="0.25">
      <c r="A129" s="1" t="s">
        <v>341</v>
      </c>
      <c r="B129" t="s">
        <v>342</v>
      </c>
      <c r="C129" s="182" t="s">
        <v>343</v>
      </c>
      <c r="D129" s="219">
        <v>1.085</v>
      </c>
      <c r="E129" s="219">
        <v>1.085</v>
      </c>
      <c r="F129" t="s">
        <v>779</v>
      </c>
    </row>
    <row r="130" spans="1:6" ht="15.75" x14ac:dyDescent="0.25">
      <c r="A130" s="1" t="s">
        <v>341</v>
      </c>
      <c r="B130" t="s">
        <v>333</v>
      </c>
      <c r="C130" s="182" t="s">
        <v>334</v>
      </c>
      <c r="D130" s="219">
        <v>1.1100000000000001</v>
      </c>
      <c r="E130" s="219">
        <v>1.1100000000000001</v>
      </c>
      <c r="F130" t="s">
        <v>776</v>
      </c>
    </row>
    <row r="131" spans="1:6" ht="15.75" x14ac:dyDescent="0.25">
      <c r="A131" s="1" t="s">
        <v>341</v>
      </c>
      <c r="B131" t="s">
        <v>335</v>
      </c>
      <c r="C131" s="182" t="s">
        <v>336</v>
      </c>
      <c r="D131" s="219">
        <v>1.1100000000000001</v>
      </c>
      <c r="E131" s="219">
        <v>1.1100000000000001</v>
      </c>
      <c r="F131" t="s">
        <v>776</v>
      </c>
    </row>
    <row r="132" spans="1:6" ht="15.75" x14ac:dyDescent="0.25">
      <c r="A132" s="1" t="s">
        <v>341</v>
      </c>
      <c r="B132" t="s">
        <v>337</v>
      </c>
      <c r="C132" s="182" t="s">
        <v>338</v>
      </c>
      <c r="D132" s="219">
        <v>1.1100000000000001</v>
      </c>
      <c r="E132" s="219">
        <v>1.1100000000000001</v>
      </c>
      <c r="F132" t="s">
        <v>776</v>
      </c>
    </row>
    <row r="133" spans="1:6" ht="15.75" x14ac:dyDescent="0.25">
      <c r="A133" s="1" t="s">
        <v>341</v>
      </c>
      <c r="B133" t="s">
        <v>339</v>
      </c>
      <c r="C133" s="182" t="s">
        <v>340</v>
      </c>
      <c r="D133" s="219">
        <v>1.044</v>
      </c>
      <c r="E133" s="219">
        <v>1.044</v>
      </c>
      <c r="F133" t="s">
        <v>782</v>
      </c>
    </row>
    <row r="134" spans="1:6" ht="15.75" x14ac:dyDescent="0.25">
      <c r="A134" s="1" t="s">
        <v>341</v>
      </c>
      <c r="B134" t="s">
        <v>346</v>
      </c>
      <c r="C134" s="182" t="s">
        <v>347</v>
      </c>
      <c r="D134" s="219">
        <v>1.1100000000000001</v>
      </c>
      <c r="E134" s="219">
        <v>1.1100000000000001</v>
      </c>
      <c r="F134" t="s">
        <v>776</v>
      </c>
    </row>
    <row r="135" spans="1:6" x14ac:dyDescent="0.25">
      <c r="A135" t="s">
        <v>639</v>
      </c>
      <c r="B135" s="196" t="s">
        <v>758</v>
      </c>
      <c r="C135" s="182" t="s">
        <v>67</v>
      </c>
      <c r="D135" s="182">
        <v>1.1599999999999999</v>
      </c>
      <c r="E135" s="219">
        <v>1.1990000000000001</v>
      </c>
    </row>
    <row r="136" spans="1:6" ht="15.75" x14ac:dyDescent="0.25">
      <c r="A136" s="1" t="s">
        <v>356</v>
      </c>
      <c r="B136" t="s">
        <v>357</v>
      </c>
      <c r="C136" s="182" t="s">
        <v>358</v>
      </c>
      <c r="D136" s="219">
        <v>1.044</v>
      </c>
      <c r="E136" s="219">
        <v>1.044</v>
      </c>
      <c r="F136" t="s">
        <v>782</v>
      </c>
    </row>
    <row r="137" spans="1:6" ht="15.75" x14ac:dyDescent="0.25">
      <c r="A137" s="1" t="s">
        <v>356</v>
      </c>
      <c r="B137" t="s">
        <v>359</v>
      </c>
      <c r="C137" s="182" t="s">
        <v>360</v>
      </c>
      <c r="D137" s="219">
        <v>1.0720000000000001</v>
      </c>
      <c r="E137" s="219">
        <v>1.0720000000000001</v>
      </c>
    </row>
    <row r="138" spans="1:6" ht="15.75" x14ac:dyDescent="0.25">
      <c r="A138" s="1" t="s">
        <v>356</v>
      </c>
      <c r="B138" t="s">
        <v>361</v>
      </c>
      <c r="C138" s="182" t="s">
        <v>362</v>
      </c>
      <c r="D138" s="219">
        <v>1.0720000000000001</v>
      </c>
      <c r="E138" s="219">
        <v>1.0720000000000001</v>
      </c>
    </row>
    <row r="139" spans="1:6" ht="15.75" x14ac:dyDescent="0.25">
      <c r="A139" s="1" t="s">
        <v>356</v>
      </c>
      <c r="B139" t="s">
        <v>363</v>
      </c>
      <c r="C139" s="182" t="s">
        <v>364</v>
      </c>
      <c r="D139" s="219">
        <v>1.1200000000000001</v>
      </c>
      <c r="E139" s="219">
        <v>1.1200000000000001</v>
      </c>
    </row>
    <row r="140" spans="1:6" ht="15.75" x14ac:dyDescent="0.25">
      <c r="A140" s="1" t="s">
        <v>356</v>
      </c>
      <c r="B140" t="s">
        <v>365</v>
      </c>
      <c r="C140" s="182" t="s">
        <v>366</v>
      </c>
      <c r="D140" s="219">
        <v>1.1200000000000001</v>
      </c>
      <c r="E140" s="219">
        <v>1.1200000000000001</v>
      </c>
    </row>
    <row r="141" spans="1:6" ht="15.75" x14ac:dyDescent="0.25">
      <c r="A141" s="1" t="s">
        <v>356</v>
      </c>
      <c r="B141" t="s">
        <v>367</v>
      </c>
      <c r="C141" s="182" t="s">
        <v>368</v>
      </c>
      <c r="D141" s="219">
        <v>1.1200000000000001</v>
      </c>
      <c r="E141" s="219">
        <v>1.1200000000000001</v>
      </c>
      <c r="F141" t="s">
        <v>792</v>
      </c>
    </row>
    <row r="142" spans="1:6" ht="15.75" x14ac:dyDescent="0.25">
      <c r="A142" s="1" t="s">
        <v>356</v>
      </c>
      <c r="B142" t="s">
        <v>369</v>
      </c>
      <c r="C142" s="182" t="s">
        <v>370</v>
      </c>
      <c r="D142" s="219">
        <v>1.0720000000000001</v>
      </c>
      <c r="E142" s="219">
        <v>1.0720000000000001</v>
      </c>
      <c r="F142" t="s">
        <v>793</v>
      </c>
    </row>
    <row r="143" spans="1:6" ht="15.75" x14ac:dyDescent="0.25">
      <c r="A143" s="1" t="s">
        <v>356</v>
      </c>
      <c r="B143" t="s">
        <v>371</v>
      </c>
      <c r="C143" s="182" t="s">
        <v>372</v>
      </c>
      <c r="D143" s="219">
        <v>1.0569999999999999</v>
      </c>
      <c r="E143" s="219">
        <v>2</v>
      </c>
    </row>
    <row r="144" spans="1:6" ht="15.75" x14ac:dyDescent="0.25">
      <c r="A144" s="1" t="s">
        <v>356</v>
      </c>
      <c r="B144" t="s">
        <v>373</v>
      </c>
      <c r="C144" s="182" t="s">
        <v>374</v>
      </c>
      <c r="D144" s="219">
        <v>1.0569999999999999</v>
      </c>
      <c r="E144" s="219">
        <v>2</v>
      </c>
      <c r="F144" t="s">
        <v>794</v>
      </c>
    </row>
    <row r="145" spans="1:6" ht="15.75" x14ac:dyDescent="0.25">
      <c r="A145" s="1" t="s">
        <v>578</v>
      </c>
      <c r="B145" t="s">
        <v>378</v>
      </c>
      <c r="C145" s="182" t="s">
        <v>379</v>
      </c>
      <c r="D145" s="219">
        <v>1.085</v>
      </c>
      <c r="E145" s="219">
        <v>1.085</v>
      </c>
      <c r="F145" t="s">
        <v>779</v>
      </c>
    </row>
    <row r="146" spans="1:6" ht="15.75" x14ac:dyDescent="0.25">
      <c r="A146" s="1" t="s">
        <v>578</v>
      </c>
      <c r="B146" t="s">
        <v>380</v>
      </c>
      <c r="C146" s="182" t="s">
        <v>381</v>
      </c>
      <c r="D146" s="219">
        <v>1.1339999999999999</v>
      </c>
      <c r="E146" s="219">
        <v>1.1339999999999999</v>
      </c>
      <c r="F146" t="s">
        <v>769</v>
      </c>
    </row>
    <row r="147" spans="1:6" ht="15.75" x14ac:dyDescent="0.25">
      <c r="A147" s="1" t="s">
        <v>578</v>
      </c>
      <c r="B147" t="s">
        <v>382</v>
      </c>
      <c r="C147" s="182" t="s">
        <v>383</v>
      </c>
      <c r="D147" s="182">
        <v>1.0960000000000001</v>
      </c>
      <c r="E147" s="219">
        <v>1.1180000000000001</v>
      </c>
      <c r="F147" t="s">
        <v>795</v>
      </c>
    </row>
    <row r="148" spans="1:6" ht="15.75" x14ac:dyDescent="0.25">
      <c r="A148" s="1" t="s">
        <v>578</v>
      </c>
      <c r="B148" t="s">
        <v>384</v>
      </c>
      <c r="C148" s="182" t="s">
        <v>385</v>
      </c>
      <c r="D148" s="219">
        <v>1.085</v>
      </c>
      <c r="E148" s="219">
        <v>1.085</v>
      </c>
      <c r="F148" t="s">
        <v>779</v>
      </c>
    </row>
    <row r="149" spans="1:6" ht="15.75" x14ac:dyDescent="0.25">
      <c r="A149" s="1" t="s">
        <v>578</v>
      </c>
      <c r="B149" t="s">
        <v>386</v>
      </c>
      <c r="C149" s="182" t="s">
        <v>387</v>
      </c>
      <c r="D149" s="219">
        <v>1.085</v>
      </c>
      <c r="E149" s="219">
        <v>1.085</v>
      </c>
      <c r="F149" t="s">
        <v>779</v>
      </c>
    </row>
    <row r="150" spans="1:6" ht="15.75" x14ac:dyDescent="0.25">
      <c r="A150" s="1" t="s">
        <v>578</v>
      </c>
      <c r="B150" t="s">
        <v>796</v>
      </c>
      <c r="C150" s="182" t="s">
        <v>389</v>
      </c>
      <c r="D150" s="219">
        <v>1.085</v>
      </c>
      <c r="E150" s="219">
        <v>1.085</v>
      </c>
      <c r="F150" t="s">
        <v>779</v>
      </c>
    </row>
    <row r="151" spans="1:6" ht="15.75" x14ac:dyDescent="0.25">
      <c r="A151" s="1" t="s">
        <v>578</v>
      </c>
      <c r="B151" t="str">
        <f>'common foods'!C183</f>
        <v>KFC snack box</v>
      </c>
      <c r="C151" s="182" t="str">
        <f>'common foods'!D183</f>
        <v>10116</v>
      </c>
      <c r="D151" s="219">
        <v>1.085</v>
      </c>
      <c r="E151" s="219">
        <v>1.085</v>
      </c>
      <c r="F151" t="s">
        <v>779</v>
      </c>
    </row>
    <row r="152" spans="1:6" ht="15.75" x14ac:dyDescent="0.25">
      <c r="A152" s="1" t="s">
        <v>578</v>
      </c>
      <c r="B152" t="s">
        <v>392</v>
      </c>
      <c r="C152" s="182" t="s">
        <v>393</v>
      </c>
      <c r="D152" s="219">
        <v>1.085</v>
      </c>
      <c r="E152" s="219">
        <v>1.085</v>
      </c>
      <c r="F152" t="s">
        <v>779</v>
      </c>
    </row>
    <row r="153" spans="1:6" ht="15.75" x14ac:dyDescent="0.25">
      <c r="A153" s="1" t="s">
        <v>578</v>
      </c>
      <c r="B153" t="s">
        <v>394</v>
      </c>
      <c r="C153" s="182" t="s">
        <v>395</v>
      </c>
      <c r="D153" s="182">
        <v>1.131</v>
      </c>
      <c r="E153" s="219">
        <v>1.3420000000000001</v>
      </c>
      <c r="F153" t="s">
        <v>797</v>
      </c>
    </row>
    <row r="154" spans="1:6" ht="15.75" x14ac:dyDescent="0.25">
      <c r="A154" s="1" t="s">
        <v>578</v>
      </c>
      <c r="B154" t="s">
        <v>396</v>
      </c>
      <c r="C154" s="182" t="s">
        <v>397</v>
      </c>
      <c r="D154" s="182">
        <v>1.077</v>
      </c>
      <c r="E154" s="219">
        <v>1.1259999999999999</v>
      </c>
      <c r="F154" t="s">
        <v>798</v>
      </c>
    </row>
    <row r="155" spans="1:6" ht="15.75" x14ac:dyDescent="0.25">
      <c r="A155" s="1" t="s">
        <v>578</v>
      </c>
      <c r="B155" t="s">
        <v>398</v>
      </c>
      <c r="C155" s="182" t="s">
        <v>399</v>
      </c>
      <c r="D155" s="182">
        <v>1.131</v>
      </c>
      <c r="E155" s="219">
        <v>1.3420000000000001</v>
      </c>
      <c r="F155" t="s">
        <v>797</v>
      </c>
    </row>
    <row r="156" spans="1:6" ht="15.75" x14ac:dyDescent="0.25">
      <c r="A156" s="1" t="s">
        <v>578</v>
      </c>
      <c r="B156" t="s">
        <v>400</v>
      </c>
      <c r="C156" s="182" t="s">
        <v>401</v>
      </c>
      <c r="D156" s="182">
        <v>1.131</v>
      </c>
      <c r="E156" s="219">
        <v>1.3420000000000001</v>
      </c>
      <c r="F156" t="s">
        <v>797</v>
      </c>
    </row>
    <row r="157" spans="1:6" ht="15.75" x14ac:dyDescent="0.25">
      <c r="A157" s="1" t="s">
        <v>578</v>
      </c>
      <c r="B157" t="s">
        <v>402</v>
      </c>
      <c r="C157" s="182" t="s">
        <v>403</v>
      </c>
      <c r="D157" s="219">
        <v>1.085</v>
      </c>
      <c r="E157" s="219">
        <v>1.085</v>
      </c>
      <c r="F157" t="s">
        <v>779</v>
      </c>
    </row>
    <row r="158" spans="1:6" ht="15.75" x14ac:dyDescent="0.25">
      <c r="A158" s="1" t="s">
        <v>578</v>
      </c>
      <c r="B158" t="s">
        <v>404</v>
      </c>
      <c r="C158" s="182" t="s">
        <v>405</v>
      </c>
      <c r="D158" s="219">
        <v>1.085</v>
      </c>
      <c r="E158" s="219">
        <v>1.085</v>
      </c>
      <c r="F158" t="s">
        <v>779</v>
      </c>
    </row>
    <row r="159" spans="1:6" ht="15.75" x14ac:dyDescent="0.25">
      <c r="A159" s="1" t="s">
        <v>406</v>
      </c>
      <c r="B159" t="s">
        <v>407</v>
      </c>
      <c r="C159" s="182" t="s">
        <v>408</v>
      </c>
      <c r="D159" s="219">
        <v>1.054</v>
      </c>
      <c r="E159" s="219">
        <v>1.054</v>
      </c>
    </row>
    <row r="160" spans="1:6" ht="15.75" x14ac:dyDescent="0.25">
      <c r="A160" s="1" t="s">
        <v>406</v>
      </c>
      <c r="B160" t="s">
        <v>409</v>
      </c>
      <c r="C160" s="182" t="s">
        <v>410</v>
      </c>
      <c r="D160" s="219">
        <v>1.0549999999999999</v>
      </c>
      <c r="E160" s="219">
        <v>1.0549999999999999</v>
      </c>
    </row>
    <row r="161" spans="1:6" ht="15.75" x14ac:dyDescent="0.25">
      <c r="A161" s="1" t="s">
        <v>187</v>
      </c>
      <c r="B161" t="s">
        <v>257</v>
      </c>
      <c r="C161" s="182" t="str">
        <f>'common foods'!D120</f>
        <v>05107</v>
      </c>
      <c r="D161" s="219">
        <v>1.085</v>
      </c>
      <c r="E161" s="219">
        <v>1.085</v>
      </c>
    </row>
    <row r="162" spans="1:6" x14ac:dyDescent="0.25">
      <c r="A162" t="s">
        <v>623</v>
      </c>
      <c r="B162" s="201" t="str">
        <f>'common foods'!C70</f>
        <v>Pita bread, wholemeal</v>
      </c>
      <c r="C162" s="182" t="s">
        <v>154</v>
      </c>
      <c r="D162" s="182">
        <v>1.224</v>
      </c>
      <c r="E162" s="219">
        <v>1.29</v>
      </c>
    </row>
    <row r="163" spans="1:6" x14ac:dyDescent="0.25">
      <c r="A163" t="s">
        <v>639</v>
      </c>
      <c r="B163" s="196" t="str">
        <f>'common foods'!C19</f>
        <v>Capsicums, fresh</v>
      </c>
      <c r="C163" s="182" t="s">
        <v>51</v>
      </c>
      <c r="D163" s="182">
        <v>1.073</v>
      </c>
      <c r="E163" s="219">
        <v>1.2629999999999999</v>
      </c>
      <c r="F163" t="s">
        <v>778</v>
      </c>
    </row>
    <row r="164" spans="1:6" ht="15.75" x14ac:dyDescent="0.25">
      <c r="A164" s="1" t="s">
        <v>639</v>
      </c>
      <c r="B164" t="str">
        <f>'common foods'!C43</f>
        <v>Spring onion, fresh</v>
      </c>
      <c r="C164" s="182" t="s">
        <v>99</v>
      </c>
      <c r="D164" s="182">
        <v>1.173</v>
      </c>
      <c r="E164" s="219">
        <v>1.407</v>
      </c>
      <c r="F164" t="s">
        <v>799</v>
      </c>
    </row>
    <row r="165" spans="1:6" x14ac:dyDescent="0.25">
      <c r="A165" t="s">
        <v>187</v>
      </c>
      <c r="B165" t="s">
        <v>263</v>
      </c>
      <c r="C165" s="182" t="str">
        <f>'common foods'!D123</f>
        <v>05110</v>
      </c>
      <c r="D165" s="182">
        <v>1.119</v>
      </c>
      <c r="E165" s="219">
        <v>1.19</v>
      </c>
      <c r="F165" t="s">
        <v>777</v>
      </c>
    </row>
    <row r="166" spans="1:6" x14ac:dyDescent="0.25">
      <c r="A166" t="s">
        <v>187</v>
      </c>
      <c r="B166" t="str">
        <f>'common foods'!C119</f>
        <v>Masala vegetarian patty</v>
      </c>
      <c r="C166" s="182" t="str">
        <f>'common foods'!D119</f>
        <v>05106</v>
      </c>
      <c r="D166" s="219">
        <v>1.085</v>
      </c>
      <c r="E166" s="219">
        <v>1.085</v>
      </c>
      <c r="F166" t="s">
        <v>781</v>
      </c>
    </row>
    <row r="167" spans="1:6" x14ac:dyDescent="0.25">
      <c r="A167" t="s">
        <v>623</v>
      </c>
      <c r="B167" s="201" t="str">
        <f>'common foods'!C67</f>
        <v>Mixed grain crackers</v>
      </c>
      <c r="C167" s="182" t="str">
        <f>'common foods'!D67</f>
        <v>03074</v>
      </c>
      <c r="D167" s="219">
        <v>1.085</v>
      </c>
      <c r="E167" s="219">
        <v>1.085</v>
      </c>
    </row>
    <row r="168" spans="1:6" x14ac:dyDescent="0.25">
      <c r="A168" t="s">
        <v>629</v>
      </c>
      <c r="B168" t="str">
        <f>'common foods'!C83</f>
        <v>Soy milk</v>
      </c>
      <c r="C168" s="182" t="str">
        <f>'common foods'!D83</f>
        <v>04068</v>
      </c>
      <c r="D168" s="219">
        <v>1.07</v>
      </c>
      <c r="E168" s="219">
        <v>1.07</v>
      </c>
    </row>
    <row r="169" spans="1:6" x14ac:dyDescent="0.25">
      <c r="A169" t="s">
        <v>187</v>
      </c>
      <c r="B169" t="str">
        <f>'common foods'!C121</f>
        <v>Edamame, frozen</v>
      </c>
      <c r="C169" s="182" t="str">
        <f>'common foods'!D121</f>
        <v>05108</v>
      </c>
      <c r="D169" s="182">
        <v>1.119</v>
      </c>
      <c r="E169" s="219">
        <v>1.19</v>
      </c>
      <c r="F169" t="s">
        <v>777</v>
      </c>
    </row>
    <row r="170" spans="1:6" x14ac:dyDescent="0.25">
      <c r="A170" t="s">
        <v>411</v>
      </c>
      <c r="B170" t="s">
        <v>757</v>
      </c>
      <c r="C170" s="182">
        <v>12001</v>
      </c>
      <c r="D170" s="182">
        <v>1</v>
      </c>
      <c r="E170" s="219">
        <v>1</v>
      </c>
      <c r="F170" t="s">
        <v>800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MK193"/>
  <sheetViews>
    <sheetView topLeftCell="B1" zoomScaleNormal="100" workbookViewId="0">
      <selection activeCell="E105" sqref="E105"/>
    </sheetView>
  </sheetViews>
  <sheetFormatPr defaultRowHeight="15.75" x14ac:dyDescent="0.25"/>
  <cols>
    <col min="1" max="1" width="66" style="1" customWidth="1"/>
    <col min="2" max="2" width="19.85546875" style="2" customWidth="1"/>
    <col min="3" max="3" width="39.42578125" style="26" customWidth="1"/>
    <col min="4" max="4" width="33.140625" style="2" customWidth="1"/>
    <col min="5" max="5" width="14.42578125" style="2" customWidth="1"/>
    <col min="6" max="6" width="20.42578125" style="1" customWidth="1"/>
    <col min="7" max="7" width="26" style="1" customWidth="1"/>
    <col min="8" max="8" width="19.140625" style="1" customWidth="1"/>
    <col min="9" max="1025" width="10.85546875" style="1" customWidth="1"/>
  </cols>
  <sheetData>
    <row r="1" spans="1:6" x14ac:dyDescent="0.25">
      <c r="A1" s="27" t="s">
        <v>0</v>
      </c>
      <c r="B1" s="7" t="s">
        <v>1</v>
      </c>
      <c r="C1" s="28" t="s">
        <v>2</v>
      </c>
      <c r="D1" s="7" t="s">
        <v>3</v>
      </c>
      <c r="E1" s="7" t="s">
        <v>413</v>
      </c>
      <c r="F1" s="7" t="s">
        <v>414</v>
      </c>
    </row>
    <row r="2" spans="1:6" s="9" customFormat="1" x14ac:dyDescent="0.25">
      <c r="A2" s="9" t="s">
        <v>8</v>
      </c>
      <c r="B2" s="10">
        <v>1</v>
      </c>
      <c r="C2" s="29" t="s">
        <v>9</v>
      </c>
      <c r="D2" s="10" t="s">
        <v>10</v>
      </c>
      <c r="E2" s="10">
        <v>88</v>
      </c>
      <c r="F2" s="9">
        <f t="shared" ref="F2:F33" si="0">E2/100</f>
        <v>0.88</v>
      </c>
    </row>
    <row r="3" spans="1:6" x14ac:dyDescent="0.25">
      <c r="A3" s="1" t="s">
        <v>8</v>
      </c>
      <c r="B3" s="2">
        <v>1</v>
      </c>
      <c r="C3" s="26" t="s">
        <v>14</v>
      </c>
      <c r="D3" s="2" t="s">
        <v>15</v>
      </c>
      <c r="E3" s="2">
        <v>61</v>
      </c>
      <c r="F3" s="1">
        <f t="shared" si="0"/>
        <v>0.61</v>
      </c>
    </row>
    <row r="4" spans="1:6" x14ac:dyDescent="0.25">
      <c r="A4" s="1" t="s">
        <v>8</v>
      </c>
      <c r="B4" s="2">
        <v>1</v>
      </c>
      <c r="C4" s="26" t="s">
        <v>16</v>
      </c>
      <c r="D4" s="2" t="s">
        <v>17</v>
      </c>
      <c r="E4" s="2">
        <v>96</v>
      </c>
      <c r="F4" s="1">
        <f t="shared" si="0"/>
        <v>0.96</v>
      </c>
    </row>
    <row r="5" spans="1:6" x14ac:dyDescent="0.25">
      <c r="A5" s="1" t="s">
        <v>8</v>
      </c>
      <c r="B5" s="2">
        <v>1</v>
      </c>
      <c r="C5" s="26" t="s">
        <v>18</v>
      </c>
      <c r="D5" s="2" t="s">
        <v>19</v>
      </c>
      <c r="E5" s="2">
        <v>75</v>
      </c>
      <c r="F5" s="1">
        <f t="shared" si="0"/>
        <v>0.75</v>
      </c>
    </row>
    <row r="6" spans="1:6" x14ac:dyDescent="0.25">
      <c r="A6" s="1" t="s">
        <v>8</v>
      </c>
      <c r="B6" s="2">
        <v>1</v>
      </c>
      <c r="C6" s="26" t="s">
        <v>21</v>
      </c>
      <c r="D6" s="2" t="s">
        <v>22</v>
      </c>
      <c r="E6" s="2">
        <v>72</v>
      </c>
      <c r="F6" s="1">
        <f t="shared" si="0"/>
        <v>0.72</v>
      </c>
    </row>
    <row r="7" spans="1:6" x14ac:dyDescent="0.25">
      <c r="A7" s="1" t="s">
        <v>8</v>
      </c>
      <c r="B7" s="2">
        <v>1</v>
      </c>
      <c r="C7" s="26" t="s">
        <v>23</v>
      </c>
      <c r="D7" s="2" t="s">
        <v>24</v>
      </c>
      <c r="E7" s="2">
        <v>92</v>
      </c>
      <c r="F7" s="1">
        <f t="shared" si="0"/>
        <v>0.92</v>
      </c>
    </row>
    <row r="8" spans="1:6" x14ac:dyDescent="0.25">
      <c r="A8" s="1" t="s">
        <v>8</v>
      </c>
      <c r="B8" s="2">
        <v>1</v>
      </c>
      <c r="C8" s="26" t="s">
        <v>26</v>
      </c>
      <c r="D8" s="2" t="s">
        <v>27</v>
      </c>
      <c r="E8" s="2">
        <v>64</v>
      </c>
      <c r="F8" s="1">
        <f t="shared" si="0"/>
        <v>0.64</v>
      </c>
    </row>
    <row r="9" spans="1:6" x14ac:dyDescent="0.25">
      <c r="A9" s="1" t="s">
        <v>8</v>
      </c>
      <c r="B9" s="2">
        <v>1</v>
      </c>
      <c r="C9" s="26" t="s">
        <v>28</v>
      </c>
      <c r="D9" s="2" t="s">
        <v>29</v>
      </c>
      <c r="E9" s="2">
        <v>88</v>
      </c>
      <c r="F9" s="1">
        <f t="shared" si="0"/>
        <v>0.88</v>
      </c>
    </row>
    <row r="10" spans="1:6" x14ac:dyDescent="0.25">
      <c r="A10" s="1" t="s">
        <v>8</v>
      </c>
      <c r="B10" s="2">
        <v>1</v>
      </c>
      <c r="C10" s="26" t="s">
        <v>415</v>
      </c>
      <c r="D10" s="2" t="s">
        <v>31</v>
      </c>
      <c r="E10" s="2">
        <v>100</v>
      </c>
      <c r="F10" s="1">
        <f t="shared" si="0"/>
        <v>1</v>
      </c>
    </row>
    <row r="11" spans="1:6" x14ac:dyDescent="0.25">
      <c r="A11" s="1" t="s">
        <v>8</v>
      </c>
      <c r="B11" s="2">
        <v>1</v>
      </c>
      <c r="C11" s="26" t="s">
        <v>32</v>
      </c>
      <c r="D11" s="2" t="s">
        <v>33</v>
      </c>
      <c r="E11" s="2">
        <v>60</v>
      </c>
      <c r="F11" s="1">
        <f t="shared" si="0"/>
        <v>0.6</v>
      </c>
    </row>
    <row r="12" spans="1:6" x14ac:dyDescent="0.25">
      <c r="A12" s="1" t="s">
        <v>8</v>
      </c>
      <c r="B12" s="2">
        <v>1</v>
      </c>
      <c r="C12" s="26" t="s">
        <v>34</v>
      </c>
      <c r="D12" s="2" t="s">
        <v>35</v>
      </c>
      <c r="E12" s="2">
        <v>60</v>
      </c>
      <c r="F12" s="1">
        <f t="shared" si="0"/>
        <v>0.6</v>
      </c>
    </row>
    <row r="13" spans="1:6" x14ac:dyDescent="0.25">
      <c r="A13" s="1" t="s">
        <v>8</v>
      </c>
      <c r="B13" s="2">
        <v>1</v>
      </c>
      <c r="C13" s="26" t="s">
        <v>36</v>
      </c>
      <c r="D13" s="2" t="s">
        <v>37</v>
      </c>
      <c r="E13" s="2">
        <v>60</v>
      </c>
      <c r="F13" s="1">
        <f t="shared" si="0"/>
        <v>0.6</v>
      </c>
    </row>
    <row r="14" spans="1:6" x14ac:dyDescent="0.25">
      <c r="A14" s="1" t="s">
        <v>8</v>
      </c>
      <c r="B14" s="2">
        <v>1</v>
      </c>
      <c r="C14" s="26" t="s">
        <v>38</v>
      </c>
      <c r="D14" s="2" t="s">
        <v>39</v>
      </c>
      <c r="E14" s="2">
        <v>60</v>
      </c>
      <c r="F14" s="1">
        <f t="shared" si="0"/>
        <v>0.6</v>
      </c>
    </row>
    <row r="15" spans="1:6" x14ac:dyDescent="0.25">
      <c r="A15" s="1" t="s">
        <v>8</v>
      </c>
      <c r="B15" s="2">
        <v>1</v>
      </c>
      <c r="C15" s="26" t="s">
        <v>41</v>
      </c>
      <c r="D15" s="2" t="s">
        <v>42</v>
      </c>
      <c r="E15" s="2">
        <v>60</v>
      </c>
      <c r="F15" s="1">
        <f t="shared" si="0"/>
        <v>0.6</v>
      </c>
    </row>
    <row r="16" spans="1:6" s="9" customFormat="1" x14ac:dyDescent="0.25">
      <c r="A16" s="9" t="s">
        <v>43</v>
      </c>
      <c r="B16" s="10">
        <v>2</v>
      </c>
      <c r="C16" s="29" t="s">
        <v>44</v>
      </c>
      <c r="D16" s="10" t="s">
        <v>45</v>
      </c>
      <c r="E16" s="10">
        <v>70</v>
      </c>
      <c r="F16" s="9">
        <f t="shared" si="0"/>
        <v>0.7</v>
      </c>
    </row>
    <row r="17" spans="1:6" x14ac:dyDescent="0.25">
      <c r="A17" s="1" t="s">
        <v>43</v>
      </c>
      <c r="B17" s="2">
        <v>2</v>
      </c>
      <c r="C17" s="30" t="s">
        <v>46</v>
      </c>
      <c r="D17" s="31" t="s">
        <v>47</v>
      </c>
      <c r="E17" s="2">
        <v>70</v>
      </c>
      <c r="F17" s="1">
        <f t="shared" si="0"/>
        <v>0.7</v>
      </c>
    </row>
    <row r="18" spans="1:6" x14ac:dyDescent="0.25">
      <c r="A18" s="1" t="s">
        <v>43</v>
      </c>
      <c r="B18" s="2">
        <v>2</v>
      </c>
      <c r="C18" s="30" t="s">
        <v>48</v>
      </c>
      <c r="D18" s="31" t="s">
        <v>49</v>
      </c>
      <c r="E18" s="2">
        <v>75</v>
      </c>
      <c r="F18" s="1">
        <f t="shared" si="0"/>
        <v>0.75</v>
      </c>
    </row>
    <row r="19" spans="1:6" x14ac:dyDescent="0.25">
      <c r="A19" s="1" t="s">
        <v>43</v>
      </c>
      <c r="B19" s="2">
        <v>2</v>
      </c>
      <c r="C19" s="30" t="s">
        <v>50</v>
      </c>
      <c r="D19" s="31" t="s">
        <v>51</v>
      </c>
      <c r="E19" s="2">
        <v>88</v>
      </c>
      <c r="F19" s="1">
        <f t="shared" si="0"/>
        <v>0.88</v>
      </c>
    </row>
    <row r="20" spans="1:6" x14ac:dyDescent="0.25">
      <c r="A20" s="1" t="s">
        <v>43</v>
      </c>
      <c r="B20" s="2">
        <v>2</v>
      </c>
      <c r="C20" s="30" t="s">
        <v>52</v>
      </c>
      <c r="D20" s="31" t="s">
        <v>53</v>
      </c>
      <c r="E20" s="2">
        <v>87</v>
      </c>
      <c r="F20" s="1">
        <f t="shared" si="0"/>
        <v>0.87</v>
      </c>
    </row>
    <row r="21" spans="1:6" x14ac:dyDescent="0.25">
      <c r="A21" s="1" t="s">
        <v>43</v>
      </c>
      <c r="B21" s="2">
        <v>2</v>
      </c>
      <c r="C21" s="30" t="s">
        <v>54</v>
      </c>
      <c r="D21" s="31" t="s">
        <v>55</v>
      </c>
      <c r="E21" s="2">
        <v>54</v>
      </c>
      <c r="F21" s="1">
        <f t="shared" si="0"/>
        <v>0.54</v>
      </c>
    </row>
    <row r="22" spans="1:6" x14ac:dyDescent="0.25">
      <c r="A22" s="1" t="s">
        <v>43</v>
      </c>
      <c r="B22" s="2">
        <v>2</v>
      </c>
      <c r="C22" s="30" t="s">
        <v>56</v>
      </c>
      <c r="D22" s="31" t="s">
        <v>57</v>
      </c>
      <c r="E22" s="2">
        <v>100</v>
      </c>
      <c r="F22" s="1">
        <f t="shared" si="0"/>
        <v>1</v>
      </c>
    </row>
    <row r="23" spans="1:6" x14ac:dyDescent="0.25">
      <c r="A23" s="1" t="s">
        <v>43</v>
      </c>
      <c r="B23" s="2">
        <v>2</v>
      </c>
      <c r="C23" s="30" t="s">
        <v>58</v>
      </c>
      <c r="D23" s="31" t="s">
        <v>59</v>
      </c>
      <c r="E23" s="2">
        <v>90</v>
      </c>
      <c r="F23" s="1">
        <f t="shared" si="0"/>
        <v>0.9</v>
      </c>
    </row>
    <row r="24" spans="1:6" x14ac:dyDescent="0.25">
      <c r="A24" s="1" t="s">
        <v>43</v>
      </c>
      <c r="B24" s="2">
        <v>2</v>
      </c>
      <c r="C24" s="30" t="s">
        <v>60</v>
      </c>
      <c r="D24" s="31" t="s">
        <v>61</v>
      </c>
      <c r="E24" s="2">
        <v>97</v>
      </c>
      <c r="F24" s="1">
        <f t="shared" si="0"/>
        <v>0.97</v>
      </c>
    </row>
    <row r="25" spans="1:6" x14ac:dyDescent="0.25">
      <c r="A25" s="1" t="s">
        <v>43</v>
      </c>
      <c r="B25" s="2">
        <v>2</v>
      </c>
      <c r="C25" s="30" t="s">
        <v>62</v>
      </c>
      <c r="D25" s="31" t="s">
        <v>63</v>
      </c>
      <c r="E25" s="2">
        <v>80</v>
      </c>
      <c r="F25" s="1">
        <f t="shared" si="0"/>
        <v>0.8</v>
      </c>
    </row>
    <row r="26" spans="1:6" x14ac:dyDescent="0.25">
      <c r="A26" s="1" t="s">
        <v>43</v>
      </c>
      <c r="B26" s="2">
        <v>2</v>
      </c>
      <c r="C26" s="30" t="s">
        <v>64</v>
      </c>
      <c r="D26" s="31" t="s">
        <v>65</v>
      </c>
      <c r="E26" s="2">
        <v>100</v>
      </c>
      <c r="F26" s="1">
        <f t="shared" si="0"/>
        <v>1</v>
      </c>
    </row>
    <row r="27" spans="1:6" x14ac:dyDescent="0.25">
      <c r="A27" s="1" t="s">
        <v>43</v>
      </c>
      <c r="B27" s="2">
        <v>2</v>
      </c>
      <c r="C27" s="30" t="s">
        <v>66</v>
      </c>
      <c r="D27" s="31" t="s">
        <v>67</v>
      </c>
      <c r="E27" s="2">
        <v>100</v>
      </c>
      <c r="F27" s="1">
        <f t="shared" si="0"/>
        <v>1</v>
      </c>
    </row>
    <row r="28" spans="1:6" x14ac:dyDescent="0.25">
      <c r="A28" s="1" t="s">
        <v>43</v>
      </c>
      <c r="B28" s="2">
        <v>2</v>
      </c>
      <c r="C28" s="30" t="s">
        <v>68</v>
      </c>
      <c r="D28" s="31" t="s">
        <v>69</v>
      </c>
      <c r="E28" s="2">
        <v>85</v>
      </c>
      <c r="F28" s="1">
        <f t="shared" si="0"/>
        <v>0.85</v>
      </c>
    </row>
    <row r="29" spans="1:6" x14ac:dyDescent="0.25">
      <c r="A29" s="1" t="s">
        <v>43</v>
      </c>
      <c r="B29" s="2">
        <v>2</v>
      </c>
      <c r="C29" s="30" t="s">
        <v>416</v>
      </c>
      <c r="D29" s="31" t="s">
        <v>71</v>
      </c>
      <c r="E29" s="2">
        <v>100</v>
      </c>
      <c r="F29" s="1">
        <f t="shared" si="0"/>
        <v>1</v>
      </c>
    </row>
    <row r="30" spans="1:6" x14ac:dyDescent="0.25">
      <c r="A30" s="1" t="s">
        <v>43</v>
      </c>
      <c r="B30" s="2">
        <v>2</v>
      </c>
      <c r="C30" s="30" t="s">
        <v>72</v>
      </c>
      <c r="D30" s="31" t="s">
        <v>73</v>
      </c>
      <c r="E30" s="2">
        <v>83</v>
      </c>
      <c r="F30" s="1">
        <f t="shared" si="0"/>
        <v>0.83</v>
      </c>
    </row>
    <row r="31" spans="1:6" x14ac:dyDescent="0.25">
      <c r="A31" s="1" t="s">
        <v>43</v>
      </c>
      <c r="B31" s="2">
        <v>2</v>
      </c>
      <c r="C31" s="30" t="s">
        <v>74</v>
      </c>
      <c r="D31" s="31" t="s">
        <v>75</v>
      </c>
      <c r="E31" s="2">
        <v>100</v>
      </c>
      <c r="F31" s="1">
        <f t="shared" si="0"/>
        <v>1</v>
      </c>
    </row>
    <row r="32" spans="1:6" x14ac:dyDescent="0.25">
      <c r="A32" s="1" t="s">
        <v>43</v>
      </c>
      <c r="B32" s="2">
        <v>2</v>
      </c>
      <c r="C32" s="30" t="s">
        <v>417</v>
      </c>
      <c r="D32" s="31" t="s">
        <v>77</v>
      </c>
      <c r="E32" s="2">
        <v>60</v>
      </c>
      <c r="F32" s="1">
        <f t="shared" si="0"/>
        <v>0.6</v>
      </c>
    </row>
    <row r="33" spans="1:26" x14ac:dyDescent="0.25">
      <c r="A33" s="1" t="s">
        <v>43</v>
      </c>
      <c r="B33" s="2">
        <v>2</v>
      </c>
      <c r="C33" s="30" t="s">
        <v>82</v>
      </c>
      <c r="D33" s="31" t="s">
        <v>83</v>
      </c>
      <c r="E33" s="2">
        <v>87</v>
      </c>
      <c r="F33" s="1">
        <f t="shared" si="0"/>
        <v>0.87</v>
      </c>
    </row>
    <row r="34" spans="1:26" x14ac:dyDescent="0.25">
      <c r="A34" s="1" t="s">
        <v>43</v>
      </c>
      <c r="B34" s="2">
        <v>2</v>
      </c>
      <c r="C34" s="30" t="s">
        <v>84</v>
      </c>
      <c r="D34" s="31" t="s">
        <v>85</v>
      </c>
      <c r="E34" s="2">
        <v>90</v>
      </c>
      <c r="F34" s="1">
        <f t="shared" ref="F34:F65" si="1">E34/100</f>
        <v>0.9</v>
      </c>
    </row>
    <row r="35" spans="1:26" x14ac:dyDescent="0.25">
      <c r="A35" s="1" t="s">
        <v>43</v>
      </c>
      <c r="B35" s="2">
        <v>2</v>
      </c>
      <c r="C35" s="30" t="s">
        <v>86</v>
      </c>
      <c r="D35" s="31" t="s">
        <v>87</v>
      </c>
      <c r="E35" s="2">
        <v>72</v>
      </c>
      <c r="F35" s="1">
        <f t="shared" si="1"/>
        <v>0.72</v>
      </c>
    </row>
    <row r="36" spans="1:26" s="13" customFormat="1" x14ac:dyDescent="0.25">
      <c r="A36" s="13" t="s">
        <v>43</v>
      </c>
      <c r="B36" s="14">
        <v>2</v>
      </c>
      <c r="C36" s="32" t="s">
        <v>88</v>
      </c>
      <c r="D36" s="14" t="s">
        <v>89</v>
      </c>
      <c r="E36" s="33">
        <v>100</v>
      </c>
      <c r="F36" s="1">
        <f t="shared" si="1"/>
        <v>1</v>
      </c>
    </row>
    <row r="37" spans="1:26" s="13" customFormat="1" x14ac:dyDescent="0.25">
      <c r="A37" s="13" t="s">
        <v>43</v>
      </c>
      <c r="B37" s="14">
        <v>2</v>
      </c>
      <c r="C37" s="32" t="s">
        <v>418</v>
      </c>
      <c r="D37" s="14" t="s">
        <v>91</v>
      </c>
      <c r="E37" s="33">
        <v>95</v>
      </c>
      <c r="F37" s="1">
        <f t="shared" si="1"/>
        <v>0.95</v>
      </c>
    </row>
    <row r="38" spans="1:26" s="13" customFormat="1" x14ac:dyDescent="0.25">
      <c r="A38" s="13" t="s">
        <v>43</v>
      </c>
      <c r="B38" s="14">
        <v>2</v>
      </c>
      <c r="C38" s="32" t="s">
        <v>92</v>
      </c>
      <c r="D38" s="14" t="s">
        <v>93</v>
      </c>
      <c r="E38" s="33">
        <v>85</v>
      </c>
      <c r="F38" s="1">
        <f t="shared" si="1"/>
        <v>0.85</v>
      </c>
    </row>
    <row r="39" spans="1:26" s="13" customFormat="1" x14ac:dyDescent="0.25">
      <c r="A39" s="13" t="s">
        <v>43</v>
      </c>
      <c r="B39" s="14">
        <v>2</v>
      </c>
      <c r="C39" s="32" t="s">
        <v>78</v>
      </c>
      <c r="D39" s="14" t="s">
        <v>79</v>
      </c>
      <c r="E39" s="33">
        <v>85</v>
      </c>
      <c r="F39" s="1">
        <f t="shared" si="1"/>
        <v>0.85</v>
      </c>
    </row>
    <row r="40" spans="1:26" x14ac:dyDescent="0.25">
      <c r="A40" s="1" t="s">
        <v>43</v>
      </c>
      <c r="B40" s="2">
        <v>2</v>
      </c>
      <c r="C40" s="26" t="s">
        <v>80</v>
      </c>
      <c r="D40" s="2" t="s">
        <v>81</v>
      </c>
      <c r="E40" s="2">
        <v>60</v>
      </c>
      <c r="F40" s="1">
        <f t="shared" si="1"/>
        <v>0.6</v>
      </c>
    </row>
    <row r="41" spans="1:26" s="13" customFormat="1" x14ac:dyDescent="0.25">
      <c r="A41" s="13" t="s">
        <v>43</v>
      </c>
      <c r="B41" s="14">
        <v>2</v>
      </c>
      <c r="C41" s="32" t="s">
        <v>94</v>
      </c>
      <c r="D41" s="14" t="s">
        <v>95</v>
      </c>
      <c r="E41" s="33">
        <v>60</v>
      </c>
      <c r="F41" s="1">
        <f t="shared" si="1"/>
        <v>0.6</v>
      </c>
    </row>
    <row r="42" spans="1:26" x14ac:dyDescent="0.25">
      <c r="A42" s="1" t="s">
        <v>43</v>
      </c>
      <c r="B42" s="2">
        <v>2</v>
      </c>
      <c r="C42" s="26" t="s">
        <v>96</v>
      </c>
      <c r="D42" s="31" t="s">
        <v>97</v>
      </c>
      <c r="E42" s="2">
        <v>100</v>
      </c>
      <c r="F42" s="1">
        <f t="shared" si="1"/>
        <v>1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85</v>
      </c>
      <c r="F43" s="34">
        <f t="shared" si="1"/>
        <v>0.85</v>
      </c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100</v>
      </c>
      <c r="F44" s="34">
        <f t="shared" si="1"/>
        <v>1</v>
      </c>
      <c r="G44" s="17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100</v>
      </c>
      <c r="F45" s="34">
        <f t="shared" si="1"/>
        <v>1</v>
      </c>
      <c r="G45" s="17"/>
      <c r="H45" s="1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100</v>
      </c>
      <c r="F46" s="34">
        <f t="shared" si="1"/>
        <v>1</v>
      </c>
      <c r="G46" s="17"/>
      <c r="H46" s="1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29" t="s">
        <v>107</v>
      </c>
      <c r="D47" s="11" t="s">
        <v>108</v>
      </c>
      <c r="E47" s="10">
        <v>100</v>
      </c>
      <c r="F47" s="9">
        <f t="shared" si="1"/>
        <v>1</v>
      </c>
    </row>
    <row r="48" spans="1:26" x14ac:dyDescent="0.25">
      <c r="A48" s="1" t="s">
        <v>106</v>
      </c>
      <c r="B48" s="2">
        <v>3</v>
      </c>
      <c r="C48" s="26" t="s">
        <v>109</v>
      </c>
      <c r="D48" s="31" t="s">
        <v>110</v>
      </c>
      <c r="E48" s="2">
        <v>100</v>
      </c>
      <c r="F48" s="1">
        <f t="shared" si="1"/>
        <v>1</v>
      </c>
    </row>
    <row r="49" spans="1:6" x14ac:dyDescent="0.25">
      <c r="A49" s="1" t="s">
        <v>106</v>
      </c>
      <c r="B49" s="2">
        <v>3</v>
      </c>
      <c r="C49" s="26" t="s">
        <v>419</v>
      </c>
      <c r="D49" s="31" t="s">
        <v>112</v>
      </c>
      <c r="E49" s="2">
        <v>100</v>
      </c>
      <c r="F49" s="1">
        <f t="shared" si="1"/>
        <v>1</v>
      </c>
    </row>
    <row r="50" spans="1:6" x14ac:dyDescent="0.25">
      <c r="A50" s="1" t="s">
        <v>106</v>
      </c>
      <c r="B50" s="2">
        <v>3</v>
      </c>
      <c r="C50" s="26" t="s">
        <v>113</v>
      </c>
      <c r="D50" s="31" t="s">
        <v>114</v>
      </c>
      <c r="E50" s="2">
        <v>100</v>
      </c>
      <c r="F50" s="1">
        <f t="shared" si="1"/>
        <v>1</v>
      </c>
    </row>
    <row r="51" spans="1:6" x14ac:dyDescent="0.25">
      <c r="A51" s="1" t="s">
        <v>106</v>
      </c>
      <c r="B51" s="2">
        <v>3</v>
      </c>
      <c r="C51" s="30" t="s">
        <v>115</v>
      </c>
      <c r="D51" s="31" t="s">
        <v>116</v>
      </c>
      <c r="E51" s="2">
        <v>100</v>
      </c>
      <c r="F51" s="1">
        <f t="shared" si="1"/>
        <v>1</v>
      </c>
    </row>
    <row r="52" spans="1:6" x14ac:dyDescent="0.25">
      <c r="A52" s="1" t="s">
        <v>106</v>
      </c>
      <c r="B52" s="2">
        <v>3</v>
      </c>
      <c r="C52" s="26" t="s">
        <v>117</v>
      </c>
      <c r="D52" s="31" t="s">
        <v>118</v>
      </c>
      <c r="E52" s="2">
        <v>100</v>
      </c>
      <c r="F52" s="1">
        <f t="shared" si="1"/>
        <v>1</v>
      </c>
    </row>
    <row r="53" spans="1:6" x14ac:dyDescent="0.25">
      <c r="A53" s="1" t="s">
        <v>106</v>
      </c>
      <c r="B53" s="2">
        <v>3</v>
      </c>
      <c r="C53" s="26" t="s">
        <v>119</v>
      </c>
      <c r="D53" s="31" t="s">
        <v>120</v>
      </c>
      <c r="E53" s="2">
        <v>100</v>
      </c>
      <c r="F53" s="1">
        <f t="shared" si="1"/>
        <v>1</v>
      </c>
    </row>
    <row r="54" spans="1:6" x14ac:dyDescent="0.25">
      <c r="A54" s="1" t="s">
        <v>106</v>
      </c>
      <c r="B54" s="2">
        <v>3</v>
      </c>
      <c r="C54" s="26" t="s">
        <v>121</v>
      </c>
      <c r="D54" s="31" t="s">
        <v>122</v>
      </c>
      <c r="E54" s="2">
        <v>100</v>
      </c>
      <c r="F54" s="1">
        <f t="shared" si="1"/>
        <v>1</v>
      </c>
    </row>
    <row r="55" spans="1:6" x14ac:dyDescent="0.25">
      <c r="A55" s="1" t="s">
        <v>106</v>
      </c>
      <c r="B55" s="2">
        <v>3</v>
      </c>
      <c r="C55" s="26" t="s">
        <v>123</v>
      </c>
      <c r="D55" s="31" t="s">
        <v>124</v>
      </c>
      <c r="E55" s="2">
        <v>478</v>
      </c>
      <c r="F55" s="1">
        <f t="shared" si="1"/>
        <v>4.78</v>
      </c>
    </row>
    <row r="56" spans="1:6" x14ac:dyDescent="0.25">
      <c r="A56" s="1" t="s">
        <v>106</v>
      </c>
      <c r="B56" s="2">
        <v>3</v>
      </c>
      <c r="C56" s="30" t="s">
        <v>125</v>
      </c>
      <c r="D56" s="31" t="s">
        <v>126</v>
      </c>
      <c r="E56" s="2">
        <v>240</v>
      </c>
      <c r="F56" s="1">
        <f t="shared" si="1"/>
        <v>2.4</v>
      </c>
    </row>
    <row r="57" spans="1:6" x14ac:dyDescent="0.25">
      <c r="A57" s="1" t="s">
        <v>106</v>
      </c>
      <c r="B57" s="2">
        <v>3</v>
      </c>
      <c r="C57" s="30" t="s">
        <v>127</v>
      </c>
      <c r="D57" s="31" t="s">
        <v>128</v>
      </c>
      <c r="E57" s="2">
        <v>240</v>
      </c>
      <c r="F57" s="1">
        <f t="shared" si="1"/>
        <v>2.4</v>
      </c>
    </row>
    <row r="58" spans="1:6" x14ac:dyDescent="0.25">
      <c r="A58" s="1" t="s">
        <v>106</v>
      </c>
      <c r="B58" s="2">
        <v>3</v>
      </c>
      <c r="C58" s="26" t="s">
        <v>131</v>
      </c>
      <c r="D58" s="31" t="s">
        <v>132</v>
      </c>
      <c r="E58" s="2">
        <v>240</v>
      </c>
      <c r="F58" s="1">
        <f t="shared" si="1"/>
        <v>2.4</v>
      </c>
    </row>
    <row r="59" spans="1:6" x14ac:dyDescent="0.25">
      <c r="A59" s="1" t="s">
        <v>106</v>
      </c>
      <c r="B59" s="2">
        <v>3</v>
      </c>
      <c r="C59" s="30" t="s">
        <v>133</v>
      </c>
      <c r="D59" s="31" t="s">
        <v>134</v>
      </c>
      <c r="E59" s="2">
        <v>240</v>
      </c>
      <c r="F59" s="1">
        <f t="shared" si="1"/>
        <v>2.4</v>
      </c>
    </row>
    <row r="60" spans="1:6" x14ac:dyDescent="0.25">
      <c r="A60" s="1" t="s">
        <v>106</v>
      </c>
      <c r="B60" s="2">
        <v>3</v>
      </c>
      <c r="C60" s="26" t="s">
        <v>135</v>
      </c>
      <c r="D60" s="31" t="s">
        <v>136</v>
      </c>
      <c r="E60" s="2">
        <v>100</v>
      </c>
      <c r="F60" s="1">
        <f t="shared" si="1"/>
        <v>1</v>
      </c>
    </row>
    <row r="61" spans="1:6" s="13" customFormat="1" x14ac:dyDescent="0.25">
      <c r="A61" s="13" t="s">
        <v>106</v>
      </c>
      <c r="B61" s="14">
        <v>3</v>
      </c>
      <c r="C61" s="35" t="s">
        <v>420</v>
      </c>
      <c r="D61" s="14" t="s">
        <v>138</v>
      </c>
      <c r="E61" s="33">
        <v>100</v>
      </c>
      <c r="F61" s="1">
        <f t="shared" si="1"/>
        <v>1</v>
      </c>
    </row>
    <row r="62" spans="1:6" s="13" customFormat="1" x14ac:dyDescent="0.25">
      <c r="A62" s="13" t="s">
        <v>106</v>
      </c>
      <c r="B62" s="14">
        <v>3</v>
      </c>
      <c r="C62" s="35" t="s">
        <v>139</v>
      </c>
      <c r="D62" s="14" t="s">
        <v>140</v>
      </c>
      <c r="E62" s="33">
        <v>540</v>
      </c>
      <c r="F62" s="1">
        <f t="shared" si="1"/>
        <v>5.4</v>
      </c>
    </row>
    <row r="63" spans="1:6" s="13" customFormat="1" x14ac:dyDescent="0.25">
      <c r="A63" s="13" t="s">
        <v>106</v>
      </c>
      <c r="B63" s="14">
        <v>3</v>
      </c>
      <c r="C63" s="35" t="s">
        <v>141</v>
      </c>
      <c r="D63" s="14" t="s">
        <v>142</v>
      </c>
      <c r="E63" s="14">
        <v>100</v>
      </c>
      <c r="F63" s="1">
        <f t="shared" si="1"/>
        <v>1</v>
      </c>
    </row>
    <row r="64" spans="1:6" s="13" customFormat="1" x14ac:dyDescent="0.25">
      <c r="A64" s="13" t="s">
        <v>106</v>
      </c>
      <c r="B64" s="14">
        <v>3</v>
      </c>
      <c r="C64" s="35" t="s">
        <v>143</v>
      </c>
      <c r="D64" s="14" t="s">
        <v>144</v>
      </c>
      <c r="E64" s="14">
        <v>100</v>
      </c>
      <c r="F64" s="1">
        <f t="shared" si="1"/>
        <v>1</v>
      </c>
    </row>
    <row r="65" spans="1:26" s="18" customFormat="1" ht="15.75" customHeight="1" x14ac:dyDescent="0.25">
      <c r="A65" s="16" t="s">
        <v>106</v>
      </c>
      <c r="B65" s="17">
        <v>3</v>
      </c>
      <c r="C65" s="16" t="s">
        <v>145</v>
      </c>
      <c r="D65" s="17" t="s">
        <v>323</v>
      </c>
      <c r="E65" s="17">
        <v>100</v>
      </c>
      <c r="F65" s="34">
        <f t="shared" si="1"/>
        <v>1</v>
      </c>
      <c r="G65" s="17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s="18" customFormat="1" ht="15.75" customHeight="1" x14ac:dyDescent="0.25">
      <c r="A66" s="16" t="s">
        <v>106</v>
      </c>
      <c r="B66" s="17">
        <v>3</v>
      </c>
      <c r="C66" s="16" t="s">
        <v>147</v>
      </c>
      <c r="D66" s="17" t="s">
        <v>325</v>
      </c>
      <c r="E66" s="17">
        <v>100</v>
      </c>
      <c r="F66" s="34">
        <f t="shared" ref="F66:F79" si="2">E66/100</f>
        <v>1</v>
      </c>
      <c r="G66" s="17"/>
      <c r="H66" s="1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149</v>
      </c>
      <c r="D67" s="17" t="s">
        <v>150</v>
      </c>
      <c r="E67" s="17">
        <v>100</v>
      </c>
      <c r="F67" s="34">
        <f t="shared" si="2"/>
        <v>1</v>
      </c>
      <c r="G67" s="17"/>
      <c r="H67" s="1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151</v>
      </c>
      <c r="D68" s="17" t="s">
        <v>152</v>
      </c>
      <c r="E68" s="17">
        <v>100</v>
      </c>
      <c r="F68" s="34">
        <f t="shared" si="2"/>
        <v>1</v>
      </c>
      <c r="G68" s="17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153</v>
      </c>
      <c r="D69" s="17" t="s">
        <v>154</v>
      </c>
      <c r="E69" s="17">
        <v>100</v>
      </c>
      <c r="F69" s="34">
        <f t="shared" si="2"/>
        <v>1</v>
      </c>
      <c r="G69" s="17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155</v>
      </c>
      <c r="D70" s="17" t="s">
        <v>156</v>
      </c>
      <c r="E70" s="17">
        <v>240</v>
      </c>
      <c r="F70" s="34">
        <f t="shared" si="2"/>
        <v>2.4</v>
      </c>
      <c r="G70" s="17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9" customFormat="1" x14ac:dyDescent="0.25">
      <c r="A71" s="9" t="s">
        <v>157</v>
      </c>
      <c r="B71" s="10">
        <v>4</v>
      </c>
      <c r="C71" s="29" t="s">
        <v>421</v>
      </c>
      <c r="D71" s="11" t="s">
        <v>159</v>
      </c>
      <c r="E71" s="10">
        <v>100</v>
      </c>
      <c r="F71" s="9">
        <f t="shared" si="2"/>
        <v>1</v>
      </c>
    </row>
    <row r="72" spans="1:26" x14ac:dyDescent="0.25">
      <c r="A72" s="21" t="s">
        <v>157</v>
      </c>
      <c r="B72" s="2">
        <v>4</v>
      </c>
      <c r="C72" s="26" t="s">
        <v>160</v>
      </c>
      <c r="D72" s="31" t="s">
        <v>161</v>
      </c>
      <c r="E72" s="2">
        <v>100</v>
      </c>
      <c r="F72" s="1">
        <f t="shared" si="2"/>
        <v>1</v>
      </c>
    </row>
    <row r="73" spans="1:26" x14ac:dyDescent="0.25">
      <c r="A73" s="21" t="s">
        <v>157</v>
      </c>
      <c r="B73" s="2">
        <v>4</v>
      </c>
      <c r="C73" s="26" t="s">
        <v>162</v>
      </c>
      <c r="D73" s="31" t="s">
        <v>163</v>
      </c>
      <c r="E73" s="2">
        <v>100</v>
      </c>
      <c r="F73" s="1">
        <f t="shared" si="2"/>
        <v>1</v>
      </c>
    </row>
    <row r="74" spans="1:26" x14ac:dyDescent="0.25">
      <c r="A74" s="21" t="s">
        <v>157</v>
      </c>
      <c r="B74" s="2">
        <v>4</v>
      </c>
      <c r="C74" s="26" t="s">
        <v>165</v>
      </c>
      <c r="D74" s="31" t="s">
        <v>166</v>
      </c>
      <c r="E74" s="2">
        <v>100</v>
      </c>
      <c r="F74" s="1">
        <f t="shared" si="2"/>
        <v>1</v>
      </c>
    </row>
    <row r="75" spans="1:26" x14ac:dyDescent="0.25">
      <c r="A75" s="21" t="s">
        <v>157</v>
      </c>
      <c r="B75" s="2">
        <v>4</v>
      </c>
      <c r="C75" s="26" t="s">
        <v>167</v>
      </c>
      <c r="D75" s="31" t="s">
        <v>168</v>
      </c>
      <c r="E75" s="2">
        <v>100</v>
      </c>
      <c r="F75" s="1">
        <f t="shared" si="2"/>
        <v>1</v>
      </c>
    </row>
    <row r="76" spans="1:26" x14ac:dyDescent="0.25">
      <c r="A76" s="21" t="s">
        <v>157</v>
      </c>
      <c r="B76" s="2">
        <v>4</v>
      </c>
      <c r="C76" s="26" t="s">
        <v>169</v>
      </c>
      <c r="D76" s="31" t="s">
        <v>170</v>
      </c>
      <c r="E76" s="2">
        <v>100</v>
      </c>
      <c r="F76" s="1">
        <f t="shared" si="2"/>
        <v>1</v>
      </c>
    </row>
    <row r="77" spans="1:26" x14ac:dyDescent="0.25">
      <c r="A77" s="21" t="s">
        <v>157</v>
      </c>
      <c r="B77" s="2">
        <v>4</v>
      </c>
      <c r="C77" s="30" t="s">
        <v>171</v>
      </c>
      <c r="D77" s="31" t="s">
        <v>172</v>
      </c>
      <c r="E77" s="2">
        <v>100</v>
      </c>
      <c r="F77" s="1">
        <f t="shared" si="2"/>
        <v>1</v>
      </c>
    </row>
    <row r="78" spans="1:26" x14ac:dyDescent="0.25">
      <c r="A78" s="21" t="s">
        <v>157</v>
      </c>
      <c r="B78" s="2">
        <v>4</v>
      </c>
      <c r="C78" s="26" t="s">
        <v>422</v>
      </c>
      <c r="D78" s="2" t="s">
        <v>174</v>
      </c>
      <c r="E78" s="31">
        <v>100</v>
      </c>
      <c r="F78" s="1">
        <f t="shared" si="2"/>
        <v>1</v>
      </c>
    </row>
    <row r="79" spans="1:26" s="18" customFormat="1" ht="15.75" customHeight="1" x14ac:dyDescent="0.25">
      <c r="A79" s="16" t="s">
        <v>157</v>
      </c>
      <c r="B79" s="17">
        <v>4</v>
      </c>
      <c r="C79" s="16" t="s">
        <v>175</v>
      </c>
      <c r="D79" s="17" t="s">
        <v>176</v>
      </c>
      <c r="E79" s="17">
        <v>100</v>
      </c>
      <c r="F79" s="34">
        <f t="shared" si="2"/>
        <v>1</v>
      </c>
      <c r="G79" s="17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s="18" customFormat="1" ht="15.75" customHeight="1" x14ac:dyDescent="0.25">
      <c r="A80" s="16" t="s">
        <v>157</v>
      </c>
      <c r="B80" s="17">
        <v>4</v>
      </c>
      <c r="C80" s="16" t="s">
        <v>177</v>
      </c>
      <c r="D80" s="17" t="s">
        <v>178</v>
      </c>
      <c r="E80" s="17">
        <v>100</v>
      </c>
      <c r="F80" s="34">
        <v>1</v>
      </c>
      <c r="G80" s="17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157</v>
      </c>
      <c r="B81" s="17">
        <v>4</v>
      </c>
      <c r="C81" s="16" t="s">
        <v>179</v>
      </c>
      <c r="D81" s="17" t="s">
        <v>180</v>
      </c>
      <c r="E81" s="17">
        <v>100</v>
      </c>
      <c r="F81" s="34">
        <v>1</v>
      </c>
      <c r="G81" s="17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157</v>
      </c>
      <c r="B82" s="17">
        <v>4</v>
      </c>
      <c r="C82" s="16" t="s">
        <v>181</v>
      </c>
      <c r="D82" s="17" t="s">
        <v>182</v>
      </c>
      <c r="E82" s="17">
        <v>100</v>
      </c>
      <c r="F82" s="34">
        <v>1</v>
      </c>
      <c r="G82" s="17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157</v>
      </c>
      <c r="B83" s="17">
        <v>4</v>
      </c>
      <c r="C83" s="16" t="s">
        <v>183</v>
      </c>
      <c r="D83" s="17" t="s">
        <v>184</v>
      </c>
      <c r="E83" s="17">
        <v>100</v>
      </c>
      <c r="F83" s="34">
        <v>1</v>
      </c>
      <c r="G83" s="17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6" t="s">
        <v>157</v>
      </c>
      <c r="B84" s="17">
        <v>4</v>
      </c>
      <c r="C84" s="16" t="s">
        <v>185</v>
      </c>
      <c r="D84" s="17" t="s">
        <v>186</v>
      </c>
      <c r="E84" s="17">
        <v>100</v>
      </c>
      <c r="F84" s="34">
        <v>1</v>
      </c>
      <c r="G84" s="17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9" customFormat="1" x14ac:dyDescent="0.25">
      <c r="A85" s="9" t="s">
        <v>187</v>
      </c>
      <c r="B85" s="10">
        <v>5</v>
      </c>
      <c r="C85" s="29" t="s">
        <v>188</v>
      </c>
      <c r="D85" s="10" t="s">
        <v>189</v>
      </c>
      <c r="E85" s="10">
        <v>85</v>
      </c>
      <c r="F85" s="9">
        <f t="shared" ref="F85:F114" si="3">E85/100</f>
        <v>0.85</v>
      </c>
    </row>
    <row r="86" spans="1:26" x14ac:dyDescent="0.25">
      <c r="A86" s="1" t="s">
        <v>187</v>
      </c>
      <c r="B86" s="2">
        <v>5</v>
      </c>
      <c r="C86" s="26" t="s">
        <v>190</v>
      </c>
      <c r="D86" s="2" t="s">
        <v>191</v>
      </c>
      <c r="E86" s="2">
        <v>61</v>
      </c>
      <c r="F86" s="1">
        <f t="shared" si="3"/>
        <v>0.61</v>
      </c>
    </row>
    <row r="87" spans="1:26" x14ac:dyDescent="0.25">
      <c r="A87" s="1" t="s">
        <v>187</v>
      </c>
      <c r="B87" s="2">
        <v>5</v>
      </c>
      <c r="C87" s="26" t="s">
        <v>192</v>
      </c>
      <c r="D87" s="2" t="s">
        <v>193</v>
      </c>
      <c r="E87" s="2">
        <v>71</v>
      </c>
      <c r="F87" s="1">
        <f t="shared" si="3"/>
        <v>0.71</v>
      </c>
    </row>
    <row r="88" spans="1:26" x14ac:dyDescent="0.25">
      <c r="A88" s="1" t="s">
        <v>187</v>
      </c>
      <c r="B88" s="2">
        <v>5</v>
      </c>
      <c r="C88" s="26" t="s">
        <v>194</v>
      </c>
      <c r="D88" s="2" t="s">
        <v>195</v>
      </c>
      <c r="E88" s="2">
        <v>71</v>
      </c>
      <c r="F88" s="1">
        <f t="shared" si="3"/>
        <v>0.71</v>
      </c>
    </row>
    <row r="89" spans="1:26" x14ac:dyDescent="0.25">
      <c r="A89" s="1" t="s">
        <v>187</v>
      </c>
      <c r="B89" s="2">
        <v>5</v>
      </c>
      <c r="C89" s="30" t="s">
        <v>196</v>
      </c>
      <c r="D89" s="2" t="s">
        <v>197</v>
      </c>
      <c r="E89" s="2">
        <v>85</v>
      </c>
      <c r="F89" s="1">
        <f t="shared" si="3"/>
        <v>0.85</v>
      </c>
    </row>
    <row r="90" spans="1:26" x14ac:dyDescent="0.25">
      <c r="A90" s="1" t="s">
        <v>187</v>
      </c>
      <c r="B90" s="2">
        <v>5</v>
      </c>
      <c r="C90" s="26" t="s">
        <v>202</v>
      </c>
      <c r="D90" s="2" t="s">
        <v>203</v>
      </c>
      <c r="E90" s="2">
        <v>75</v>
      </c>
      <c r="F90" s="1">
        <f t="shared" si="3"/>
        <v>0.75</v>
      </c>
    </row>
    <row r="91" spans="1:26" x14ac:dyDescent="0.25">
      <c r="A91" s="1" t="s">
        <v>187</v>
      </c>
      <c r="B91" s="2">
        <v>5</v>
      </c>
      <c r="C91" s="26" t="s">
        <v>423</v>
      </c>
      <c r="D91" s="2" t="s">
        <v>205</v>
      </c>
      <c r="E91" s="2">
        <v>60</v>
      </c>
      <c r="F91" s="1">
        <f t="shared" si="3"/>
        <v>0.6</v>
      </c>
    </row>
    <row r="92" spans="1:26" x14ac:dyDescent="0.25">
      <c r="A92" s="1" t="s">
        <v>187</v>
      </c>
      <c r="B92" s="2">
        <v>5</v>
      </c>
      <c r="C92" s="26" t="s">
        <v>206</v>
      </c>
      <c r="D92" s="2" t="s">
        <v>207</v>
      </c>
      <c r="E92" s="2">
        <v>66</v>
      </c>
      <c r="F92" s="1">
        <f t="shared" si="3"/>
        <v>0.66</v>
      </c>
    </row>
    <row r="93" spans="1:26" x14ac:dyDescent="0.25">
      <c r="A93" s="1" t="s">
        <v>187</v>
      </c>
      <c r="B93" s="2">
        <v>5</v>
      </c>
      <c r="C93" s="26" t="s">
        <v>208</v>
      </c>
      <c r="D93" s="2" t="s">
        <v>209</v>
      </c>
      <c r="E93" s="2">
        <v>48</v>
      </c>
      <c r="F93" s="1">
        <f t="shared" si="3"/>
        <v>0.48</v>
      </c>
    </row>
    <row r="94" spans="1:26" x14ac:dyDescent="0.25">
      <c r="A94" s="1" t="s">
        <v>187</v>
      </c>
      <c r="B94" s="2">
        <v>5</v>
      </c>
      <c r="C94" s="26" t="s">
        <v>210</v>
      </c>
      <c r="D94" s="2" t="s">
        <v>211</v>
      </c>
      <c r="E94" s="2">
        <v>60</v>
      </c>
      <c r="F94" s="1">
        <f t="shared" si="3"/>
        <v>0.6</v>
      </c>
    </row>
    <row r="95" spans="1:26" x14ac:dyDescent="0.25">
      <c r="A95" s="1" t="s">
        <v>187</v>
      </c>
      <c r="B95" s="2">
        <v>5</v>
      </c>
      <c r="C95" s="26" t="s">
        <v>214</v>
      </c>
      <c r="D95" s="2" t="s">
        <v>215</v>
      </c>
      <c r="E95" s="2">
        <v>66</v>
      </c>
      <c r="F95" s="1">
        <f t="shared" si="3"/>
        <v>0.66</v>
      </c>
    </row>
    <row r="96" spans="1:26" x14ac:dyDescent="0.25">
      <c r="A96" s="1" t="s">
        <v>187</v>
      </c>
      <c r="B96" s="2">
        <v>5</v>
      </c>
      <c r="C96" s="26" t="s">
        <v>220</v>
      </c>
      <c r="D96" s="2" t="s">
        <v>221</v>
      </c>
      <c r="E96" s="2">
        <v>85</v>
      </c>
      <c r="F96" s="1">
        <f t="shared" si="3"/>
        <v>0.85</v>
      </c>
    </row>
    <row r="97" spans="1:6" x14ac:dyDescent="0.25">
      <c r="A97" s="1" t="s">
        <v>187</v>
      </c>
      <c r="B97" s="2">
        <v>5</v>
      </c>
      <c r="C97" s="26" t="s">
        <v>241</v>
      </c>
      <c r="D97" s="2" t="s">
        <v>242</v>
      </c>
      <c r="E97" s="2">
        <v>73</v>
      </c>
      <c r="F97" s="1">
        <f t="shared" si="3"/>
        <v>0.73</v>
      </c>
    </row>
    <row r="98" spans="1:6" x14ac:dyDescent="0.25">
      <c r="A98" s="1" t="s">
        <v>187</v>
      </c>
      <c r="B98" s="2">
        <v>5</v>
      </c>
      <c r="C98" s="30" t="s">
        <v>222</v>
      </c>
      <c r="D98" s="2" t="s">
        <v>223</v>
      </c>
      <c r="E98" s="2">
        <v>95</v>
      </c>
      <c r="F98" s="1">
        <f t="shared" si="3"/>
        <v>0.95</v>
      </c>
    </row>
    <row r="99" spans="1:6" x14ac:dyDescent="0.25">
      <c r="A99" s="1" t="s">
        <v>187</v>
      </c>
      <c r="B99" s="2">
        <v>5</v>
      </c>
      <c r="C99" s="26" t="s">
        <v>235</v>
      </c>
      <c r="D99" s="2" t="s">
        <v>236</v>
      </c>
      <c r="E99" s="2">
        <v>100</v>
      </c>
      <c r="F99" s="1">
        <f t="shared" si="3"/>
        <v>1</v>
      </c>
    </row>
    <row r="100" spans="1:6" x14ac:dyDescent="0.25">
      <c r="A100" s="1" t="s">
        <v>187</v>
      </c>
      <c r="B100" s="2">
        <v>5</v>
      </c>
      <c r="C100" s="26" t="s">
        <v>233</v>
      </c>
      <c r="D100" s="2" t="s">
        <v>234</v>
      </c>
      <c r="E100" s="2">
        <v>100</v>
      </c>
      <c r="F100" s="1">
        <f t="shared" si="3"/>
        <v>1</v>
      </c>
    </row>
    <row r="101" spans="1:6" x14ac:dyDescent="0.25">
      <c r="A101" s="1" t="s">
        <v>187</v>
      </c>
      <c r="B101" s="2">
        <v>5</v>
      </c>
      <c r="C101" s="26" t="s">
        <v>239</v>
      </c>
      <c r="D101" s="2" t="s">
        <v>240</v>
      </c>
      <c r="E101" s="2">
        <v>60</v>
      </c>
      <c r="F101" s="1">
        <f t="shared" si="3"/>
        <v>0.6</v>
      </c>
    </row>
    <row r="102" spans="1:6" x14ac:dyDescent="0.25">
      <c r="A102" s="1" t="s">
        <v>187</v>
      </c>
      <c r="B102" s="2">
        <v>5</v>
      </c>
      <c r="C102" s="26" t="s">
        <v>224</v>
      </c>
      <c r="D102" s="2" t="s">
        <v>225</v>
      </c>
      <c r="E102" s="2">
        <v>100</v>
      </c>
      <c r="F102" s="1">
        <f t="shared" si="3"/>
        <v>1</v>
      </c>
    </row>
    <row r="103" spans="1:6" x14ac:dyDescent="0.25">
      <c r="A103" s="1" t="s">
        <v>187</v>
      </c>
      <c r="B103" s="2">
        <v>5</v>
      </c>
      <c r="C103" s="26" t="s">
        <v>226</v>
      </c>
      <c r="D103" s="2" t="s">
        <v>227</v>
      </c>
      <c r="E103" s="2">
        <v>100</v>
      </c>
      <c r="F103" s="1">
        <f t="shared" si="3"/>
        <v>1</v>
      </c>
    </row>
    <row r="104" spans="1:6" x14ac:dyDescent="0.25">
      <c r="A104" s="1" t="s">
        <v>187</v>
      </c>
      <c r="B104" s="2">
        <v>5</v>
      </c>
      <c r="C104" s="26" t="s">
        <v>237</v>
      </c>
      <c r="D104" s="2" t="s">
        <v>236</v>
      </c>
      <c r="E104" s="2">
        <v>100</v>
      </c>
      <c r="F104" s="1">
        <f t="shared" si="3"/>
        <v>1</v>
      </c>
    </row>
    <row r="105" spans="1:6" x14ac:dyDescent="0.25">
      <c r="A105" s="1" t="s">
        <v>187</v>
      </c>
      <c r="B105" s="2">
        <v>5</v>
      </c>
      <c r="C105" s="26" t="s">
        <v>237</v>
      </c>
      <c r="D105" s="2" t="s">
        <v>238</v>
      </c>
      <c r="E105" s="2">
        <v>100</v>
      </c>
      <c r="F105" s="1">
        <f t="shared" si="3"/>
        <v>1</v>
      </c>
    </row>
    <row r="106" spans="1:6" x14ac:dyDescent="0.25">
      <c r="A106" s="1" t="s">
        <v>187</v>
      </c>
      <c r="B106" s="2">
        <v>5</v>
      </c>
      <c r="C106" s="26" t="s">
        <v>198</v>
      </c>
      <c r="D106" s="2" t="s">
        <v>199</v>
      </c>
      <c r="E106" s="2">
        <v>85</v>
      </c>
      <c r="F106" s="1">
        <f t="shared" si="3"/>
        <v>0.85</v>
      </c>
    </row>
    <row r="107" spans="1:6" s="13" customFormat="1" x14ac:dyDescent="0.25">
      <c r="A107" s="13" t="s">
        <v>187</v>
      </c>
      <c r="B107" s="14">
        <v>5</v>
      </c>
      <c r="C107" s="35" t="s">
        <v>212</v>
      </c>
      <c r="D107" s="14" t="s">
        <v>213</v>
      </c>
      <c r="E107" s="14">
        <v>60</v>
      </c>
      <c r="F107" s="1">
        <f t="shared" si="3"/>
        <v>0.6</v>
      </c>
    </row>
    <row r="108" spans="1:6" x14ac:dyDescent="0.25">
      <c r="A108" s="1" t="s">
        <v>187</v>
      </c>
      <c r="B108" s="2">
        <v>5</v>
      </c>
      <c r="C108" s="26" t="s">
        <v>243</v>
      </c>
      <c r="D108" s="2" t="s">
        <v>244</v>
      </c>
      <c r="E108" s="2">
        <v>73</v>
      </c>
      <c r="F108" s="1">
        <f t="shared" si="3"/>
        <v>0.73</v>
      </c>
    </row>
    <row r="109" spans="1:6" s="13" customFormat="1" x14ac:dyDescent="0.25">
      <c r="A109" s="13" t="s">
        <v>187</v>
      </c>
      <c r="B109" s="14">
        <v>5</v>
      </c>
      <c r="C109" s="13" t="s">
        <v>231</v>
      </c>
      <c r="D109" s="14" t="s">
        <v>232</v>
      </c>
      <c r="E109" s="33">
        <v>60</v>
      </c>
      <c r="F109" s="1">
        <f t="shared" si="3"/>
        <v>0.6</v>
      </c>
    </row>
    <row r="110" spans="1:6" x14ac:dyDescent="0.25">
      <c r="A110" s="1" t="s">
        <v>187</v>
      </c>
      <c r="B110" s="2">
        <v>5</v>
      </c>
      <c r="C110" s="26" t="s">
        <v>228</v>
      </c>
      <c r="D110" s="2" t="s">
        <v>229</v>
      </c>
      <c r="E110" s="2">
        <v>100</v>
      </c>
      <c r="F110" s="1">
        <f t="shared" si="3"/>
        <v>1</v>
      </c>
    </row>
    <row r="111" spans="1:6" s="13" customFormat="1" x14ac:dyDescent="0.25">
      <c r="A111" s="13" t="s">
        <v>187</v>
      </c>
      <c r="B111" s="14">
        <v>5</v>
      </c>
      <c r="C111" s="35" t="s">
        <v>216</v>
      </c>
      <c r="D111" s="14" t="s">
        <v>217</v>
      </c>
      <c r="E111" s="14">
        <v>60</v>
      </c>
      <c r="F111" s="1">
        <f t="shared" si="3"/>
        <v>0.6</v>
      </c>
    </row>
    <row r="112" spans="1:6" s="13" customFormat="1" x14ac:dyDescent="0.25">
      <c r="A112" s="13" t="s">
        <v>187</v>
      </c>
      <c r="B112" s="14">
        <v>5</v>
      </c>
      <c r="C112" s="35" t="s">
        <v>218</v>
      </c>
      <c r="D112" s="14" t="s">
        <v>219</v>
      </c>
      <c r="E112" s="14">
        <v>66</v>
      </c>
      <c r="F112" s="1">
        <f t="shared" si="3"/>
        <v>0.66</v>
      </c>
    </row>
    <row r="113" spans="1:26" s="13" customFormat="1" x14ac:dyDescent="0.25">
      <c r="A113" s="13" t="s">
        <v>187</v>
      </c>
      <c r="B113" s="14">
        <v>5</v>
      </c>
      <c r="C113" s="35" t="s">
        <v>424</v>
      </c>
      <c r="D113" s="14" t="s">
        <v>201</v>
      </c>
      <c r="E113" s="33">
        <v>100</v>
      </c>
      <c r="F113" s="1">
        <f t="shared" si="3"/>
        <v>1</v>
      </c>
    </row>
    <row r="114" spans="1:26" s="18" customFormat="1" ht="15.75" customHeight="1" x14ac:dyDescent="0.25">
      <c r="A114" s="16" t="s">
        <v>187</v>
      </c>
      <c r="B114" s="17">
        <v>5</v>
      </c>
      <c r="C114" s="16" t="s">
        <v>245</v>
      </c>
      <c r="D114" s="17" t="s">
        <v>232</v>
      </c>
      <c r="E114" s="17">
        <v>100</v>
      </c>
      <c r="F114" s="34">
        <f t="shared" si="3"/>
        <v>1</v>
      </c>
      <c r="G114" s="17"/>
      <c r="H114" s="17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6" t="s">
        <v>187</v>
      </c>
      <c r="B115" s="17">
        <v>5</v>
      </c>
      <c r="C115" s="16" t="s">
        <v>247</v>
      </c>
      <c r="D115" s="17" t="s">
        <v>229</v>
      </c>
      <c r="E115" s="17">
        <v>100</v>
      </c>
      <c r="F115" s="34">
        <v>1</v>
      </c>
      <c r="G115" s="17"/>
      <c r="H115" s="1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6" t="s">
        <v>187</v>
      </c>
      <c r="B116" s="17">
        <v>5</v>
      </c>
      <c r="C116" s="16" t="s">
        <v>249</v>
      </c>
      <c r="D116" s="17" t="s">
        <v>217</v>
      </c>
      <c r="E116" s="17">
        <v>60</v>
      </c>
      <c r="F116" s="34">
        <v>0.6</v>
      </c>
      <c r="G116" s="17"/>
      <c r="H116" s="17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6" t="s">
        <v>187</v>
      </c>
      <c r="B117" s="17">
        <v>5</v>
      </c>
      <c r="C117" s="16" t="s">
        <v>251</v>
      </c>
      <c r="D117" s="17" t="s">
        <v>425</v>
      </c>
      <c r="E117" s="17">
        <v>100</v>
      </c>
      <c r="F117" s="34">
        <v>1</v>
      </c>
      <c r="G117" s="17"/>
      <c r="H117" s="1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.75" customHeight="1" x14ac:dyDescent="0.25">
      <c r="A118" s="16" t="s">
        <v>187</v>
      </c>
      <c r="B118" s="17">
        <v>5</v>
      </c>
      <c r="C118" s="16" t="s">
        <v>253</v>
      </c>
      <c r="D118" s="17" t="s">
        <v>201</v>
      </c>
      <c r="E118" s="17">
        <v>100</v>
      </c>
      <c r="F118" s="34">
        <v>1</v>
      </c>
      <c r="G118" s="17"/>
      <c r="H118" s="17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6" t="s">
        <v>187</v>
      </c>
      <c r="B119" s="17">
        <v>5</v>
      </c>
      <c r="C119" s="16" t="s">
        <v>255</v>
      </c>
      <c r="D119" s="17" t="s">
        <v>219</v>
      </c>
      <c r="E119" s="17">
        <v>100</v>
      </c>
      <c r="F119" s="34">
        <v>1</v>
      </c>
      <c r="G119" s="17"/>
      <c r="H119" s="1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" customHeight="1" x14ac:dyDescent="0.25">
      <c r="A120" s="16" t="s">
        <v>187</v>
      </c>
      <c r="B120" s="17">
        <v>5</v>
      </c>
      <c r="C120" s="16" t="s">
        <v>257</v>
      </c>
      <c r="D120" s="17" t="s">
        <v>309</v>
      </c>
      <c r="E120" s="17">
        <v>100</v>
      </c>
      <c r="F120" s="34">
        <v>1</v>
      </c>
      <c r="G120" s="17"/>
      <c r="H120" s="1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6" t="s">
        <v>187</v>
      </c>
      <c r="B121" s="17">
        <v>5</v>
      </c>
      <c r="C121" s="16" t="s">
        <v>259</v>
      </c>
      <c r="D121" s="17" t="s">
        <v>311</v>
      </c>
      <c r="E121" s="17">
        <v>100</v>
      </c>
      <c r="F121" s="34">
        <v>1</v>
      </c>
      <c r="G121" s="17"/>
      <c r="H121" s="1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18" customFormat="1" ht="15.75" customHeight="1" x14ac:dyDescent="0.25">
      <c r="A122" s="16" t="s">
        <v>187</v>
      </c>
      <c r="B122" s="17">
        <v>5</v>
      </c>
      <c r="C122" s="16" t="s">
        <v>261</v>
      </c>
      <c r="D122" s="17" t="s">
        <v>426</v>
      </c>
      <c r="E122" s="17">
        <v>60</v>
      </c>
      <c r="F122" s="34">
        <v>0.6</v>
      </c>
      <c r="G122" s="17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18" customFormat="1" ht="15.75" customHeight="1" x14ac:dyDescent="0.25">
      <c r="A123" s="16" t="s">
        <v>187</v>
      </c>
      <c r="B123" s="17">
        <v>5</v>
      </c>
      <c r="C123" s="16" t="s">
        <v>263</v>
      </c>
      <c r="D123" s="17" t="s">
        <v>246</v>
      </c>
      <c r="E123" s="17">
        <v>60</v>
      </c>
      <c r="F123" s="34">
        <v>0.6</v>
      </c>
      <c r="G123" s="17"/>
      <c r="H123" s="1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9" customFormat="1" x14ac:dyDescent="0.25">
      <c r="A124" s="9" t="s">
        <v>265</v>
      </c>
      <c r="B124" s="10">
        <v>6</v>
      </c>
      <c r="C124" s="29" t="s">
        <v>266</v>
      </c>
      <c r="D124" s="11" t="s">
        <v>267</v>
      </c>
      <c r="E124" s="10">
        <v>100</v>
      </c>
      <c r="F124" s="9">
        <f t="shared" ref="F124:F165" si="4">E124/100</f>
        <v>1</v>
      </c>
    </row>
    <row r="125" spans="1:26" x14ac:dyDescent="0.25">
      <c r="A125" s="1" t="s">
        <v>265</v>
      </c>
      <c r="B125" s="2">
        <v>6</v>
      </c>
      <c r="C125" s="26" t="s">
        <v>268</v>
      </c>
      <c r="D125" s="31" t="s">
        <v>269</v>
      </c>
      <c r="E125" s="2">
        <v>100</v>
      </c>
      <c r="F125" s="1">
        <f t="shared" si="4"/>
        <v>1</v>
      </c>
    </row>
    <row r="126" spans="1:26" x14ac:dyDescent="0.25">
      <c r="A126" s="1" t="s">
        <v>265</v>
      </c>
      <c r="B126" s="2">
        <v>6</v>
      </c>
      <c r="C126" s="26" t="s">
        <v>270</v>
      </c>
      <c r="D126" s="31" t="s">
        <v>271</v>
      </c>
      <c r="E126" s="2">
        <v>100</v>
      </c>
      <c r="F126" s="1">
        <f t="shared" si="4"/>
        <v>1</v>
      </c>
    </row>
    <row r="127" spans="1:26" x14ac:dyDescent="0.25">
      <c r="A127" s="1" t="s">
        <v>265</v>
      </c>
      <c r="B127" s="2">
        <v>6</v>
      </c>
      <c r="C127" s="26" t="s">
        <v>272</v>
      </c>
      <c r="D127" s="31" t="s">
        <v>273</v>
      </c>
      <c r="E127" s="2">
        <v>100</v>
      </c>
      <c r="F127" s="1">
        <f t="shared" si="4"/>
        <v>1</v>
      </c>
    </row>
    <row r="128" spans="1:26" s="13" customFormat="1" x14ac:dyDescent="0.25">
      <c r="A128" s="13" t="s">
        <v>265</v>
      </c>
      <c r="B128" s="14">
        <v>6</v>
      </c>
      <c r="C128" s="35" t="s">
        <v>427</v>
      </c>
      <c r="D128" s="14" t="s">
        <v>275</v>
      </c>
      <c r="E128" s="33">
        <v>100</v>
      </c>
      <c r="F128" s="1">
        <f t="shared" si="4"/>
        <v>1</v>
      </c>
    </row>
    <row r="129" spans="1:6" s="13" customFormat="1" x14ac:dyDescent="0.25">
      <c r="A129" s="13" t="s">
        <v>265</v>
      </c>
      <c r="B129" s="14">
        <v>6</v>
      </c>
      <c r="C129" s="35" t="s">
        <v>428</v>
      </c>
      <c r="D129" s="14" t="s">
        <v>277</v>
      </c>
      <c r="E129" s="33">
        <v>100</v>
      </c>
      <c r="F129" s="1">
        <f t="shared" si="4"/>
        <v>1</v>
      </c>
    </row>
    <row r="130" spans="1:6" s="9" customFormat="1" x14ac:dyDescent="0.25">
      <c r="A130" s="9" t="s">
        <v>278</v>
      </c>
      <c r="B130" s="10">
        <v>7</v>
      </c>
      <c r="C130" s="29" t="s">
        <v>279</v>
      </c>
      <c r="D130" s="36" t="s">
        <v>280</v>
      </c>
      <c r="E130" s="10">
        <v>100</v>
      </c>
      <c r="F130" s="9">
        <f t="shared" si="4"/>
        <v>1</v>
      </c>
    </row>
    <row r="131" spans="1:6" x14ac:dyDescent="0.25">
      <c r="A131" s="1" t="s">
        <v>278</v>
      </c>
      <c r="B131" s="2">
        <v>7</v>
      </c>
      <c r="C131" s="26" t="s">
        <v>282</v>
      </c>
      <c r="D131" s="31" t="s">
        <v>283</v>
      </c>
      <c r="E131" s="2">
        <v>100</v>
      </c>
      <c r="F131" s="1">
        <f t="shared" si="4"/>
        <v>1</v>
      </c>
    </row>
    <row r="132" spans="1:6" x14ac:dyDescent="0.25">
      <c r="A132" s="1" t="s">
        <v>278</v>
      </c>
      <c r="B132" s="2">
        <v>7</v>
      </c>
      <c r="C132" s="26" t="s">
        <v>429</v>
      </c>
      <c r="D132" s="31" t="s">
        <v>285</v>
      </c>
      <c r="E132" s="2">
        <v>100</v>
      </c>
      <c r="F132" s="1">
        <f t="shared" si="4"/>
        <v>1</v>
      </c>
    </row>
    <row r="133" spans="1:6" x14ac:dyDescent="0.25">
      <c r="A133" s="1" t="s">
        <v>278</v>
      </c>
      <c r="B133" s="2">
        <v>7</v>
      </c>
      <c r="C133" s="26" t="s">
        <v>286</v>
      </c>
      <c r="D133" s="31" t="s">
        <v>287</v>
      </c>
      <c r="E133" s="2">
        <v>100</v>
      </c>
      <c r="F133" s="1">
        <f t="shared" si="4"/>
        <v>1</v>
      </c>
    </row>
    <row r="134" spans="1:6" s="13" customFormat="1" x14ac:dyDescent="0.25">
      <c r="A134" s="13" t="s">
        <v>278</v>
      </c>
      <c r="B134" s="14">
        <v>7</v>
      </c>
      <c r="C134" s="35" t="s">
        <v>288</v>
      </c>
      <c r="D134" s="14" t="s">
        <v>289</v>
      </c>
      <c r="E134" s="33">
        <v>100</v>
      </c>
      <c r="F134" s="1">
        <f t="shared" si="4"/>
        <v>1</v>
      </c>
    </row>
    <row r="135" spans="1:6" x14ac:dyDescent="0.25">
      <c r="A135" s="1" t="s">
        <v>278</v>
      </c>
      <c r="B135" s="2">
        <v>7</v>
      </c>
      <c r="C135" s="26" t="s">
        <v>430</v>
      </c>
      <c r="D135" s="31" t="s">
        <v>291</v>
      </c>
      <c r="E135" s="2">
        <v>100</v>
      </c>
      <c r="F135" s="1">
        <f t="shared" si="4"/>
        <v>1</v>
      </c>
    </row>
    <row r="136" spans="1:6" x14ac:dyDescent="0.25">
      <c r="A136" s="1" t="s">
        <v>278</v>
      </c>
      <c r="B136" s="2">
        <v>7</v>
      </c>
      <c r="C136" s="26" t="s">
        <v>292</v>
      </c>
      <c r="D136" s="31" t="s">
        <v>293</v>
      </c>
      <c r="E136" s="2">
        <v>450</v>
      </c>
      <c r="F136" s="1">
        <f t="shared" si="4"/>
        <v>4.5</v>
      </c>
    </row>
    <row r="137" spans="1:6" x14ac:dyDescent="0.25">
      <c r="A137" s="1" t="s">
        <v>278</v>
      </c>
      <c r="B137" s="2">
        <v>7</v>
      </c>
      <c r="C137" s="26" t="s">
        <v>431</v>
      </c>
      <c r="D137" s="2" t="s">
        <v>295</v>
      </c>
      <c r="E137" s="31">
        <v>100</v>
      </c>
      <c r="F137" s="1">
        <f t="shared" si="4"/>
        <v>1</v>
      </c>
    </row>
    <row r="138" spans="1:6" s="13" customFormat="1" x14ac:dyDescent="0.25">
      <c r="A138" s="13" t="s">
        <v>278</v>
      </c>
      <c r="B138" s="14">
        <v>7</v>
      </c>
      <c r="C138" s="35" t="s">
        <v>296</v>
      </c>
      <c r="D138" s="14" t="s">
        <v>297</v>
      </c>
      <c r="E138" s="33">
        <v>100</v>
      </c>
      <c r="F138" s="1">
        <f t="shared" si="4"/>
        <v>1</v>
      </c>
    </row>
    <row r="139" spans="1:6" s="13" customFormat="1" x14ac:dyDescent="0.25">
      <c r="A139" s="13" t="s">
        <v>278</v>
      </c>
      <c r="B139" s="14">
        <v>7</v>
      </c>
      <c r="C139" s="35" t="s">
        <v>298</v>
      </c>
      <c r="D139" s="14" t="s">
        <v>299</v>
      </c>
      <c r="E139" s="33">
        <v>100</v>
      </c>
      <c r="F139" s="1">
        <f t="shared" si="4"/>
        <v>1</v>
      </c>
    </row>
    <row r="140" spans="1:6" x14ac:dyDescent="0.25">
      <c r="A140" s="1" t="s">
        <v>278</v>
      </c>
      <c r="B140" s="2">
        <v>7</v>
      </c>
      <c r="C140" s="26" t="s">
        <v>300</v>
      </c>
      <c r="D140" s="2" t="s">
        <v>301</v>
      </c>
      <c r="E140" s="2">
        <v>77</v>
      </c>
      <c r="F140" s="1">
        <f t="shared" si="4"/>
        <v>0.77</v>
      </c>
    </row>
    <row r="141" spans="1:6" x14ac:dyDescent="0.25">
      <c r="A141" s="1" t="s">
        <v>278</v>
      </c>
      <c r="B141" s="2">
        <v>7</v>
      </c>
      <c r="C141" s="26" t="s">
        <v>302</v>
      </c>
      <c r="D141" s="2" t="s">
        <v>303</v>
      </c>
      <c r="E141" s="2">
        <v>100</v>
      </c>
      <c r="F141" s="1">
        <f t="shared" si="4"/>
        <v>1</v>
      </c>
    </row>
    <row r="142" spans="1:6" x14ac:dyDescent="0.25">
      <c r="A142" s="1" t="s">
        <v>278</v>
      </c>
      <c r="B142" s="2">
        <v>7</v>
      </c>
      <c r="C142" s="26" t="s">
        <v>304</v>
      </c>
      <c r="D142" s="2" t="s">
        <v>305</v>
      </c>
      <c r="E142" s="2">
        <v>78</v>
      </c>
      <c r="F142" s="1">
        <f t="shared" si="4"/>
        <v>0.78</v>
      </c>
    </row>
    <row r="143" spans="1:6" x14ac:dyDescent="0.25">
      <c r="A143" s="1" t="s">
        <v>278</v>
      </c>
      <c r="B143" s="2">
        <v>7</v>
      </c>
      <c r="C143" s="30" t="s">
        <v>306</v>
      </c>
      <c r="D143" s="2" t="s">
        <v>307</v>
      </c>
      <c r="E143" s="2">
        <v>100</v>
      </c>
      <c r="F143" s="1">
        <f t="shared" si="4"/>
        <v>1</v>
      </c>
    </row>
    <row r="144" spans="1:6" s="13" customFormat="1" x14ac:dyDescent="0.25">
      <c r="A144" s="13" t="s">
        <v>278</v>
      </c>
      <c r="B144" s="14">
        <v>7</v>
      </c>
      <c r="C144" s="32" t="s">
        <v>432</v>
      </c>
      <c r="D144" s="14" t="s">
        <v>309</v>
      </c>
      <c r="E144" s="14">
        <v>61</v>
      </c>
      <c r="F144" s="1">
        <f t="shared" si="4"/>
        <v>0.61</v>
      </c>
    </row>
    <row r="145" spans="1:6" s="13" customFormat="1" x14ac:dyDescent="0.25">
      <c r="A145" s="13" t="s">
        <v>278</v>
      </c>
      <c r="B145" s="14">
        <v>7</v>
      </c>
      <c r="C145" s="35" t="s">
        <v>433</v>
      </c>
      <c r="D145" s="14" t="s">
        <v>311</v>
      </c>
      <c r="E145" s="33">
        <v>60</v>
      </c>
      <c r="F145" s="1">
        <f t="shared" si="4"/>
        <v>0.6</v>
      </c>
    </row>
    <row r="146" spans="1:6" x14ac:dyDescent="0.25">
      <c r="A146" s="1" t="s">
        <v>278</v>
      </c>
      <c r="B146" s="2">
        <v>7</v>
      </c>
      <c r="C146" s="26" t="s">
        <v>312</v>
      </c>
      <c r="D146" s="12" t="s">
        <v>313</v>
      </c>
      <c r="E146" s="2">
        <v>100</v>
      </c>
      <c r="F146" s="1">
        <f t="shared" si="4"/>
        <v>1</v>
      </c>
    </row>
    <row r="147" spans="1:6" x14ac:dyDescent="0.25">
      <c r="A147" s="1" t="s">
        <v>278</v>
      </c>
      <c r="B147" s="2">
        <v>7</v>
      </c>
      <c r="C147" s="26" t="s">
        <v>314</v>
      </c>
      <c r="D147" s="31" t="s">
        <v>315</v>
      </c>
      <c r="E147" s="2">
        <v>100</v>
      </c>
      <c r="F147" s="1">
        <f t="shared" si="4"/>
        <v>1</v>
      </c>
    </row>
    <row r="148" spans="1:6" x14ac:dyDescent="0.25">
      <c r="A148" s="1" t="s">
        <v>278</v>
      </c>
      <c r="B148" s="2">
        <v>7</v>
      </c>
      <c r="C148" s="26" t="s">
        <v>316</v>
      </c>
      <c r="D148" s="31" t="s">
        <v>317</v>
      </c>
      <c r="E148" s="2">
        <v>100</v>
      </c>
      <c r="F148" s="1">
        <f t="shared" si="4"/>
        <v>1</v>
      </c>
    </row>
    <row r="149" spans="1:6" x14ac:dyDescent="0.25">
      <c r="A149" s="1" t="s">
        <v>278</v>
      </c>
      <c r="B149" s="2">
        <v>7</v>
      </c>
      <c r="C149" s="26" t="s">
        <v>318</v>
      </c>
      <c r="D149" s="31" t="s">
        <v>319</v>
      </c>
      <c r="E149" s="2">
        <v>100</v>
      </c>
      <c r="F149" s="1">
        <f t="shared" si="4"/>
        <v>1</v>
      </c>
    </row>
    <row r="150" spans="1:6" x14ac:dyDescent="0.25">
      <c r="A150" s="1" t="s">
        <v>278</v>
      </c>
      <c r="B150" s="2">
        <v>7</v>
      </c>
      <c r="C150" s="26" t="s">
        <v>320</v>
      </c>
      <c r="D150" s="31" t="s">
        <v>321</v>
      </c>
      <c r="E150" s="2">
        <v>100</v>
      </c>
      <c r="F150" s="1">
        <f t="shared" si="4"/>
        <v>1</v>
      </c>
    </row>
    <row r="151" spans="1:6" s="13" customFormat="1" x14ac:dyDescent="0.25">
      <c r="A151" s="13" t="s">
        <v>278</v>
      </c>
      <c r="B151" s="14">
        <v>7</v>
      </c>
      <c r="C151" s="35" t="s">
        <v>322</v>
      </c>
      <c r="D151" s="14" t="s">
        <v>323</v>
      </c>
      <c r="E151" s="33">
        <v>100</v>
      </c>
      <c r="F151" s="1">
        <f t="shared" si="4"/>
        <v>1</v>
      </c>
    </row>
    <row r="152" spans="1:6" s="13" customFormat="1" x14ac:dyDescent="0.25">
      <c r="A152" s="13" t="s">
        <v>278</v>
      </c>
      <c r="B152" s="14">
        <v>7</v>
      </c>
      <c r="C152" s="35" t="s">
        <v>434</v>
      </c>
      <c r="D152" s="14" t="s">
        <v>325</v>
      </c>
      <c r="E152" s="33">
        <v>100</v>
      </c>
      <c r="F152" s="1">
        <f t="shared" si="4"/>
        <v>1</v>
      </c>
    </row>
    <row r="153" spans="1:6" x14ac:dyDescent="0.25">
      <c r="A153" s="1" t="s">
        <v>278</v>
      </c>
      <c r="B153" s="2">
        <v>7</v>
      </c>
      <c r="C153" s="30" t="s">
        <v>327</v>
      </c>
      <c r="D153" s="31" t="s">
        <v>328</v>
      </c>
      <c r="E153" s="2">
        <v>100</v>
      </c>
      <c r="F153" s="1">
        <f t="shared" si="4"/>
        <v>1</v>
      </c>
    </row>
    <row r="154" spans="1:6" x14ac:dyDescent="0.25">
      <c r="A154" s="1" t="s">
        <v>278</v>
      </c>
      <c r="B154" s="2">
        <v>7</v>
      </c>
      <c r="C154" s="30" t="s">
        <v>329</v>
      </c>
      <c r="D154" s="31" t="s">
        <v>330</v>
      </c>
      <c r="E154" s="2">
        <v>100</v>
      </c>
      <c r="F154" s="1">
        <f t="shared" si="4"/>
        <v>1</v>
      </c>
    </row>
    <row r="155" spans="1:6" x14ac:dyDescent="0.25">
      <c r="A155" s="1" t="s">
        <v>278</v>
      </c>
      <c r="B155" s="2">
        <v>7</v>
      </c>
      <c r="C155" s="26" t="s">
        <v>435</v>
      </c>
      <c r="D155" s="12" t="s">
        <v>332</v>
      </c>
      <c r="E155" s="2">
        <v>100</v>
      </c>
      <c r="F155" s="1">
        <f t="shared" si="4"/>
        <v>1</v>
      </c>
    </row>
    <row r="156" spans="1:6" x14ac:dyDescent="0.25">
      <c r="A156" s="1" t="s">
        <v>278</v>
      </c>
      <c r="B156" s="2">
        <v>7</v>
      </c>
      <c r="C156" s="26" t="s">
        <v>333</v>
      </c>
      <c r="D156" s="31" t="s">
        <v>334</v>
      </c>
      <c r="E156" s="2">
        <v>100</v>
      </c>
      <c r="F156" s="1">
        <f t="shared" si="4"/>
        <v>1</v>
      </c>
    </row>
    <row r="157" spans="1:6" x14ac:dyDescent="0.25">
      <c r="A157" s="1" t="s">
        <v>278</v>
      </c>
      <c r="B157" s="2">
        <v>7</v>
      </c>
      <c r="C157" s="26" t="s">
        <v>335</v>
      </c>
      <c r="D157" s="31" t="s">
        <v>336</v>
      </c>
      <c r="E157" s="2">
        <v>100</v>
      </c>
      <c r="F157" s="1">
        <f t="shared" si="4"/>
        <v>1</v>
      </c>
    </row>
    <row r="158" spans="1:6" x14ac:dyDescent="0.25">
      <c r="A158" s="1" t="s">
        <v>278</v>
      </c>
      <c r="B158" s="2">
        <v>7</v>
      </c>
      <c r="C158" s="26" t="s">
        <v>337</v>
      </c>
      <c r="D158" s="31" t="s">
        <v>338</v>
      </c>
      <c r="E158" s="2">
        <v>100</v>
      </c>
      <c r="F158" s="1">
        <f t="shared" si="4"/>
        <v>1</v>
      </c>
    </row>
    <row r="159" spans="1:6" x14ac:dyDescent="0.25">
      <c r="A159" s="1" t="s">
        <v>278</v>
      </c>
      <c r="B159" s="2">
        <v>7</v>
      </c>
      <c r="C159" s="26" t="s">
        <v>339</v>
      </c>
      <c r="D159" s="31" t="s">
        <v>340</v>
      </c>
      <c r="E159" s="2">
        <v>100</v>
      </c>
      <c r="F159" s="1">
        <f t="shared" si="4"/>
        <v>1</v>
      </c>
    </row>
    <row r="160" spans="1:6" s="9" customFormat="1" x14ac:dyDescent="0.25">
      <c r="A160" s="9" t="s">
        <v>341</v>
      </c>
      <c r="B160" s="10">
        <v>8</v>
      </c>
      <c r="C160" s="37" t="s">
        <v>344</v>
      </c>
      <c r="D160" s="10" t="s">
        <v>345</v>
      </c>
      <c r="E160" s="10">
        <v>100</v>
      </c>
      <c r="F160" s="9">
        <f t="shared" si="4"/>
        <v>1</v>
      </c>
    </row>
    <row r="161" spans="1:26" x14ac:dyDescent="0.25">
      <c r="A161" s="1" t="s">
        <v>341</v>
      </c>
      <c r="B161" s="2">
        <v>8</v>
      </c>
      <c r="C161" s="26" t="s">
        <v>436</v>
      </c>
      <c r="D161" s="31" t="s">
        <v>343</v>
      </c>
      <c r="E161" s="2">
        <v>100</v>
      </c>
      <c r="F161" s="1">
        <f t="shared" si="4"/>
        <v>1</v>
      </c>
    </row>
    <row r="162" spans="1:26" x14ac:dyDescent="0.25">
      <c r="A162" s="1" t="s">
        <v>341</v>
      </c>
      <c r="B162" s="2">
        <v>8</v>
      </c>
      <c r="C162" s="26" t="s">
        <v>346</v>
      </c>
      <c r="D162" s="2" t="s">
        <v>347</v>
      </c>
      <c r="E162" s="2">
        <v>100</v>
      </c>
      <c r="F162" s="1">
        <f t="shared" si="4"/>
        <v>1</v>
      </c>
    </row>
    <row r="163" spans="1:26" s="13" customFormat="1" x14ac:dyDescent="0.25">
      <c r="A163" s="13" t="s">
        <v>341</v>
      </c>
      <c r="B163" s="14">
        <v>8</v>
      </c>
      <c r="C163" s="35" t="s">
        <v>437</v>
      </c>
      <c r="D163" s="14" t="s">
        <v>349</v>
      </c>
      <c r="E163" s="33">
        <v>100</v>
      </c>
      <c r="F163" s="1">
        <f t="shared" si="4"/>
        <v>1</v>
      </c>
    </row>
    <row r="164" spans="1:26" s="13" customFormat="1" x14ac:dyDescent="0.25">
      <c r="A164" s="13" t="s">
        <v>341</v>
      </c>
      <c r="B164" s="14">
        <v>8</v>
      </c>
      <c r="C164" s="35" t="s">
        <v>438</v>
      </c>
      <c r="D164" s="14" t="s">
        <v>351</v>
      </c>
      <c r="E164" s="33">
        <v>100</v>
      </c>
      <c r="F164" s="1">
        <f t="shared" si="4"/>
        <v>1</v>
      </c>
    </row>
    <row r="165" spans="1:26" s="13" customFormat="1" x14ac:dyDescent="0.25">
      <c r="A165" s="13" t="s">
        <v>341</v>
      </c>
      <c r="B165" s="14">
        <v>8</v>
      </c>
      <c r="C165" s="35" t="s">
        <v>439</v>
      </c>
      <c r="D165" s="14" t="s">
        <v>353</v>
      </c>
      <c r="E165" s="33">
        <v>100</v>
      </c>
      <c r="F165" s="1">
        <f t="shared" si="4"/>
        <v>1</v>
      </c>
    </row>
    <row r="166" spans="1:26" s="18" customFormat="1" ht="15.75" customHeight="1" x14ac:dyDescent="0.25">
      <c r="A166" s="16" t="s">
        <v>341</v>
      </c>
      <c r="B166" s="17">
        <v>8</v>
      </c>
      <c r="C166" s="16" t="s">
        <v>354</v>
      </c>
      <c r="D166" s="17" t="s">
        <v>355</v>
      </c>
      <c r="E166" s="17">
        <v>100</v>
      </c>
      <c r="F166" s="34">
        <v>1</v>
      </c>
      <c r="G166" s="17"/>
      <c r="H166" s="17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9" t="s">
        <v>356</v>
      </c>
      <c r="B167" s="10">
        <v>9</v>
      </c>
      <c r="C167" s="29" t="s">
        <v>357</v>
      </c>
      <c r="D167" s="11" t="s">
        <v>358</v>
      </c>
      <c r="E167" s="10">
        <v>100</v>
      </c>
      <c r="F167" s="9">
        <f t="shared" ref="F167:F193" si="5">E167/100</f>
        <v>1</v>
      </c>
    </row>
    <row r="168" spans="1:26" x14ac:dyDescent="0.25">
      <c r="A168" s="1" t="s">
        <v>356</v>
      </c>
      <c r="B168" s="2">
        <v>9</v>
      </c>
      <c r="C168" s="26" t="s">
        <v>359</v>
      </c>
      <c r="D168" s="31" t="s">
        <v>360</v>
      </c>
      <c r="E168" s="2">
        <v>100</v>
      </c>
      <c r="F168" s="1">
        <f t="shared" si="5"/>
        <v>1</v>
      </c>
    </row>
    <row r="169" spans="1:26" x14ac:dyDescent="0.25">
      <c r="A169" s="1" t="s">
        <v>356</v>
      </c>
      <c r="B169" s="2">
        <v>9</v>
      </c>
      <c r="C169" s="26" t="s">
        <v>361</v>
      </c>
      <c r="D169" s="31" t="s">
        <v>362</v>
      </c>
      <c r="E169" s="2">
        <v>100</v>
      </c>
      <c r="F169" s="1">
        <f t="shared" si="5"/>
        <v>1</v>
      </c>
    </row>
    <row r="170" spans="1:26" x14ac:dyDescent="0.25">
      <c r="A170" s="1" t="s">
        <v>356</v>
      </c>
      <c r="B170" s="2">
        <v>9</v>
      </c>
      <c r="C170" s="26" t="s">
        <v>363</v>
      </c>
      <c r="D170" s="31" t="s">
        <v>364</v>
      </c>
      <c r="E170" s="2">
        <v>100</v>
      </c>
      <c r="F170" s="1">
        <f t="shared" si="5"/>
        <v>1</v>
      </c>
    </row>
    <row r="171" spans="1:26" x14ac:dyDescent="0.25">
      <c r="A171" s="1" t="s">
        <v>356</v>
      </c>
      <c r="B171" s="2">
        <v>9</v>
      </c>
      <c r="C171" s="26" t="s">
        <v>365</v>
      </c>
      <c r="D171" s="31" t="s">
        <v>366</v>
      </c>
      <c r="E171" s="2">
        <v>100</v>
      </c>
      <c r="F171" s="1">
        <f t="shared" si="5"/>
        <v>1</v>
      </c>
    </row>
    <row r="172" spans="1:26" x14ac:dyDescent="0.25">
      <c r="A172" s="1" t="s">
        <v>356</v>
      </c>
      <c r="B172" s="2">
        <v>9</v>
      </c>
      <c r="C172" s="26" t="s">
        <v>440</v>
      </c>
      <c r="D172" s="31" t="s">
        <v>368</v>
      </c>
      <c r="E172" s="2">
        <v>100</v>
      </c>
      <c r="F172" s="1">
        <f t="shared" si="5"/>
        <v>1</v>
      </c>
    </row>
    <row r="173" spans="1:26" x14ac:dyDescent="0.25">
      <c r="A173" s="1" t="s">
        <v>356</v>
      </c>
      <c r="B173" s="2">
        <v>9</v>
      </c>
      <c r="C173" s="26" t="s">
        <v>369</v>
      </c>
      <c r="D173" s="2" t="s">
        <v>370</v>
      </c>
      <c r="E173" s="31">
        <v>100</v>
      </c>
      <c r="F173" s="1">
        <f t="shared" si="5"/>
        <v>1</v>
      </c>
    </row>
    <row r="174" spans="1:26" x14ac:dyDescent="0.25">
      <c r="A174" s="1" t="s">
        <v>356</v>
      </c>
      <c r="B174" s="2">
        <v>9</v>
      </c>
      <c r="C174" s="26" t="s">
        <v>371</v>
      </c>
      <c r="D174" s="2" t="s">
        <v>372</v>
      </c>
      <c r="E174" s="2">
        <v>100</v>
      </c>
      <c r="F174" s="1">
        <f t="shared" si="5"/>
        <v>1</v>
      </c>
    </row>
    <row r="175" spans="1:26" x14ac:dyDescent="0.25">
      <c r="A175" s="1" t="s">
        <v>356</v>
      </c>
      <c r="B175" s="2">
        <v>9</v>
      </c>
      <c r="C175" s="26" t="s">
        <v>373</v>
      </c>
      <c r="D175" s="2" t="s">
        <v>374</v>
      </c>
      <c r="E175" s="2">
        <v>100</v>
      </c>
      <c r="F175" s="1">
        <f t="shared" si="5"/>
        <v>1</v>
      </c>
    </row>
    <row r="176" spans="1:26" x14ac:dyDescent="0.25">
      <c r="A176" s="1" t="s">
        <v>356</v>
      </c>
      <c r="B176" s="2">
        <v>9</v>
      </c>
      <c r="C176" s="26" t="s">
        <v>375</v>
      </c>
      <c r="D176" s="2" t="s">
        <v>376</v>
      </c>
      <c r="E176" s="2">
        <v>100</v>
      </c>
      <c r="F176" s="1">
        <f t="shared" si="5"/>
        <v>1</v>
      </c>
    </row>
    <row r="177" spans="1:6" s="9" customFormat="1" x14ac:dyDescent="0.25">
      <c r="A177" s="9" t="s">
        <v>377</v>
      </c>
      <c r="B177" s="10">
        <v>10</v>
      </c>
      <c r="C177" s="29" t="s">
        <v>378</v>
      </c>
      <c r="D177" s="11" t="s">
        <v>379</v>
      </c>
      <c r="E177" s="10">
        <v>100</v>
      </c>
      <c r="F177" s="9">
        <f t="shared" si="5"/>
        <v>1</v>
      </c>
    </row>
    <row r="178" spans="1:6" x14ac:dyDescent="0.25">
      <c r="A178" s="1" t="s">
        <v>377</v>
      </c>
      <c r="B178" s="2">
        <v>10</v>
      </c>
      <c r="C178" s="26" t="s">
        <v>380</v>
      </c>
      <c r="D178" s="31" t="s">
        <v>381</v>
      </c>
      <c r="E178" s="2">
        <v>100</v>
      </c>
      <c r="F178" s="1">
        <f t="shared" si="5"/>
        <v>1</v>
      </c>
    </row>
    <row r="179" spans="1:6" x14ac:dyDescent="0.25">
      <c r="A179" s="1" t="s">
        <v>377</v>
      </c>
      <c r="B179" s="2">
        <v>10</v>
      </c>
      <c r="C179" s="26" t="s">
        <v>382</v>
      </c>
      <c r="D179" s="31" t="s">
        <v>383</v>
      </c>
      <c r="E179" s="2">
        <v>100</v>
      </c>
      <c r="F179" s="1">
        <f t="shared" si="5"/>
        <v>1</v>
      </c>
    </row>
    <row r="180" spans="1:6" x14ac:dyDescent="0.25">
      <c r="A180" s="1" t="s">
        <v>377</v>
      </c>
      <c r="B180" s="2">
        <v>10</v>
      </c>
      <c r="C180" s="26" t="s">
        <v>384</v>
      </c>
      <c r="D180" s="31" t="s">
        <v>385</v>
      </c>
      <c r="E180" s="2">
        <v>100</v>
      </c>
      <c r="F180" s="1">
        <f t="shared" si="5"/>
        <v>1</v>
      </c>
    </row>
    <row r="181" spans="1:6" x14ac:dyDescent="0.25">
      <c r="A181" s="1" t="s">
        <v>377</v>
      </c>
      <c r="B181" s="2">
        <v>10</v>
      </c>
      <c r="C181" s="26" t="s">
        <v>386</v>
      </c>
      <c r="D181" s="31" t="s">
        <v>387</v>
      </c>
      <c r="E181" s="2">
        <v>100</v>
      </c>
      <c r="F181" s="1">
        <f t="shared" si="5"/>
        <v>1</v>
      </c>
    </row>
    <row r="182" spans="1:6" s="13" customFormat="1" x14ac:dyDescent="0.25">
      <c r="A182" s="13" t="s">
        <v>377</v>
      </c>
      <c r="B182" s="14">
        <v>10</v>
      </c>
      <c r="C182" s="35" t="s">
        <v>388</v>
      </c>
      <c r="D182" s="14" t="s">
        <v>389</v>
      </c>
      <c r="E182" s="14">
        <v>100</v>
      </c>
      <c r="F182" s="1">
        <f t="shared" si="5"/>
        <v>1</v>
      </c>
    </row>
    <row r="183" spans="1:6" s="13" customFormat="1" x14ac:dyDescent="0.25">
      <c r="A183" s="13" t="s">
        <v>377</v>
      </c>
      <c r="B183" s="14">
        <v>10</v>
      </c>
      <c r="C183" s="35" t="s">
        <v>390</v>
      </c>
      <c r="D183" s="14" t="s">
        <v>391</v>
      </c>
      <c r="E183" s="33">
        <v>100</v>
      </c>
      <c r="F183" s="1">
        <f t="shared" si="5"/>
        <v>1</v>
      </c>
    </row>
    <row r="184" spans="1:6" s="13" customFormat="1" x14ac:dyDescent="0.25">
      <c r="A184" s="13" t="s">
        <v>377</v>
      </c>
      <c r="B184" s="14">
        <v>10</v>
      </c>
      <c r="C184" s="35" t="s">
        <v>392</v>
      </c>
      <c r="D184" s="14" t="s">
        <v>393</v>
      </c>
      <c r="E184" s="33">
        <v>100</v>
      </c>
      <c r="F184" s="1">
        <f t="shared" si="5"/>
        <v>1</v>
      </c>
    </row>
    <row r="185" spans="1:6" x14ac:dyDescent="0.25">
      <c r="A185" s="1" t="s">
        <v>377</v>
      </c>
      <c r="B185" s="2">
        <v>10</v>
      </c>
      <c r="C185" s="26" t="s">
        <v>394</v>
      </c>
      <c r="D185" s="2" t="s">
        <v>395</v>
      </c>
      <c r="E185" s="31">
        <v>100</v>
      </c>
      <c r="F185" s="1">
        <f t="shared" si="5"/>
        <v>1</v>
      </c>
    </row>
    <row r="186" spans="1:6" x14ac:dyDescent="0.25">
      <c r="A186" s="1" t="s">
        <v>377</v>
      </c>
      <c r="B186" s="2">
        <v>10</v>
      </c>
      <c r="C186" s="26" t="s">
        <v>396</v>
      </c>
      <c r="D186" s="2" t="s">
        <v>397</v>
      </c>
      <c r="E186" s="31">
        <v>100</v>
      </c>
      <c r="F186" s="1">
        <f t="shared" si="5"/>
        <v>1</v>
      </c>
    </row>
    <row r="187" spans="1:6" x14ac:dyDescent="0.25">
      <c r="A187" s="1" t="s">
        <v>377</v>
      </c>
      <c r="B187" s="2">
        <v>10</v>
      </c>
      <c r="C187" s="26" t="s">
        <v>398</v>
      </c>
      <c r="D187" s="2" t="s">
        <v>399</v>
      </c>
      <c r="E187" s="31">
        <v>100</v>
      </c>
      <c r="F187" s="1">
        <f t="shared" si="5"/>
        <v>1</v>
      </c>
    </row>
    <row r="188" spans="1:6" x14ac:dyDescent="0.25">
      <c r="A188" s="1" t="s">
        <v>377</v>
      </c>
      <c r="B188" s="2">
        <v>10</v>
      </c>
      <c r="C188" s="26" t="s">
        <v>400</v>
      </c>
      <c r="D188" s="2" t="s">
        <v>401</v>
      </c>
      <c r="E188" s="31">
        <v>100</v>
      </c>
      <c r="F188" s="1">
        <f t="shared" si="5"/>
        <v>1</v>
      </c>
    </row>
    <row r="189" spans="1:6" x14ac:dyDescent="0.25">
      <c r="A189" s="1" t="s">
        <v>377</v>
      </c>
      <c r="B189" s="2">
        <v>10</v>
      </c>
      <c r="C189" s="26" t="s">
        <v>402</v>
      </c>
      <c r="D189" s="2">
        <v>10122</v>
      </c>
      <c r="E189" s="31">
        <v>100</v>
      </c>
      <c r="F189" s="1">
        <f t="shared" si="5"/>
        <v>1</v>
      </c>
    </row>
    <row r="190" spans="1:6" x14ac:dyDescent="0.25">
      <c r="A190" s="1" t="s">
        <v>377</v>
      </c>
      <c r="B190" s="2">
        <v>10</v>
      </c>
      <c r="C190" s="26" t="s">
        <v>404</v>
      </c>
      <c r="D190" s="2">
        <v>10123</v>
      </c>
      <c r="E190" s="31">
        <v>100</v>
      </c>
      <c r="F190" s="1">
        <f t="shared" si="5"/>
        <v>1</v>
      </c>
    </row>
    <row r="191" spans="1:6" s="9" customFormat="1" x14ac:dyDescent="0.25">
      <c r="A191" s="9" t="s">
        <v>406</v>
      </c>
      <c r="B191" s="10">
        <v>11</v>
      </c>
      <c r="C191" s="29" t="s">
        <v>407</v>
      </c>
      <c r="D191" s="11" t="s">
        <v>408</v>
      </c>
      <c r="E191" s="10">
        <v>100</v>
      </c>
      <c r="F191" s="9">
        <f t="shared" si="5"/>
        <v>1</v>
      </c>
    </row>
    <row r="192" spans="1:6" x14ac:dyDescent="0.25">
      <c r="A192" s="1" t="s">
        <v>406</v>
      </c>
      <c r="B192" s="2">
        <v>11</v>
      </c>
      <c r="C192" s="26" t="s">
        <v>409</v>
      </c>
      <c r="D192" s="31" t="s">
        <v>410</v>
      </c>
      <c r="E192" s="2">
        <v>100</v>
      </c>
      <c r="F192" s="1">
        <f t="shared" si="5"/>
        <v>1</v>
      </c>
    </row>
    <row r="193" spans="1:8" s="9" customFormat="1" x14ac:dyDescent="0.25">
      <c r="A193" s="9" t="s">
        <v>411</v>
      </c>
      <c r="B193" s="10">
        <v>12</v>
      </c>
      <c r="C193" s="9" t="s">
        <v>412</v>
      </c>
      <c r="D193" s="10">
        <v>12001</v>
      </c>
      <c r="E193" s="10">
        <v>100</v>
      </c>
      <c r="F193" s="38">
        <f t="shared" si="5"/>
        <v>1</v>
      </c>
      <c r="G193" s="10"/>
      <c r="H193" s="11"/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K193"/>
  <sheetViews>
    <sheetView zoomScaleNormal="100" workbookViewId="0">
      <pane ySplit="1" topLeftCell="A122" activePane="bottomLeft" state="frozen"/>
      <selection pane="bottomLeft" activeCell="K42" sqref="K42"/>
    </sheetView>
  </sheetViews>
  <sheetFormatPr defaultRowHeight="15.75" x14ac:dyDescent="0.25"/>
  <cols>
    <col min="1" max="1" width="47.5703125" style="1" customWidth="1"/>
    <col min="2" max="2" width="44.28515625" style="1" customWidth="1"/>
    <col min="3" max="3" width="33.85546875" style="2" customWidth="1"/>
    <col min="4" max="4" width="21.140625" style="2" customWidth="1"/>
    <col min="5" max="5" width="14.85546875" style="2" customWidth="1"/>
    <col min="6" max="6" width="14.7109375" style="2" customWidth="1"/>
    <col min="7" max="7" width="13.7109375" style="2" customWidth="1"/>
    <col min="8" max="10" width="10.85546875" style="2" customWidth="1"/>
    <col min="11" max="11" width="20.28515625" style="2" customWidth="1"/>
    <col min="12" max="12" width="32.5703125" style="1" customWidth="1"/>
    <col min="13" max="13" width="39" style="1" customWidth="1"/>
    <col min="14" max="1025" width="10.85546875" style="1" customWidth="1"/>
  </cols>
  <sheetData>
    <row r="1" spans="1:13" s="8" customFormat="1" x14ac:dyDescent="0.25">
      <c r="A1" s="3" t="s">
        <v>0</v>
      </c>
      <c r="B1" s="39" t="s">
        <v>2</v>
      </c>
      <c r="C1" s="40" t="s">
        <v>3</v>
      </c>
      <c r="D1" s="41" t="s">
        <v>441</v>
      </c>
      <c r="E1" s="41" t="s">
        <v>442</v>
      </c>
      <c r="F1" s="41" t="s">
        <v>443</v>
      </c>
      <c r="G1" s="41" t="s">
        <v>444</v>
      </c>
      <c r="H1" s="41" t="s">
        <v>445</v>
      </c>
      <c r="I1" s="41" t="s">
        <v>446</v>
      </c>
      <c r="J1" s="41" t="s">
        <v>447</v>
      </c>
      <c r="K1" s="41" t="s">
        <v>448</v>
      </c>
      <c r="L1" s="27" t="s">
        <v>449</v>
      </c>
      <c r="M1" s="27" t="s">
        <v>450</v>
      </c>
    </row>
    <row r="2" spans="1:13" s="9" customFormat="1" x14ac:dyDescent="0.25">
      <c r="A2" s="13" t="s">
        <v>341</v>
      </c>
      <c r="B2" s="13" t="s">
        <v>348</v>
      </c>
      <c r="C2" s="14" t="s">
        <v>349</v>
      </c>
      <c r="D2" s="15">
        <v>210</v>
      </c>
      <c r="E2" s="15">
        <v>0.2</v>
      </c>
      <c r="F2" s="15">
        <v>0</v>
      </c>
      <c r="G2" s="15">
        <v>4</v>
      </c>
      <c r="H2" s="15">
        <v>3.9</v>
      </c>
      <c r="I2" s="15">
        <v>0.8</v>
      </c>
      <c r="J2" s="15">
        <v>5.7</v>
      </c>
      <c r="K2" s="15">
        <v>6100</v>
      </c>
      <c r="L2" s="13"/>
      <c r="M2" s="13"/>
    </row>
    <row r="3" spans="1:13" x14ac:dyDescent="0.25">
      <c r="A3" s="13" t="s">
        <v>341</v>
      </c>
      <c r="B3" s="13" t="s">
        <v>350</v>
      </c>
      <c r="C3" s="14" t="s">
        <v>351</v>
      </c>
      <c r="D3" s="15">
        <v>182</v>
      </c>
      <c r="E3" s="15">
        <v>0.2</v>
      </c>
      <c r="F3" s="15">
        <v>0</v>
      </c>
      <c r="G3" s="15">
        <v>3.2</v>
      </c>
      <c r="H3" s="15">
        <v>2.9</v>
      </c>
      <c r="I3" s="15">
        <v>0.8</v>
      </c>
      <c r="J3" s="15">
        <v>4.3</v>
      </c>
      <c r="K3" s="15">
        <v>3600</v>
      </c>
      <c r="L3" s="13"/>
      <c r="M3" s="13"/>
    </row>
    <row r="4" spans="1:13" x14ac:dyDescent="0.25">
      <c r="A4" s="13" t="s">
        <v>341</v>
      </c>
      <c r="B4" s="13" t="s">
        <v>352</v>
      </c>
      <c r="C4" s="14" t="s">
        <v>353</v>
      </c>
      <c r="D4" s="15">
        <v>676</v>
      </c>
      <c r="E4" s="15">
        <v>1.2</v>
      </c>
      <c r="F4" s="15">
        <v>0.2</v>
      </c>
      <c r="G4" s="15">
        <v>14.5</v>
      </c>
      <c r="H4" s="15">
        <v>11.6</v>
      </c>
      <c r="I4" s="15">
        <v>11.1</v>
      </c>
      <c r="J4" s="15">
        <v>17.399999999999999</v>
      </c>
      <c r="K4" s="15">
        <v>3100</v>
      </c>
      <c r="L4" s="13"/>
      <c r="M4" s="13"/>
    </row>
    <row r="5" spans="1:13" x14ac:dyDescent="0.25">
      <c r="A5" s="1" t="s">
        <v>278</v>
      </c>
      <c r="B5" s="25" t="s">
        <v>300</v>
      </c>
      <c r="C5" s="12" t="s">
        <v>301</v>
      </c>
      <c r="D5" s="42">
        <v>906.18</v>
      </c>
      <c r="E5" s="42">
        <v>10.65</v>
      </c>
      <c r="F5" s="42">
        <v>4.3499999999999996</v>
      </c>
      <c r="G5" s="42">
        <v>0</v>
      </c>
      <c r="H5" s="42">
        <v>0</v>
      </c>
      <c r="I5" s="42">
        <v>0</v>
      </c>
      <c r="J5" s="42">
        <v>30.13</v>
      </c>
      <c r="K5" s="42">
        <v>2430</v>
      </c>
    </row>
    <row r="6" spans="1:13" x14ac:dyDescent="0.25">
      <c r="A6" s="1" t="s">
        <v>377</v>
      </c>
      <c r="B6" s="1" t="s">
        <v>402</v>
      </c>
      <c r="C6" s="2" t="s">
        <v>403</v>
      </c>
      <c r="D6" s="12">
        <v>3470</v>
      </c>
      <c r="E6" s="12">
        <v>41.6</v>
      </c>
      <c r="F6" s="12">
        <v>12</v>
      </c>
      <c r="G6" s="12">
        <v>78.900000000000006</v>
      </c>
      <c r="H6" s="12">
        <v>7.6</v>
      </c>
      <c r="I6" s="12">
        <v>6.8</v>
      </c>
      <c r="J6" s="12">
        <v>31</v>
      </c>
      <c r="K6" s="12">
        <v>1551</v>
      </c>
      <c r="L6" s="1" t="s">
        <v>451</v>
      </c>
    </row>
    <row r="7" spans="1:13" x14ac:dyDescent="0.25">
      <c r="A7" s="1" t="s">
        <v>278</v>
      </c>
      <c r="B7" s="25" t="s">
        <v>302</v>
      </c>
      <c r="C7" s="12" t="s">
        <v>303</v>
      </c>
      <c r="D7" s="42">
        <v>439.79</v>
      </c>
      <c r="E7" s="42">
        <v>5.0999999999999996</v>
      </c>
      <c r="F7" s="42">
        <v>1.879</v>
      </c>
      <c r="G7" s="42">
        <v>1.77</v>
      </c>
      <c r="H7" s="42">
        <v>0</v>
      </c>
      <c r="I7" s="42">
        <v>0</v>
      </c>
      <c r="J7" s="42">
        <v>13</v>
      </c>
      <c r="K7" s="42">
        <v>1500</v>
      </c>
    </row>
    <row r="8" spans="1:13" x14ac:dyDescent="0.25">
      <c r="A8" s="1" t="s">
        <v>377</v>
      </c>
      <c r="B8" s="1" t="s">
        <v>400</v>
      </c>
      <c r="C8" s="2" t="s">
        <v>401</v>
      </c>
      <c r="D8" s="12">
        <v>2848</v>
      </c>
      <c r="E8" s="12">
        <v>35.200000000000003</v>
      </c>
      <c r="F8" s="12">
        <v>7.1</v>
      </c>
      <c r="G8" s="12">
        <v>60</v>
      </c>
      <c r="H8" s="12">
        <v>8.9</v>
      </c>
      <c r="I8" s="12">
        <v>7.7</v>
      </c>
      <c r="J8" s="12">
        <v>28.1</v>
      </c>
      <c r="K8" s="12">
        <v>1042</v>
      </c>
      <c r="L8" s="1" t="s">
        <v>451</v>
      </c>
    </row>
    <row r="9" spans="1:13" x14ac:dyDescent="0.25">
      <c r="A9" s="1" t="s">
        <v>278</v>
      </c>
      <c r="B9" s="25" t="s">
        <v>306</v>
      </c>
      <c r="C9" s="12" t="s">
        <v>307</v>
      </c>
      <c r="D9" s="43">
        <v>755.32</v>
      </c>
      <c r="E9" s="43">
        <v>11.4</v>
      </c>
      <c r="F9" s="43">
        <v>4.1829999999999998</v>
      </c>
      <c r="G9" s="43">
        <v>7.3</v>
      </c>
      <c r="H9" s="43">
        <v>1.1000000000000001</v>
      </c>
      <c r="I9" s="43">
        <v>2</v>
      </c>
      <c r="J9" s="43">
        <v>12.32</v>
      </c>
      <c r="K9" s="43">
        <v>1030</v>
      </c>
    </row>
    <row r="10" spans="1:13" x14ac:dyDescent="0.25">
      <c r="A10" s="1" t="s">
        <v>278</v>
      </c>
      <c r="B10" s="1" t="s">
        <v>329</v>
      </c>
      <c r="C10" s="2" t="s">
        <v>330</v>
      </c>
      <c r="D10" s="2">
        <v>364.94</v>
      </c>
      <c r="E10" s="2">
        <v>1.1000000000000001</v>
      </c>
      <c r="F10" s="2">
        <v>0.23</v>
      </c>
      <c r="G10" s="2">
        <v>82.09</v>
      </c>
      <c r="H10" s="2">
        <v>10.18</v>
      </c>
      <c r="I10" s="2">
        <v>2.2000000000000002</v>
      </c>
      <c r="J10" s="2">
        <v>6.67</v>
      </c>
      <c r="K10" s="2">
        <v>1030</v>
      </c>
      <c r="L10" s="1" t="s">
        <v>452</v>
      </c>
    </row>
    <row r="11" spans="1:13" x14ac:dyDescent="0.25">
      <c r="A11" s="21" t="s">
        <v>157</v>
      </c>
      <c r="B11" s="1" t="s">
        <v>160</v>
      </c>
      <c r="C11" s="2" t="s">
        <v>161</v>
      </c>
      <c r="D11" s="42">
        <v>1470.67</v>
      </c>
      <c r="E11" s="42">
        <v>26.85</v>
      </c>
      <c r="F11" s="42">
        <v>16.850000000000001</v>
      </c>
      <c r="G11" s="42">
        <v>0</v>
      </c>
      <c r="H11" s="42">
        <v>0</v>
      </c>
      <c r="I11" s="42">
        <v>0</v>
      </c>
      <c r="J11" s="42">
        <v>28.07</v>
      </c>
      <c r="K11" s="42">
        <v>767.5</v>
      </c>
    </row>
    <row r="12" spans="1:13" x14ac:dyDescent="0.25">
      <c r="A12" s="1" t="s">
        <v>377</v>
      </c>
      <c r="B12" s="1" t="s">
        <v>386</v>
      </c>
      <c r="C12" s="2" t="s">
        <v>387</v>
      </c>
      <c r="D12" s="42">
        <v>1087.53</v>
      </c>
      <c r="E12" s="42">
        <v>13.3</v>
      </c>
      <c r="F12" s="42">
        <v>5.6379999999999999</v>
      </c>
      <c r="G12" s="42">
        <v>21.4</v>
      </c>
      <c r="H12" s="42">
        <v>4.0999999999999996</v>
      </c>
      <c r="I12" s="42">
        <v>1.2</v>
      </c>
      <c r="J12" s="42">
        <v>13.63</v>
      </c>
      <c r="K12" s="42">
        <v>760</v>
      </c>
      <c r="L12" s="1" t="s">
        <v>452</v>
      </c>
    </row>
    <row r="13" spans="1:13" x14ac:dyDescent="0.25">
      <c r="A13" s="1" t="s">
        <v>377</v>
      </c>
      <c r="B13" s="1" t="s">
        <v>404</v>
      </c>
      <c r="C13" s="2" t="s">
        <v>405</v>
      </c>
      <c r="D13" s="12">
        <v>1090</v>
      </c>
      <c r="E13" s="12">
        <v>13.3</v>
      </c>
      <c r="F13" s="12">
        <v>5.6</v>
      </c>
      <c r="G13" s="12">
        <v>21.4</v>
      </c>
      <c r="H13" s="12">
        <v>4.0999999999999996</v>
      </c>
      <c r="I13" s="12">
        <v>1.2</v>
      </c>
      <c r="J13" s="12">
        <v>13.6</v>
      </c>
      <c r="K13" s="12">
        <v>760</v>
      </c>
      <c r="L13" s="1" t="s">
        <v>451</v>
      </c>
    </row>
    <row r="14" spans="1:13" s="13" customFormat="1" x14ac:dyDescent="0.25">
      <c r="A14" s="1" t="s">
        <v>278</v>
      </c>
      <c r="B14" s="1" t="s">
        <v>286</v>
      </c>
      <c r="C14" s="2" t="s">
        <v>287</v>
      </c>
      <c r="D14" s="2">
        <v>1956.21</v>
      </c>
      <c r="E14" s="2">
        <v>24.5</v>
      </c>
      <c r="F14" s="2">
        <v>10.664999999999999</v>
      </c>
      <c r="G14" s="2">
        <v>54.56</v>
      </c>
      <c r="H14" s="2">
        <v>2.33</v>
      </c>
      <c r="I14" s="2">
        <v>3.4</v>
      </c>
      <c r="J14" s="2">
        <v>7.19</v>
      </c>
      <c r="K14" s="2">
        <v>750</v>
      </c>
      <c r="L14" s="1" t="s">
        <v>453</v>
      </c>
      <c r="M14" s="1"/>
    </row>
    <row r="15" spans="1:13" s="13" customFormat="1" x14ac:dyDescent="0.25">
      <c r="A15" s="9" t="s">
        <v>157</v>
      </c>
      <c r="B15" s="9" t="s">
        <v>421</v>
      </c>
      <c r="C15" s="10" t="s">
        <v>159</v>
      </c>
      <c r="D15" s="44">
        <v>1664.11</v>
      </c>
      <c r="E15" s="44">
        <v>33.979999999999997</v>
      </c>
      <c r="F15" s="44">
        <v>22.062000000000001</v>
      </c>
      <c r="G15" s="44">
        <v>0</v>
      </c>
      <c r="H15" s="44">
        <v>0</v>
      </c>
      <c r="I15" s="44">
        <v>0</v>
      </c>
      <c r="J15" s="44">
        <v>23.93</v>
      </c>
      <c r="K15" s="44">
        <v>676.67</v>
      </c>
      <c r="L15" s="9"/>
      <c r="M15" s="9"/>
    </row>
    <row r="16" spans="1:13" s="9" customFormat="1" x14ac:dyDescent="0.25">
      <c r="A16" s="1" t="s">
        <v>278</v>
      </c>
      <c r="B16" s="1" t="s">
        <v>320</v>
      </c>
      <c r="C16" s="2" t="s">
        <v>321</v>
      </c>
      <c r="D16" s="42">
        <v>2170.39</v>
      </c>
      <c r="E16" s="42">
        <v>36.799999999999997</v>
      </c>
      <c r="F16" s="42">
        <v>16.398</v>
      </c>
      <c r="G16" s="42">
        <v>41.95</v>
      </c>
      <c r="H16" s="42">
        <v>1.2</v>
      </c>
      <c r="I16" s="42">
        <v>3.84</v>
      </c>
      <c r="J16" s="42">
        <v>5.63</v>
      </c>
      <c r="K16" s="42">
        <v>670</v>
      </c>
      <c r="L16" s="1"/>
      <c r="M16" s="1"/>
    </row>
    <row r="17" spans="1:13" x14ac:dyDescent="0.25">
      <c r="A17" s="13" t="s">
        <v>278</v>
      </c>
      <c r="B17" s="13" t="s">
        <v>308</v>
      </c>
      <c r="C17" s="14" t="s">
        <v>309</v>
      </c>
      <c r="D17" s="15">
        <v>968</v>
      </c>
      <c r="E17" s="15">
        <v>16.8</v>
      </c>
      <c r="F17" s="15">
        <v>7.1</v>
      </c>
      <c r="G17" s="15">
        <v>0</v>
      </c>
      <c r="H17" s="15">
        <v>0</v>
      </c>
      <c r="I17" s="15">
        <v>0</v>
      </c>
      <c r="J17" s="15">
        <v>20.399999999999999</v>
      </c>
      <c r="K17" s="15">
        <v>660</v>
      </c>
      <c r="L17" s="13"/>
      <c r="M17" s="13"/>
    </row>
    <row r="18" spans="1:13" x14ac:dyDescent="0.25">
      <c r="A18" s="13" t="s">
        <v>106</v>
      </c>
      <c r="B18" s="13" t="s">
        <v>137</v>
      </c>
      <c r="C18" s="14" t="s">
        <v>138</v>
      </c>
      <c r="D18" s="14">
        <v>1678</v>
      </c>
      <c r="E18" s="14">
        <v>8</v>
      </c>
      <c r="F18" s="14">
        <v>1</v>
      </c>
      <c r="G18" s="14">
        <v>70.099999999999994</v>
      </c>
      <c r="H18" s="14">
        <v>3.7</v>
      </c>
      <c r="I18" s="14">
        <v>1</v>
      </c>
      <c r="J18" s="14">
        <v>10.8</v>
      </c>
      <c r="K18" s="14">
        <v>648</v>
      </c>
      <c r="L18" s="13" t="s">
        <v>452</v>
      </c>
      <c r="M18" s="13"/>
    </row>
    <row r="19" spans="1:13" x14ac:dyDescent="0.25">
      <c r="A19" s="13" t="s">
        <v>187</v>
      </c>
      <c r="B19" s="13" t="s">
        <v>200</v>
      </c>
      <c r="C19" s="14" t="s">
        <v>201</v>
      </c>
      <c r="D19" s="45">
        <v>795</v>
      </c>
      <c r="E19" s="45">
        <v>10.9</v>
      </c>
      <c r="F19" s="45">
        <v>5.3</v>
      </c>
      <c r="G19" s="45">
        <v>0.7</v>
      </c>
      <c r="H19" s="45">
        <v>0.7</v>
      </c>
      <c r="I19" s="45">
        <v>0</v>
      </c>
      <c r="J19" s="45">
        <v>22.3</v>
      </c>
      <c r="K19" s="45">
        <v>630</v>
      </c>
      <c r="L19" s="13" t="s">
        <v>454</v>
      </c>
      <c r="M19" s="13"/>
    </row>
    <row r="20" spans="1:13" x14ac:dyDescent="0.25">
      <c r="A20" s="1" t="s">
        <v>187</v>
      </c>
      <c r="B20" s="1" t="s">
        <v>228</v>
      </c>
      <c r="C20" s="2" t="s">
        <v>229</v>
      </c>
      <c r="D20" s="46">
        <v>2440</v>
      </c>
      <c r="E20" s="46">
        <v>52.2</v>
      </c>
      <c r="F20" s="46">
        <v>6.8</v>
      </c>
      <c r="G20" s="46">
        <v>14.6</v>
      </c>
      <c r="H20" s="46">
        <v>1.6</v>
      </c>
      <c r="I20" s="46">
        <v>8.1999999999999993</v>
      </c>
      <c r="J20" s="46">
        <v>23.3</v>
      </c>
      <c r="K20" s="46">
        <v>620</v>
      </c>
      <c r="L20" s="1" t="s">
        <v>455</v>
      </c>
      <c r="M20" s="1" t="s">
        <v>456</v>
      </c>
    </row>
    <row r="21" spans="1:13" x14ac:dyDescent="0.25">
      <c r="A21" s="1" t="s">
        <v>278</v>
      </c>
      <c r="B21" s="1" t="s">
        <v>337</v>
      </c>
      <c r="C21" s="2" t="s">
        <v>338</v>
      </c>
      <c r="D21" s="42">
        <v>446.68</v>
      </c>
      <c r="E21" s="42">
        <v>0.1</v>
      </c>
      <c r="F21" s="42">
        <v>0</v>
      </c>
      <c r="G21" s="42">
        <v>24.87</v>
      </c>
      <c r="H21" s="42">
        <v>24.4</v>
      </c>
      <c r="I21" s="42">
        <v>1.4</v>
      </c>
      <c r="J21" s="42">
        <v>1.19</v>
      </c>
      <c r="K21" s="42">
        <v>615</v>
      </c>
    </row>
    <row r="22" spans="1:13" x14ac:dyDescent="0.25">
      <c r="A22" s="1" t="s">
        <v>106</v>
      </c>
      <c r="B22" s="1" t="s">
        <v>117</v>
      </c>
      <c r="C22" s="2" t="s">
        <v>118</v>
      </c>
      <c r="D22" s="2">
        <v>1471</v>
      </c>
      <c r="E22" s="2">
        <v>1.3</v>
      </c>
      <c r="F22" s="2">
        <v>0.1</v>
      </c>
      <c r="G22" s="2">
        <v>76.2</v>
      </c>
      <c r="H22" s="2">
        <v>7.3</v>
      </c>
      <c r="I22" s="2">
        <v>3.3</v>
      </c>
      <c r="J22" s="2">
        <v>7.5</v>
      </c>
      <c r="K22" s="2">
        <v>610</v>
      </c>
      <c r="L22" s="1" t="s">
        <v>453</v>
      </c>
    </row>
    <row r="23" spans="1:13" x14ac:dyDescent="0.25">
      <c r="A23" s="1" t="s">
        <v>278</v>
      </c>
      <c r="B23" s="1" t="s">
        <v>335</v>
      </c>
      <c r="C23" s="2" t="s">
        <v>336</v>
      </c>
      <c r="D23" s="42">
        <v>1348.03</v>
      </c>
      <c r="E23" s="42">
        <v>27.6</v>
      </c>
      <c r="F23" s="42">
        <v>3.069</v>
      </c>
      <c r="G23" s="42">
        <v>18.600000000000001</v>
      </c>
      <c r="H23" s="42">
        <v>14.79</v>
      </c>
      <c r="I23" s="42">
        <v>0.8</v>
      </c>
      <c r="J23" s="42">
        <v>0.63</v>
      </c>
      <c r="K23" s="42">
        <v>607</v>
      </c>
    </row>
    <row r="24" spans="1:13" x14ac:dyDescent="0.25">
      <c r="A24" s="9" t="s">
        <v>265</v>
      </c>
      <c r="B24" s="9" t="s">
        <v>266</v>
      </c>
      <c r="C24" s="10" t="s">
        <v>267</v>
      </c>
      <c r="D24" s="44">
        <v>3052.77</v>
      </c>
      <c r="E24" s="44">
        <v>82.1</v>
      </c>
      <c r="F24" s="44">
        <v>53.066000000000003</v>
      </c>
      <c r="G24" s="44">
        <v>0.44</v>
      </c>
      <c r="H24" s="44">
        <v>0.44</v>
      </c>
      <c r="I24" s="44">
        <v>0</v>
      </c>
      <c r="J24" s="44">
        <v>0.45</v>
      </c>
      <c r="K24" s="44">
        <v>546.66999999999996</v>
      </c>
      <c r="L24" s="9"/>
      <c r="M24" s="9"/>
    </row>
    <row r="25" spans="1:13" x14ac:dyDescent="0.25">
      <c r="A25" s="1" t="s">
        <v>278</v>
      </c>
      <c r="B25" s="25" t="s">
        <v>304</v>
      </c>
      <c r="C25" s="12" t="s">
        <v>305</v>
      </c>
      <c r="D25" s="42">
        <v>1121.21</v>
      </c>
      <c r="E25" s="42">
        <v>22.22</v>
      </c>
      <c r="F25" s="42">
        <v>9.6720000000000006</v>
      </c>
      <c r="G25" s="42">
        <v>2.76</v>
      </c>
      <c r="H25" s="42">
        <v>0</v>
      </c>
      <c r="I25" s="42">
        <v>1.96</v>
      </c>
      <c r="J25" s="42">
        <v>14.82</v>
      </c>
      <c r="K25" s="42">
        <v>543.53</v>
      </c>
    </row>
    <row r="26" spans="1:13" x14ac:dyDescent="0.25">
      <c r="A26" s="1" t="s">
        <v>377</v>
      </c>
      <c r="B26" s="1" t="s">
        <v>384</v>
      </c>
      <c r="C26" s="2" t="s">
        <v>385</v>
      </c>
      <c r="D26" s="42">
        <v>992.73</v>
      </c>
      <c r="E26" s="42">
        <v>7.2</v>
      </c>
      <c r="F26" s="42">
        <v>3.181</v>
      </c>
      <c r="G26" s="42">
        <v>27.6</v>
      </c>
      <c r="H26" s="42">
        <v>1</v>
      </c>
      <c r="I26" s="42">
        <v>1.7</v>
      </c>
      <c r="J26" s="42">
        <v>12.38</v>
      </c>
      <c r="K26" s="42">
        <v>540</v>
      </c>
      <c r="L26" s="1" t="s">
        <v>451</v>
      </c>
    </row>
    <row r="27" spans="1:13" x14ac:dyDescent="0.25">
      <c r="A27" s="1" t="s">
        <v>377</v>
      </c>
      <c r="B27" s="1" t="s">
        <v>394</v>
      </c>
      <c r="C27" s="2" t="s">
        <v>395</v>
      </c>
      <c r="D27" s="12">
        <v>521</v>
      </c>
      <c r="E27" s="12">
        <v>7.9</v>
      </c>
      <c r="F27" s="12">
        <v>5.0999999999999996</v>
      </c>
      <c r="G27" s="12">
        <v>5.3</v>
      </c>
      <c r="H27" s="12">
        <v>5.2</v>
      </c>
      <c r="I27" s="12">
        <v>0.4</v>
      </c>
      <c r="J27" s="12">
        <v>8.1999999999999993</v>
      </c>
      <c r="K27" s="12">
        <v>530</v>
      </c>
      <c r="L27" s="1" t="s">
        <v>452</v>
      </c>
    </row>
    <row r="28" spans="1:13" x14ac:dyDescent="0.25">
      <c r="A28" s="1" t="s">
        <v>43</v>
      </c>
      <c r="B28" s="1" t="s">
        <v>96</v>
      </c>
      <c r="C28" s="2" t="s">
        <v>97</v>
      </c>
      <c r="D28" s="42">
        <v>156.80000000000001</v>
      </c>
      <c r="E28" s="42">
        <v>0.7</v>
      </c>
      <c r="F28" s="42">
        <v>0.104</v>
      </c>
      <c r="G28" s="42">
        <v>6.2</v>
      </c>
      <c r="H28" s="42">
        <v>2.4</v>
      </c>
      <c r="I28" s="42">
        <v>1.8</v>
      </c>
      <c r="J28" s="42">
        <v>1.5</v>
      </c>
      <c r="K28" s="42">
        <v>500</v>
      </c>
    </row>
    <row r="29" spans="1:13" x14ac:dyDescent="0.25">
      <c r="A29" s="1" t="s">
        <v>106</v>
      </c>
      <c r="B29" s="1" t="s">
        <v>115</v>
      </c>
      <c r="C29" s="2" t="s">
        <v>116</v>
      </c>
      <c r="D29" s="2">
        <v>1630</v>
      </c>
      <c r="E29" s="2">
        <v>7.2</v>
      </c>
      <c r="F29" s="2">
        <v>1</v>
      </c>
      <c r="G29" s="2">
        <v>64.099999999999994</v>
      </c>
      <c r="H29" s="2">
        <v>1.9</v>
      </c>
      <c r="I29" s="2">
        <v>11.1</v>
      </c>
      <c r="J29" s="2">
        <v>11.7</v>
      </c>
      <c r="K29" s="2">
        <v>490</v>
      </c>
      <c r="L29" s="1" t="s">
        <v>453</v>
      </c>
    </row>
    <row r="30" spans="1:13" x14ac:dyDescent="0.25">
      <c r="A30" s="1" t="s">
        <v>278</v>
      </c>
      <c r="B30" s="1" t="s">
        <v>333</v>
      </c>
      <c r="C30" s="2" t="s">
        <v>334</v>
      </c>
      <c r="D30" s="42">
        <v>209.41</v>
      </c>
      <c r="E30" s="42">
        <v>0.41</v>
      </c>
      <c r="F30" s="42">
        <v>0.04</v>
      </c>
      <c r="G30" s="42">
        <v>9.57</v>
      </c>
      <c r="H30" s="42">
        <v>7.8</v>
      </c>
      <c r="I30" s="42">
        <v>1.7</v>
      </c>
      <c r="J30" s="42">
        <v>1.86</v>
      </c>
      <c r="K30" s="42">
        <v>488</v>
      </c>
    </row>
    <row r="31" spans="1:13" x14ac:dyDescent="0.25">
      <c r="A31" s="1" t="s">
        <v>187</v>
      </c>
      <c r="B31" s="1" t="s">
        <v>457</v>
      </c>
      <c r="C31" s="2" t="s">
        <v>232</v>
      </c>
      <c r="D31" s="12">
        <v>479</v>
      </c>
      <c r="E31" s="12">
        <v>4.5</v>
      </c>
      <c r="F31" s="12">
        <v>1.7</v>
      </c>
      <c r="G31" s="12">
        <v>9.5</v>
      </c>
      <c r="H31" s="12">
        <v>1.4</v>
      </c>
      <c r="I31" s="12">
        <v>7.6</v>
      </c>
      <c r="J31" s="12">
        <v>5.3</v>
      </c>
      <c r="K31" s="12">
        <v>480</v>
      </c>
    </row>
    <row r="32" spans="1:13" x14ac:dyDescent="0.25">
      <c r="A32" s="9" t="s">
        <v>106</v>
      </c>
      <c r="B32" s="9" t="s">
        <v>107</v>
      </c>
      <c r="C32" s="10" t="s">
        <v>108</v>
      </c>
      <c r="D32" s="10">
        <v>976.54</v>
      </c>
      <c r="E32" s="10">
        <v>2.4</v>
      </c>
      <c r="F32" s="10">
        <v>0.312</v>
      </c>
      <c r="G32" s="10">
        <v>43.1</v>
      </c>
      <c r="H32" s="10">
        <v>4.3</v>
      </c>
      <c r="I32" s="10">
        <v>3.6</v>
      </c>
      <c r="J32" s="10">
        <v>9.1199999999999992</v>
      </c>
      <c r="K32" s="10">
        <v>460</v>
      </c>
      <c r="L32" s="9" t="s">
        <v>453</v>
      </c>
      <c r="M32" s="9"/>
    </row>
    <row r="33" spans="1:26" x14ac:dyDescent="0.25">
      <c r="A33" s="9" t="s">
        <v>377</v>
      </c>
      <c r="B33" s="9" t="s">
        <v>378</v>
      </c>
      <c r="C33" s="10" t="s">
        <v>379</v>
      </c>
      <c r="D33" s="44">
        <v>1085.3399999999999</v>
      </c>
      <c r="E33" s="44">
        <v>12.66</v>
      </c>
      <c r="F33" s="44">
        <v>6.6029999999999998</v>
      </c>
      <c r="G33" s="44">
        <v>26.88</v>
      </c>
      <c r="H33" s="44">
        <v>0.65</v>
      </c>
      <c r="I33" s="44">
        <v>0.9</v>
      </c>
      <c r="J33" s="44">
        <v>9.41</v>
      </c>
      <c r="K33" s="44">
        <v>455</v>
      </c>
      <c r="L33" s="9" t="s">
        <v>452</v>
      </c>
      <c r="M33" s="9"/>
    </row>
    <row r="34" spans="1:26" x14ac:dyDescent="0.25">
      <c r="A34" s="1" t="s">
        <v>106</v>
      </c>
      <c r="B34" s="1" t="s">
        <v>111</v>
      </c>
      <c r="C34" s="2" t="s">
        <v>112</v>
      </c>
      <c r="D34" s="2">
        <v>963.99</v>
      </c>
      <c r="E34" s="2">
        <v>2.8</v>
      </c>
      <c r="F34" s="2">
        <v>0.41599999999999998</v>
      </c>
      <c r="G34" s="2">
        <v>40.700000000000003</v>
      </c>
      <c r="H34" s="2">
        <v>4.0999999999999996</v>
      </c>
      <c r="I34" s="2">
        <v>5.0999999999999996</v>
      </c>
      <c r="J34" s="2">
        <v>9.91</v>
      </c>
      <c r="K34" s="2">
        <v>450</v>
      </c>
      <c r="L34" s="1" t="s">
        <v>453</v>
      </c>
    </row>
    <row r="35" spans="1:26" x14ac:dyDescent="0.25">
      <c r="A35" s="1" t="s">
        <v>106</v>
      </c>
      <c r="B35" s="1" t="s">
        <v>458</v>
      </c>
      <c r="C35" s="2" t="s">
        <v>110</v>
      </c>
      <c r="D35" s="2">
        <v>907.9</v>
      </c>
      <c r="E35" s="2">
        <v>2.9</v>
      </c>
      <c r="F35" s="2">
        <v>0.38800000000000001</v>
      </c>
      <c r="G35" s="2">
        <v>36.6</v>
      </c>
      <c r="H35" s="2">
        <v>3.8</v>
      </c>
      <c r="I35" s="2">
        <v>6.5</v>
      </c>
      <c r="J35" s="2">
        <v>10.49</v>
      </c>
      <c r="K35" s="2">
        <v>430</v>
      </c>
      <c r="L35" s="1" t="s">
        <v>453</v>
      </c>
    </row>
    <row r="36" spans="1:26" s="13" customFormat="1" x14ac:dyDescent="0.25">
      <c r="A36" s="13" t="s">
        <v>278</v>
      </c>
      <c r="B36" s="13" t="s">
        <v>324</v>
      </c>
      <c r="C36" s="14" t="s">
        <v>325</v>
      </c>
      <c r="D36" s="15">
        <v>1580</v>
      </c>
      <c r="E36" s="15">
        <v>1.1000000000000001</v>
      </c>
      <c r="F36" s="15">
        <v>0.7</v>
      </c>
      <c r="G36" s="15">
        <v>84.4</v>
      </c>
      <c r="H36" s="15">
        <v>38.799999999999997</v>
      </c>
      <c r="I36" s="15">
        <v>1.3</v>
      </c>
      <c r="J36" s="15">
        <v>5.6</v>
      </c>
      <c r="K36" s="15">
        <v>430</v>
      </c>
    </row>
    <row r="37" spans="1:26" s="13" customFormat="1" x14ac:dyDescent="0.25">
      <c r="A37" s="1" t="s">
        <v>278</v>
      </c>
      <c r="B37" s="1" t="s">
        <v>294</v>
      </c>
      <c r="C37" s="2" t="s">
        <v>295</v>
      </c>
      <c r="D37" s="12">
        <v>1504</v>
      </c>
      <c r="E37" s="12">
        <v>19.7</v>
      </c>
      <c r="F37" s="12">
        <v>10.4</v>
      </c>
      <c r="G37" s="12">
        <v>40</v>
      </c>
      <c r="H37" s="12">
        <v>14.1</v>
      </c>
      <c r="I37" s="12">
        <v>1.7</v>
      </c>
      <c r="J37" s="12">
        <v>5.8</v>
      </c>
      <c r="K37" s="12">
        <v>423</v>
      </c>
      <c r="L37" s="1"/>
      <c r="M37" s="1"/>
    </row>
    <row r="38" spans="1:26" s="13" customFormat="1" x14ac:dyDescent="0.25">
      <c r="A38" s="1" t="s">
        <v>187</v>
      </c>
      <c r="B38" s="1" t="s">
        <v>235</v>
      </c>
      <c r="C38" s="2" t="s">
        <v>236</v>
      </c>
      <c r="D38" s="46">
        <v>351</v>
      </c>
      <c r="E38" s="46">
        <v>0.6</v>
      </c>
      <c r="F38" s="46">
        <v>0.1</v>
      </c>
      <c r="G38" s="46">
        <v>14</v>
      </c>
      <c r="H38" s="46">
        <v>5.7</v>
      </c>
      <c r="I38" s="46">
        <v>3.5</v>
      </c>
      <c r="J38" s="46">
        <v>3.8</v>
      </c>
      <c r="K38" s="46">
        <v>401</v>
      </c>
      <c r="L38" s="1" t="s">
        <v>455</v>
      </c>
      <c r="M38" s="1" t="s">
        <v>459</v>
      </c>
    </row>
    <row r="39" spans="1:26" s="13" customFormat="1" x14ac:dyDescent="0.25">
      <c r="A39" s="21" t="s">
        <v>157</v>
      </c>
      <c r="B39" s="1" t="s">
        <v>171</v>
      </c>
      <c r="C39" s="2" t="s">
        <v>172</v>
      </c>
      <c r="D39" s="42">
        <v>396</v>
      </c>
      <c r="E39" s="42">
        <v>3.5</v>
      </c>
      <c r="F39" s="42">
        <v>2.2000000000000002</v>
      </c>
      <c r="G39" s="42">
        <v>2</v>
      </c>
      <c r="H39" s="42">
        <v>2</v>
      </c>
      <c r="I39" s="42">
        <v>0</v>
      </c>
      <c r="J39" s="42">
        <v>13.7</v>
      </c>
      <c r="K39" s="42">
        <v>390</v>
      </c>
      <c r="L39" s="1"/>
      <c r="M39" s="1"/>
    </row>
    <row r="40" spans="1:26" x14ac:dyDescent="0.25">
      <c r="A40" s="1" t="s">
        <v>265</v>
      </c>
      <c r="B40" s="1" t="s">
        <v>268</v>
      </c>
      <c r="C40" s="2" t="s">
        <v>269</v>
      </c>
      <c r="D40" s="42">
        <v>2595.31</v>
      </c>
      <c r="E40" s="42">
        <v>70</v>
      </c>
      <c r="F40" s="42">
        <v>16.128</v>
      </c>
      <c r="G40" s="42">
        <v>0</v>
      </c>
      <c r="H40" s="42">
        <v>0</v>
      </c>
      <c r="I40" s="42">
        <v>0</v>
      </c>
      <c r="J40" s="42">
        <v>0.31</v>
      </c>
      <c r="K40" s="42">
        <v>390</v>
      </c>
    </row>
    <row r="41" spans="1:26" s="13" customFormat="1" x14ac:dyDescent="0.25">
      <c r="A41" s="1" t="s">
        <v>377</v>
      </c>
      <c r="B41" s="1" t="s">
        <v>398</v>
      </c>
      <c r="C41" s="2" t="s">
        <v>399</v>
      </c>
      <c r="D41" s="12">
        <v>728</v>
      </c>
      <c r="E41" s="12">
        <v>12</v>
      </c>
      <c r="F41" s="12">
        <v>5.6</v>
      </c>
      <c r="G41" s="12">
        <v>5.0999999999999996</v>
      </c>
      <c r="H41" s="12">
        <v>5</v>
      </c>
      <c r="I41" s="12">
        <v>2.2000000000000002</v>
      </c>
      <c r="J41" s="12">
        <v>11.7</v>
      </c>
      <c r="K41" s="12">
        <v>380</v>
      </c>
      <c r="L41" s="1" t="s">
        <v>452</v>
      </c>
      <c r="M41" s="1"/>
    </row>
    <row r="42" spans="1:26" x14ac:dyDescent="0.25">
      <c r="A42" s="16" t="s">
        <v>187</v>
      </c>
      <c r="B42" s="16" t="s">
        <v>255</v>
      </c>
      <c r="C42" s="17" t="str">
        <f>'common foods'!D119</f>
        <v>05106</v>
      </c>
      <c r="D42" s="46">
        <v>512</v>
      </c>
      <c r="E42" s="46">
        <v>3.9</v>
      </c>
      <c r="F42" s="46">
        <v>0.4</v>
      </c>
      <c r="G42" s="46">
        <v>14.3</v>
      </c>
      <c r="H42" s="46">
        <v>2.4</v>
      </c>
      <c r="I42" s="46">
        <v>5.8</v>
      </c>
      <c r="J42" s="46">
        <v>4.5999999999999996</v>
      </c>
      <c r="K42" s="46">
        <v>370</v>
      </c>
      <c r="L42" s="16" t="s">
        <v>460</v>
      </c>
      <c r="M42" s="16"/>
    </row>
    <row r="43" spans="1:26" s="18" customFormat="1" ht="15.75" customHeight="1" x14ac:dyDescent="0.25">
      <c r="A43" s="13" t="s">
        <v>377</v>
      </c>
      <c r="B43" s="13" t="s">
        <v>390</v>
      </c>
      <c r="C43" s="14" t="s">
        <v>391</v>
      </c>
      <c r="D43" s="15">
        <v>1026</v>
      </c>
      <c r="E43" s="15">
        <v>11.8</v>
      </c>
      <c r="F43" s="15">
        <v>4.3</v>
      </c>
      <c r="G43" s="15">
        <v>25</v>
      </c>
      <c r="H43" s="15">
        <v>0.2</v>
      </c>
      <c r="I43" s="15">
        <v>4.5</v>
      </c>
      <c r="J43" s="15">
        <v>7.7</v>
      </c>
      <c r="K43" s="15">
        <v>368</v>
      </c>
      <c r="L43" s="13" t="s">
        <v>451</v>
      </c>
      <c r="M43" s="13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" t="s">
        <v>106</v>
      </c>
      <c r="B44" s="1" t="s">
        <v>113</v>
      </c>
      <c r="C44" s="2" t="s">
        <v>114</v>
      </c>
      <c r="D44" s="2">
        <v>1046.72</v>
      </c>
      <c r="E44" s="2">
        <v>0.89</v>
      </c>
      <c r="F44" s="2">
        <v>0.12</v>
      </c>
      <c r="G44" s="2">
        <v>49.2</v>
      </c>
      <c r="H44" s="2">
        <v>2.2999999999999998</v>
      </c>
      <c r="I44" s="2">
        <v>3</v>
      </c>
      <c r="J44" s="2">
        <v>10.43</v>
      </c>
      <c r="K44" s="2">
        <v>344</v>
      </c>
      <c r="L44" s="1" t="s">
        <v>453</v>
      </c>
      <c r="M44" s="1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" t="s">
        <v>341</v>
      </c>
      <c r="B45" s="1" t="s">
        <v>346</v>
      </c>
      <c r="C45" s="2" t="s">
        <v>347</v>
      </c>
      <c r="D45" s="46">
        <v>335</v>
      </c>
      <c r="E45" s="46">
        <v>0</v>
      </c>
      <c r="F45" s="46">
        <v>0</v>
      </c>
      <c r="G45" s="46">
        <v>17.5</v>
      </c>
      <c r="H45" s="46">
        <v>15.6</v>
      </c>
      <c r="I45" s="46">
        <v>1.4</v>
      </c>
      <c r="J45" s="46">
        <v>1</v>
      </c>
      <c r="K45" s="46">
        <v>340</v>
      </c>
      <c r="L45" s="1" t="s">
        <v>455</v>
      </c>
      <c r="M45" s="1" t="s">
        <v>461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" t="s">
        <v>187</v>
      </c>
      <c r="B46" s="1" t="s">
        <v>206</v>
      </c>
      <c r="C46" s="2" t="s">
        <v>207</v>
      </c>
      <c r="D46" s="42">
        <v>566</v>
      </c>
      <c r="E46" s="42">
        <v>2.1</v>
      </c>
      <c r="F46" s="42">
        <v>2.1</v>
      </c>
      <c r="G46" s="42">
        <v>0</v>
      </c>
      <c r="H46" s="42">
        <v>0</v>
      </c>
      <c r="I46" s="42">
        <v>0</v>
      </c>
      <c r="J46" s="42">
        <v>29</v>
      </c>
      <c r="K46" s="42">
        <v>330</v>
      </c>
      <c r="L46" s="1"/>
      <c r="M46" s="1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1" t="s">
        <v>187</v>
      </c>
      <c r="B47" s="1" t="s">
        <v>241</v>
      </c>
      <c r="C47" s="2" t="s">
        <v>242</v>
      </c>
      <c r="D47" s="46">
        <v>680</v>
      </c>
      <c r="E47" s="46">
        <v>5.5</v>
      </c>
      <c r="F47" s="46">
        <v>1.2</v>
      </c>
      <c r="G47" s="46">
        <v>0.3</v>
      </c>
      <c r="H47" s="46">
        <v>0.2</v>
      </c>
      <c r="I47" s="46">
        <v>0</v>
      </c>
      <c r="J47" s="46">
        <v>27.7</v>
      </c>
      <c r="K47" s="46">
        <v>330</v>
      </c>
      <c r="L47" s="1" t="s">
        <v>455</v>
      </c>
      <c r="M47" s="1" t="s">
        <v>462</v>
      </c>
    </row>
    <row r="48" spans="1:26" x14ac:dyDescent="0.25">
      <c r="A48" s="1" t="s">
        <v>106</v>
      </c>
      <c r="B48" s="1" t="s">
        <v>135</v>
      </c>
      <c r="C48" s="2" t="s">
        <v>136</v>
      </c>
      <c r="D48" s="46">
        <v>285</v>
      </c>
      <c r="E48" s="46">
        <v>0.3</v>
      </c>
      <c r="F48" s="46">
        <v>0.1</v>
      </c>
      <c r="G48" s="46">
        <v>13.9</v>
      </c>
      <c r="H48" s="46">
        <v>5.0999999999999996</v>
      </c>
      <c r="I48" s="46">
        <v>0.9</v>
      </c>
      <c r="J48" s="46">
        <v>2</v>
      </c>
      <c r="K48" s="46">
        <v>320</v>
      </c>
      <c r="L48" s="1" t="s">
        <v>455</v>
      </c>
      <c r="M48" s="1" t="s">
        <v>463</v>
      </c>
    </row>
    <row r="49" spans="1:13" x14ac:dyDescent="0.25">
      <c r="A49" s="1" t="s">
        <v>377</v>
      </c>
      <c r="B49" s="1" t="s">
        <v>382</v>
      </c>
      <c r="C49" s="2" t="s">
        <v>383</v>
      </c>
      <c r="D49" s="42">
        <v>1255.6400000000001</v>
      </c>
      <c r="E49" s="42">
        <v>20.25</v>
      </c>
      <c r="F49" s="42">
        <v>9.9459999999999997</v>
      </c>
      <c r="G49" s="42">
        <v>14.6</v>
      </c>
      <c r="H49" s="42">
        <v>0</v>
      </c>
      <c r="I49" s="42">
        <v>0.11</v>
      </c>
      <c r="J49" s="42">
        <v>15.19</v>
      </c>
      <c r="K49" s="42">
        <v>314</v>
      </c>
      <c r="L49" s="1" t="s">
        <v>452</v>
      </c>
    </row>
    <row r="50" spans="1:13" x14ac:dyDescent="0.25">
      <c r="A50" s="9" t="s">
        <v>341</v>
      </c>
      <c r="B50" s="9" t="s">
        <v>342</v>
      </c>
      <c r="C50" s="10" t="s">
        <v>343</v>
      </c>
      <c r="D50" s="47">
        <v>2530</v>
      </c>
      <c r="E50" s="47">
        <v>50</v>
      </c>
      <c r="F50" s="44">
        <v>8.5</v>
      </c>
      <c r="G50" s="44">
        <v>7.2</v>
      </c>
      <c r="H50" s="44">
        <v>4.7</v>
      </c>
      <c r="I50" s="44">
        <v>6</v>
      </c>
      <c r="J50" s="44">
        <v>30</v>
      </c>
      <c r="K50" s="44">
        <v>310</v>
      </c>
      <c r="L50" s="9" t="s">
        <v>455</v>
      </c>
      <c r="M50" s="9" t="s">
        <v>464</v>
      </c>
    </row>
    <row r="51" spans="1:13" x14ac:dyDescent="0.25">
      <c r="A51" s="1" t="s">
        <v>187</v>
      </c>
      <c r="B51" s="1" t="s">
        <v>233</v>
      </c>
      <c r="C51" s="2" t="s">
        <v>234</v>
      </c>
      <c r="D51" s="42">
        <v>540.17999999999995</v>
      </c>
      <c r="E51" s="42">
        <v>6.22</v>
      </c>
      <c r="F51" s="42">
        <v>0.82799999999999996</v>
      </c>
      <c r="G51" s="42">
        <v>11.3</v>
      </c>
      <c r="H51" s="42">
        <v>0</v>
      </c>
      <c r="I51" s="42">
        <v>6</v>
      </c>
      <c r="J51" s="42">
        <v>6.94</v>
      </c>
      <c r="K51" s="42">
        <v>300</v>
      </c>
    </row>
    <row r="52" spans="1:13" x14ac:dyDescent="0.25">
      <c r="A52" s="1" t="s">
        <v>187</v>
      </c>
      <c r="B52" s="1" t="s">
        <v>237</v>
      </c>
      <c r="C52" s="2" t="s">
        <v>238</v>
      </c>
      <c r="D52" s="46">
        <v>345</v>
      </c>
      <c r="E52" s="46">
        <v>0.5</v>
      </c>
      <c r="F52" s="46">
        <v>0</v>
      </c>
      <c r="G52" s="46">
        <v>11.8</v>
      </c>
      <c r="H52" s="46">
        <v>4</v>
      </c>
      <c r="I52" s="46">
        <v>4.7</v>
      </c>
      <c r="J52" s="46">
        <v>5.2</v>
      </c>
      <c r="K52" s="46">
        <v>300</v>
      </c>
      <c r="L52" s="1" t="s">
        <v>451</v>
      </c>
      <c r="M52" s="1" t="s">
        <v>465</v>
      </c>
    </row>
    <row r="53" spans="1:13" x14ac:dyDescent="0.25">
      <c r="A53" s="1" t="s">
        <v>106</v>
      </c>
      <c r="B53" s="1" t="s">
        <v>121</v>
      </c>
      <c r="C53" s="2" t="s">
        <v>122</v>
      </c>
      <c r="D53" s="2">
        <v>1290.99</v>
      </c>
      <c r="E53" s="2">
        <v>2.2999999999999998</v>
      </c>
      <c r="F53" s="2">
        <v>3.5000000000000003E-2</v>
      </c>
      <c r="G53" s="2">
        <v>58.4</v>
      </c>
      <c r="H53" s="2">
        <v>1.7</v>
      </c>
      <c r="I53" s="2">
        <v>10.7</v>
      </c>
      <c r="J53" s="2">
        <v>12.53</v>
      </c>
      <c r="K53" s="2">
        <v>280</v>
      </c>
      <c r="L53" s="1" t="s">
        <v>453</v>
      </c>
    </row>
    <row r="54" spans="1:13" x14ac:dyDescent="0.25">
      <c r="A54" s="13" t="s">
        <v>377</v>
      </c>
      <c r="B54" s="13" t="s">
        <v>392</v>
      </c>
      <c r="C54" s="14" t="s">
        <v>393</v>
      </c>
      <c r="D54" s="15">
        <v>850</v>
      </c>
      <c r="E54" s="15">
        <v>6.5</v>
      </c>
      <c r="F54" s="15">
        <v>1.5</v>
      </c>
      <c r="G54" s="15">
        <v>31.5</v>
      </c>
      <c r="H54" s="15">
        <v>5.8</v>
      </c>
      <c r="I54" s="15">
        <v>0.7</v>
      </c>
      <c r="J54" s="15">
        <v>4.2</v>
      </c>
      <c r="K54" s="15">
        <v>280</v>
      </c>
      <c r="L54" s="13" t="s">
        <v>451</v>
      </c>
      <c r="M54" s="13"/>
    </row>
    <row r="55" spans="1:13" x14ac:dyDescent="0.25">
      <c r="A55" s="13" t="s">
        <v>278</v>
      </c>
      <c r="B55" s="13" t="s">
        <v>288</v>
      </c>
      <c r="C55" s="14" t="s">
        <v>289</v>
      </c>
      <c r="D55" s="15">
        <v>1818</v>
      </c>
      <c r="E55" s="15">
        <v>10.5</v>
      </c>
      <c r="F55" s="15">
        <v>4.4000000000000004</v>
      </c>
      <c r="G55" s="15">
        <v>76.099999999999994</v>
      </c>
      <c r="H55" s="15">
        <v>24.3</v>
      </c>
      <c r="I55" s="15">
        <v>2</v>
      </c>
      <c r="J55" s="15">
        <v>7</v>
      </c>
      <c r="K55" s="15">
        <v>277</v>
      </c>
      <c r="L55" s="13"/>
      <c r="M55" s="13"/>
    </row>
    <row r="56" spans="1:13" x14ac:dyDescent="0.25">
      <c r="A56" s="1" t="s">
        <v>187</v>
      </c>
      <c r="B56" s="1" t="s">
        <v>222</v>
      </c>
      <c r="C56" s="2" t="s">
        <v>223</v>
      </c>
      <c r="D56" s="42">
        <v>828.13</v>
      </c>
      <c r="E56" s="42">
        <v>11.96</v>
      </c>
      <c r="F56" s="42">
        <v>1.425</v>
      </c>
      <c r="G56" s="42">
        <v>11.68</v>
      </c>
      <c r="H56" s="42">
        <v>0</v>
      </c>
      <c r="I56" s="42">
        <v>0.6</v>
      </c>
      <c r="J56" s="42">
        <v>11</v>
      </c>
      <c r="K56" s="42">
        <v>275</v>
      </c>
    </row>
    <row r="57" spans="1:13" x14ac:dyDescent="0.25">
      <c r="A57" s="13" t="s">
        <v>377</v>
      </c>
      <c r="B57" s="13" t="s">
        <v>388</v>
      </c>
      <c r="C57" s="14" t="s">
        <v>389</v>
      </c>
      <c r="D57" s="14">
        <v>458</v>
      </c>
      <c r="E57" s="14">
        <v>1.42</v>
      </c>
      <c r="F57" s="14">
        <v>0.38</v>
      </c>
      <c r="G57" s="14">
        <v>16.420000000000002</v>
      </c>
      <c r="H57" s="14">
        <v>2.25</v>
      </c>
      <c r="I57" s="14">
        <v>1.17</v>
      </c>
      <c r="J57" s="14">
        <v>6.46</v>
      </c>
      <c r="K57" s="14">
        <v>275</v>
      </c>
      <c r="L57" s="13" t="s">
        <v>451</v>
      </c>
      <c r="M57" s="13"/>
    </row>
    <row r="58" spans="1:13" x14ac:dyDescent="0.25">
      <c r="A58" s="1" t="s">
        <v>106</v>
      </c>
      <c r="B58" s="1" t="s">
        <v>119</v>
      </c>
      <c r="C58" s="2" t="s">
        <v>120</v>
      </c>
      <c r="D58" s="2">
        <v>1702.56</v>
      </c>
      <c r="E58" s="2">
        <v>14.4</v>
      </c>
      <c r="F58" s="2">
        <v>2.4740000000000002</v>
      </c>
      <c r="G58" s="2">
        <v>60</v>
      </c>
      <c r="H58" s="2">
        <v>21</v>
      </c>
      <c r="I58" s="2">
        <v>10</v>
      </c>
      <c r="J58" s="2">
        <v>8.81</v>
      </c>
      <c r="K58" s="2">
        <v>270</v>
      </c>
      <c r="L58" s="1" t="s">
        <v>453</v>
      </c>
    </row>
    <row r="59" spans="1:13" x14ac:dyDescent="0.25">
      <c r="A59" s="13" t="s">
        <v>106</v>
      </c>
      <c r="B59" s="13" t="s">
        <v>141</v>
      </c>
      <c r="C59" s="14" t="s">
        <v>142</v>
      </c>
      <c r="D59" s="14">
        <v>1702.56</v>
      </c>
      <c r="E59" s="14">
        <v>14.4</v>
      </c>
      <c r="F59" s="14">
        <v>2.4740000000000002</v>
      </c>
      <c r="G59" s="14">
        <v>60</v>
      </c>
      <c r="H59" s="14">
        <v>21</v>
      </c>
      <c r="I59" s="14">
        <v>10</v>
      </c>
      <c r="J59" s="14">
        <v>8.81</v>
      </c>
      <c r="K59" s="14">
        <v>270</v>
      </c>
      <c r="L59" s="13" t="s">
        <v>453</v>
      </c>
      <c r="M59" s="13"/>
    </row>
    <row r="60" spans="1:13" x14ac:dyDescent="0.25">
      <c r="A60" s="1" t="s">
        <v>187</v>
      </c>
      <c r="B60" s="1" t="s">
        <v>243</v>
      </c>
      <c r="C60" s="2" t="s">
        <v>244</v>
      </c>
      <c r="D60" s="46">
        <v>488</v>
      </c>
      <c r="E60" s="46">
        <v>1</v>
      </c>
      <c r="F60" s="46">
        <v>0.5</v>
      </c>
      <c r="G60" s="46">
        <v>0.4</v>
      </c>
      <c r="H60" s="46">
        <v>0.1</v>
      </c>
      <c r="I60" s="46">
        <v>0</v>
      </c>
      <c r="J60" s="46">
        <v>26.2</v>
      </c>
      <c r="K60" s="46">
        <v>260</v>
      </c>
      <c r="L60" s="1" t="s">
        <v>455</v>
      </c>
      <c r="M60" s="1" t="s">
        <v>462</v>
      </c>
    </row>
    <row r="61" spans="1:13" s="13" customFormat="1" x14ac:dyDescent="0.25">
      <c r="A61" s="9" t="s">
        <v>278</v>
      </c>
      <c r="B61" s="9" t="s">
        <v>279</v>
      </c>
      <c r="C61" s="10" t="s">
        <v>280</v>
      </c>
      <c r="D61" s="10">
        <v>1509.19</v>
      </c>
      <c r="E61" s="10">
        <v>12.9</v>
      </c>
      <c r="F61" s="10">
        <v>5.7720000000000002</v>
      </c>
      <c r="G61" s="10">
        <v>55.6</v>
      </c>
      <c r="H61" s="10">
        <v>42.1</v>
      </c>
      <c r="I61" s="10">
        <v>3.4</v>
      </c>
      <c r="J61" s="10">
        <v>5.0999999999999996</v>
      </c>
      <c r="K61" s="10">
        <v>250</v>
      </c>
      <c r="L61" s="9" t="s">
        <v>453</v>
      </c>
      <c r="M61" s="9"/>
    </row>
    <row r="62" spans="1:13" s="13" customFormat="1" x14ac:dyDescent="0.25">
      <c r="A62" s="1" t="s">
        <v>278</v>
      </c>
      <c r="B62" s="1" t="s">
        <v>292</v>
      </c>
      <c r="C62" s="2" t="s">
        <v>293</v>
      </c>
      <c r="D62" s="2">
        <v>278.31</v>
      </c>
      <c r="E62" s="2">
        <v>0.56999999999999995</v>
      </c>
      <c r="F62" s="2">
        <v>0.21299999999999999</v>
      </c>
      <c r="G62" s="2">
        <v>12.72</v>
      </c>
      <c r="H62" s="2">
        <v>0.63</v>
      </c>
      <c r="I62" s="2">
        <v>0.24</v>
      </c>
      <c r="J62" s="2">
        <v>2.41</v>
      </c>
      <c r="K62" s="2">
        <v>242.32</v>
      </c>
      <c r="L62" s="1" t="s">
        <v>453</v>
      </c>
      <c r="M62" s="1"/>
    </row>
    <row r="63" spans="1:13" s="13" customFormat="1" x14ac:dyDescent="0.25">
      <c r="A63" s="1" t="s">
        <v>106</v>
      </c>
      <c r="B63" s="1" t="s">
        <v>143</v>
      </c>
      <c r="C63" s="2" t="s">
        <v>144</v>
      </c>
      <c r="D63" s="46">
        <v>270</v>
      </c>
      <c r="E63" s="46">
        <v>0.3</v>
      </c>
      <c r="F63" s="46">
        <v>0.1</v>
      </c>
      <c r="G63" s="46">
        <v>12.8</v>
      </c>
      <c r="H63" s="46">
        <v>3.6</v>
      </c>
      <c r="I63" s="46">
        <v>0.9</v>
      </c>
      <c r="J63" s="46">
        <v>2</v>
      </c>
      <c r="K63" s="46">
        <v>240</v>
      </c>
      <c r="L63" s="1" t="s">
        <v>455</v>
      </c>
      <c r="M63" s="1" t="s">
        <v>463</v>
      </c>
    </row>
    <row r="64" spans="1:13" x14ac:dyDescent="0.25">
      <c r="A64" s="1" t="s">
        <v>278</v>
      </c>
      <c r="B64" s="1" t="s">
        <v>290</v>
      </c>
      <c r="C64" s="2" t="s">
        <v>291</v>
      </c>
      <c r="D64" s="2">
        <v>1516.87</v>
      </c>
      <c r="E64" s="2">
        <v>18</v>
      </c>
      <c r="F64" s="2">
        <v>3.234</v>
      </c>
      <c r="G64" s="2">
        <v>45.84</v>
      </c>
      <c r="H64" s="2">
        <v>27.3</v>
      </c>
      <c r="I64" s="2">
        <v>2.2999999999999998</v>
      </c>
      <c r="J64" s="2">
        <v>4.16</v>
      </c>
      <c r="K64" s="2">
        <v>240</v>
      </c>
      <c r="L64" s="1" t="s">
        <v>452</v>
      </c>
    </row>
    <row r="65" spans="1:26" s="18" customFormat="1" ht="15.75" customHeight="1" x14ac:dyDescent="0.25">
      <c r="A65" s="1" t="s">
        <v>377</v>
      </c>
      <c r="B65" s="1" t="s">
        <v>380</v>
      </c>
      <c r="C65" s="2" t="s">
        <v>381</v>
      </c>
      <c r="D65" s="42">
        <v>916.58</v>
      </c>
      <c r="E65" s="42">
        <v>10.69</v>
      </c>
      <c r="F65" s="42">
        <v>5.1680000000000001</v>
      </c>
      <c r="G65" s="42">
        <v>26.65</v>
      </c>
      <c r="H65" s="42">
        <v>0.25</v>
      </c>
      <c r="I65" s="42">
        <v>4.2</v>
      </c>
      <c r="J65" s="42">
        <v>4</v>
      </c>
      <c r="K65" s="42">
        <v>190.26</v>
      </c>
      <c r="L65" s="1" t="s">
        <v>452</v>
      </c>
      <c r="M65" s="1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s="18" customFormat="1" ht="15.75" customHeight="1" x14ac:dyDescent="0.25">
      <c r="A66" s="1" t="s">
        <v>278</v>
      </c>
      <c r="B66" s="1" t="s">
        <v>282</v>
      </c>
      <c r="C66" s="2" t="s">
        <v>283</v>
      </c>
      <c r="D66" s="2">
        <v>1737.63</v>
      </c>
      <c r="E66" s="2">
        <v>8.98</v>
      </c>
      <c r="F66" s="2">
        <v>4.26</v>
      </c>
      <c r="G66" s="2">
        <v>77.709999999999994</v>
      </c>
      <c r="H66" s="2">
        <v>37.450000000000003</v>
      </c>
      <c r="I66" s="2">
        <v>1.9</v>
      </c>
      <c r="J66" s="2">
        <v>4.96</v>
      </c>
      <c r="K66" s="2">
        <v>190</v>
      </c>
      <c r="L66" s="1" t="s">
        <v>453</v>
      </c>
      <c r="M66" s="1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" t="s">
        <v>356</v>
      </c>
      <c r="B67" s="1" t="s">
        <v>466</v>
      </c>
      <c r="C67" s="2" t="s">
        <v>368</v>
      </c>
      <c r="D67" s="42">
        <v>1600.75</v>
      </c>
      <c r="E67" s="42">
        <v>0.62</v>
      </c>
      <c r="F67" s="42">
        <v>9.1999999999999998E-2</v>
      </c>
      <c r="G67" s="42">
        <v>92.75</v>
      </c>
      <c r="H67" s="42">
        <v>92.75</v>
      </c>
      <c r="I67" s="42">
        <v>0.3</v>
      </c>
      <c r="J67" s="42">
        <v>0.06</v>
      </c>
      <c r="K67" s="42">
        <v>187</v>
      </c>
      <c r="L67" s="1"/>
      <c r="M67" s="1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3" t="s">
        <v>278</v>
      </c>
      <c r="B68" s="13" t="s">
        <v>322</v>
      </c>
      <c r="C68" s="14" t="s">
        <v>323</v>
      </c>
      <c r="D68" s="15">
        <v>1541</v>
      </c>
      <c r="E68" s="15">
        <v>14.5</v>
      </c>
      <c r="F68" s="15">
        <v>9</v>
      </c>
      <c r="G68" s="15">
        <v>54.7</v>
      </c>
      <c r="H68" s="15">
        <v>42.3</v>
      </c>
      <c r="I68" s="15">
        <v>1.4</v>
      </c>
      <c r="J68" s="15">
        <v>3.8</v>
      </c>
      <c r="K68" s="15">
        <v>155</v>
      </c>
      <c r="L68" s="13"/>
      <c r="M68" s="13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9" t="s">
        <v>187</v>
      </c>
      <c r="B69" s="9" t="s">
        <v>188</v>
      </c>
      <c r="C69" s="10" t="s">
        <v>189</v>
      </c>
      <c r="D69" s="44">
        <v>568.04</v>
      </c>
      <c r="E69" s="44">
        <v>9.5</v>
      </c>
      <c r="F69" s="44">
        <v>2.5859999999999999</v>
      </c>
      <c r="G69" s="44">
        <v>0.55000000000000004</v>
      </c>
      <c r="H69" s="44">
        <v>0.55000000000000004</v>
      </c>
      <c r="I69" s="44">
        <v>0</v>
      </c>
      <c r="J69" s="44">
        <v>12.19</v>
      </c>
      <c r="K69" s="44">
        <v>140</v>
      </c>
      <c r="L69" s="9"/>
      <c r="M69" s="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" t="s">
        <v>278</v>
      </c>
      <c r="B70" s="1" t="s">
        <v>284</v>
      </c>
      <c r="C70" s="2" t="s">
        <v>285</v>
      </c>
      <c r="D70" s="2">
        <v>2170</v>
      </c>
      <c r="E70" s="2">
        <v>26.9</v>
      </c>
      <c r="F70" s="2">
        <v>14.6</v>
      </c>
      <c r="G70" s="2">
        <v>63.7</v>
      </c>
      <c r="H70" s="2">
        <v>46.4</v>
      </c>
      <c r="I70" s="2">
        <v>3.9</v>
      </c>
      <c r="J70" s="2">
        <v>5.5</v>
      </c>
      <c r="K70" s="2">
        <v>140</v>
      </c>
      <c r="L70" s="1" t="s">
        <v>452</v>
      </c>
      <c r="M70" s="1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" t="s">
        <v>43</v>
      </c>
      <c r="B71" s="1" t="s">
        <v>76</v>
      </c>
      <c r="C71" s="2" t="s">
        <v>77</v>
      </c>
      <c r="D71" s="2">
        <v>107.36</v>
      </c>
      <c r="E71" s="2">
        <v>0.2</v>
      </c>
      <c r="F71" s="2">
        <v>3.3000000000000002E-2</v>
      </c>
      <c r="G71" s="2">
        <v>4.63</v>
      </c>
      <c r="H71" s="2">
        <v>4.5999999999999996</v>
      </c>
      <c r="I71" s="2">
        <v>1.7</v>
      </c>
      <c r="J71" s="2">
        <v>1.25</v>
      </c>
      <c r="K71" s="2">
        <v>138</v>
      </c>
      <c r="L71" s="1" t="s">
        <v>453</v>
      </c>
      <c r="M71" s="1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" t="s">
        <v>278</v>
      </c>
      <c r="B72" s="1" t="s">
        <v>312</v>
      </c>
      <c r="C72" s="2" t="s">
        <v>313</v>
      </c>
      <c r="D72" s="42">
        <v>2230</v>
      </c>
      <c r="E72" s="42">
        <v>30.3</v>
      </c>
      <c r="F72" s="42">
        <v>2.6</v>
      </c>
      <c r="G72" s="42">
        <v>56.5</v>
      </c>
      <c r="H72" s="42">
        <v>53.9</v>
      </c>
      <c r="I72" s="42">
        <v>0.8</v>
      </c>
      <c r="J72" s="42">
        <v>8.4</v>
      </c>
      <c r="K72" s="42">
        <v>120</v>
      </c>
      <c r="L72" s="1"/>
      <c r="M72" s="1"/>
    </row>
    <row r="73" spans="1:26" x14ac:dyDescent="0.25">
      <c r="A73" s="1" t="s">
        <v>187</v>
      </c>
      <c r="B73" s="1" t="s">
        <v>239</v>
      </c>
      <c r="C73" s="2" t="s">
        <v>240</v>
      </c>
      <c r="D73" s="42">
        <v>240</v>
      </c>
      <c r="E73" s="42">
        <v>0.2</v>
      </c>
      <c r="F73" s="42">
        <v>0</v>
      </c>
      <c r="G73" s="42">
        <v>8</v>
      </c>
      <c r="H73" s="42">
        <v>0.8</v>
      </c>
      <c r="I73" s="42">
        <v>1.8</v>
      </c>
      <c r="J73" s="42">
        <v>4.8</v>
      </c>
      <c r="K73" s="42">
        <v>115</v>
      </c>
    </row>
    <row r="74" spans="1:26" x14ac:dyDescent="0.25">
      <c r="A74" s="1" t="s">
        <v>43</v>
      </c>
      <c r="B74" s="1" t="s">
        <v>72</v>
      </c>
      <c r="C74" s="2" t="s">
        <v>73</v>
      </c>
      <c r="D74" s="2">
        <v>72.349999999999994</v>
      </c>
      <c r="E74" s="2">
        <v>0.2</v>
      </c>
      <c r="F74" s="2">
        <v>0.03</v>
      </c>
      <c r="G74" s="2">
        <v>1.5</v>
      </c>
      <c r="H74" s="2">
        <v>1.5</v>
      </c>
      <c r="I74" s="2">
        <v>2.91</v>
      </c>
      <c r="J74" s="2">
        <v>2.3199999999999998</v>
      </c>
      <c r="K74" s="2">
        <v>112.21</v>
      </c>
      <c r="L74" s="1" t="s">
        <v>452</v>
      </c>
    </row>
    <row r="75" spans="1:26" x14ac:dyDescent="0.25">
      <c r="A75" s="1" t="s">
        <v>187</v>
      </c>
      <c r="B75" s="1" t="s">
        <v>208</v>
      </c>
      <c r="C75" s="2" t="s">
        <v>209</v>
      </c>
      <c r="D75" s="42">
        <v>700</v>
      </c>
      <c r="E75" s="42">
        <v>6.8</v>
      </c>
      <c r="F75" s="42">
        <v>2.2000000000000002</v>
      </c>
      <c r="G75" s="42">
        <v>0</v>
      </c>
      <c r="H75" s="42">
        <v>0</v>
      </c>
      <c r="I75" s="42">
        <v>0</v>
      </c>
      <c r="J75" s="42">
        <v>26.4</v>
      </c>
      <c r="K75" s="42">
        <v>110</v>
      </c>
    </row>
    <row r="76" spans="1:26" x14ac:dyDescent="0.25">
      <c r="A76" s="1" t="s">
        <v>356</v>
      </c>
      <c r="B76" s="1" t="s">
        <v>369</v>
      </c>
      <c r="C76" s="2" t="s">
        <v>370</v>
      </c>
      <c r="D76" s="12">
        <v>175</v>
      </c>
      <c r="E76" s="42">
        <v>0</v>
      </c>
      <c r="F76" s="42">
        <v>0</v>
      </c>
      <c r="G76" s="12">
        <v>10.3</v>
      </c>
      <c r="H76" s="12">
        <v>10.3</v>
      </c>
      <c r="I76" s="42">
        <v>0</v>
      </c>
      <c r="J76" s="42">
        <v>0</v>
      </c>
      <c r="K76" s="12">
        <v>110</v>
      </c>
    </row>
    <row r="77" spans="1:26" x14ac:dyDescent="0.25">
      <c r="A77" s="9" t="s">
        <v>356</v>
      </c>
      <c r="B77" s="9" t="s">
        <v>357</v>
      </c>
      <c r="C77" s="10" t="s">
        <v>358</v>
      </c>
      <c r="D77" s="44">
        <v>1489.29</v>
      </c>
      <c r="E77" s="44">
        <v>9.6999999999999993</v>
      </c>
      <c r="F77" s="44">
        <v>4.5350000000000001</v>
      </c>
      <c r="G77" s="44">
        <v>87.7</v>
      </c>
      <c r="H77" s="44">
        <v>52.1</v>
      </c>
      <c r="I77" s="44">
        <v>5.7</v>
      </c>
      <c r="J77" s="44">
        <v>11.79</v>
      </c>
      <c r="K77" s="44">
        <v>109</v>
      </c>
      <c r="L77" s="9"/>
      <c r="M77" s="9"/>
    </row>
    <row r="78" spans="1:26" x14ac:dyDescent="0.25">
      <c r="A78" s="1" t="s">
        <v>187</v>
      </c>
      <c r="B78" s="1" t="s">
        <v>220</v>
      </c>
      <c r="C78" s="2" t="s">
        <v>221</v>
      </c>
      <c r="D78" s="42">
        <v>467.75</v>
      </c>
      <c r="E78" s="42">
        <v>1.3</v>
      </c>
      <c r="F78" s="42">
        <v>0.248</v>
      </c>
      <c r="G78" s="42">
        <v>0.31</v>
      </c>
      <c r="H78" s="42">
        <v>0.31</v>
      </c>
      <c r="I78" s="42">
        <v>0</v>
      </c>
      <c r="J78" s="42">
        <v>24.38</v>
      </c>
      <c r="K78" s="42">
        <v>97</v>
      </c>
    </row>
    <row r="79" spans="1:26" x14ac:dyDescent="0.25">
      <c r="A79" s="1" t="s">
        <v>187</v>
      </c>
      <c r="B79" s="1" t="s">
        <v>216</v>
      </c>
      <c r="C79" s="2" t="s">
        <v>217</v>
      </c>
      <c r="D79" s="46">
        <v>741</v>
      </c>
      <c r="E79" s="46">
        <v>6.5</v>
      </c>
      <c r="F79" s="46">
        <v>2.8</v>
      </c>
      <c r="G79" s="46">
        <v>0</v>
      </c>
      <c r="H79" s="46">
        <v>0</v>
      </c>
      <c r="I79" s="46">
        <v>0</v>
      </c>
      <c r="J79" s="46">
        <v>29.4</v>
      </c>
      <c r="K79" s="46">
        <v>94</v>
      </c>
      <c r="L79" s="1" t="s">
        <v>452</v>
      </c>
    </row>
    <row r="80" spans="1:26" s="18" customFormat="1" ht="15.75" customHeight="1" x14ac:dyDescent="0.25">
      <c r="A80" s="13" t="s">
        <v>278</v>
      </c>
      <c r="B80" s="13" t="s">
        <v>298</v>
      </c>
      <c r="C80" s="14" t="s">
        <v>299</v>
      </c>
      <c r="D80" s="15">
        <v>1003</v>
      </c>
      <c r="E80" s="15">
        <v>8</v>
      </c>
      <c r="F80" s="15">
        <v>5.5</v>
      </c>
      <c r="G80" s="15">
        <v>38.1</v>
      </c>
      <c r="H80" s="15">
        <v>18.3</v>
      </c>
      <c r="I80" s="15">
        <v>1.1000000000000001</v>
      </c>
      <c r="J80" s="15">
        <v>3</v>
      </c>
      <c r="K80" s="15">
        <v>89</v>
      </c>
      <c r="L80" s="13"/>
      <c r="M80" s="13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" t="s">
        <v>187</v>
      </c>
      <c r="B81" s="1" t="s">
        <v>218</v>
      </c>
      <c r="C81" s="2" t="s">
        <v>219</v>
      </c>
      <c r="D81" s="46">
        <v>1150</v>
      </c>
      <c r="E81" s="46">
        <v>18.5</v>
      </c>
      <c r="F81" s="46">
        <v>7.8</v>
      </c>
      <c r="G81" s="46">
        <v>0</v>
      </c>
      <c r="H81" s="46">
        <v>0</v>
      </c>
      <c r="I81" s="46">
        <v>0</v>
      </c>
      <c r="J81" s="46">
        <v>27.3</v>
      </c>
      <c r="K81" s="46">
        <v>87</v>
      </c>
      <c r="L81" s="1" t="s">
        <v>452</v>
      </c>
      <c r="M81" s="1" t="s">
        <v>467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3" t="s">
        <v>278</v>
      </c>
      <c r="B82" s="13" t="s">
        <v>296</v>
      </c>
      <c r="C82" s="14" t="s">
        <v>297</v>
      </c>
      <c r="D82" s="15">
        <v>938</v>
      </c>
      <c r="E82" s="15">
        <v>6.5</v>
      </c>
      <c r="F82" s="15">
        <v>2.9</v>
      </c>
      <c r="G82" s="15">
        <v>36.4</v>
      </c>
      <c r="H82" s="15">
        <v>11.4</v>
      </c>
      <c r="I82" s="15">
        <v>1.1000000000000001</v>
      </c>
      <c r="J82" s="15">
        <v>4.0999999999999996</v>
      </c>
      <c r="K82" s="15">
        <v>85</v>
      </c>
      <c r="L82" s="13"/>
      <c r="M82" s="1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" t="s">
        <v>187</v>
      </c>
      <c r="B83" s="1" t="s">
        <v>212</v>
      </c>
      <c r="C83" s="2" t="s">
        <v>213</v>
      </c>
      <c r="D83" s="46">
        <v>862</v>
      </c>
      <c r="E83" s="46">
        <v>10.7</v>
      </c>
      <c r="F83" s="46">
        <v>4.0999999999999996</v>
      </c>
      <c r="G83" s="46">
        <v>0</v>
      </c>
      <c r="H83" s="46">
        <v>0</v>
      </c>
      <c r="I83" s="46">
        <v>0</v>
      </c>
      <c r="J83" s="46">
        <v>27.4</v>
      </c>
      <c r="K83" s="46">
        <v>84</v>
      </c>
      <c r="L83" s="1" t="s">
        <v>452</v>
      </c>
      <c r="M83" s="1" t="s">
        <v>468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" t="s">
        <v>187</v>
      </c>
      <c r="B84" s="1" t="s">
        <v>214</v>
      </c>
      <c r="C84" s="2" t="s">
        <v>215</v>
      </c>
      <c r="D84" s="42">
        <v>803.95</v>
      </c>
      <c r="E84" s="42">
        <v>7.6</v>
      </c>
      <c r="F84" s="42">
        <v>3.254</v>
      </c>
      <c r="G84" s="42">
        <v>0</v>
      </c>
      <c r="H84" s="42">
        <v>0</v>
      </c>
      <c r="I84" s="42">
        <v>0</v>
      </c>
      <c r="J84" s="42">
        <v>30.75</v>
      </c>
      <c r="K84" s="42">
        <v>84</v>
      </c>
      <c r="L84" s="1"/>
      <c r="M84" s="1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18" customFormat="1" ht="15.75" customHeight="1" x14ac:dyDescent="0.25">
      <c r="A85" s="1" t="s">
        <v>278</v>
      </c>
      <c r="B85" s="1" t="s">
        <v>327</v>
      </c>
      <c r="C85" s="2" t="s">
        <v>328</v>
      </c>
      <c r="D85" s="2">
        <v>709.86</v>
      </c>
      <c r="E85" s="2">
        <v>5.52</v>
      </c>
      <c r="F85" s="2">
        <v>0.93899999999999995</v>
      </c>
      <c r="G85" s="2">
        <v>26.18</v>
      </c>
      <c r="H85" s="2">
        <v>0</v>
      </c>
      <c r="I85" s="2">
        <v>2</v>
      </c>
      <c r="J85" s="2">
        <v>3.56</v>
      </c>
      <c r="K85" s="2">
        <v>67</v>
      </c>
      <c r="L85" s="1" t="s">
        <v>453</v>
      </c>
      <c r="M85" s="1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9" customFormat="1" x14ac:dyDescent="0.25">
      <c r="A86" s="1" t="s">
        <v>187</v>
      </c>
      <c r="B86" s="1" t="s">
        <v>202</v>
      </c>
      <c r="C86" s="2" t="s">
        <v>203</v>
      </c>
      <c r="D86" s="42">
        <v>700.39</v>
      </c>
      <c r="E86" s="42">
        <v>4.5999999999999996</v>
      </c>
      <c r="F86" s="42">
        <v>1.482</v>
      </c>
      <c r="G86" s="42">
        <v>0</v>
      </c>
      <c r="H86" s="42">
        <v>0</v>
      </c>
      <c r="I86" s="42">
        <v>0</v>
      </c>
      <c r="J86" s="42">
        <v>31.19</v>
      </c>
      <c r="K86" s="42">
        <v>65</v>
      </c>
      <c r="L86" s="1"/>
      <c r="M86" s="1"/>
    </row>
    <row r="87" spans="1:26" x14ac:dyDescent="0.25">
      <c r="A87" s="1" t="s">
        <v>187</v>
      </c>
      <c r="B87" s="1" t="s">
        <v>204</v>
      </c>
      <c r="C87" s="2" t="s">
        <v>205</v>
      </c>
      <c r="D87" s="42">
        <v>700.39</v>
      </c>
      <c r="E87" s="42">
        <v>4.5999999999999996</v>
      </c>
      <c r="F87" s="42">
        <v>1.482</v>
      </c>
      <c r="G87" s="42">
        <v>0</v>
      </c>
      <c r="H87" s="42">
        <v>0</v>
      </c>
      <c r="I87" s="42">
        <v>0</v>
      </c>
      <c r="J87" s="42">
        <v>31.19</v>
      </c>
      <c r="K87" s="42">
        <v>65</v>
      </c>
    </row>
    <row r="88" spans="1:26" x14ac:dyDescent="0.25">
      <c r="A88" s="1" t="s">
        <v>187</v>
      </c>
      <c r="B88" s="1" t="s">
        <v>210</v>
      </c>
      <c r="C88" s="2" t="s">
        <v>211</v>
      </c>
      <c r="D88" s="42">
        <v>1070</v>
      </c>
      <c r="E88" s="42">
        <v>14.6</v>
      </c>
      <c r="F88" s="42">
        <v>5.6</v>
      </c>
      <c r="G88" s="42">
        <v>0</v>
      </c>
      <c r="H88" s="42">
        <v>0</v>
      </c>
      <c r="I88" s="42">
        <v>0</v>
      </c>
      <c r="J88" s="42">
        <v>31</v>
      </c>
      <c r="K88" s="42">
        <v>56</v>
      </c>
    </row>
    <row r="89" spans="1:26" x14ac:dyDescent="0.25">
      <c r="A89" s="1" t="s">
        <v>187</v>
      </c>
      <c r="B89" s="1" t="s">
        <v>194</v>
      </c>
      <c r="C89" s="2" t="s">
        <v>195</v>
      </c>
      <c r="D89" s="42">
        <v>799.74</v>
      </c>
      <c r="E89" s="42">
        <v>7.82</v>
      </c>
      <c r="F89" s="42">
        <v>2.8010000000000002</v>
      </c>
      <c r="G89" s="42">
        <v>0</v>
      </c>
      <c r="H89" s="42">
        <v>0</v>
      </c>
      <c r="I89" s="42">
        <v>0</v>
      </c>
      <c r="J89" s="42">
        <v>30.01</v>
      </c>
      <c r="K89" s="42">
        <v>54.55</v>
      </c>
    </row>
    <row r="90" spans="1:26" x14ac:dyDescent="0.25">
      <c r="A90" s="16" t="s">
        <v>106</v>
      </c>
      <c r="B90" s="16" t="str">
        <f>'common foods'!C58</f>
        <v>Couscous, wholemeal wheat</v>
      </c>
      <c r="C90" s="17" t="str">
        <f>'common foods'!D58</f>
        <v>03089</v>
      </c>
      <c r="D90" s="46">
        <v>1480</v>
      </c>
      <c r="E90" s="46">
        <v>3.7</v>
      </c>
      <c r="F90" s="46">
        <v>0.8</v>
      </c>
      <c r="G90" s="46">
        <v>58.1</v>
      </c>
      <c r="H90" s="46">
        <v>2.7</v>
      </c>
      <c r="I90" s="46">
        <v>13</v>
      </c>
      <c r="J90" s="46">
        <v>15</v>
      </c>
      <c r="K90" s="46">
        <v>50</v>
      </c>
      <c r="L90" s="48" t="s">
        <v>469</v>
      </c>
      <c r="M90" s="16"/>
    </row>
    <row r="91" spans="1:26" x14ac:dyDescent="0.25">
      <c r="A91" s="13" t="s">
        <v>278</v>
      </c>
      <c r="B91" s="13" t="s">
        <v>310</v>
      </c>
      <c r="C91" s="14" t="s">
        <v>311</v>
      </c>
      <c r="D91" s="15">
        <v>1396</v>
      </c>
      <c r="E91" s="15">
        <v>27.4</v>
      </c>
      <c r="F91" s="15">
        <v>14.6</v>
      </c>
      <c r="G91" s="15">
        <v>0</v>
      </c>
      <c r="H91" s="15">
        <v>0</v>
      </c>
      <c r="I91" s="15">
        <v>0</v>
      </c>
      <c r="J91" s="15">
        <v>22.4</v>
      </c>
      <c r="K91" s="15">
        <v>45</v>
      </c>
      <c r="L91" s="13"/>
      <c r="M91" s="13"/>
    </row>
    <row r="92" spans="1:26" s="13" customFormat="1" x14ac:dyDescent="0.25">
      <c r="A92" s="1" t="s">
        <v>278</v>
      </c>
      <c r="B92" s="1" t="s">
        <v>316</v>
      </c>
      <c r="C92" s="2" t="s">
        <v>317</v>
      </c>
      <c r="D92" s="42">
        <v>796.12</v>
      </c>
      <c r="E92" s="42">
        <v>10.84</v>
      </c>
      <c r="F92" s="42">
        <v>7.0990000000000002</v>
      </c>
      <c r="G92" s="42">
        <v>19.920000000000002</v>
      </c>
      <c r="H92" s="42">
        <v>19.899999999999999</v>
      </c>
      <c r="I92" s="42">
        <v>0</v>
      </c>
      <c r="J92" s="42">
        <v>3.32</v>
      </c>
      <c r="K92" s="42">
        <v>45</v>
      </c>
      <c r="L92" s="1"/>
      <c r="M92" s="1"/>
    </row>
    <row r="93" spans="1:26" x14ac:dyDescent="0.25">
      <c r="A93" s="1" t="s">
        <v>43</v>
      </c>
      <c r="B93" s="1" t="s">
        <v>52</v>
      </c>
      <c r="C93" s="2" t="s">
        <v>53</v>
      </c>
      <c r="D93" s="2">
        <v>133.63</v>
      </c>
      <c r="E93" s="2">
        <v>0.2</v>
      </c>
      <c r="F93" s="2">
        <v>2.5999999999999999E-2</v>
      </c>
      <c r="G93" s="2">
        <v>6.8</v>
      </c>
      <c r="H93" s="2">
        <v>6.6</v>
      </c>
      <c r="I93" s="2">
        <v>2.8</v>
      </c>
      <c r="J93" s="2">
        <v>0.63</v>
      </c>
      <c r="K93" s="2">
        <v>41</v>
      </c>
      <c r="L93" s="1" t="s">
        <v>452</v>
      </c>
    </row>
    <row r="94" spans="1:26" x14ac:dyDescent="0.25">
      <c r="A94" s="21" t="s">
        <v>157</v>
      </c>
      <c r="B94" s="1" t="s">
        <v>173</v>
      </c>
      <c r="C94" s="2" t="s">
        <v>174</v>
      </c>
      <c r="D94" s="46">
        <v>160</v>
      </c>
      <c r="E94" s="46">
        <v>0.1</v>
      </c>
      <c r="F94" s="46">
        <v>7.0000000000000007E-2</v>
      </c>
      <c r="G94" s="46">
        <v>4.7</v>
      </c>
      <c r="H94" s="46">
        <v>2.7</v>
      </c>
      <c r="I94" s="46">
        <v>0.2</v>
      </c>
      <c r="J94" s="46">
        <v>4.4000000000000004</v>
      </c>
      <c r="K94" s="46">
        <v>39</v>
      </c>
      <c r="L94" s="1" t="s">
        <v>455</v>
      </c>
      <c r="M94" s="49" t="s">
        <v>470</v>
      </c>
    </row>
    <row r="95" spans="1:26" x14ac:dyDescent="0.25">
      <c r="A95" s="1" t="s">
        <v>377</v>
      </c>
      <c r="B95" s="1" t="s">
        <v>396</v>
      </c>
      <c r="C95" s="2" t="s">
        <v>397</v>
      </c>
      <c r="D95" s="12">
        <v>582</v>
      </c>
      <c r="E95" s="12">
        <v>9.4</v>
      </c>
      <c r="F95" s="12">
        <v>3.8</v>
      </c>
      <c r="G95" s="12">
        <v>4.4000000000000004</v>
      </c>
      <c r="H95" s="12">
        <v>2.6</v>
      </c>
      <c r="I95" s="12">
        <v>1</v>
      </c>
      <c r="J95" s="12">
        <v>9.5</v>
      </c>
      <c r="K95" s="12">
        <v>39</v>
      </c>
      <c r="L95" s="1" t="s">
        <v>452</v>
      </c>
    </row>
    <row r="96" spans="1:26" x14ac:dyDescent="0.25">
      <c r="A96" s="21" t="s">
        <v>157</v>
      </c>
      <c r="B96" s="1" t="s">
        <v>162</v>
      </c>
      <c r="C96" s="2" t="s">
        <v>163</v>
      </c>
      <c r="D96" s="42">
        <v>160.68</v>
      </c>
      <c r="E96" s="42">
        <v>0.26</v>
      </c>
      <c r="F96" s="42">
        <v>0.14499999999999999</v>
      </c>
      <c r="G96" s="42">
        <v>4.95</v>
      </c>
      <c r="H96" s="42">
        <v>4.95</v>
      </c>
      <c r="I96" s="42">
        <v>0</v>
      </c>
      <c r="J96" s="42">
        <v>3.93</v>
      </c>
      <c r="K96" s="42">
        <v>38.67</v>
      </c>
    </row>
    <row r="97" spans="1:13" x14ac:dyDescent="0.25">
      <c r="A97" s="21" t="s">
        <v>157</v>
      </c>
      <c r="B97" s="1" t="s">
        <v>169</v>
      </c>
      <c r="C97" s="2" t="s">
        <v>170</v>
      </c>
      <c r="D97" s="46">
        <v>185</v>
      </c>
      <c r="E97" s="46">
        <v>0.8</v>
      </c>
      <c r="F97" s="46">
        <v>0.5</v>
      </c>
      <c r="G97" s="46">
        <v>4.5999999999999996</v>
      </c>
      <c r="H97" s="46">
        <v>4.5999999999999996</v>
      </c>
      <c r="I97" s="46">
        <v>0.2</v>
      </c>
      <c r="J97" s="46">
        <v>3.6</v>
      </c>
      <c r="K97" s="46">
        <v>38</v>
      </c>
      <c r="L97" s="1" t="s">
        <v>471</v>
      </c>
      <c r="M97" s="1" t="s">
        <v>472</v>
      </c>
    </row>
    <row r="98" spans="1:13" x14ac:dyDescent="0.25">
      <c r="A98" s="21" t="s">
        <v>157</v>
      </c>
      <c r="B98" s="1" t="s">
        <v>165</v>
      </c>
      <c r="C98" s="2" t="s">
        <v>166</v>
      </c>
      <c r="D98" s="42">
        <v>247.74</v>
      </c>
      <c r="E98" s="42">
        <v>3.09</v>
      </c>
      <c r="F98" s="42">
        <v>1.9379999999999999</v>
      </c>
      <c r="G98" s="42">
        <v>4.53</v>
      </c>
      <c r="H98" s="42">
        <v>4.53</v>
      </c>
      <c r="I98" s="42">
        <v>0</v>
      </c>
      <c r="J98" s="42">
        <v>3.31</v>
      </c>
      <c r="K98" s="42">
        <v>37.67</v>
      </c>
    </row>
    <row r="99" spans="1:13" x14ac:dyDescent="0.25">
      <c r="A99" s="1" t="s">
        <v>187</v>
      </c>
      <c r="B99" s="1" t="s">
        <v>198</v>
      </c>
      <c r="C99" s="2" t="s">
        <v>199</v>
      </c>
      <c r="D99" s="43">
        <v>613</v>
      </c>
      <c r="E99" s="43">
        <v>5.8</v>
      </c>
      <c r="F99" s="43">
        <v>2.6</v>
      </c>
      <c r="G99" s="43">
        <v>0</v>
      </c>
      <c r="H99" s="43">
        <v>0</v>
      </c>
      <c r="I99" s="43">
        <v>0</v>
      </c>
      <c r="J99" s="43">
        <v>23.9</v>
      </c>
      <c r="K99" s="43">
        <v>37</v>
      </c>
    </row>
    <row r="100" spans="1:13" x14ac:dyDescent="0.25">
      <c r="A100" s="1" t="s">
        <v>8</v>
      </c>
      <c r="B100" s="1" t="s">
        <v>30</v>
      </c>
      <c r="C100" s="2" t="s">
        <v>31</v>
      </c>
      <c r="D100" s="2">
        <v>1336.55</v>
      </c>
      <c r="E100" s="2">
        <v>0.4</v>
      </c>
      <c r="F100" s="2">
        <v>0.159</v>
      </c>
      <c r="G100" s="2">
        <v>75</v>
      </c>
      <c r="H100" s="2">
        <v>73.2</v>
      </c>
      <c r="I100" s="2">
        <v>4.4000000000000004</v>
      </c>
      <c r="J100" s="2">
        <v>2.75</v>
      </c>
      <c r="K100" s="2">
        <v>36</v>
      </c>
      <c r="L100" s="1" t="s">
        <v>452</v>
      </c>
    </row>
    <row r="101" spans="1:13" x14ac:dyDescent="0.25">
      <c r="A101" s="1" t="s">
        <v>187</v>
      </c>
      <c r="B101" s="1" t="s">
        <v>196</v>
      </c>
      <c r="C101" s="2" t="s">
        <v>197</v>
      </c>
      <c r="D101" s="42">
        <v>790</v>
      </c>
      <c r="E101" s="42">
        <v>19.5</v>
      </c>
      <c r="F101" s="42">
        <v>4.8</v>
      </c>
      <c r="G101" s="42">
        <v>0</v>
      </c>
      <c r="H101" s="42">
        <v>0</v>
      </c>
      <c r="I101" s="42">
        <v>0</v>
      </c>
      <c r="J101" s="42">
        <v>23</v>
      </c>
      <c r="K101" s="42">
        <v>35</v>
      </c>
    </row>
    <row r="102" spans="1:13" x14ac:dyDescent="0.25">
      <c r="A102" s="21" t="s">
        <v>157</v>
      </c>
      <c r="B102" s="1" t="s">
        <v>167</v>
      </c>
      <c r="C102" s="2" t="s">
        <v>168</v>
      </c>
      <c r="D102" s="42">
        <v>348.9</v>
      </c>
      <c r="E102" s="42">
        <v>2.7</v>
      </c>
      <c r="F102" s="42">
        <v>1.758</v>
      </c>
      <c r="G102" s="42">
        <v>10.5</v>
      </c>
      <c r="H102" s="42">
        <v>10.3</v>
      </c>
      <c r="I102" s="42">
        <v>0.2</v>
      </c>
      <c r="J102" s="42">
        <v>4.1500000000000004</v>
      </c>
      <c r="K102" s="42">
        <v>33</v>
      </c>
    </row>
    <row r="103" spans="1:13" x14ac:dyDescent="0.25">
      <c r="A103" s="1" t="s">
        <v>187</v>
      </c>
      <c r="B103" s="1" t="s">
        <v>190</v>
      </c>
      <c r="C103" s="2" t="s">
        <v>191</v>
      </c>
      <c r="D103" s="42">
        <v>946.07</v>
      </c>
      <c r="E103" s="42">
        <v>10.3</v>
      </c>
      <c r="F103" s="42">
        <v>3.173</v>
      </c>
      <c r="G103" s="42">
        <v>0</v>
      </c>
      <c r="H103" s="42">
        <v>0</v>
      </c>
      <c r="I103" s="42">
        <v>0</v>
      </c>
      <c r="J103" s="42">
        <v>33.22</v>
      </c>
      <c r="K103" s="42">
        <v>30</v>
      </c>
    </row>
    <row r="104" spans="1:13" x14ac:dyDescent="0.25">
      <c r="A104" s="1" t="s">
        <v>43</v>
      </c>
      <c r="B104" s="1" t="s">
        <v>82</v>
      </c>
      <c r="C104" s="2" t="s">
        <v>83</v>
      </c>
      <c r="D104" s="2">
        <v>348.84</v>
      </c>
      <c r="E104" s="2">
        <v>0.21</v>
      </c>
      <c r="F104" s="2">
        <v>5.7000000000000002E-2</v>
      </c>
      <c r="G104" s="2">
        <v>18.809999999999999</v>
      </c>
      <c r="H104" s="2">
        <v>5.2</v>
      </c>
      <c r="I104" s="2">
        <v>1.8</v>
      </c>
      <c r="J104" s="2">
        <v>1.25</v>
      </c>
      <c r="K104" s="2">
        <v>26.62</v>
      </c>
      <c r="L104" s="1" t="s">
        <v>452</v>
      </c>
    </row>
    <row r="105" spans="1:13" x14ac:dyDescent="0.25">
      <c r="A105" s="1" t="s">
        <v>278</v>
      </c>
      <c r="B105" s="1" t="s">
        <v>314</v>
      </c>
      <c r="C105" s="2" t="s">
        <v>315</v>
      </c>
      <c r="D105" s="42">
        <v>1572.75</v>
      </c>
      <c r="E105" s="42">
        <v>7.0000000000000007E-2</v>
      </c>
      <c r="F105" s="42">
        <v>0</v>
      </c>
      <c r="G105" s="42">
        <v>91.8</v>
      </c>
      <c r="H105" s="42">
        <v>71.5</v>
      </c>
      <c r="I105" s="42">
        <v>0</v>
      </c>
      <c r="J105" s="42">
        <v>0.56000000000000005</v>
      </c>
      <c r="K105" s="42">
        <v>26.3</v>
      </c>
    </row>
    <row r="106" spans="1:13" x14ac:dyDescent="0.25">
      <c r="A106" s="1" t="s">
        <v>278</v>
      </c>
      <c r="B106" s="1" t="s">
        <v>318</v>
      </c>
      <c r="C106" s="2" t="s">
        <v>319</v>
      </c>
      <c r="D106" s="42">
        <v>1947.78</v>
      </c>
      <c r="E106" s="42">
        <v>28.9</v>
      </c>
      <c r="F106" s="42">
        <v>6.327</v>
      </c>
      <c r="G106" s="42">
        <v>37.299999999999997</v>
      </c>
      <c r="H106" s="42">
        <v>32.4</v>
      </c>
      <c r="I106" s="42">
        <v>6.2</v>
      </c>
      <c r="J106" s="42">
        <v>14.38</v>
      </c>
      <c r="K106" s="42">
        <v>26</v>
      </c>
    </row>
    <row r="107" spans="1:13" x14ac:dyDescent="0.25">
      <c r="A107" s="13" t="s">
        <v>8</v>
      </c>
      <c r="B107" s="13" t="s">
        <v>41</v>
      </c>
      <c r="C107" s="14" t="s">
        <v>42</v>
      </c>
      <c r="D107" s="14">
        <v>257</v>
      </c>
      <c r="E107" s="14">
        <v>0.1</v>
      </c>
      <c r="F107" s="14">
        <v>0.1</v>
      </c>
      <c r="G107" s="14">
        <v>14.7</v>
      </c>
      <c r="H107" s="14">
        <v>14.1</v>
      </c>
      <c r="I107" s="14">
        <v>1</v>
      </c>
      <c r="J107" s="14">
        <v>0.3</v>
      </c>
      <c r="K107" s="14">
        <v>25</v>
      </c>
      <c r="L107" s="13" t="s">
        <v>455</v>
      </c>
      <c r="M107" s="13" t="s">
        <v>465</v>
      </c>
    </row>
    <row r="108" spans="1:13" x14ac:dyDescent="0.25">
      <c r="A108" s="1" t="s">
        <v>187</v>
      </c>
      <c r="B108" s="1" t="s">
        <v>192</v>
      </c>
      <c r="C108" s="2" t="s">
        <v>193</v>
      </c>
      <c r="D108" s="42">
        <v>820.71</v>
      </c>
      <c r="E108" s="42">
        <v>8.4600000000000009</v>
      </c>
      <c r="F108" s="42">
        <v>2.952</v>
      </c>
      <c r="G108" s="42">
        <v>0</v>
      </c>
      <c r="H108" s="42">
        <v>0</v>
      </c>
      <c r="I108" s="42">
        <v>0</v>
      </c>
      <c r="J108" s="42">
        <v>29.87</v>
      </c>
      <c r="K108" s="42">
        <v>24.93</v>
      </c>
    </row>
    <row r="109" spans="1:13" x14ac:dyDescent="0.25">
      <c r="A109" s="1" t="s">
        <v>43</v>
      </c>
      <c r="B109" s="1" t="s">
        <v>64</v>
      </c>
      <c r="C109" s="2" t="s">
        <v>65</v>
      </c>
      <c r="D109" s="2">
        <v>247.13</v>
      </c>
      <c r="E109" s="2">
        <v>0.45</v>
      </c>
      <c r="F109" s="2">
        <v>0.112</v>
      </c>
      <c r="G109" s="2">
        <v>10.37</v>
      </c>
      <c r="H109" s="2">
        <v>4.5</v>
      </c>
      <c r="I109" s="2">
        <v>4.55</v>
      </c>
      <c r="J109" s="2">
        <v>3.19</v>
      </c>
      <c r="K109" s="2">
        <v>20.2</v>
      </c>
      <c r="L109" s="1" t="s">
        <v>452</v>
      </c>
    </row>
    <row r="110" spans="1:13" x14ac:dyDescent="0.25">
      <c r="A110" s="9" t="s">
        <v>43</v>
      </c>
      <c r="B110" s="9" t="s">
        <v>44</v>
      </c>
      <c r="C110" s="10" t="s">
        <v>45</v>
      </c>
      <c r="D110" s="10">
        <v>1028.9100000000001</v>
      </c>
      <c r="E110" s="10">
        <v>26.6</v>
      </c>
      <c r="F110" s="10">
        <v>3.6869999999999998</v>
      </c>
      <c r="G110" s="10">
        <v>0.63</v>
      </c>
      <c r="H110" s="10">
        <v>0.54</v>
      </c>
      <c r="I110" s="10">
        <v>4.8</v>
      </c>
      <c r="J110" s="10">
        <v>2</v>
      </c>
      <c r="K110" s="10">
        <v>17</v>
      </c>
      <c r="L110" s="9" t="s">
        <v>452</v>
      </c>
      <c r="M110" s="9"/>
    </row>
    <row r="111" spans="1:13" x14ac:dyDescent="0.25">
      <c r="A111" s="13" t="s">
        <v>265</v>
      </c>
      <c r="B111" s="13" t="s">
        <v>274</v>
      </c>
      <c r="C111" s="14" t="s">
        <v>275</v>
      </c>
      <c r="D111" s="15">
        <v>1064</v>
      </c>
      <c r="E111" s="15">
        <v>26</v>
      </c>
      <c r="F111" s="15">
        <v>16.399999999999999</v>
      </c>
      <c r="G111" s="15">
        <v>1.5</v>
      </c>
      <c r="H111" s="15">
        <v>1.5</v>
      </c>
      <c r="I111" s="15">
        <v>2</v>
      </c>
      <c r="J111" s="15">
        <v>3.6</v>
      </c>
      <c r="K111" s="15">
        <v>17</v>
      </c>
      <c r="L111" s="13"/>
      <c r="M111" s="13"/>
    </row>
    <row r="112" spans="1:13" x14ac:dyDescent="0.25">
      <c r="A112" s="1" t="s">
        <v>356</v>
      </c>
      <c r="B112" s="1" t="s">
        <v>363</v>
      </c>
      <c r="C112" s="2" t="s">
        <v>364</v>
      </c>
      <c r="D112" s="12">
        <v>206.6</v>
      </c>
      <c r="E112" s="43">
        <v>0.3</v>
      </c>
      <c r="F112" s="43">
        <v>0</v>
      </c>
      <c r="G112" s="12">
        <v>11.5</v>
      </c>
      <c r="H112" s="12">
        <v>11.5</v>
      </c>
      <c r="I112" s="42">
        <v>0</v>
      </c>
      <c r="J112" s="42">
        <v>0</v>
      </c>
      <c r="K112" s="12">
        <v>16</v>
      </c>
    </row>
    <row r="113" spans="1:26" x14ac:dyDescent="0.25">
      <c r="A113" s="13" t="s">
        <v>106</v>
      </c>
      <c r="B113" s="13" t="s">
        <v>139</v>
      </c>
      <c r="C113" s="14" t="s">
        <v>140</v>
      </c>
      <c r="D113" s="14">
        <v>366</v>
      </c>
      <c r="E113" s="14">
        <v>0.3</v>
      </c>
      <c r="F113" s="14">
        <v>0</v>
      </c>
      <c r="G113" s="14">
        <v>19.100000000000001</v>
      </c>
      <c r="H113" s="14">
        <v>0</v>
      </c>
      <c r="I113" s="14">
        <v>0.5</v>
      </c>
      <c r="J113" s="14">
        <v>1.6</v>
      </c>
      <c r="K113" s="14">
        <v>14</v>
      </c>
      <c r="L113" s="13" t="s">
        <v>452</v>
      </c>
      <c r="M113" s="13"/>
    </row>
    <row r="114" spans="1:26" s="18" customFormat="1" ht="15.75" customHeight="1" x14ac:dyDescent="0.25">
      <c r="A114" s="1" t="s">
        <v>278</v>
      </c>
      <c r="B114" s="1" t="s">
        <v>473</v>
      </c>
      <c r="C114" s="2" t="s">
        <v>332</v>
      </c>
      <c r="D114" s="42">
        <v>1206.79</v>
      </c>
      <c r="E114" s="42">
        <v>0.41</v>
      </c>
      <c r="F114" s="42">
        <v>0</v>
      </c>
      <c r="G114" s="42">
        <v>69.72</v>
      </c>
      <c r="H114" s="42">
        <v>67.75</v>
      </c>
      <c r="I114" s="42">
        <v>1.1000000000000001</v>
      </c>
      <c r="J114" s="42">
        <v>0.38</v>
      </c>
      <c r="K114" s="42">
        <v>13</v>
      </c>
      <c r="L114" s="1"/>
      <c r="M114" s="1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3" t="s">
        <v>265</v>
      </c>
      <c r="B115" s="13" t="s">
        <v>276</v>
      </c>
      <c r="C115" s="14" t="s">
        <v>277</v>
      </c>
      <c r="D115" s="15">
        <v>789</v>
      </c>
      <c r="E115" s="15">
        <v>18.899999999999999</v>
      </c>
      <c r="F115" s="15">
        <v>17</v>
      </c>
      <c r="G115" s="15">
        <v>3.6</v>
      </c>
      <c r="H115" s="15">
        <v>3.5</v>
      </c>
      <c r="I115" s="15">
        <v>0.8</v>
      </c>
      <c r="J115" s="15">
        <v>1.5</v>
      </c>
      <c r="K115" s="15">
        <v>12</v>
      </c>
      <c r="L115" s="13"/>
      <c r="M115" s="13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" t="s">
        <v>356</v>
      </c>
      <c r="B116" s="1" t="s">
        <v>359</v>
      </c>
      <c r="C116" s="2" t="s">
        <v>360</v>
      </c>
      <c r="D116" s="42">
        <v>185.3</v>
      </c>
      <c r="E116" s="42">
        <v>0</v>
      </c>
      <c r="F116" s="42">
        <v>0</v>
      </c>
      <c r="G116" s="42">
        <v>10.9</v>
      </c>
      <c r="H116" s="42">
        <v>10.9</v>
      </c>
      <c r="I116" s="42">
        <v>0</v>
      </c>
      <c r="J116" s="42">
        <v>0</v>
      </c>
      <c r="K116" s="42">
        <v>12</v>
      </c>
      <c r="L116" s="1"/>
      <c r="M116" s="1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" t="s">
        <v>106</v>
      </c>
      <c r="B117" s="1" t="str">
        <f>'common foods'!C55</f>
        <v>Rolled oats</v>
      </c>
      <c r="C117" s="2" t="s">
        <v>124</v>
      </c>
      <c r="D117" s="2">
        <v>205.87</v>
      </c>
      <c r="E117" s="2">
        <v>1.1000000000000001</v>
      </c>
      <c r="F117" s="2">
        <v>0.17</v>
      </c>
      <c r="G117" s="2">
        <v>8.1999999999999993</v>
      </c>
      <c r="H117" s="2">
        <v>0</v>
      </c>
      <c r="I117" s="2">
        <v>1.7</v>
      </c>
      <c r="J117" s="2">
        <v>1.52</v>
      </c>
      <c r="K117" s="2">
        <v>10</v>
      </c>
      <c r="L117" s="1" t="s">
        <v>453</v>
      </c>
      <c r="M117" s="1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.75" customHeight="1" x14ac:dyDescent="0.25">
      <c r="A118" s="1" t="s">
        <v>8</v>
      </c>
      <c r="B118" s="1" t="s">
        <v>36</v>
      </c>
      <c r="C118" s="2" t="s">
        <v>37</v>
      </c>
      <c r="D118" s="2">
        <v>85</v>
      </c>
      <c r="E118" s="2">
        <v>0.1</v>
      </c>
      <c r="F118" s="2">
        <v>0</v>
      </c>
      <c r="G118" s="2">
        <v>4</v>
      </c>
      <c r="H118" s="2">
        <v>4</v>
      </c>
      <c r="I118" s="2">
        <v>0.8</v>
      </c>
      <c r="J118" s="2">
        <v>0.5</v>
      </c>
      <c r="K118" s="2">
        <v>8</v>
      </c>
      <c r="L118" s="1" t="s">
        <v>455</v>
      </c>
      <c r="M118" s="1" t="s">
        <v>465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" t="s">
        <v>341</v>
      </c>
      <c r="B119" s="1" t="s">
        <v>344</v>
      </c>
      <c r="C119" s="2" t="s">
        <v>345</v>
      </c>
      <c r="D119" s="46">
        <v>2560</v>
      </c>
      <c r="E119" s="46">
        <v>54.4</v>
      </c>
      <c r="F119" s="46">
        <v>8.4</v>
      </c>
      <c r="G119" s="46">
        <v>10</v>
      </c>
      <c r="H119" s="46">
        <v>5</v>
      </c>
      <c r="I119" s="46">
        <v>6</v>
      </c>
      <c r="J119" s="46">
        <v>27</v>
      </c>
      <c r="K119" s="46">
        <v>8</v>
      </c>
      <c r="L119" s="1" t="s">
        <v>455</v>
      </c>
      <c r="M119" s="1" t="s">
        <v>474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" customHeight="1" x14ac:dyDescent="0.25">
      <c r="A120" s="1" t="s">
        <v>43</v>
      </c>
      <c r="B120" s="1" t="s">
        <v>48</v>
      </c>
      <c r="C120" s="2" t="s">
        <v>49</v>
      </c>
      <c r="D120" s="2">
        <v>93.89</v>
      </c>
      <c r="E120" s="2">
        <v>0.2</v>
      </c>
      <c r="F120" s="2">
        <v>4.1000000000000002E-2</v>
      </c>
      <c r="G120" s="2">
        <v>3.9</v>
      </c>
      <c r="H120" s="2">
        <v>3.9</v>
      </c>
      <c r="I120" s="2">
        <v>1.8</v>
      </c>
      <c r="J120" s="2">
        <v>1.19</v>
      </c>
      <c r="K120" s="2">
        <v>7.3</v>
      </c>
      <c r="L120" s="1" t="s">
        <v>452</v>
      </c>
      <c r="M120" s="1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" t="s">
        <v>43</v>
      </c>
      <c r="B121" s="1" t="s">
        <v>54</v>
      </c>
      <c r="C121" s="2" t="s">
        <v>55</v>
      </c>
      <c r="D121" s="2">
        <v>84.33</v>
      </c>
      <c r="E121" s="2">
        <v>0.2</v>
      </c>
      <c r="F121" s="2">
        <v>3.5000000000000003E-2</v>
      </c>
      <c r="G121" s="2">
        <v>2.65</v>
      </c>
      <c r="H121" s="2">
        <v>2.6</v>
      </c>
      <c r="I121" s="2">
        <v>1.8</v>
      </c>
      <c r="J121" s="2">
        <v>1.88</v>
      </c>
      <c r="K121" s="2">
        <v>7</v>
      </c>
      <c r="L121" s="1" t="s">
        <v>452</v>
      </c>
      <c r="M121" s="1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18" customFormat="1" ht="15.75" customHeight="1" x14ac:dyDescent="0.25">
      <c r="A122" s="1" t="s">
        <v>43</v>
      </c>
      <c r="B122" s="1" t="s">
        <v>68</v>
      </c>
      <c r="C122" s="2" t="s">
        <v>69</v>
      </c>
      <c r="D122" s="2">
        <v>56.94</v>
      </c>
      <c r="E122" s="2">
        <v>0.04</v>
      </c>
      <c r="F122" s="2">
        <v>8.0000000000000002E-3</v>
      </c>
      <c r="G122" s="2">
        <v>2.7</v>
      </c>
      <c r="H122" s="2">
        <v>2.7</v>
      </c>
      <c r="I122" s="2">
        <v>1.4</v>
      </c>
      <c r="J122" s="2">
        <v>0.56000000000000005</v>
      </c>
      <c r="K122" s="2">
        <v>7</v>
      </c>
      <c r="L122" s="1" t="s">
        <v>452</v>
      </c>
      <c r="M122" s="1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18" customFormat="1" ht="15.75" customHeight="1" x14ac:dyDescent="0.25">
      <c r="A123" s="13" t="s">
        <v>43</v>
      </c>
      <c r="B123" s="13" t="s">
        <v>88</v>
      </c>
      <c r="C123" s="14" t="s">
        <v>89</v>
      </c>
      <c r="D123" s="14">
        <v>600</v>
      </c>
      <c r="E123" s="14">
        <v>0.2</v>
      </c>
      <c r="F123" s="14">
        <v>0.1</v>
      </c>
      <c r="G123" s="14">
        <v>33.5</v>
      </c>
      <c r="H123" s="14">
        <v>1.5</v>
      </c>
      <c r="I123" s="14">
        <v>2</v>
      </c>
      <c r="J123" s="14">
        <v>0.5</v>
      </c>
      <c r="K123" s="14">
        <v>7</v>
      </c>
      <c r="L123" s="13" t="s">
        <v>452</v>
      </c>
      <c r="M123" s="13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9" customFormat="1" x14ac:dyDescent="0.25">
      <c r="A124" s="1" t="s">
        <v>43</v>
      </c>
      <c r="B124" s="1" t="s">
        <v>46</v>
      </c>
      <c r="C124" s="2" t="s">
        <v>47</v>
      </c>
      <c r="D124" s="2">
        <v>121.48</v>
      </c>
      <c r="E124" s="2">
        <v>0.5</v>
      </c>
      <c r="F124" s="2">
        <v>9.6000000000000002E-2</v>
      </c>
      <c r="G124" s="2">
        <v>1.75</v>
      </c>
      <c r="H124" s="2">
        <v>1.75</v>
      </c>
      <c r="I124" s="2">
        <v>3.4</v>
      </c>
      <c r="J124" s="2">
        <v>4.3099999999999996</v>
      </c>
      <c r="K124" s="2">
        <v>6.9</v>
      </c>
      <c r="L124" s="1" t="s">
        <v>452</v>
      </c>
      <c r="M124" s="1"/>
    </row>
    <row r="125" spans="1:26" x14ac:dyDescent="0.25">
      <c r="A125" s="9" t="s">
        <v>406</v>
      </c>
      <c r="B125" s="9" t="s">
        <v>407</v>
      </c>
      <c r="C125" s="10" t="s">
        <v>408</v>
      </c>
      <c r="D125" s="10">
        <v>341.69</v>
      </c>
      <c r="E125" s="10">
        <v>0.02</v>
      </c>
      <c r="F125" s="10">
        <v>0</v>
      </c>
      <c r="G125" s="10">
        <v>2.2999999999999998</v>
      </c>
      <c r="H125" s="10">
        <v>2.2999999999999998</v>
      </c>
      <c r="I125" s="10">
        <v>0</v>
      </c>
      <c r="J125" s="10">
        <v>0.19</v>
      </c>
      <c r="K125" s="10">
        <v>6.4</v>
      </c>
      <c r="L125" s="9" t="s">
        <v>452</v>
      </c>
      <c r="M125" s="9"/>
    </row>
    <row r="126" spans="1:26" x14ac:dyDescent="0.25">
      <c r="A126" s="1" t="s">
        <v>43</v>
      </c>
      <c r="B126" s="1" t="s">
        <v>66</v>
      </c>
      <c r="C126" s="2" t="s">
        <v>67</v>
      </c>
      <c r="D126" s="2">
        <v>50.28</v>
      </c>
      <c r="E126" s="2">
        <v>0.2</v>
      </c>
      <c r="F126" s="2">
        <v>4.8000000000000001E-2</v>
      </c>
      <c r="G126" s="2">
        <v>0.21</v>
      </c>
      <c r="H126" s="2">
        <v>0.2</v>
      </c>
      <c r="I126" s="2">
        <v>2.5</v>
      </c>
      <c r="J126" s="2">
        <v>2.31</v>
      </c>
      <c r="K126" s="2">
        <v>6.08</v>
      </c>
      <c r="L126" s="1" t="s">
        <v>452</v>
      </c>
    </row>
    <row r="127" spans="1:26" x14ac:dyDescent="0.25">
      <c r="A127" s="1" t="s">
        <v>187</v>
      </c>
      <c r="B127" s="1" t="s">
        <v>224</v>
      </c>
      <c r="C127" s="2" t="s">
        <v>225</v>
      </c>
      <c r="D127" s="42">
        <v>2362.87</v>
      </c>
      <c r="E127" s="42">
        <v>49</v>
      </c>
      <c r="F127" s="42">
        <v>9.18</v>
      </c>
      <c r="G127" s="42">
        <v>8</v>
      </c>
      <c r="H127" s="42">
        <v>3</v>
      </c>
      <c r="I127" s="42">
        <v>8.1999999999999993</v>
      </c>
      <c r="J127" s="42">
        <v>24.35</v>
      </c>
      <c r="K127" s="42">
        <v>6</v>
      </c>
    </row>
    <row r="128" spans="1:26" s="13" customFormat="1" x14ac:dyDescent="0.25">
      <c r="A128" s="1" t="s">
        <v>356</v>
      </c>
      <c r="B128" s="1" t="str">
        <f>'common foods'!C169</f>
        <v>Diet cola</v>
      </c>
      <c r="C128" s="2" t="str">
        <f>'common foods'!D169</f>
        <v>09106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6</v>
      </c>
      <c r="L128" s="1"/>
      <c r="M128" s="1"/>
    </row>
    <row r="129" spans="1:13" s="13" customFormat="1" x14ac:dyDescent="0.25">
      <c r="A129" s="1" t="s">
        <v>106</v>
      </c>
      <c r="B129" s="1" t="s">
        <v>127</v>
      </c>
      <c r="C129" s="2" t="s">
        <v>128</v>
      </c>
      <c r="D129" s="2">
        <v>339</v>
      </c>
      <c r="E129" s="2">
        <v>0.5</v>
      </c>
      <c r="F129" s="2">
        <v>0.1</v>
      </c>
      <c r="G129" s="2">
        <v>13.8</v>
      </c>
      <c r="H129" s="2">
        <v>0.5</v>
      </c>
      <c r="I129" s="2">
        <v>1.7</v>
      </c>
      <c r="J129" s="2">
        <v>5.0999999999999996</v>
      </c>
      <c r="K129" s="2">
        <v>4.9000000000000004</v>
      </c>
      <c r="L129" s="1" t="s">
        <v>452</v>
      </c>
      <c r="M129" s="1"/>
    </row>
    <row r="130" spans="1:13" s="9" customFormat="1" x14ac:dyDescent="0.25">
      <c r="A130" s="16" t="s">
        <v>106</v>
      </c>
      <c r="B130" s="16" t="s">
        <v>155</v>
      </c>
      <c r="C130" s="17" t="s">
        <v>156</v>
      </c>
      <c r="D130" s="46">
        <v>339</v>
      </c>
      <c r="E130" s="46">
        <v>0.5</v>
      </c>
      <c r="F130" s="46">
        <v>0.1</v>
      </c>
      <c r="G130" s="46">
        <v>13.8</v>
      </c>
      <c r="H130" s="46">
        <v>0.5</v>
      </c>
      <c r="I130" s="46">
        <v>1.7</v>
      </c>
      <c r="J130" s="46">
        <v>5.0999999999999996</v>
      </c>
      <c r="K130" s="46">
        <v>4.9000000000000004</v>
      </c>
      <c r="L130" s="50" t="s">
        <v>452</v>
      </c>
      <c r="M130" s="16" t="s">
        <v>475</v>
      </c>
    </row>
    <row r="131" spans="1:13" x14ac:dyDescent="0.25">
      <c r="A131" s="1" t="s">
        <v>43</v>
      </c>
      <c r="B131" s="1" t="s">
        <v>84</v>
      </c>
      <c r="C131" s="2" t="s">
        <v>85</v>
      </c>
      <c r="D131" s="2">
        <v>350.97</v>
      </c>
      <c r="E131" s="2">
        <v>0.17</v>
      </c>
      <c r="F131" s="2">
        <v>4.1000000000000002E-2</v>
      </c>
      <c r="G131" s="2">
        <v>18.149999999999999</v>
      </c>
      <c r="H131" s="2">
        <v>0.21</v>
      </c>
      <c r="I131" s="2">
        <v>1.9</v>
      </c>
      <c r="J131" s="2">
        <v>2.13</v>
      </c>
      <c r="K131" s="2">
        <v>4</v>
      </c>
      <c r="L131" s="1" t="s">
        <v>452</v>
      </c>
    </row>
    <row r="132" spans="1:13" x14ac:dyDescent="0.25">
      <c r="A132" s="13" t="s">
        <v>43</v>
      </c>
      <c r="B132" s="13" t="s">
        <v>78</v>
      </c>
      <c r="C132" s="14" t="s">
        <v>79</v>
      </c>
      <c r="D132" s="14">
        <v>467</v>
      </c>
      <c r="E132" s="14">
        <v>0.6</v>
      </c>
      <c r="F132" s="14">
        <v>0.1</v>
      </c>
      <c r="G132" s="14">
        <v>10.3</v>
      </c>
      <c r="H132" s="14">
        <v>1.6</v>
      </c>
      <c r="I132" s="14">
        <v>16.899999999999999</v>
      </c>
      <c r="J132" s="14">
        <v>7.9</v>
      </c>
      <c r="K132" s="14">
        <v>4</v>
      </c>
      <c r="L132" s="13" t="s">
        <v>452</v>
      </c>
      <c r="M132" s="13"/>
    </row>
    <row r="133" spans="1:13" x14ac:dyDescent="0.25">
      <c r="A133" s="1" t="s">
        <v>43</v>
      </c>
      <c r="B133" s="1" t="s">
        <v>80</v>
      </c>
      <c r="C133" s="2" t="s">
        <v>81</v>
      </c>
      <c r="D133" s="2">
        <v>86</v>
      </c>
      <c r="E133" s="2">
        <v>1</v>
      </c>
      <c r="F133" s="2">
        <v>1</v>
      </c>
      <c r="G133" s="2">
        <v>3.6</v>
      </c>
      <c r="H133" s="2">
        <v>3.2</v>
      </c>
      <c r="I133" s="2">
        <v>1.7</v>
      </c>
      <c r="J133" s="2">
        <v>1</v>
      </c>
      <c r="K133" s="2">
        <v>4</v>
      </c>
      <c r="L133" s="1" t="s">
        <v>455</v>
      </c>
      <c r="M133" s="1" t="s">
        <v>476</v>
      </c>
    </row>
    <row r="134" spans="1:13" s="13" customFormat="1" x14ac:dyDescent="0.25">
      <c r="A134" s="13" t="s">
        <v>43</v>
      </c>
      <c r="B134" s="13" t="s">
        <v>94</v>
      </c>
      <c r="C134" s="14" t="s">
        <v>95</v>
      </c>
      <c r="D134" s="14">
        <v>522</v>
      </c>
      <c r="E134" s="14">
        <v>0.1</v>
      </c>
      <c r="F134" s="14">
        <v>0</v>
      </c>
      <c r="G134" s="14">
        <v>28.4</v>
      </c>
      <c r="H134" s="14">
        <v>0.9</v>
      </c>
      <c r="I134" s="14">
        <v>2.2999999999999998</v>
      </c>
      <c r="J134" s="14">
        <v>1</v>
      </c>
      <c r="K134" s="14">
        <v>4</v>
      </c>
      <c r="L134" s="13" t="s">
        <v>452</v>
      </c>
    </row>
    <row r="135" spans="1:13" x14ac:dyDescent="0.25">
      <c r="A135" s="13" t="s">
        <v>43</v>
      </c>
      <c r="B135" s="13" t="s">
        <v>92</v>
      </c>
      <c r="C135" s="14" t="s">
        <v>93</v>
      </c>
      <c r="D135" s="14">
        <v>158</v>
      </c>
      <c r="E135" s="14">
        <v>0.8</v>
      </c>
      <c r="F135" s="14">
        <v>0.2</v>
      </c>
      <c r="G135" s="14">
        <v>0.7</v>
      </c>
      <c r="H135" s="14">
        <v>0.7</v>
      </c>
      <c r="I135" s="14">
        <v>3.7</v>
      </c>
      <c r="J135" s="14">
        <v>5.0999999999999996</v>
      </c>
      <c r="K135" s="14">
        <v>3</v>
      </c>
      <c r="L135" s="13" t="s">
        <v>452</v>
      </c>
      <c r="M135" s="13"/>
    </row>
    <row r="136" spans="1:13" x14ac:dyDescent="0.25">
      <c r="A136" s="1" t="s">
        <v>356</v>
      </c>
      <c r="B136" s="1" t="s">
        <v>365</v>
      </c>
      <c r="C136" s="2" t="s">
        <v>366</v>
      </c>
      <c r="D136" s="42">
        <v>183.22</v>
      </c>
      <c r="E136" s="42">
        <v>0.03</v>
      </c>
      <c r="F136" s="42">
        <v>7.0000000000000001E-3</v>
      </c>
      <c r="G136" s="42">
        <v>10.4</v>
      </c>
      <c r="H136" s="42">
        <v>10.4</v>
      </c>
      <c r="I136" s="42">
        <v>0.3</v>
      </c>
      <c r="J136" s="42">
        <v>0.31</v>
      </c>
      <c r="K136" s="42">
        <v>3</v>
      </c>
    </row>
    <row r="137" spans="1:13" x14ac:dyDescent="0.25">
      <c r="A137" s="1" t="s">
        <v>8</v>
      </c>
      <c r="B137" s="1" t="s">
        <v>21</v>
      </c>
      <c r="C137" s="2" t="s">
        <v>22</v>
      </c>
      <c r="D137" s="2">
        <v>203.18</v>
      </c>
      <c r="E137" s="2">
        <v>0.42</v>
      </c>
      <c r="F137" s="2">
        <v>0</v>
      </c>
      <c r="G137" s="2">
        <v>9.85</v>
      </c>
      <c r="H137" s="2">
        <v>9.85</v>
      </c>
      <c r="I137" s="2">
        <v>2</v>
      </c>
      <c r="J137" s="2">
        <v>1.19</v>
      </c>
      <c r="K137" s="2">
        <v>2.7</v>
      </c>
      <c r="L137" s="1" t="s">
        <v>452</v>
      </c>
    </row>
    <row r="138" spans="1:13" s="13" customFormat="1" x14ac:dyDescent="0.25">
      <c r="A138" s="1" t="s">
        <v>8</v>
      </c>
      <c r="B138" s="1" t="s">
        <v>26</v>
      </c>
      <c r="C138" s="2" t="s">
        <v>27</v>
      </c>
      <c r="D138" s="2">
        <v>171.84</v>
      </c>
      <c r="E138" s="2">
        <v>0.3</v>
      </c>
      <c r="F138" s="2">
        <v>5.6000000000000001E-2</v>
      </c>
      <c r="G138" s="2">
        <v>8.58</v>
      </c>
      <c r="H138" s="2">
        <v>8.4499999999999993</v>
      </c>
      <c r="I138" s="2">
        <v>2</v>
      </c>
      <c r="J138" s="2">
        <v>0.88</v>
      </c>
      <c r="K138" s="2">
        <v>2.7</v>
      </c>
      <c r="L138" s="1" t="s">
        <v>452</v>
      </c>
      <c r="M138" s="1"/>
    </row>
    <row r="139" spans="1:13" s="13" customFormat="1" x14ac:dyDescent="0.25">
      <c r="A139" s="1" t="s">
        <v>43</v>
      </c>
      <c r="B139" s="1" t="s">
        <v>62</v>
      </c>
      <c r="C139" s="2" t="s">
        <v>63</v>
      </c>
      <c r="D139" s="2">
        <v>62.36</v>
      </c>
      <c r="E139" s="2">
        <v>0.3</v>
      </c>
      <c r="F139" s="2">
        <v>0.1</v>
      </c>
      <c r="G139" s="2">
        <v>1.89</v>
      </c>
      <c r="H139" s="2">
        <v>1.1000000000000001</v>
      </c>
      <c r="I139" s="2">
        <v>1.56</v>
      </c>
      <c r="J139" s="2">
        <v>1.1299999999999999</v>
      </c>
      <c r="K139" s="2">
        <v>2.2000000000000002</v>
      </c>
      <c r="L139" s="1" t="s">
        <v>452</v>
      </c>
      <c r="M139" s="1"/>
    </row>
    <row r="140" spans="1:13" x14ac:dyDescent="0.25">
      <c r="A140" s="1" t="s">
        <v>8</v>
      </c>
      <c r="B140" s="1" t="s">
        <v>23</v>
      </c>
      <c r="C140" s="2" t="s">
        <v>24</v>
      </c>
      <c r="D140" s="2">
        <v>167.21</v>
      </c>
      <c r="E140" s="2">
        <v>0.4</v>
      </c>
      <c r="F140" s="2">
        <v>3.5999999999999997E-2</v>
      </c>
      <c r="G140" s="2">
        <v>7.84</v>
      </c>
      <c r="H140" s="2">
        <v>7.8</v>
      </c>
      <c r="I140" s="2">
        <v>1.62</v>
      </c>
      <c r="J140" s="2">
        <v>1.1299999999999999</v>
      </c>
      <c r="K140" s="2">
        <v>2.04</v>
      </c>
      <c r="L140" s="1" t="s">
        <v>452</v>
      </c>
    </row>
    <row r="141" spans="1:13" x14ac:dyDescent="0.25">
      <c r="A141" s="1" t="s">
        <v>8</v>
      </c>
      <c r="B141" s="1" t="s">
        <v>16</v>
      </c>
      <c r="C141" s="2" t="s">
        <v>17</v>
      </c>
      <c r="D141" s="2">
        <v>281.83</v>
      </c>
      <c r="E141" s="2">
        <v>0.16</v>
      </c>
      <c r="F141" s="2">
        <v>5.2999999999999999E-2</v>
      </c>
      <c r="G141" s="2">
        <v>15.48</v>
      </c>
      <c r="H141" s="2">
        <v>15.48</v>
      </c>
      <c r="I141" s="2">
        <v>0.9</v>
      </c>
      <c r="J141" s="2">
        <v>0.75</v>
      </c>
      <c r="K141" s="2">
        <v>2</v>
      </c>
      <c r="L141" s="1" t="s">
        <v>452</v>
      </c>
    </row>
    <row r="142" spans="1:13" x14ac:dyDescent="0.25">
      <c r="A142" s="1" t="s">
        <v>8</v>
      </c>
      <c r="B142" s="1" t="s">
        <v>32</v>
      </c>
      <c r="C142" s="2" t="s">
        <v>33</v>
      </c>
      <c r="D142" s="2">
        <v>175</v>
      </c>
      <c r="E142" s="2">
        <v>0.1</v>
      </c>
      <c r="F142" s="2">
        <v>0</v>
      </c>
      <c r="G142" s="2">
        <v>9.1999999999999993</v>
      </c>
      <c r="H142" s="2">
        <v>9.1999999999999993</v>
      </c>
      <c r="I142" s="2">
        <v>0.8</v>
      </c>
      <c r="J142" s="2">
        <v>0.5</v>
      </c>
      <c r="K142" s="2">
        <v>2</v>
      </c>
      <c r="L142" s="1" t="s">
        <v>455</v>
      </c>
      <c r="M142" s="1" t="s">
        <v>465</v>
      </c>
    </row>
    <row r="143" spans="1:13" x14ac:dyDescent="0.25">
      <c r="A143" s="1" t="s">
        <v>8</v>
      </c>
      <c r="B143" s="1" t="s">
        <v>34</v>
      </c>
      <c r="C143" s="2" t="s">
        <v>35</v>
      </c>
      <c r="D143" s="2">
        <v>195</v>
      </c>
      <c r="E143" s="2">
        <v>0.1</v>
      </c>
      <c r="F143" s="2">
        <v>0</v>
      </c>
      <c r="G143" s="2">
        <v>10.6</v>
      </c>
      <c r="H143" s="2">
        <v>10.6</v>
      </c>
      <c r="I143" s="2">
        <v>0.8</v>
      </c>
      <c r="J143" s="2">
        <v>0.5</v>
      </c>
      <c r="K143" s="2">
        <v>2</v>
      </c>
      <c r="L143" s="1" t="s">
        <v>455</v>
      </c>
      <c r="M143" s="1" t="s">
        <v>465</v>
      </c>
    </row>
    <row r="144" spans="1:13" s="13" customFormat="1" x14ac:dyDescent="0.25">
      <c r="A144" s="13" t="s">
        <v>8</v>
      </c>
      <c r="B144" s="13" t="s">
        <v>38</v>
      </c>
      <c r="C144" s="14" t="s">
        <v>39</v>
      </c>
      <c r="D144" s="14">
        <v>195</v>
      </c>
      <c r="E144" s="14">
        <v>0.1</v>
      </c>
      <c r="F144" s="14">
        <v>0</v>
      </c>
      <c r="G144" s="14">
        <v>10.5</v>
      </c>
      <c r="H144" s="14">
        <v>10.5</v>
      </c>
      <c r="I144" s="14">
        <v>1</v>
      </c>
      <c r="J144" s="14">
        <v>0.3</v>
      </c>
      <c r="K144" s="14">
        <v>2</v>
      </c>
      <c r="L144" s="13" t="s">
        <v>455</v>
      </c>
      <c r="M144" s="13" t="s">
        <v>465</v>
      </c>
    </row>
    <row r="145" spans="1:13" s="13" customFormat="1" x14ac:dyDescent="0.25">
      <c r="A145" s="1" t="s">
        <v>43</v>
      </c>
      <c r="B145" s="1" t="s">
        <v>70</v>
      </c>
      <c r="C145" s="2" t="s">
        <v>71</v>
      </c>
      <c r="D145" s="2">
        <v>175.24</v>
      </c>
      <c r="E145" s="2">
        <v>0.4</v>
      </c>
      <c r="F145" s="2">
        <v>0.14899999999999999</v>
      </c>
      <c r="G145" s="2">
        <v>4</v>
      </c>
      <c r="H145" s="2">
        <v>1</v>
      </c>
      <c r="I145" s="2">
        <v>5.8</v>
      </c>
      <c r="J145" s="2">
        <v>5.44</v>
      </c>
      <c r="K145" s="2">
        <v>2</v>
      </c>
      <c r="L145" s="1" t="s">
        <v>453</v>
      </c>
      <c r="M145" s="1"/>
    </row>
    <row r="146" spans="1:13" x14ac:dyDescent="0.25">
      <c r="A146" s="1" t="s">
        <v>406</v>
      </c>
      <c r="B146" s="1" t="s">
        <v>409</v>
      </c>
      <c r="C146" s="2" t="s">
        <v>410</v>
      </c>
      <c r="D146" s="2">
        <v>144.65</v>
      </c>
      <c r="E146" s="2">
        <v>0</v>
      </c>
      <c r="F146" s="2">
        <v>0</v>
      </c>
      <c r="G146" s="2">
        <v>0.65</v>
      </c>
      <c r="H146" s="2">
        <v>0.65</v>
      </c>
      <c r="I146" s="2">
        <v>0</v>
      </c>
      <c r="J146" s="2">
        <v>0.35</v>
      </c>
      <c r="K146" s="2">
        <v>2</v>
      </c>
      <c r="L146" s="1" t="s">
        <v>452</v>
      </c>
    </row>
    <row r="147" spans="1:13" x14ac:dyDescent="0.25">
      <c r="A147" s="1" t="s">
        <v>43</v>
      </c>
      <c r="B147" s="1" t="s">
        <v>60</v>
      </c>
      <c r="C147" s="2" t="s">
        <v>61</v>
      </c>
      <c r="D147" s="2">
        <v>45.05</v>
      </c>
      <c r="E147" s="2">
        <v>0</v>
      </c>
      <c r="F147" s="2">
        <v>0</v>
      </c>
      <c r="G147" s="2">
        <v>1.9</v>
      </c>
      <c r="H147" s="2">
        <v>1.8</v>
      </c>
      <c r="I147" s="2">
        <v>0.8</v>
      </c>
      <c r="J147" s="2">
        <v>0.75</v>
      </c>
      <c r="K147" s="2">
        <v>1.9</v>
      </c>
      <c r="L147" s="1" t="s">
        <v>452</v>
      </c>
    </row>
    <row r="148" spans="1:13" x14ac:dyDescent="0.25">
      <c r="A148" s="1" t="s">
        <v>8</v>
      </c>
      <c r="B148" s="1" t="s">
        <v>18</v>
      </c>
      <c r="C148" s="2" t="s">
        <v>19</v>
      </c>
      <c r="D148" s="2">
        <v>221.71</v>
      </c>
      <c r="E148" s="2">
        <v>0.71</v>
      </c>
      <c r="F148" s="2">
        <v>0.189</v>
      </c>
      <c r="G148" s="2">
        <v>10.55</v>
      </c>
      <c r="H148" s="2">
        <v>10.220000000000001</v>
      </c>
      <c r="I148" s="2">
        <v>2.21</v>
      </c>
      <c r="J148" s="2">
        <v>0.94</v>
      </c>
      <c r="K148" s="2">
        <v>1.81</v>
      </c>
      <c r="L148" s="1" t="s">
        <v>452</v>
      </c>
    </row>
    <row r="149" spans="1:13" x14ac:dyDescent="0.25">
      <c r="A149" s="9" t="s">
        <v>8</v>
      </c>
      <c r="B149" s="9" t="s">
        <v>9</v>
      </c>
      <c r="C149" s="10" t="s">
        <v>10</v>
      </c>
      <c r="D149" s="10">
        <v>216.74</v>
      </c>
      <c r="E149" s="10">
        <v>0.3</v>
      </c>
      <c r="F149" s="10">
        <v>2.8000000000000001E-2</v>
      </c>
      <c r="G149" s="10">
        <v>11.64</v>
      </c>
      <c r="H149" s="10">
        <v>10.8</v>
      </c>
      <c r="I149" s="10">
        <v>2.1</v>
      </c>
      <c r="J149" s="10">
        <v>0.46</v>
      </c>
      <c r="K149" s="10">
        <v>1</v>
      </c>
      <c r="L149" s="9" t="s">
        <v>452</v>
      </c>
      <c r="M149" s="9"/>
    </row>
    <row r="150" spans="1:13" x14ac:dyDescent="0.25">
      <c r="A150" s="1" t="s">
        <v>43</v>
      </c>
      <c r="B150" s="1" t="s">
        <v>56</v>
      </c>
      <c r="C150" s="2" t="s">
        <v>57</v>
      </c>
      <c r="D150" s="2">
        <v>120.15</v>
      </c>
      <c r="E150" s="2">
        <v>2.2999999999999998</v>
      </c>
      <c r="F150" s="2">
        <v>0.32</v>
      </c>
      <c r="G150" s="2">
        <v>20.8</v>
      </c>
      <c r="H150" s="2">
        <v>1.6</v>
      </c>
      <c r="I150" s="2">
        <v>3.1</v>
      </c>
      <c r="J150" s="2">
        <v>4.0599999999999996</v>
      </c>
      <c r="K150" s="2">
        <v>1</v>
      </c>
      <c r="L150" s="1" t="s">
        <v>452</v>
      </c>
    </row>
    <row r="151" spans="1:13" s="13" customFormat="1" x14ac:dyDescent="0.25">
      <c r="A151" s="1" t="s">
        <v>43</v>
      </c>
      <c r="B151" s="1" t="s">
        <v>74</v>
      </c>
      <c r="C151" s="2" t="s">
        <v>75</v>
      </c>
      <c r="D151" s="2">
        <v>73.28</v>
      </c>
      <c r="E151" s="2">
        <v>0.4</v>
      </c>
      <c r="F151" s="2">
        <v>2.8000000000000001E-2</v>
      </c>
      <c r="G151" s="2">
        <v>2.69</v>
      </c>
      <c r="H151" s="2">
        <v>2.65</v>
      </c>
      <c r="I151" s="2">
        <v>1.2</v>
      </c>
      <c r="J151" s="2">
        <v>0.75</v>
      </c>
      <c r="K151" s="2">
        <v>1</v>
      </c>
      <c r="L151" s="1" t="s">
        <v>452</v>
      </c>
      <c r="M151" s="1"/>
    </row>
    <row r="152" spans="1:13" s="13" customFormat="1" x14ac:dyDescent="0.25">
      <c r="A152" s="1" t="s">
        <v>106</v>
      </c>
      <c r="B152" s="1" t="s">
        <v>125</v>
      </c>
      <c r="C152" s="2" t="s">
        <v>126</v>
      </c>
      <c r="D152" s="2">
        <v>354.49</v>
      </c>
      <c r="E152" s="2">
        <v>0.5</v>
      </c>
      <c r="F152" s="2">
        <v>7.0999999999999994E-2</v>
      </c>
      <c r="G152" s="2">
        <v>16.8</v>
      </c>
      <c r="H152" s="2">
        <v>0.3</v>
      </c>
      <c r="I152" s="2">
        <v>1</v>
      </c>
      <c r="J152" s="2">
        <v>2.96</v>
      </c>
      <c r="K152" s="2">
        <v>1</v>
      </c>
      <c r="L152" s="1" t="s">
        <v>452</v>
      </c>
      <c r="M152" s="51"/>
    </row>
    <row r="153" spans="1:13" x14ac:dyDescent="0.25">
      <c r="A153" s="1" t="s">
        <v>106</v>
      </c>
      <c r="B153" s="1" t="s">
        <v>133</v>
      </c>
      <c r="C153" s="2" t="s">
        <v>134</v>
      </c>
      <c r="D153" s="2">
        <v>580.59</v>
      </c>
      <c r="E153" s="2">
        <v>1.1000000000000001</v>
      </c>
      <c r="F153" s="2">
        <v>0.21299999999999999</v>
      </c>
      <c r="G153" s="2">
        <v>29.2</v>
      </c>
      <c r="H153" s="2">
        <v>0.5</v>
      </c>
      <c r="I153" s="2">
        <v>1.8</v>
      </c>
      <c r="J153" s="2">
        <v>2.56</v>
      </c>
      <c r="K153" s="2">
        <v>1</v>
      </c>
      <c r="L153" s="1" t="s">
        <v>453</v>
      </c>
      <c r="M153" s="25"/>
    </row>
    <row r="154" spans="1:13" x14ac:dyDescent="0.25">
      <c r="A154" s="1" t="s">
        <v>187</v>
      </c>
      <c r="B154" s="1" t="s">
        <v>226</v>
      </c>
      <c r="C154" s="2" t="s">
        <v>227</v>
      </c>
      <c r="D154" s="42">
        <v>2268.16</v>
      </c>
      <c r="E154" s="42">
        <v>49.42</v>
      </c>
      <c r="F154" s="42">
        <v>3.73</v>
      </c>
      <c r="G154" s="42">
        <v>4.6399999999999997</v>
      </c>
      <c r="H154" s="42">
        <v>3.9</v>
      </c>
      <c r="I154" s="42">
        <v>12.2</v>
      </c>
      <c r="J154" s="42">
        <v>21.22</v>
      </c>
      <c r="K154" s="42">
        <v>1</v>
      </c>
    </row>
    <row r="155" spans="1:13" x14ac:dyDescent="0.25">
      <c r="A155" s="16" t="s">
        <v>157</v>
      </c>
      <c r="B155" s="16" t="s">
        <v>185</v>
      </c>
      <c r="C155" s="17" t="s">
        <v>186</v>
      </c>
      <c r="D155" s="46">
        <v>1370</v>
      </c>
      <c r="E155" s="46">
        <v>30.8</v>
      </c>
      <c r="F155" s="46">
        <v>28.2</v>
      </c>
      <c r="G155" s="46">
        <v>13.2</v>
      </c>
      <c r="H155" s="46">
        <v>2.6</v>
      </c>
      <c r="I155" s="46">
        <v>0</v>
      </c>
      <c r="J155" s="46">
        <v>0.1</v>
      </c>
      <c r="K155" s="46">
        <f>879/1000</f>
        <v>0.879</v>
      </c>
      <c r="L155" s="16" t="s">
        <v>477</v>
      </c>
      <c r="M155" s="52" t="s">
        <v>478</v>
      </c>
    </row>
    <row r="156" spans="1:13" x14ac:dyDescent="0.25">
      <c r="A156" s="1" t="s">
        <v>106</v>
      </c>
      <c r="B156" s="1" t="s">
        <v>131</v>
      </c>
      <c r="C156" s="2" t="s">
        <v>132</v>
      </c>
      <c r="D156" s="2">
        <v>501</v>
      </c>
      <c r="E156" s="2">
        <v>0.44</v>
      </c>
      <c r="F156" s="2">
        <v>0.11799999999999999</v>
      </c>
      <c r="G156" s="2">
        <v>25.3</v>
      </c>
      <c r="H156" s="2">
        <v>0</v>
      </c>
      <c r="I156" s="2">
        <v>0.7</v>
      </c>
      <c r="J156" s="2">
        <v>3.21</v>
      </c>
      <c r="K156" s="2">
        <v>0.85</v>
      </c>
      <c r="L156" s="1" t="s">
        <v>453</v>
      </c>
    </row>
    <row r="157" spans="1:13" x14ac:dyDescent="0.25">
      <c r="A157" s="16" t="s">
        <v>106</v>
      </c>
      <c r="B157" s="16" t="str">
        <f>'common foods'!C67</f>
        <v>Mixed grain crackers</v>
      </c>
      <c r="C157" s="17" t="str">
        <f>'common foods'!D67</f>
        <v>03074</v>
      </c>
      <c r="D157" s="46">
        <v>1440</v>
      </c>
      <c r="E157" s="46">
        <v>2.5</v>
      </c>
      <c r="F157" s="46">
        <v>0.4</v>
      </c>
      <c r="G157" s="46">
        <v>65.2</v>
      </c>
      <c r="H157" s="46">
        <v>2.6</v>
      </c>
      <c r="I157" s="46">
        <v>3.2</v>
      </c>
      <c r="J157" s="46">
        <v>12.5</v>
      </c>
      <c r="K157" s="46">
        <f>820/1000</f>
        <v>0.82</v>
      </c>
      <c r="L157" s="48" t="s">
        <v>452</v>
      </c>
      <c r="M157" s="48" t="s">
        <v>479</v>
      </c>
    </row>
    <row r="158" spans="1:13" x14ac:dyDescent="0.25">
      <c r="A158" s="1" t="s">
        <v>8</v>
      </c>
      <c r="B158" s="1" t="s">
        <v>28</v>
      </c>
      <c r="C158" s="2" t="s">
        <v>29</v>
      </c>
      <c r="D158" s="2">
        <v>187.59</v>
      </c>
      <c r="E158" s="2">
        <v>0.3</v>
      </c>
      <c r="F158" s="2">
        <v>6.0000000000000001E-3</v>
      </c>
      <c r="G158" s="2">
        <v>10.01</v>
      </c>
      <c r="H158" s="2">
        <v>9.9499999999999993</v>
      </c>
      <c r="I158" s="2">
        <v>3.2</v>
      </c>
      <c r="J158" s="2">
        <v>0.37</v>
      </c>
      <c r="K158" s="2">
        <v>0.5</v>
      </c>
      <c r="L158" s="1" t="s">
        <v>452</v>
      </c>
    </row>
    <row r="159" spans="1:13" x14ac:dyDescent="0.25">
      <c r="A159" s="16" t="s">
        <v>341</v>
      </c>
      <c r="B159" s="16" t="s">
        <v>354</v>
      </c>
      <c r="C159" s="17" t="s">
        <v>355</v>
      </c>
      <c r="D159" s="17">
        <v>155</v>
      </c>
      <c r="E159" s="17" t="s">
        <v>480</v>
      </c>
      <c r="F159" s="17" t="s">
        <v>480</v>
      </c>
      <c r="G159" s="17">
        <v>6.6</v>
      </c>
      <c r="H159" s="17">
        <v>3.9</v>
      </c>
      <c r="I159" s="17">
        <v>1.9</v>
      </c>
      <c r="J159" s="17">
        <v>1.4</v>
      </c>
      <c r="K159" s="17">
        <f>430/1000</f>
        <v>0.43</v>
      </c>
      <c r="L159" s="16" t="s">
        <v>481</v>
      </c>
      <c r="M159" s="48" t="s">
        <v>482</v>
      </c>
    </row>
    <row r="160" spans="1:13" s="9" customFormat="1" x14ac:dyDescent="0.25">
      <c r="A160" s="16" t="s">
        <v>106</v>
      </c>
      <c r="B160" s="16" t="str">
        <f>'common foods'!C66</f>
        <v>Rye Crispbread</v>
      </c>
      <c r="C160" s="17" t="str">
        <f>'common foods'!D66</f>
        <v>03073</v>
      </c>
      <c r="D160" s="46">
        <v>1510</v>
      </c>
      <c r="E160" s="46">
        <v>1.6</v>
      </c>
      <c r="F160" s="46">
        <v>0.3</v>
      </c>
      <c r="G160" s="46">
        <v>67.400000000000006</v>
      </c>
      <c r="H160" s="46">
        <v>1.7</v>
      </c>
      <c r="I160" s="46">
        <v>14.3</v>
      </c>
      <c r="J160" s="46">
        <v>11.3</v>
      </c>
      <c r="K160" s="46">
        <f>400/1000</f>
        <v>0.4</v>
      </c>
      <c r="L160" s="48" t="s">
        <v>452</v>
      </c>
      <c r="M160" s="16"/>
    </row>
    <row r="161" spans="1:26" x14ac:dyDescent="0.25">
      <c r="A161" s="16" t="s">
        <v>187</v>
      </c>
      <c r="B161" s="16" t="s">
        <v>251</v>
      </c>
      <c r="C161" s="17" t="str">
        <f>'common foods'!D117</f>
        <v>05104</v>
      </c>
      <c r="D161" s="46">
        <v>645</v>
      </c>
      <c r="E161" s="46">
        <v>1.7</v>
      </c>
      <c r="F161" s="46">
        <v>0.2</v>
      </c>
      <c r="G161" s="46">
        <v>25.2</v>
      </c>
      <c r="H161" s="46">
        <v>4</v>
      </c>
      <c r="I161" s="46">
        <v>5</v>
      </c>
      <c r="J161" s="46">
        <v>6.7</v>
      </c>
      <c r="K161" s="46">
        <f>377/1000</f>
        <v>0.377</v>
      </c>
      <c r="L161" s="16" t="s">
        <v>481</v>
      </c>
      <c r="M161" s="16"/>
    </row>
    <row r="162" spans="1:26" x14ac:dyDescent="0.25">
      <c r="A162" s="16" t="s">
        <v>106</v>
      </c>
      <c r="B162" s="16" t="s">
        <v>153</v>
      </c>
      <c r="C162" s="17" t="s">
        <v>154</v>
      </c>
      <c r="D162" s="46">
        <v>1030</v>
      </c>
      <c r="E162" s="46">
        <v>2.2000000000000002</v>
      </c>
      <c r="F162" s="46">
        <v>0.3</v>
      </c>
      <c r="G162" s="46">
        <v>41.9</v>
      </c>
      <c r="H162" s="46">
        <v>2.2000000000000002</v>
      </c>
      <c r="I162" s="46">
        <v>7.8</v>
      </c>
      <c r="J162" s="46">
        <v>10.1</v>
      </c>
      <c r="K162" s="46">
        <f>320/1000</f>
        <v>0.32</v>
      </c>
      <c r="L162" s="48" t="s">
        <v>452</v>
      </c>
      <c r="M162" s="16"/>
    </row>
    <row r="163" spans="1:26" s="13" customFormat="1" x14ac:dyDescent="0.25">
      <c r="A163" s="16" t="s">
        <v>157</v>
      </c>
      <c r="B163" s="16" t="s">
        <v>183</v>
      </c>
      <c r="C163" s="17" t="s">
        <v>184</v>
      </c>
      <c r="D163" s="46">
        <v>1160</v>
      </c>
      <c r="E163" s="46">
        <v>22</v>
      </c>
      <c r="F163" s="46">
        <v>1.8</v>
      </c>
      <c r="G163" s="46">
        <v>21</v>
      </c>
      <c r="H163" s="46" t="s">
        <v>483</v>
      </c>
      <c r="I163" s="46">
        <v>0</v>
      </c>
      <c r="J163" s="46">
        <v>0.3</v>
      </c>
      <c r="K163" s="46">
        <f>320/1000</f>
        <v>0.32</v>
      </c>
      <c r="L163" s="16" t="s">
        <v>481</v>
      </c>
      <c r="M163" s="16"/>
    </row>
    <row r="164" spans="1:26" s="13" customFormat="1" x14ac:dyDescent="0.25">
      <c r="A164" s="16" t="s">
        <v>106</v>
      </c>
      <c r="B164" s="16" t="s">
        <v>151</v>
      </c>
      <c r="C164" s="17" t="s">
        <v>152</v>
      </c>
      <c r="D164" s="46">
        <v>522</v>
      </c>
      <c r="E164" s="46">
        <v>1.4</v>
      </c>
      <c r="F164" s="46">
        <v>0.3</v>
      </c>
      <c r="G164" s="46">
        <v>20.5</v>
      </c>
      <c r="H164" s="46">
        <v>1.5</v>
      </c>
      <c r="I164" s="46">
        <v>3.5</v>
      </c>
      <c r="J164" s="46">
        <v>5.5</v>
      </c>
      <c r="K164" s="46">
        <f>300/1000</f>
        <v>0.3</v>
      </c>
      <c r="L164" s="48" t="s">
        <v>452</v>
      </c>
      <c r="M164" s="48" t="s">
        <v>484</v>
      </c>
    </row>
    <row r="165" spans="1:26" s="13" customFormat="1" x14ac:dyDescent="0.25">
      <c r="A165" s="16" t="s">
        <v>187</v>
      </c>
      <c r="B165" s="16" t="s">
        <v>261</v>
      </c>
      <c r="C165" s="17" t="str">
        <f>'common foods'!D122</f>
        <v>05109</v>
      </c>
      <c r="D165" s="46">
        <v>357</v>
      </c>
      <c r="E165" s="46">
        <v>1</v>
      </c>
      <c r="F165" s="46">
        <v>0.1</v>
      </c>
      <c r="G165" s="46">
        <v>8.6999999999999993</v>
      </c>
      <c r="H165" s="46">
        <v>1</v>
      </c>
      <c r="I165" s="46">
        <v>6.2</v>
      </c>
      <c r="J165" s="46">
        <v>7.2</v>
      </c>
      <c r="K165" s="46">
        <f>150/1000</f>
        <v>0.15</v>
      </c>
      <c r="L165" s="16" t="s">
        <v>452</v>
      </c>
      <c r="M165" s="16"/>
    </row>
    <row r="166" spans="1:26" s="18" customFormat="1" ht="15.75" customHeight="1" x14ac:dyDescent="0.25">
      <c r="A166" s="16" t="s">
        <v>187</v>
      </c>
      <c r="B166" s="16" t="s">
        <v>263</v>
      </c>
      <c r="C166" s="17" t="str">
        <f>'common foods'!D123</f>
        <v>05110</v>
      </c>
      <c r="D166" s="46">
        <v>359</v>
      </c>
      <c r="E166" s="46">
        <v>1</v>
      </c>
      <c r="F166" s="46">
        <v>0.2</v>
      </c>
      <c r="G166" s="46">
        <v>8.9</v>
      </c>
      <c r="H166" s="46">
        <v>1.2</v>
      </c>
      <c r="I166" s="46">
        <v>6.6</v>
      </c>
      <c r="J166" s="46">
        <v>6.9</v>
      </c>
      <c r="K166" s="46">
        <f>130/1000</f>
        <v>0.13</v>
      </c>
      <c r="L166" s="16" t="s">
        <v>452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16" t="s">
        <v>43</v>
      </c>
      <c r="B167" s="16" t="s">
        <v>102</v>
      </c>
      <c r="C167" s="17" t="s">
        <v>103</v>
      </c>
      <c r="D167" s="17">
        <v>123</v>
      </c>
      <c r="E167" s="17">
        <v>0.8</v>
      </c>
      <c r="F167" s="17">
        <v>0.1</v>
      </c>
      <c r="G167" s="17">
        <v>1.1000000000000001</v>
      </c>
      <c r="H167" s="17">
        <v>0.8</v>
      </c>
      <c r="I167" s="17">
        <v>3.2</v>
      </c>
      <c r="J167" s="17">
        <v>3</v>
      </c>
      <c r="K167" s="17">
        <f>47/1000</f>
        <v>4.7E-2</v>
      </c>
      <c r="L167" s="48" t="s">
        <v>452</v>
      </c>
      <c r="M167" s="16"/>
    </row>
    <row r="168" spans="1:26" x14ac:dyDescent="0.25">
      <c r="A168" s="16" t="s">
        <v>157</v>
      </c>
      <c r="B168" s="16" t="s">
        <v>175</v>
      </c>
      <c r="C168" s="17" t="s">
        <v>176</v>
      </c>
      <c r="D168" s="46">
        <v>71</v>
      </c>
      <c r="E168" s="46">
        <v>1.4</v>
      </c>
      <c r="F168" s="46">
        <v>0.1</v>
      </c>
      <c r="G168" s="46">
        <v>0.2</v>
      </c>
      <c r="H168" s="46">
        <v>0</v>
      </c>
      <c r="I168" s="46">
        <v>0.8</v>
      </c>
      <c r="J168" s="46">
        <v>0.5</v>
      </c>
      <c r="K168" s="46">
        <f>40/1000</f>
        <v>0.04</v>
      </c>
      <c r="L168" s="16" t="s">
        <v>452</v>
      </c>
      <c r="M168" s="16"/>
    </row>
    <row r="169" spans="1:26" x14ac:dyDescent="0.25">
      <c r="A169" s="1" t="s">
        <v>265</v>
      </c>
      <c r="B169" s="1" t="s">
        <v>270</v>
      </c>
      <c r="C169" s="2" t="s">
        <v>271</v>
      </c>
      <c r="D169" s="42">
        <v>3688.6</v>
      </c>
      <c r="E169" s="42">
        <v>99.6</v>
      </c>
      <c r="F169" s="42">
        <v>16.587</v>
      </c>
      <c r="G169" s="42">
        <v>0.2</v>
      </c>
      <c r="H169" s="42">
        <v>0.2</v>
      </c>
      <c r="I169" s="42">
        <v>0</v>
      </c>
      <c r="J169" s="42">
        <v>0</v>
      </c>
      <c r="K169" s="42">
        <v>0.04</v>
      </c>
    </row>
    <row r="170" spans="1:26" x14ac:dyDescent="0.25">
      <c r="A170" s="16" t="s">
        <v>157</v>
      </c>
      <c r="B170" s="16" t="s">
        <v>181</v>
      </c>
      <c r="C170" s="17" t="s">
        <v>182</v>
      </c>
      <c r="D170" s="46">
        <v>212</v>
      </c>
      <c r="E170" s="46">
        <v>2.2999999999999998</v>
      </c>
      <c r="F170" s="46">
        <v>0.3</v>
      </c>
      <c r="G170" s="46">
        <v>4.5999999999999996</v>
      </c>
      <c r="H170" s="46">
        <v>2</v>
      </c>
      <c r="I170" s="46">
        <v>0.3</v>
      </c>
      <c r="J170" s="46">
        <v>2.8</v>
      </c>
      <c r="K170" s="46">
        <f>32/1000</f>
        <v>3.2000000000000001E-2</v>
      </c>
      <c r="L170" s="16" t="s">
        <v>452</v>
      </c>
      <c r="M170" s="16"/>
    </row>
    <row r="171" spans="1:26" x14ac:dyDescent="0.25">
      <c r="A171" s="16" t="s">
        <v>187</v>
      </c>
      <c r="B171" s="16" t="s">
        <v>257</v>
      </c>
      <c r="C171" s="17" t="str">
        <f>'common foods'!D120</f>
        <v>05107</v>
      </c>
      <c r="D171" s="46">
        <v>2510</v>
      </c>
      <c r="E171" s="46">
        <v>56.5</v>
      </c>
      <c r="F171" s="46">
        <v>9.1999999999999993</v>
      </c>
      <c r="G171" s="46">
        <v>1.4</v>
      </c>
      <c r="H171" s="46">
        <v>1.3</v>
      </c>
      <c r="I171" s="46">
        <v>10.8</v>
      </c>
      <c r="J171" s="46">
        <v>23.6</v>
      </c>
      <c r="K171" s="46">
        <f>24/1000</f>
        <v>2.4E-2</v>
      </c>
      <c r="L171" s="16" t="s">
        <v>452</v>
      </c>
      <c r="M171" s="16"/>
    </row>
    <row r="172" spans="1:26" x14ac:dyDescent="0.25">
      <c r="A172" s="16" t="s">
        <v>43</v>
      </c>
      <c r="B172" s="16" t="s">
        <v>100</v>
      </c>
      <c r="C172" s="17" t="s">
        <v>101</v>
      </c>
      <c r="D172" s="17">
        <v>109</v>
      </c>
      <c r="E172" s="17">
        <v>0.4</v>
      </c>
      <c r="F172" s="17">
        <v>0.1</v>
      </c>
      <c r="G172" s="17">
        <v>2.8</v>
      </c>
      <c r="H172" s="17">
        <v>2.6</v>
      </c>
      <c r="I172" s="17">
        <v>2.8</v>
      </c>
      <c r="J172" s="17">
        <v>1.4</v>
      </c>
      <c r="K172" s="17">
        <f>23/1000</f>
        <v>2.3E-2</v>
      </c>
      <c r="L172" s="48" t="s">
        <v>452</v>
      </c>
      <c r="M172" s="48" t="s">
        <v>485</v>
      </c>
    </row>
    <row r="173" spans="1:26" x14ac:dyDescent="0.25">
      <c r="A173" s="16" t="s">
        <v>157</v>
      </c>
      <c r="B173" s="16" t="s">
        <v>177</v>
      </c>
      <c r="C173" s="17" t="s">
        <v>178</v>
      </c>
      <c r="D173" s="46">
        <v>421</v>
      </c>
      <c r="E173" s="46">
        <v>3.3</v>
      </c>
      <c r="F173" s="46" t="s">
        <v>483</v>
      </c>
      <c r="G173" s="46">
        <v>13.8</v>
      </c>
      <c r="H173" s="46">
        <v>13.5</v>
      </c>
      <c r="I173" s="46">
        <v>0</v>
      </c>
      <c r="J173" s="46">
        <v>3.8</v>
      </c>
      <c r="K173" s="46">
        <f>19/1000</f>
        <v>1.9E-2</v>
      </c>
      <c r="L173" s="16" t="s">
        <v>481</v>
      </c>
      <c r="M173" s="16"/>
    </row>
    <row r="174" spans="1:26" x14ac:dyDescent="0.25">
      <c r="A174" s="16" t="s">
        <v>157</v>
      </c>
      <c r="B174" s="16" t="s">
        <v>179</v>
      </c>
      <c r="C174" s="17" t="s">
        <v>180</v>
      </c>
      <c r="D174" s="46">
        <v>380</v>
      </c>
      <c r="E174" s="46">
        <v>3.3</v>
      </c>
      <c r="F174" s="46" t="s">
        <v>483</v>
      </c>
      <c r="G174" s="46">
        <v>5</v>
      </c>
      <c r="H174" s="46">
        <v>4.2</v>
      </c>
      <c r="I174" s="46">
        <v>0</v>
      </c>
      <c r="J174" s="46">
        <v>3.8</v>
      </c>
      <c r="K174" s="46">
        <f>19/1000</f>
        <v>1.9E-2</v>
      </c>
      <c r="L174" s="16" t="s">
        <v>481</v>
      </c>
      <c r="M174" s="16"/>
    </row>
    <row r="175" spans="1:26" x14ac:dyDescent="0.25">
      <c r="A175" s="16" t="s">
        <v>43</v>
      </c>
      <c r="B175" s="16" t="s">
        <v>104</v>
      </c>
      <c r="C175" s="17" t="s">
        <v>105</v>
      </c>
      <c r="D175" s="17">
        <v>126</v>
      </c>
      <c r="E175" s="17">
        <v>0.6</v>
      </c>
      <c r="F175" s="17">
        <v>0.1</v>
      </c>
      <c r="G175" s="17">
        <v>1.9</v>
      </c>
      <c r="H175" s="17">
        <v>1.7</v>
      </c>
      <c r="I175" s="17">
        <v>3.2</v>
      </c>
      <c r="J175" s="17">
        <v>2.7</v>
      </c>
      <c r="K175" s="17">
        <f>15/1000</f>
        <v>1.4999999999999999E-2</v>
      </c>
      <c r="L175" s="48" t="s">
        <v>452</v>
      </c>
      <c r="M175" s="16"/>
    </row>
    <row r="176" spans="1:26" x14ac:dyDescent="0.25">
      <c r="A176" s="16" t="s">
        <v>187</v>
      </c>
      <c r="B176" s="16" t="s">
        <v>259</v>
      </c>
      <c r="C176" s="17" t="str">
        <f>'common foods'!D121</f>
        <v>05108</v>
      </c>
      <c r="D176" s="46">
        <v>535</v>
      </c>
      <c r="E176" s="46">
        <v>6.4</v>
      </c>
      <c r="F176" s="46">
        <v>1</v>
      </c>
      <c r="G176" s="46">
        <v>3.4</v>
      </c>
      <c r="H176" s="46">
        <v>1.9</v>
      </c>
      <c r="I176" s="46">
        <v>5.6</v>
      </c>
      <c r="J176" s="46">
        <v>11.6</v>
      </c>
      <c r="K176" s="46">
        <f>9.4/1000</f>
        <v>9.4000000000000004E-3</v>
      </c>
      <c r="L176" s="16" t="s">
        <v>452</v>
      </c>
      <c r="M176" s="16"/>
    </row>
    <row r="177" spans="1:13" s="9" customFormat="1" x14ac:dyDescent="0.25">
      <c r="A177" s="16" t="s">
        <v>43</v>
      </c>
      <c r="B177" s="16" t="s">
        <v>98</v>
      </c>
      <c r="C177" s="17" t="s">
        <v>99</v>
      </c>
      <c r="D177" s="17">
        <v>107</v>
      </c>
      <c r="E177" s="17">
        <v>0.2</v>
      </c>
      <c r="F177" s="53" t="s">
        <v>486</v>
      </c>
      <c r="G177" s="17">
        <v>2.8</v>
      </c>
      <c r="H177" s="17">
        <v>2.8</v>
      </c>
      <c r="I177" s="17">
        <v>2.5</v>
      </c>
      <c r="J177" s="17">
        <v>1.9</v>
      </c>
      <c r="K177" s="17">
        <v>7.4000000000000003E-3</v>
      </c>
      <c r="L177" s="48" t="s">
        <v>452</v>
      </c>
      <c r="M177" s="16"/>
    </row>
    <row r="178" spans="1:13" x14ac:dyDescent="0.25">
      <c r="A178" s="16" t="s">
        <v>187</v>
      </c>
      <c r="B178" s="16" t="s">
        <v>245</v>
      </c>
      <c r="C178" s="17" t="str">
        <f>'common foods'!D114</f>
        <v>05101</v>
      </c>
      <c r="D178" s="46">
        <v>2340</v>
      </c>
      <c r="E178" s="46">
        <v>49</v>
      </c>
      <c r="F178" s="46">
        <v>9</v>
      </c>
      <c r="G178" s="46">
        <v>11</v>
      </c>
      <c r="H178" s="46">
        <v>1</v>
      </c>
      <c r="I178" s="46">
        <v>6</v>
      </c>
      <c r="J178" s="46">
        <v>30</v>
      </c>
      <c r="K178" s="46">
        <f>7/1000</f>
        <v>7.0000000000000001E-3</v>
      </c>
      <c r="L178" s="16" t="s">
        <v>481</v>
      </c>
      <c r="M178" s="16"/>
    </row>
    <row r="179" spans="1:13" x14ac:dyDescent="0.25">
      <c r="A179" s="16" t="s">
        <v>187</v>
      </c>
      <c r="B179" s="16" t="s">
        <v>253</v>
      </c>
      <c r="C179" s="17" t="str">
        <f>'common foods'!D118</f>
        <v>05105</v>
      </c>
      <c r="D179" s="46">
        <v>539</v>
      </c>
      <c r="E179" s="46">
        <v>7.8</v>
      </c>
      <c r="F179" s="46">
        <v>1</v>
      </c>
      <c r="G179" s="46">
        <v>0</v>
      </c>
      <c r="H179" s="46">
        <v>0</v>
      </c>
      <c r="I179" s="46">
        <v>1.1000000000000001</v>
      </c>
      <c r="J179" s="46">
        <v>14.2</v>
      </c>
      <c r="K179" s="46">
        <f>4.3/1000</f>
        <v>4.3E-3</v>
      </c>
      <c r="L179" s="16" t="s">
        <v>452</v>
      </c>
      <c r="M179" s="16"/>
    </row>
    <row r="180" spans="1:13" x14ac:dyDescent="0.25">
      <c r="A180" s="16" t="s">
        <v>187</v>
      </c>
      <c r="B180" s="16" t="s">
        <v>249</v>
      </c>
      <c r="C180" s="17" t="str">
        <f>'common foods'!D116</f>
        <v>05103</v>
      </c>
      <c r="D180" s="46">
        <v>490</v>
      </c>
      <c r="E180" s="46">
        <v>0.5</v>
      </c>
      <c r="F180" s="46">
        <v>0.1</v>
      </c>
      <c r="G180" s="46">
        <v>14.7</v>
      </c>
      <c r="H180" s="46">
        <v>1.2</v>
      </c>
      <c r="I180" s="46">
        <v>8.6999999999999993</v>
      </c>
      <c r="J180" s="46">
        <v>8.9</v>
      </c>
      <c r="K180" s="46">
        <f>1/1000</f>
        <v>1E-3</v>
      </c>
      <c r="L180" s="16" t="s">
        <v>452</v>
      </c>
      <c r="M180" s="16"/>
    </row>
    <row r="181" spans="1:13" x14ac:dyDescent="0.25">
      <c r="A181" s="1" t="s">
        <v>8</v>
      </c>
      <c r="B181" s="1" t="s">
        <v>14</v>
      </c>
      <c r="C181" s="2" t="s">
        <v>15</v>
      </c>
      <c r="D181" s="2">
        <v>382.13</v>
      </c>
      <c r="E181" s="2">
        <v>0.3</v>
      </c>
      <c r="F181" s="2">
        <v>9.6000000000000002E-2</v>
      </c>
      <c r="G181" s="2">
        <v>20.8</v>
      </c>
      <c r="H181" s="2">
        <v>15.2</v>
      </c>
      <c r="I181" s="2">
        <v>1.8</v>
      </c>
      <c r="J181" s="2">
        <v>1.03</v>
      </c>
      <c r="K181" s="2">
        <v>0</v>
      </c>
      <c r="L181" s="1" t="s">
        <v>452</v>
      </c>
    </row>
    <row r="182" spans="1:13" s="13" customFormat="1" x14ac:dyDescent="0.25">
      <c r="A182" s="1" t="s">
        <v>43</v>
      </c>
      <c r="B182" s="1" t="s">
        <v>50</v>
      </c>
      <c r="C182" s="2" t="s">
        <v>51</v>
      </c>
      <c r="D182" s="2">
        <v>72.64</v>
      </c>
      <c r="E182" s="2">
        <v>0.2</v>
      </c>
      <c r="F182" s="2">
        <v>4.2000000000000003E-2</v>
      </c>
      <c r="G182" s="2">
        <v>2.9</v>
      </c>
      <c r="H182" s="2">
        <v>2.8</v>
      </c>
      <c r="I182" s="2">
        <v>1.5</v>
      </c>
      <c r="J182" s="2">
        <v>0.94</v>
      </c>
      <c r="K182" s="2">
        <v>0</v>
      </c>
      <c r="L182" s="1" t="s">
        <v>452</v>
      </c>
      <c r="M182" s="1"/>
    </row>
    <row r="183" spans="1:13" s="13" customFormat="1" x14ac:dyDescent="0.25">
      <c r="A183" s="1" t="s">
        <v>43</v>
      </c>
      <c r="B183" s="1" t="s">
        <v>58</v>
      </c>
      <c r="C183" s="2" t="s">
        <v>59</v>
      </c>
      <c r="D183" s="2">
        <v>47.35</v>
      </c>
      <c r="E183" s="2">
        <v>0.2</v>
      </c>
      <c r="F183" s="2">
        <v>4.5999999999999999E-2</v>
      </c>
      <c r="G183" s="2">
        <v>0.6</v>
      </c>
      <c r="H183" s="2">
        <v>0.6</v>
      </c>
      <c r="I183" s="2">
        <v>1.1000000000000001</v>
      </c>
      <c r="J183" s="2">
        <v>1.75</v>
      </c>
      <c r="K183" s="2">
        <v>0</v>
      </c>
      <c r="L183" s="1" t="s">
        <v>452</v>
      </c>
      <c r="M183" s="1"/>
    </row>
    <row r="184" spans="1:13" s="13" customFormat="1" x14ac:dyDescent="0.25">
      <c r="A184" s="1" t="s">
        <v>43</v>
      </c>
      <c r="B184" s="1" t="s">
        <v>86</v>
      </c>
      <c r="C184" s="2" t="s">
        <v>87</v>
      </c>
      <c r="D184" s="2">
        <v>163.96</v>
      </c>
      <c r="E184" s="2">
        <v>0.45</v>
      </c>
      <c r="F184" s="2">
        <v>7.4999999999999997E-2</v>
      </c>
      <c r="G184" s="2">
        <v>7.49</v>
      </c>
      <c r="H184" s="2">
        <v>6.48</v>
      </c>
      <c r="I184" s="2">
        <v>3.24</v>
      </c>
      <c r="J184" s="2">
        <v>1.19</v>
      </c>
      <c r="K184" s="2">
        <v>0</v>
      </c>
      <c r="L184" s="1" t="s">
        <v>452</v>
      </c>
      <c r="M184" s="1"/>
    </row>
    <row r="185" spans="1:13" x14ac:dyDescent="0.25">
      <c r="A185" s="13" t="s">
        <v>43</v>
      </c>
      <c r="B185" s="13" t="s">
        <v>90</v>
      </c>
      <c r="C185" s="14" t="s">
        <v>91</v>
      </c>
      <c r="D185" s="14">
        <v>512</v>
      </c>
      <c r="E185" s="14">
        <v>1.3</v>
      </c>
      <c r="F185" s="14">
        <v>1.1000000000000001</v>
      </c>
      <c r="G185" s="14">
        <v>24.7</v>
      </c>
      <c r="H185" s="14">
        <v>2.2000000000000002</v>
      </c>
      <c r="I185" s="14">
        <v>3.1</v>
      </c>
      <c r="J185" s="14">
        <v>1.3</v>
      </c>
      <c r="K185" s="14">
        <v>0</v>
      </c>
      <c r="L185" s="13" t="s">
        <v>452</v>
      </c>
      <c r="M185" s="13"/>
    </row>
    <row r="186" spans="1:13" x14ac:dyDescent="0.25">
      <c r="A186" s="16" t="s">
        <v>106</v>
      </c>
      <c r="B186" s="16" t="s">
        <v>149</v>
      </c>
      <c r="C186" s="17" t="s">
        <v>150</v>
      </c>
      <c r="D186" s="46">
        <v>2038</v>
      </c>
      <c r="E186" s="46">
        <v>26.1</v>
      </c>
      <c r="F186" s="46">
        <v>10.3</v>
      </c>
      <c r="G186" s="46">
        <v>56.8</v>
      </c>
      <c r="H186" s="46">
        <v>0.2</v>
      </c>
      <c r="I186" s="46">
        <v>0</v>
      </c>
      <c r="J186" s="46">
        <v>6.2</v>
      </c>
      <c r="K186" s="46">
        <v>0</v>
      </c>
      <c r="L186" s="48" t="s">
        <v>481</v>
      </c>
      <c r="M186" s="16"/>
    </row>
    <row r="187" spans="1:13" x14ac:dyDescent="0.25">
      <c r="A187" s="16" t="s">
        <v>187</v>
      </c>
      <c r="B187" s="16" t="s">
        <v>247</v>
      </c>
      <c r="C187" s="17" t="str">
        <f>'common foods'!D115</f>
        <v>05102</v>
      </c>
      <c r="D187" s="46">
        <v>2510</v>
      </c>
      <c r="E187" s="46">
        <v>55.2</v>
      </c>
      <c r="F187" s="46">
        <v>5.8</v>
      </c>
      <c r="G187" s="46">
        <v>3.6</v>
      </c>
      <c r="H187" s="46">
        <v>3.6</v>
      </c>
      <c r="I187" s="46">
        <v>7.7</v>
      </c>
      <c r="J187" s="46">
        <v>20.5</v>
      </c>
      <c r="K187" s="46">
        <v>0</v>
      </c>
      <c r="L187" s="16" t="s">
        <v>452</v>
      </c>
      <c r="M187" s="16"/>
    </row>
    <row r="188" spans="1:13" x14ac:dyDescent="0.25">
      <c r="A188" s="1" t="s">
        <v>265</v>
      </c>
      <c r="B188" s="1" t="s">
        <v>272</v>
      </c>
      <c r="C188" s="2" t="s">
        <v>273</v>
      </c>
      <c r="D188" s="42">
        <v>3697.78</v>
      </c>
      <c r="E188" s="42">
        <v>99.94</v>
      </c>
      <c r="F188" s="42">
        <v>7.1660000000000004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</row>
    <row r="189" spans="1:13" x14ac:dyDescent="0.25">
      <c r="A189" s="1" t="s">
        <v>278</v>
      </c>
      <c r="B189" s="1" t="s">
        <v>339</v>
      </c>
      <c r="C189" s="2" t="s">
        <v>340</v>
      </c>
      <c r="D189" s="42">
        <v>1700</v>
      </c>
      <c r="E189" s="42">
        <v>0</v>
      </c>
      <c r="F189" s="42">
        <v>0</v>
      </c>
      <c r="G189" s="42">
        <v>100</v>
      </c>
      <c r="H189" s="42">
        <v>100</v>
      </c>
      <c r="I189" s="42">
        <v>0</v>
      </c>
      <c r="J189" s="42">
        <v>0</v>
      </c>
      <c r="K189" s="42">
        <v>0</v>
      </c>
    </row>
    <row r="190" spans="1:13" x14ac:dyDescent="0.25">
      <c r="A190" s="1" t="s">
        <v>356</v>
      </c>
      <c r="B190" s="1" t="str">
        <f>'common foods'!C174</f>
        <v>tea</v>
      </c>
      <c r="C190" s="2" t="str">
        <f>'common foods'!D174</f>
        <v>09111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</row>
    <row r="191" spans="1:13" s="9" customFormat="1" x14ac:dyDescent="0.25">
      <c r="A191" s="1" t="s">
        <v>356</v>
      </c>
      <c r="B191" s="1" t="str">
        <f>'common foods'!C175</f>
        <v>coffee</v>
      </c>
      <c r="C191" s="2" t="str">
        <f>'common foods'!D175</f>
        <v>09112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1"/>
      <c r="M191" s="1"/>
    </row>
    <row r="192" spans="1:13" x14ac:dyDescent="0.25">
      <c r="A192" s="1" t="s">
        <v>356</v>
      </c>
      <c r="B192" s="1" t="str">
        <f>'common foods'!C176</f>
        <v>water</v>
      </c>
      <c r="C192" s="2" t="str">
        <f>'common foods'!D176</f>
        <v>09113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</row>
    <row r="193" spans="1:12" s="9" customFormat="1" x14ac:dyDescent="0.25">
      <c r="A193" s="9" t="s">
        <v>411</v>
      </c>
      <c r="B193" s="9" t="str">
        <f>'common foods'!C193</f>
        <v>Vitamin B12</v>
      </c>
      <c r="C193" s="10">
        <f>'common foods'!D193</f>
        <v>12001</v>
      </c>
      <c r="D193" s="42">
        <v>0</v>
      </c>
      <c r="E193" s="10">
        <v>0</v>
      </c>
      <c r="F193" s="11">
        <v>0</v>
      </c>
      <c r="G193" s="10">
        <v>0</v>
      </c>
      <c r="H193" s="11">
        <v>0</v>
      </c>
      <c r="I193" s="10">
        <v>0</v>
      </c>
      <c r="J193" s="10">
        <v>0</v>
      </c>
      <c r="K193" s="10">
        <v>0</v>
      </c>
      <c r="L193" s="9" t="s">
        <v>487</v>
      </c>
    </row>
  </sheetData>
  <autoFilter ref="K1:K193" xr:uid="{00000000-0009-0000-0000-000002000000}"/>
  <hyperlinks>
    <hyperlink ref="M155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MK69"/>
  <sheetViews>
    <sheetView topLeftCell="A26" zoomScale="70" zoomScaleNormal="70" workbookViewId="0">
      <selection activeCell="E49" sqref="E49"/>
    </sheetView>
  </sheetViews>
  <sheetFormatPr defaultRowHeight="15.75" x14ac:dyDescent="0.25"/>
  <cols>
    <col min="1" max="1" width="30.140625" style="54" customWidth="1"/>
    <col min="2" max="2" width="13.140625" style="55" customWidth="1"/>
    <col min="3" max="3" width="14" style="55" customWidth="1"/>
    <col min="4" max="4" width="21.140625" style="55" customWidth="1"/>
    <col min="5" max="5" width="14" style="55" customWidth="1"/>
    <col min="6" max="6" width="23.42578125" style="55" customWidth="1"/>
    <col min="7" max="7" width="19.140625" style="55" customWidth="1"/>
    <col min="8" max="8" width="21.85546875" style="55" customWidth="1"/>
    <col min="9" max="9" width="12.7109375" style="55" customWidth="1"/>
    <col min="10" max="10" width="19.42578125" style="55" customWidth="1"/>
    <col min="11" max="11" width="18.42578125" style="55" customWidth="1"/>
    <col min="12" max="12" width="19.5703125" style="55" customWidth="1"/>
    <col min="13" max="13" width="23" style="55" customWidth="1"/>
    <col min="14" max="14" width="23.28515625" style="55" customWidth="1"/>
    <col min="15" max="15" width="27.140625" style="55" customWidth="1"/>
    <col min="16" max="18" width="10.85546875" style="55" customWidth="1"/>
    <col min="19" max="19" width="16.42578125" style="55" customWidth="1"/>
    <col min="20" max="20" width="14.28515625" style="55" customWidth="1"/>
    <col min="21" max="35" width="10.85546875" style="55" customWidth="1"/>
    <col min="36" max="1025" width="10.85546875" style="54" customWidth="1"/>
  </cols>
  <sheetData>
    <row r="1" spans="1:35" s="56" customFormat="1" x14ac:dyDescent="0.25">
      <c r="A1" s="56" t="s">
        <v>488</v>
      </c>
      <c r="B1" s="57" t="s">
        <v>489</v>
      </c>
      <c r="C1" s="57" t="s">
        <v>490</v>
      </c>
      <c r="D1" s="57" t="s">
        <v>491</v>
      </c>
      <c r="E1" s="57" t="s">
        <v>492</v>
      </c>
      <c r="F1" s="57" t="s">
        <v>493</v>
      </c>
      <c r="G1" s="57" t="s">
        <v>494</v>
      </c>
      <c r="H1" s="57" t="s">
        <v>495</v>
      </c>
      <c r="I1" s="57" t="s">
        <v>496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spans="1:35" x14ac:dyDescent="0.25">
      <c r="A2" s="54" t="s">
        <v>497</v>
      </c>
      <c r="B2" s="55">
        <v>6.7</v>
      </c>
      <c r="C2" s="63" t="s">
        <v>801</v>
      </c>
      <c r="D2" s="55" t="s">
        <v>498</v>
      </c>
      <c r="E2" s="55" t="s">
        <v>802</v>
      </c>
      <c r="F2" s="55" t="s">
        <v>499</v>
      </c>
      <c r="G2" s="55">
        <v>53</v>
      </c>
      <c r="H2" s="55" t="s">
        <v>500</v>
      </c>
      <c r="I2" s="55">
        <v>1400</v>
      </c>
    </row>
    <row r="3" spans="1:35" x14ac:dyDescent="0.25">
      <c r="A3" s="54" t="s">
        <v>501</v>
      </c>
      <c r="B3" s="55">
        <v>13</v>
      </c>
      <c r="C3" s="63" t="s">
        <v>801</v>
      </c>
      <c r="D3" s="55" t="s">
        <v>498</v>
      </c>
      <c r="E3" s="63" t="s">
        <v>802</v>
      </c>
      <c r="F3" s="55" t="s">
        <v>499</v>
      </c>
      <c r="G3" s="55">
        <v>91</v>
      </c>
      <c r="H3" s="55" t="s">
        <v>500</v>
      </c>
      <c r="I3" s="55">
        <v>2300</v>
      </c>
    </row>
    <row r="4" spans="1:35" x14ac:dyDescent="0.25">
      <c r="A4" s="54" t="s">
        <v>502</v>
      </c>
      <c r="B4" s="55">
        <v>8.9</v>
      </c>
      <c r="C4" s="63" t="s">
        <v>801</v>
      </c>
      <c r="D4" s="55" t="s">
        <v>498</v>
      </c>
      <c r="E4" s="63" t="s">
        <v>802</v>
      </c>
      <c r="F4" s="55" t="s">
        <v>499</v>
      </c>
      <c r="G4" s="55">
        <v>57</v>
      </c>
      <c r="H4" s="55" t="s">
        <v>500</v>
      </c>
      <c r="I4" s="55">
        <v>2300</v>
      </c>
    </row>
    <row r="5" spans="1:35" x14ac:dyDescent="0.25">
      <c r="A5" s="54" t="s">
        <v>503</v>
      </c>
      <c r="B5" s="55">
        <v>11.3</v>
      </c>
      <c r="C5" s="63" t="s">
        <v>801</v>
      </c>
      <c r="D5" s="55" t="s">
        <v>498</v>
      </c>
      <c r="E5" s="63" t="s">
        <v>802</v>
      </c>
      <c r="F5" s="55" t="s">
        <v>499</v>
      </c>
      <c r="G5" s="55">
        <v>76</v>
      </c>
      <c r="H5" s="55" t="s">
        <v>500</v>
      </c>
      <c r="I5" s="55">
        <v>2300</v>
      </c>
    </row>
    <row r="8" spans="1:35" s="56" customFormat="1" x14ac:dyDescent="0.25">
      <c r="A8" s="56" t="s">
        <v>504</v>
      </c>
      <c r="B8" s="57" t="s">
        <v>489</v>
      </c>
      <c r="C8" s="57" t="s">
        <v>490</v>
      </c>
      <c r="D8" s="57" t="s">
        <v>491</v>
      </c>
      <c r="E8" s="57" t="s">
        <v>492</v>
      </c>
      <c r="F8" s="57" t="s">
        <v>493</v>
      </c>
      <c r="G8" s="57" t="s">
        <v>494</v>
      </c>
      <c r="H8" s="57" t="s">
        <v>495</v>
      </c>
      <c r="I8" s="57" t="s">
        <v>496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25">
      <c r="A9" s="54" t="s">
        <v>497</v>
      </c>
      <c r="B9" s="55">
        <v>6.7</v>
      </c>
      <c r="C9" s="63" t="s">
        <v>801</v>
      </c>
      <c r="D9" s="55" t="s">
        <v>498</v>
      </c>
      <c r="E9" s="63" t="s">
        <v>802</v>
      </c>
      <c r="F9" s="55" t="s">
        <v>499</v>
      </c>
      <c r="G9" s="55">
        <v>55</v>
      </c>
      <c r="H9" s="55" t="s">
        <v>500</v>
      </c>
      <c r="I9" s="55">
        <v>1400</v>
      </c>
    </row>
    <row r="10" spans="1:35" x14ac:dyDescent="0.25">
      <c r="A10" s="54" t="s">
        <v>501</v>
      </c>
      <c r="B10" s="55">
        <v>13</v>
      </c>
      <c r="C10" s="63" t="s">
        <v>801</v>
      </c>
      <c r="D10" s="55" t="s">
        <v>498</v>
      </c>
      <c r="E10" s="63" t="s">
        <v>802</v>
      </c>
      <c r="F10" s="55" t="s">
        <v>499</v>
      </c>
      <c r="G10" s="55">
        <v>95</v>
      </c>
      <c r="H10" s="55" t="s">
        <v>500</v>
      </c>
      <c r="I10" s="55">
        <v>2300</v>
      </c>
    </row>
    <row r="11" spans="1:35" x14ac:dyDescent="0.25">
      <c r="A11" s="54" t="s">
        <v>502</v>
      </c>
      <c r="B11" s="55">
        <v>8.9</v>
      </c>
      <c r="C11" s="63" t="s">
        <v>801</v>
      </c>
      <c r="D11" s="55" t="s">
        <v>498</v>
      </c>
      <c r="E11" s="63" t="s">
        <v>802</v>
      </c>
      <c r="F11" s="55" t="s">
        <v>499</v>
      </c>
      <c r="G11" s="55">
        <v>65</v>
      </c>
      <c r="H11" s="55" t="s">
        <v>500</v>
      </c>
      <c r="I11" s="55">
        <v>2300</v>
      </c>
    </row>
    <row r="12" spans="1:35" x14ac:dyDescent="0.25">
      <c r="A12" s="54" t="s">
        <v>503</v>
      </c>
      <c r="B12" s="55">
        <v>11.3</v>
      </c>
      <c r="C12" s="55" t="s">
        <v>801</v>
      </c>
      <c r="D12" s="55" t="s">
        <v>498</v>
      </c>
      <c r="E12" s="63" t="s">
        <v>802</v>
      </c>
      <c r="F12" s="55" t="s">
        <v>499</v>
      </c>
      <c r="G12" s="55">
        <v>85</v>
      </c>
      <c r="H12" s="55" t="s">
        <v>500</v>
      </c>
      <c r="I12" s="55">
        <v>2300</v>
      </c>
    </row>
    <row r="15" spans="1:35" s="56" customFormat="1" x14ac:dyDescent="0.25">
      <c r="A15" s="56" t="s">
        <v>505</v>
      </c>
      <c r="B15" s="57" t="s">
        <v>489</v>
      </c>
      <c r="C15" s="57" t="s">
        <v>490</v>
      </c>
      <c r="D15" s="57" t="s">
        <v>491</v>
      </c>
      <c r="E15" s="57" t="s">
        <v>492</v>
      </c>
      <c r="F15" s="57" t="s">
        <v>493</v>
      </c>
      <c r="G15" s="57" t="s">
        <v>494</v>
      </c>
      <c r="H15" s="57" t="s">
        <v>495</v>
      </c>
      <c r="I15" s="57" t="s">
        <v>496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25">
      <c r="A16" s="54" t="s">
        <v>497</v>
      </c>
      <c r="B16" s="55">
        <v>6.7</v>
      </c>
      <c r="C16" s="55" t="s">
        <v>506</v>
      </c>
      <c r="D16" s="55" t="s">
        <v>498</v>
      </c>
      <c r="E16" s="55" t="s">
        <v>507</v>
      </c>
      <c r="F16" s="55" t="s">
        <v>499</v>
      </c>
      <c r="G16" s="55">
        <v>18</v>
      </c>
      <c r="H16" s="55" t="s">
        <v>500</v>
      </c>
      <c r="I16" s="55">
        <v>1400</v>
      </c>
    </row>
    <row r="17" spans="1:35" x14ac:dyDescent="0.25">
      <c r="A17" s="54" t="s">
        <v>501</v>
      </c>
      <c r="B17" s="55">
        <v>13</v>
      </c>
      <c r="C17" s="55" t="s">
        <v>506</v>
      </c>
      <c r="D17" s="55" t="s">
        <v>498</v>
      </c>
      <c r="E17" s="55" t="s">
        <v>507</v>
      </c>
      <c r="F17" s="55" t="s">
        <v>499</v>
      </c>
      <c r="G17" s="55">
        <v>28</v>
      </c>
      <c r="H17" s="55" t="s">
        <v>500</v>
      </c>
      <c r="I17" s="55">
        <v>2300</v>
      </c>
    </row>
    <row r="18" spans="1:35" x14ac:dyDescent="0.25">
      <c r="A18" s="54" t="s">
        <v>502</v>
      </c>
      <c r="B18" s="55">
        <v>8.9</v>
      </c>
      <c r="C18" s="55" t="s">
        <v>506</v>
      </c>
      <c r="D18" s="55" t="s">
        <v>498</v>
      </c>
      <c r="E18" s="55" t="s">
        <v>507</v>
      </c>
      <c r="F18" s="55" t="s">
        <v>499</v>
      </c>
      <c r="G18" s="55">
        <v>25</v>
      </c>
      <c r="H18" s="55" t="s">
        <v>500</v>
      </c>
      <c r="I18" s="55">
        <v>2300</v>
      </c>
    </row>
    <row r="19" spans="1:35" x14ac:dyDescent="0.25">
      <c r="A19" s="54" t="s">
        <v>503</v>
      </c>
      <c r="B19" s="55">
        <v>11.3</v>
      </c>
      <c r="C19" s="55" t="s">
        <v>506</v>
      </c>
      <c r="D19" s="55" t="s">
        <v>498</v>
      </c>
      <c r="E19" s="55" t="s">
        <v>507</v>
      </c>
      <c r="F19" s="55" t="s">
        <v>499</v>
      </c>
      <c r="G19" s="55">
        <v>30</v>
      </c>
      <c r="H19" s="55" t="s">
        <v>500</v>
      </c>
      <c r="I19" s="55">
        <v>2300</v>
      </c>
    </row>
    <row r="22" spans="1:35" s="61" customFormat="1" ht="15.75" customHeight="1" x14ac:dyDescent="0.25">
      <c r="A22" s="59" t="s">
        <v>508</v>
      </c>
      <c r="B22" s="60" t="s">
        <v>489</v>
      </c>
      <c r="C22" s="57" t="s">
        <v>509</v>
      </c>
      <c r="D22" s="57" t="s">
        <v>510</v>
      </c>
      <c r="E22" s="57" t="s">
        <v>511</v>
      </c>
      <c r="F22" s="60" t="s">
        <v>512</v>
      </c>
      <c r="G22" s="60" t="s">
        <v>513</v>
      </c>
      <c r="H22" s="57" t="s">
        <v>514</v>
      </c>
      <c r="I22" s="60" t="s">
        <v>515</v>
      </c>
      <c r="J22" s="60" t="s">
        <v>492</v>
      </c>
      <c r="K22" s="60" t="s">
        <v>516</v>
      </c>
      <c r="L22" s="60" t="s">
        <v>490</v>
      </c>
      <c r="M22" s="60" t="s">
        <v>491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1:35" x14ac:dyDescent="0.25">
      <c r="A23" s="54" t="s">
        <v>497</v>
      </c>
      <c r="B23" s="55">
        <v>7.3</v>
      </c>
      <c r="C23" s="55">
        <v>60</v>
      </c>
      <c r="D23" s="55">
        <v>25</v>
      </c>
      <c r="E23" s="55">
        <v>230</v>
      </c>
      <c r="F23" s="55">
        <v>113</v>
      </c>
      <c r="G23" s="55">
        <v>16.5</v>
      </c>
      <c r="H23" s="55">
        <v>64</v>
      </c>
      <c r="I23" s="55">
        <v>2800</v>
      </c>
      <c r="J23" s="55">
        <v>54.2</v>
      </c>
      <c r="K23" s="55">
        <v>13.2</v>
      </c>
      <c r="L23" s="55">
        <v>33</v>
      </c>
      <c r="M23" s="55">
        <v>14.2</v>
      </c>
    </row>
    <row r="24" spans="1:35" x14ac:dyDescent="0.25">
      <c r="A24" s="54" t="s">
        <v>501</v>
      </c>
      <c r="B24" s="55">
        <v>14.2</v>
      </c>
      <c r="C24" s="55">
        <v>128</v>
      </c>
      <c r="D24" s="55">
        <v>52</v>
      </c>
      <c r="E24" s="55">
        <v>408</v>
      </c>
      <c r="F24" s="55">
        <v>135</v>
      </c>
      <c r="G24" s="55">
        <v>21.1</v>
      </c>
      <c r="H24" s="55">
        <v>139</v>
      </c>
      <c r="I24" s="55">
        <v>3840</v>
      </c>
      <c r="J24" s="55">
        <v>49</v>
      </c>
      <c r="K24" s="55">
        <v>16</v>
      </c>
      <c r="L24" s="55">
        <v>34.9</v>
      </c>
      <c r="M24" s="55">
        <v>14.3</v>
      </c>
    </row>
    <row r="25" spans="1:35" x14ac:dyDescent="0.25">
      <c r="A25" s="54" t="s">
        <v>517</v>
      </c>
      <c r="B25" s="55">
        <v>9.6</v>
      </c>
      <c r="C25" s="55">
        <v>84</v>
      </c>
      <c r="D25" s="55">
        <v>32</v>
      </c>
      <c r="E25" s="55">
        <v>253</v>
      </c>
      <c r="F25" s="55">
        <v>94</v>
      </c>
      <c r="G25" s="55">
        <v>17.899999999999999</v>
      </c>
      <c r="H25" s="55">
        <v>97</v>
      </c>
      <c r="I25" s="55">
        <v>2780</v>
      </c>
      <c r="J25" s="55">
        <v>46</v>
      </c>
      <c r="K25" s="55">
        <v>17</v>
      </c>
      <c r="L25" s="55">
        <v>34.5</v>
      </c>
      <c r="M25" s="55">
        <v>13.6</v>
      </c>
    </row>
    <row r="26" spans="1:35" x14ac:dyDescent="0.25">
      <c r="A26" s="54" t="s">
        <v>518</v>
      </c>
      <c r="B26" s="55">
        <v>12.5</v>
      </c>
      <c r="C26" s="55">
        <v>108</v>
      </c>
      <c r="D26" s="55">
        <v>41</v>
      </c>
      <c r="E26" s="55">
        <v>327</v>
      </c>
      <c r="F26" s="55">
        <v>130</v>
      </c>
      <c r="G26" s="55">
        <v>23.4</v>
      </c>
      <c r="H26" s="55">
        <v>130</v>
      </c>
      <c r="I26" s="55">
        <v>3800</v>
      </c>
      <c r="J26" s="55">
        <v>45</v>
      </c>
      <c r="K26" s="55">
        <v>16.7</v>
      </c>
      <c r="L26" s="55">
        <v>34.299999999999997</v>
      </c>
      <c r="M26" s="55">
        <v>13.3</v>
      </c>
    </row>
    <row r="28" spans="1:35" s="61" customFormat="1" x14ac:dyDescent="0.25">
      <c r="A28" s="56" t="s">
        <v>519</v>
      </c>
      <c r="B28" s="62"/>
      <c r="C28" s="57"/>
      <c r="D28" s="57"/>
      <c r="E28" s="57"/>
      <c r="F28" s="57"/>
      <c r="G28" s="62"/>
      <c r="H28" s="57"/>
      <c r="I28" s="62"/>
      <c r="J28" s="62"/>
      <c r="K28" s="62"/>
      <c r="L28" s="62"/>
      <c r="M28" s="62"/>
      <c r="N28" s="63"/>
      <c r="O28" s="63"/>
      <c r="P28" s="63"/>
      <c r="Q28" s="63"/>
      <c r="R28" s="63"/>
      <c r="S28" s="63"/>
      <c r="T28" s="62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1:35" s="56" customFormat="1" x14ac:dyDescent="0.25">
      <c r="A29" s="56" t="s">
        <v>488</v>
      </c>
      <c r="B29" s="62" t="s">
        <v>489</v>
      </c>
      <c r="C29" s="57" t="s">
        <v>509</v>
      </c>
      <c r="D29" s="57" t="s">
        <v>520</v>
      </c>
      <c r="E29" s="57" t="s">
        <v>511</v>
      </c>
      <c r="F29" s="57" t="s">
        <v>521</v>
      </c>
      <c r="G29" s="62" t="s">
        <v>513</v>
      </c>
      <c r="H29" s="57" t="s">
        <v>514</v>
      </c>
      <c r="I29" s="62" t="s">
        <v>496</v>
      </c>
      <c r="J29" s="62" t="s">
        <v>522</v>
      </c>
      <c r="K29" s="62" t="s">
        <v>523</v>
      </c>
      <c r="L29" s="62" t="s">
        <v>524</v>
      </c>
      <c r="M29" s="62" t="s">
        <v>525</v>
      </c>
      <c r="N29" s="63"/>
      <c r="O29" s="63"/>
      <c r="P29" s="63"/>
      <c r="Q29" s="63"/>
      <c r="R29" s="63"/>
      <c r="S29" s="63"/>
      <c r="T29" s="62" t="s">
        <v>526</v>
      </c>
      <c r="U29" s="57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1:35" x14ac:dyDescent="0.25">
      <c r="A30" s="54" t="s">
        <v>527</v>
      </c>
      <c r="B30" s="67">
        <v>6.3985000000000003</v>
      </c>
      <c r="C30" s="64">
        <v>50</v>
      </c>
      <c r="D30" s="55">
        <v>0</v>
      </c>
      <c r="E30" s="64">
        <v>153</v>
      </c>
      <c r="F30" s="55">
        <v>0</v>
      </c>
      <c r="G30" s="65">
        <v>18</v>
      </c>
      <c r="H30" s="64">
        <v>57</v>
      </c>
      <c r="I30" s="66">
        <v>300</v>
      </c>
      <c r="J30" s="55">
        <v>15</v>
      </c>
      <c r="K30" s="55">
        <v>0</v>
      </c>
      <c r="L30" s="55">
        <v>30</v>
      </c>
      <c r="M30" s="63">
        <v>40</v>
      </c>
      <c r="T30" s="55">
        <v>0</v>
      </c>
    </row>
    <row r="31" spans="1:35" x14ac:dyDescent="0.25">
      <c r="A31" s="54" t="s">
        <v>528</v>
      </c>
      <c r="B31" s="67">
        <v>7.0015000000000001</v>
      </c>
      <c r="C31" s="64">
        <v>83</v>
      </c>
      <c r="D31" s="55">
        <v>16</v>
      </c>
      <c r="E31" s="64">
        <v>251</v>
      </c>
      <c r="F31" s="55">
        <v>39</v>
      </c>
      <c r="G31" s="65" t="s">
        <v>529</v>
      </c>
      <c r="H31" s="64">
        <v>105</v>
      </c>
      <c r="I31" s="55">
        <v>1400</v>
      </c>
      <c r="J31" s="55">
        <v>25</v>
      </c>
      <c r="K31" s="55">
        <v>10</v>
      </c>
      <c r="L31" s="55">
        <v>45</v>
      </c>
      <c r="M31" s="63">
        <v>60</v>
      </c>
      <c r="T31" s="66">
        <f>100/7</f>
        <v>14.285714285714286</v>
      </c>
    </row>
    <row r="32" spans="1:35" x14ac:dyDescent="0.25">
      <c r="A32" s="54" t="s">
        <v>530</v>
      </c>
      <c r="B32" s="67">
        <v>12.414999999999999</v>
      </c>
      <c r="C32" s="64">
        <v>98</v>
      </c>
      <c r="D32" s="55">
        <v>0</v>
      </c>
      <c r="E32" s="64">
        <v>297</v>
      </c>
      <c r="F32" s="55">
        <v>0</v>
      </c>
      <c r="G32" s="65">
        <v>34</v>
      </c>
      <c r="H32" s="64">
        <v>111</v>
      </c>
      <c r="I32" s="55">
        <v>460</v>
      </c>
      <c r="J32" s="55">
        <v>15</v>
      </c>
      <c r="K32" s="55">
        <v>0</v>
      </c>
      <c r="L32" s="63">
        <v>30</v>
      </c>
      <c r="M32" s="55">
        <v>40</v>
      </c>
      <c r="T32" s="55">
        <v>0</v>
      </c>
    </row>
    <row r="33" spans="1:35" x14ac:dyDescent="0.25">
      <c r="A33" s="54" t="s">
        <v>531</v>
      </c>
      <c r="B33" s="67">
        <v>13.585000000000001</v>
      </c>
      <c r="C33" s="64">
        <v>163</v>
      </c>
      <c r="D33" s="55">
        <v>37</v>
      </c>
      <c r="E33" s="64">
        <v>488</v>
      </c>
      <c r="F33" s="55">
        <v>82</v>
      </c>
      <c r="G33" s="65" t="s">
        <v>529</v>
      </c>
      <c r="H33" s="64">
        <v>204</v>
      </c>
      <c r="I33" s="55">
        <v>2300</v>
      </c>
      <c r="J33" s="55">
        <v>25</v>
      </c>
      <c r="K33" s="55">
        <v>10</v>
      </c>
      <c r="L33" s="63">
        <v>45</v>
      </c>
      <c r="M33" s="55">
        <v>60</v>
      </c>
      <c r="T33" s="66">
        <f>100/7</f>
        <v>14.285714285714286</v>
      </c>
    </row>
    <row r="34" spans="1:35" x14ac:dyDescent="0.25">
      <c r="A34" s="54" t="s">
        <v>532</v>
      </c>
      <c r="B34" s="67">
        <v>8.4994999999999994</v>
      </c>
      <c r="C34" s="64">
        <v>67</v>
      </c>
      <c r="D34" s="55">
        <v>0</v>
      </c>
      <c r="E34" s="64">
        <v>203</v>
      </c>
      <c r="F34" s="55">
        <v>0</v>
      </c>
      <c r="G34" s="65">
        <v>24</v>
      </c>
      <c r="H34" s="64">
        <v>76</v>
      </c>
      <c r="I34" s="55">
        <v>920</v>
      </c>
      <c r="J34" s="55">
        <v>15</v>
      </c>
      <c r="K34" s="55">
        <v>0</v>
      </c>
      <c r="L34" s="63">
        <v>30</v>
      </c>
      <c r="M34" s="63">
        <v>40</v>
      </c>
      <c r="T34" s="55">
        <v>0</v>
      </c>
    </row>
    <row r="35" spans="1:35" x14ac:dyDescent="0.25">
      <c r="A35" s="54" t="s">
        <v>533</v>
      </c>
      <c r="B35" s="67">
        <v>9.3004999999999995</v>
      </c>
      <c r="C35" s="64">
        <v>112</v>
      </c>
      <c r="D35" s="55">
        <v>25</v>
      </c>
      <c r="E35" s="64">
        <v>335</v>
      </c>
      <c r="F35" s="55">
        <v>56</v>
      </c>
      <c r="G35" s="65" t="s">
        <v>529</v>
      </c>
      <c r="H35" s="64">
        <v>140</v>
      </c>
      <c r="I35" s="55">
        <v>2300</v>
      </c>
      <c r="J35" s="55">
        <v>25</v>
      </c>
      <c r="K35" s="55">
        <v>10</v>
      </c>
      <c r="L35" s="63">
        <v>45</v>
      </c>
      <c r="M35" s="63">
        <v>60</v>
      </c>
      <c r="T35" s="66">
        <f>100/7</f>
        <v>14.285714285714286</v>
      </c>
    </row>
    <row r="36" spans="1:35" x14ac:dyDescent="0.25">
      <c r="A36" s="54" t="s">
        <v>534</v>
      </c>
      <c r="B36" s="67">
        <v>10.791499999999999</v>
      </c>
      <c r="C36" s="64">
        <v>85</v>
      </c>
      <c r="D36" s="55">
        <v>0</v>
      </c>
      <c r="E36" s="64">
        <v>258</v>
      </c>
      <c r="F36" s="55">
        <v>0</v>
      </c>
      <c r="G36" s="65">
        <v>30</v>
      </c>
      <c r="H36" s="64">
        <v>96</v>
      </c>
      <c r="I36" s="55">
        <v>920</v>
      </c>
      <c r="J36" s="55">
        <v>15</v>
      </c>
      <c r="K36" s="55">
        <v>0</v>
      </c>
      <c r="L36" s="63">
        <v>30</v>
      </c>
      <c r="M36" s="63">
        <v>40</v>
      </c>
      <c r="T36" s="55">
        <v>0</v>
      </c>
    </row>
    <row r="37" spans="1:35" x14ac:dyDescent="0.25">
      <c r="A37" s="54" t="s">
        <v>535</v>
      </c>
      <c r="B37" s="67">
        <v>11.8085</v>
      </c>
      <c r="C37" s="64">
        <v>141</v>
      </c>
      <c r="D37" s="55">
        <v>32</v>
      </c>
      <c r="E37" s="64">
        <v>425</v>
      </c>
      <c r="F37" s="55">
        <v>71</v>
      </c>
      <c r="G37" s="65" t="s">
        <v>529</v>
      </c>
      <c r="H37" s="64">
        <v>177</v>
      </c>
      <c r="I37" s="55">
        <v>2300</v>
      </c>
      <c r="J37" s="55">
        <v>25</v>
      </c>
      <c r="K37" s="55">
        <v>10</v>
      </c>
      <c r="L37" s="63">
        <v>45</v>
      </c>
      <c r="M37" s="63">
        <v>60</v>
      </c>
      <c r="T37" s="66">
        <f>100/7</f>
        <v>14.285714285714286</v>
      </c>
    </row>
    <row r="39" spans="1:35" s="61" customFormat="1" x14ac:dyDescent="0.25">
      <c r="A39" s="56" t="s">
        <v>519</v>
      </c>
      <c r="B39" s="62"/>
      <c r="C39" s="57"/>
      <c r="D39" s="57"/>
      <c r="E39" s="57"/>
      <c r="F39" s="57"/>
      <c r="G39" s="62"/>
      <c r="H39" s="57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pans="1:35" s="56" customFormat="1" ht="16.5" thickBot="1" x14ac:dyDescent="0.3">
      <c r="A40" s="56" t="s">
        <v>504</v>
      </c>
      <c r="B40" s="62" t="s">
        <v>489</v>
      </c>
      <c r="C40" s="57" t="s">
        <v>509</v>
      </c>
      <c r="D40" s="57" t="s">
        <v>520</v>
      </c>
      <c r="E40" s="57" t="s">
        <v>511</v>
      </c>
      <c r="F40" s="57" t="s">
        <v>521</v>
      </c>
      <c r="G40" s="62" t="s">
        <v>513</v>
      </c>
      <c r="H40" s="57" t="s">
        <v>514</v>
      </c>
      <c r="I40" s="62" t="s">
        <v>496</v>
      </c>
      <c r="J40" s="62" t="s">
        <v>522</v>
      </c>
      <c r="K40" s="62" t="s">
        <v>523</v>
      </c>
      <c r="L40" s="62" t="s">
        <v>524</v>
      </c>
      <c r="M40" s="62" t="s">
        <v>525</v>
      </c>
      <c r="N40" s="62"/>
      <c r="O40" s="62"/>
      <c r="P40" s="62"/>
      <c r="Q40" s="62"/>
      <c r="R40" s="62"/>
      <c r="S40" s="62"/>
      <c r="T40" s="62" t="s">
        <v>526</v>
      </c>
      <c r="U40" s="57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ht="16.5" thickBot="1" x14ac:dyDescent="0.3">
      <c r="A41" s="54" t="s">
        <v>527</v>
      </c>
      <c r="B41" s="67">
        <v>6.3985000000000003</v>
      </c>
      <c r="C41" s="64">
        <v>59</v>
      </c>
      <c r="D41" s="63">
        <v>0</v>
      </c>
      <c r="E41" s="64">
        <v>134</v>
      </c>
      <c r="F41" s="63">
        <v>0</v>
      </c>
      <c r="G41" s="65">
        <v>18</v>
      </c>
      <c r="H41" s="64">
        <v>57</v>
      </c>
      <c r="I41" s="66">
        <v>300</v>
      </c>
      <c r="J41" s="55">
        <v>15</v>
      </c>
      <c r="K41" s="55">
        <v>0</v>
      </c>
      <c r="L41" s="63">
        <v>35</v>
      </c>
      <c r="M41" s="63">
        <v>35</v>
      </c>
      <c r="T41" s="66">
        <v>0</v>
      </c>
    </row>
    <row r="42" spans="1:35" ht="16.5" thickBot="1" x14ac:dyDescent="0.3">
      <c r="A42" s="54" t="s">
        <v>528</v>
      </c>
      <c r="B42" s="67">
        <v>7.0015000000000001</v>
      </c>
      <c r="C42" s="64">
        <v>93</v>
      </c>
      <c r="D42" s="63">
        <v>16</v>
      </c>
      <c r="E42" s="64">
        <v>231</v>
      </c>
      <c r="F42" s="63">
        <v>39</v>
      </c>
      <c r="G42" s="65" t="s">
        <v>529</v>
      </c>
      <c r="H42" s="64">
        <v>105</v>
      </c>
      <c r="I42" s="55">
        <v>1400</v>
      </c>
      <c r="J42" s="55">
        <v>25</v>
      </c>
      <c r="K42" s="55">
        <v>10</v>
      </c>
      <c r="L42" s="63">
        <v>50</v>
      </c>
      <c r="M42" s="63">
        <v>55</v>
      </c>
      <c r="T42" s="66">
        <v>0</v>
      </c>
    </row>
    <row r="43" spans="1:35" ht="16.5" thickBot="1" x14ac:dyDescent="0.3">
      <c r="A43" s="54" t="s">
        <v>530</v>
      </c>
      <c r="B43" s="67">
        <v>12.414999999999999</v>
      </c>
      <c r="C43" s="64">
        <v>115</v>
      </c>
      <c r="D43" s="63">
        <v>0</v>
      </c>
      <c r="E43" s="64">
        <v>260</v>
      </c>
      <c r="F43" s="63">
        <v>0</v>
      </c>
      <c r="G43" s="65">
        <v>34</v>
      </c>
      <c r="H43" s="64">
        <v>111</v>
      </c>
      <c r="I43" s="55">
        <v>460</v>
      </c>
      <c r="J43" s="55">
        <v>15</v>
      </c>
      <c r="K43" s="55">
        <v>0</v>
      </c>
      <c r="L43" s="63">
        <v>35</v>
      </c>
      <c r="M43" s="63">
        <v>35</v>
      </c>
      <c r="T43" s="66">
        <v>0</v>
      </c>
    </row>
    <row r="44" spans="1:35" ht="16.5" thickBot="1" x14ac:dyDescent="0.3">
      <c r="A44" s="54" t="s">
        <v>531</v>
      </c>
      <c r="B44" s="67">
        <v>13.585000000000001</v>
      </c>
      <c r="C44" s="64">
        <v>181</v>
      </c>
      <c r="D44" s="63">
        <v>37</v>
      </c>
      <c r="E44" s="64">
        <v>448</v>
      </c>
      <c r="F44" s="63">
        <v>82</v>
      </c>
      <c r="G44" s="65" t="s">
        <v>529</v>
      </c>
      <c r="H44" s="64">
        <v>204</v>
      </c>
      <c r="I44" s="55">
        <v>2300</v>
      </c>
      <c r="J44" s="55">
        <v>25</v>
      </c>
      <c r="K44" s="55">
        <v>10</v>
      </c>
      <c r="L44" s="63">
        <v>50</v>
      </c>
      <c r="M44" s="63">
        <v>55</v>
      </c>
      <c r="T44" s="66">
        <v>0</v>
      </c>
    </row>
    <row r="45" spans="1:35" ht="16.5" thickBot="1" x14ac:dyDescent="0.3">
      <c r="A45" s="54" t="s">
        <v>532</v>
      </c>
      <c r="B45" s="67">
        <v>8.4994999999999994</v>
      </c>
      <c r="C45" s="64">
        <v>78</v>
      </c>
      <c r="D45" s="63">
        <v>0</v>
      </c>
      <c r="E45" s="64">
        <v>178</v>
      </c>
      <c r="F45" s="63">
        <v>0</v>
      </c>
      <c r="G45" s="65">
        <v>24</v>
      </c>
      <c r="H45" s="64">
        <v>76</v>
      </c>
      <c r="I45" s="55">
        <v>920</v>
      </c>
      <c r="J45" s="55">
        <v>15</v>
      </c>
      <c r="K45" s="55">
        <v>0</v>
      </c>
      <c r="L45" s="63">
        <v>35</v>
      </c>
      <c r="M45" s="63">
        <v>35</v>
      </c>
      <c r="T45" s="66">
        <v>0</v>
      </c>
    </row>
    <row r="46" spans="1:35" ht="16.5" thickBot="1" x14ac:dyDescent="0.3">
      <c r="A46" s="54" t="s">
        <v>533</v>
      </c>
      <c r="B46" s="67">
        <v>9.3004999999999995</v>
      </c>
      <c r="C46" s="64">
        <v>124</v>
      </c>
      <c r="D46" s="63">
        <v>25</v>
      </c>
      <c r="E46" s="64">
        <v>307</v>
      </c>
      <c r="F46" s="63">
        <v>56</v>
      </c>
      <c r="G46" s="65" t="s">
        <v>529</v>
      </c>
      <c r="H46" s="64">
        <v>140</v>
      </c>
      <c r="I46" s="55">
        <v>2300</v>
      </c>
      <c r="J46" s="55">
        <v>25</v>
      </c>
      <c r="K46" s="55">
        <v>10</v>
      </c>
      <c r="L46" s="63">
        <v>50</v>
      </c>
      <c r="M46" s="63">
        <v>55</v>
      </c>
      <c r="T46" s="66">
        <v>0</v>
      </c>
    </row>
    <row r="47" spans="1:35" ht="16.5" thickBot="1" x14ac:dyDescent="0.3">
      <c r="A47" s="54" t="s">
        <v>534</v>
      </c>
      <c r="B47" s="67">
        <v>10.791499999999999</v>
      </c>
      <c r="C47" s="64">
        <v>100</v>
      </c>
      <c r="D47" s="63">
        <v>0</v>
      </c>
      <c r="E47" s="64">
        <v>226</v>
      </c>
      <c r="F47" s="63">
        <v>0</v>
      </c>
      <c r="G47" s="65">
        <v>30</v>
      </c>
      <c r="H47" s="64">
        <v>96</v>
      </c>
      <c r="I47" s="55">
        <v>920</v>
      </c>
      <c r="J47" s="55">
        <v>15</v>
      </c>
      <c r="K47" s="55">
        <v>0</v>
      </c>
      <c r="L47" s="63">
        <v>35</v>
      </c>
      <c r="M47" s="63">
        <v>35</v>
      </c>
      <c r="T47" s="66">
        <v>0</v>
      </c>
    </row>
    <row r="48" spans="1:35" ht="16.5" thickBot="1" x14ac:dyDescent="0.3">
      <c r="A48" s="54" t="s">
        <v>535</v>
      </c>
      <c r="B48" s="67">
        <v>11.8085</v>
      </c>
      <c r="C48" s="64">
        <v>157</v>
      </c>
      <c r="D48" s="63">
        <v>32</v>
      </c>
      <c r="E48" s="64">
        <v>389</v>
      </c>
      <c r="F48" s="63">
        <v>71</v>
      </c>
      <c r="G48" s="65" t="s">
        <v>529</v>
      </c>
      <c r="H48" s="64">
        <v>177</v>
      </c>
      <c r="I48" s="55">
        <v>2300</v>
      </c>
      <c r="J48" s="55">
        <v>25</v>
      </c>
      <c r="K48" s="55">
        <v>10</v>
      </c>
      <c r="L48" s="63">
        <v>50</v>
      </c>
      <c r="M48" s="63">
        <v>55</v>
      </c>
      <c r="T48" s="66">
        <v>0</v>
      </c>
    </row>
    <row r="50" spans="1:35" s="61" customFormat="1" x14ac:dyDescent="0.25">
      <c r="A50" s="56" t="s">
        <v>519</v>
      </c>
      <c r="B50" s="62"/>
      <c r="C50" s="57"/>
      <c r="D50" s="57"/>
      <c r="E50" s="57"/>
      <c r="F50" s="57"/>
      <c r="G50" s="62"/>
      <c r="H50" s="57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</row>
    <row r="51" spans="1:35" s="56" customFormat="1" x14ac:dyDescent="0.25">
      <c r="A51" s="56" t="s">
        <v>505</v>
      </c>
      <c r="B51" s="62" t="s">
        <v>489</v>
      </c>
      <c r="C51" s="57" t="s">
        <v>509</v>
      </c>
      <c r="D51" s="57" t="s">
        <v>520</v>
      </c>
      <c r="E51" s="57" t="s">
        <v>511</v>
      </c>
      <c r="F51" s="57" t="s">
        <v>521</v>
      </c>
      <c r="G51" s="62" t="s">
        <v>513</v>
      </c>
      <c r="H51" s="57" t="s">
        <v>514</v>
      </c>
      <c r="I51" s="62" t="s">
        <v>496</v>
      </c>
      <c r="J51" s="62" t="s">
        <v>522</v>
      </c>
      <c r="K51" s="62" t="s">
        <v>523</v>
      </c>
      <c r="L51" s="62" t="s">
        <v>524</v>
      </c>
      <c r="M51" s="62" t="s">
        <v>525</v>
      </c>
      <c r="N51" s="62" t="s">
        <v>536</v>
      </c>
      <c r="O51" s="62" t="s">
        <v>537</v>
      </c>
      <c r="P51" s="62" t="s">
        <v>538</v>
      </c>
      <c r="Q51" s="62" t="s">
        <v>539</v>
      </c>
      <c r="R51" s="62" t="s">
        <v>540</v>
      </c>
      <c r="S51" s="62" t="s">
        <v>541</v>
      </c>
      <c r="T51" s="62" t="s">
        <v>526</v>
      </c>
      <c r="U51" s="57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x14ac:dyDescent="0.25">
      <c r="A52" s="54" t="s">
        <v>527</v>
      </c>
      <c r="B52" s="67">
        <f>B16-(B16*0.015)</f>
        <v>6.5994999999999999</v>
      </c>
      <c r="C52" s="55">
        <v>36</v>
      </c>
      <c r="D52" s="55">
        <v>0</v>
      </c>
      <c r="E52" s="55">
        <v>177</v>
      </c>
      <c r="F52" s="55">
        <v>0</v>
      </c>
      <c r="G52" s="65">
        <v>18</v>
      </c>
      <c r="H52" s="55">
        <v>59</v>
      </c>
      <c r="I52" s="66">
        <v>300</v>
      </c>
      <c r="J52" s="55">
        <v>15</v>
      </c>
      <c r="K52" s="55">
        <v>0</v>
      </c>
      <c r="L52" s="55">
        <v>20</v>
      </c>
      <c r="M52" s="55">
        <v>45</v>
      </c>
      <c r="N52" s="55">
        <v>2</v>
      </c>
      <c r="O52" s="55">
        <v>1</v>
      </c>
      <c r="P52" s="55">
        <v>1</v>
      </c>
      <c r="Q52" s="55">
        <v>2</v>
      </c>
      <c r="R52" s="55">
        <v>4</v>
      </c>
      <c r="S52" s="55">
        <v>1</v>
      </c>
      <c r="T52" s="55">
        <v>0</v>
      </c>
    </row>
    <row r="53" spans="1:35" x14ac:dyDescent="0.25">
      <c r="A53" s="54" t="s">
        <v>528</v>
      </c>
      <c r="B53" s="67">
        <f>B16+(B16*0.015)</f>
        <v>6.8005000000000004</v>
      </c>
      <c r="C53" s="55">
        <v>63</v>
      </c>
      <c r="D53" s="55">
        <v>18</v>
      </c>
      <c r="E53" s="55">
        <v>256</v>
      </c>
      <c r="F53" s="55">
        <v>39</v>
      </c>
      <c r="G53" s="65" t="s">
        <v>529</v>
      </c>
      <c r="H53" s="55">
        <v>99</v>
      </c>
      <c r="I53" s="55">
        <v>1400</v>
      </c>
      <c r="J53" s="55">
        <v>25</v>
      </c>
      <c r="K53" s="55">
        <v>10</v>
      </c>
      <c r="L53" s="55">
        <v>35</v>
      </c>
      <c r="M53" s="55">
        <v>65</v>
      </c>
      <c r="N53" s="55" t="s">
        <v>529</v>
      </c>
      <c r="O53" s="55" t="s">
        <v>529</v>
      </c>
      <c r="P53" s="55" t="s">
        <v>529</v>
      </c>
      <c r="Q53" s="55" t="s">
        <v>529</v>
      </c>
      <c r="R53" s="55" t="s">
        <v>529</v>
      </c>
      <c r="S53" s="55" t="s">
        <v>529</v>
      </c>
      <c r="T53" s="55">
        <v>100</v>
      </c>
    </row>
    <row r="54" spans="1:35" x14ac:dyDescent="0.25">
      <c r="A54" s="54" t="s">
        <v>530</v>
      </c>
      <c r="B54" s="67">
        <f>B17-(B17*0.015)</f>
        <v>12.805</v>
      </c>
      <c r="C54" s="55">
        <v>70</v>
      </c>
      <c r="D54" s="55">
        <v>0</v>
      </c>
      <c r="E54" s="55">
        <v>344</v>
      </c>
      <c r="F54" s="55">
        <v>0</v>
      </c>
      <c r="G54" s="65">
        <v>34</v>
      </c>
      <c r="H54" s="55">
        <v>114</v>
      </c>
      <c r="I54" s="55">
        <v>460</v>
      </c>
      <c r="J54" s="55">
        <v>15</v>
      </c>
      <c r="K54" s="55">
        <v>0</v>
      </c>
      <c r="L54" s="55">
        <v>20</v>
      </c>
      <c r="M54" s="55">
        <v>45</v>
      </c>
      <c r="N54" s="55">
        <v>2</v>
      </c>
      <c r="O54" s="55">
        <v>1</v>
      </c>
      <c r="P54" s="55">
        <v>2</v>
      </c>
      <c r="Q54" s="55">
        <v>3</v>
      </c>
      <c r="R54" s="55">
        <v>5</v>
      </c>
      <c r="S54" s="55">
        <v>2</v>
      </c>
      <c r="T54" s="55">
        <v>0</v>
      </c>
    </row>
    <row r="55" spans="1:35" x14ac:dyDescent="0.25">
      <c r="A55" s="54" t="s">
        <v>531</v>
      </c>
      <c r="B55" s="67">
        <f>B17+(B17*0.015)</f>
        <v>13.195</v>
      </c>
      <c r="C55" s="55">
        <v>123</v>
      </c>
      <c r="D55" s="55">
        <v>35</v>
      </c>
      <c r="E55" s="55">
        <v>497</v>
      </c>
      <c r="F55" s="55">
        <v>76</v>
      </c>
      <c r="G55" s="65" t="s">
        <v>529</v>
      </c>
      <c r="H55" s="55">
        <v>191</v>
      </c>
      <c r="I55" s="55">
        <v>2300</v>
      </c>
      <c r="J55" s="55">
        <v>25</v>
      </c>
      <c r="K55" s="55">
        <v>10</v>
      </c>
      <c r="L55" s="55">
        <v>35</v>
      </c>
      <c r="M55" s="55">
        <v>65</v>
      </c>
      <c r="N55" s="55" t="s">
        <v>529</v>
      </c>
      <c r="O55" s="55" t="s">
        <v>529</v>
      </c>
      <c r="P55" s="55" t="s">
        <v>529</v>
      </c>
      <c r="Q55" s="55" t="s">
        <v>529</v>
      </c>
      <c r="R55" s="55" t="s">
        <v>529</v>
      </c>
      <c r="S55" s="55" t="s">
        <v>529</v>
      </c>
      <c r="T55" s="55">
        <v>100</v>
      </c>
    </row>
    <row r="56" spans="1:35" x14ac:dyDescent="0.25">
      <c r="A56" s="54" t="s">
        <v>532</v>
      </c>
      <c r="B56" s="67">
        <f>B18-(B18*0.015)</f>
        <v>8.7665000000000006</v>
      </c>
      <c r="C56" s="55">
        <v>48</v>
      </c>
      <c r="D56" s="55">
        <v>0</v>
      </c>
      <c r="E56" s="55">
        <v>235</v>
      </c>
      <c r="F56" s="55">
        <v>0</v>
      </c>
      <c r="G56" s="65">
        <v>24</v>
      </c>
      <c r="H56" s="55">
        <v>78</v>
      </c>
      <c r="I56" s="55">
        <v>920</v>
      </c>
      <c r="J56" s="55">
        <v>15</v>
      </c>
      <c r="K56" s="55">
        <v>0</v>
      </c>
      <c r="L56" s="55">
        <v>20</v>
      </c>
      <c r="M56" s="55">
        <v>45</v>
      </c>
      <c r="N56" s="55">
        <v>2</v>
      </c>
      <c r="O56" s="55">
        <v>1</v>
      </c>
      <c r="P56" s="55">
        <v>2</v>
      </c>
      <c r="Q56" s="55">
        <v>2</v>
      </c>
      <c r="R56" s="55">
        <v>6</v>
      </c>
      <c r="S56" s="55">
        <v>2</v>
      </c>
      <c r="T56" s="55">
        <v>0</v>
      </c>
    </row>
    <row r="57" spans="1:35" x14ac:dyDescent="0.25">
      <c r="A57" s="54" t="s">
        <v>533</v>
      </c>
      <c r="B57" s="67">
        <f>B18+(B18*0.015)</f>
        <v>9.0335000000000001</v>
      </c>
      <c r="C57" s="55">
        <v>84</v>
      </c>
      <c r="D57" s="55">
        <v>24</v>
      </c>
      <c r="E57" s="55">
        <v>340</v>
      </c>
      <c r="F57" s="55">
        <v>52</v>
      </c>
      <c r="G57" s="65" t="s">
        <v>529</v>
      </c>
      <c r="H57" s="55">
        <v>131</v>
      </c>
      <c r="I57" s="55">
        <v>2300</v>
      </c>
      <c r="J57" s="55">
        <v>25</v>
      </c>
      <c r="K57" s="55">
        <v>10</v>
      </c>
      <c r="L57" s="55">
        <v>35</v>
      </c>
      <c r="M57" s="55">
        <v>65</v>
      </c>
      <c r="N57" s="55" t="s">
        <v>529</v>
      </c>
      <c r="O57" s="55" t="s">
        <v>529</v>
      </c>
      <c r="P57" s="55" t="s">
        <v>529</v>
      </c>
      <c r="Q57" s="55" t="s">
        <v>529</v>
      </c>
      <c r="R57" s="55" t="s">
        <v>529</v>
      </c>
      <c r="S57" s="55" t="s">
        <v>529</v>
      </c>
      <c r="T57" s="55">
        <v>100</v>
      </c>
    </row>
    <row r="58" spans="1:35" x14ac:dyDescent="0.25">
      <c r="A58" s="54" t="s">
        <v>534</v>
      </c>
      <c r="B58" s="67">
        <f>B19-(B19*0.015)</f>
        <v>11.130500000000001</v>
      </c>
      <c r="C58" s="55">
        <v>61</v>
      </c>
      <c r="D58" s="55">
        <v>0</v>
      </c>
      <c r="E58" s="55">
        <v>292</v>
      </c>
      <c r="F58" s="55">
        <v>0</v>
      </c>
      <c r="G58" s="65">
        <v>30</v>
      </c>
      <c r="H58" s="55">
        <v>99</v>
      </c>
      <c r="I58" s="55">
        <v>920</v>
      </c>
      <c r="J58" s="55">
        <v>15</v>
      </c>
      <c r="K58" s="55">
        <v>0</v>
      </c>
      <c r="L58" s="55">
        <v>20</v>
      </c>
      <c r="M58" s="55">
        <v>45</v>
      </c>
      <c r="N58" s="55">
        <v>2</v>
      </c>
      <c r="O58" s="55">
        <v>1</v>
      </c>
      <c r="P58" s="55">
        <v>2</v>
      </c>
      <c r="Q58" s="55">
        <v>2</v>
      </c>
      <c r="R58" s="55">
        <v>6</v>
      </c>
      <c r="S58" s="55">
        <v>2</v>
      </c>
      <c r="T58" s="55">
        <v>0</v>
      </c>
    </row>
    <row r="59" spans="1:35" x14ac:dyDescent="0.25">
      <c r="A59" s="54" t="s">
        <v>535</v>
      </c>
      <c r="B59" s="67">
        <f>B19+(B19*0.015)</f>
        <v>11.4695</v>
      </c>
      <c r="C59" s="55">
        <v>107</v>
      </c>
      <c r="D59" s="55">
        <v>31</v>
      </c>
      <c r="E59" s="55">
        <v>432</v>
      </c>
      <c r="F59" s="55">
        <v>66</v>
      </c>
      <c r="G59" s="65" t="s">
        <v>529</v>
      </c>
      <c r="H59" s="55">
        <v>166</v>
      </c>
      <c r="I59" s="55">
        <v>2300</v>
      </c>
      <c r="J59" s="55">
        <v>25</v>
      </c>
      <c r="K59" s="55">
        <v>10</v>
      </c>
      <c r="L59" s="55">
        <v>35</v>
      </c>
      <c r="M59" s="55">
        <v>65</v>
      </c>
      <c r="N59" s="55" t="s">
        <v>529</v>
      </c>
      <c r="O59" s="55" t="s">
        <v>529</v>
      </c>
      <c r="P59" s="55" t="s">
        <v>529</v>
      </c>
      <c r="Q59" s="55" t="s">
        <v>529</v>
      </c>
      <c r="R59" s="55" t="s">
        <v>529</v>
      </c>
      <c r="S59" s="55" t="s">
        <v>529</v>
      </c>
      <c r="T59" s="55">
        <v>100</v>
      </c>
    </row>
    <row r="61" spans="1:35" s="70" customFormat="1" ht="30" customHeight="1" x14ac:dyDescent="0.25">
      <c r="A61" s="68" t="s">
        <v>542</v>
      </c>
      <c r="B61" s="69" t="s">
        <v>489</v>
      </c>
      <c r="C61" s="57" t="s">
        <v>509</v>
      </c>
      <c r="D61" s="57" t="s">
        <v>510</v>
      </c>
      <c r="E61" s="57" t="s">
        <v>511</v>
      </c>
      <c r="F61" s="60" t="s">
        <v>512</v>
      </c>
      <c r="G61" s="69" t="s">
        <v>513</v>
      </c>
      <c r="H61" s="57" t="s">
        <v>514</v>
      </c>
      <c r="I61" s="69" t="s">
        <v>543</v>
      </c>
      <c r="J61" s="60" t="s">
        <v>544</v>
      </c>
      <c r="K61" s="69" t="s">
        <v>545</v>
      </c>
      <c r="L61" s="69" t="s">
        <v>546</v>
      </c>
      <c r="M61" s="69" t="s">
        <v>547</v>
      </c>
      <c r="N61" s="62"/>
      <c r="O61" s="62" t="s">
        <v>548</v>
      </c>
      <c r="P61" s="62" t="s">
        <v>549</v>
      </c>
      <c r="Q61" s="62" t="s">
        <v>550</v>
      </c>
      <c r="R61" s="62" t="s">
        <v>551</v>
      </c>
      <c r="S61" s="62" t="s">
        <v>552</v>
      </c>
      <c r="T61" s="62" t="s">
        <v>553</v>
      </c>
      <c r="U61" s="62" t="s">
        <v>554</v>
      </c>
      <c r="V61" s="62" t="s">
        <v>555</v>
      </c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x14ac:dyDescent="0.25">
      <c r="A62" s="54" t="s">
        <v>527</v>
      </c>
      <c r="B62" s="67">
        <v>7.9785000000000004</v>
      </c>
      <c r="C62" s="66"/>
      <c r="D62" s="66"/>
      <c r="E62" s="66"/>
      <c r="F62" s="66">
        <v>68.599999999999994</v>
      </c>
      <c r="G62" s="66">
        <v>10.85</v>
      </c>
      <c r="H62" s="66">
        <v>42.7</v>
      </c>
      <c r="I62" s="71">
        <v>1960</v>
      </c>
      <c r="J62" s="67">
        <v>37.03</v>
      </c>
      <c r="K62" s="72">
        <v>9.17</v>
      </c>
      <c r="L62" s="72">
        <v>23.31</v>
      </c>
      <c r="M62" s="72">
        <v>9.59</v>
      </c>
      <c r="N62" s="72"/>
      <c r="O62" s="65">
        <v>14.397530864197501</v>
      </c>
      <c r="P62" s="55">
        <v>0</v>
      </c>
      <c r="Q62" s="72">
        <v>1.19</v>
      </c>
      <c r="R62" s="55">
        <v>0.39200000000000002</v>
      </c>
      <c r="S62" s="55">
        <v>1.26</v>
      </c>
      <c r="T62" s="55">
        <v>1.1000000000000001</v>
      </c>
      <c r="U62" s="55">
        <v>2.4</v>
      </c>
      <c r="V62" s="55">
        <v>0.5</v>
      </c>
    </row>
    <row r="63" spans="1:35" x14ac:dyDescent="0.25">
      <c r="A63" s="54" t="s">
        <v>528</v>
      </c>
      <c r="B63" s="67">
        <v>8.2215000000000007</v>
      </c>
      <c r="C63" s="66"/>
      <c r="D63" s="66"/>
      <c r="E63" s="66"/>
      <c r="F63" s="66">
        <v>127.4</v>
      </c>
      <c r="G63" s="66">
        <v>20.149999999999999</v>
      </c>
      <c r="H63" s="66">
        <v>79.3</v>
      </c>
      <c r="I63" s="71">
        <v>3640</v>
      </c>
      <c r="J63" s="67">
        <v>68.77</v>
      </c>
      <c r="K63" s="72">
        <v>17.03</v>
      </c>
      <c r="L63" s="72">
        <v>43.29</v>
      </c>
      <c r="M63" s="72">
        <v>17.809999999999999</v>
      </c>
      <c r="N63" s="72"/>
      <c r="O63" s="65">
        <v>26.738271604938301</v>
      </c>
      <c r="P63" s="55">
        <v>0</v>
      </c>
      <c r="Q63" s="72">
        <v>2.21</v>
      </c>
      <c r="R63" s="55">
        <v>0.72799999999999998</v>
      </c>
      <c r="S63" s="55">
        <v>2.34</v>
      </c>
      <c r="T63" s="55">
        <v>2.04285714285714</v>
      </c>
      <c r="U63" s="55">
        <v>4.45714285714286</v>
      </c>
      <c r="V63" s="55">
        <v>0.92857142857142905</v>
      </c>
    </row>
    <row r="64" spans="1:35" x14ac:dyDescent="0.25">
      <c r="A64" s="54" t="s">
        <v>530</v>
      </c>
      <c r="B64" s="67">
        <v>15.070499999999999</v>
      </c>
      <c r="C64" s="66"/>
      <c r="D64" s="66"/>
      <c r="E64" s="66"/>
      <c r="F64" s="66">
        <v>85.4</v>
      </c>
      <c r="G64" s="66">
        <v>15.47</v>
      </c>
      <c r="H64" s="66">
        <v>81.900000000000006</v>
      </c>
      <c r="I64" s="71">
        <v>2688</v>
      </c>
      <c r="J64" s="67">
        <v>33.18</v>
      </c>
      <c r="K64" s="72">
        <v>11.62</v>
      </c>
      <c r="L64" s="72">
        <v>24.5</v>
      </c>
      <c r="M64" s="72">
        <v>9.73</v>
      </c>
      <c r="N64" s="72"/>
      <c r="O64" s="65">
        <v>9.4888888888888907</v>
      </c>
      <c r="P64" s="55">
        <v>0</v>
      </c>
      <c r="Q64" s="72">
        <v>0.77</v>
      </c>
      <c r="R64" s="55">
        <v>0.7</v>
      </c>
      <c r="S64" s="55">
        <v>0.98</v>
      </c>
      <c r="T64" s="55">
        <v>1.1000000000000001</v>
      </c>
      <c r="U64" s="55">
        <v>4.4000000000000004</v>
      </c>
      <c r="V64" s="55">
        <v>1.75</v>
      </c>
    </row>
    <row r="65" spans="1:22" x14ac:dyDescent="0.25">
      <c r="A65" s="54" t="s">
        <v>531</v>
      </c>
      <c r="B65" s="67">
        <v>15.529500000000001</v>
      </c>
      <c r="C65" s="66"/>
      <c r="D65" s="66"/>
      <c r="E65" s="66"/>
      <c r="F65" s="66">
        <v>158.6</v>
      </c>
      <c r="G65" s="66">
        <v>28.73</v>
      </c>
      <c r="H65" s="66">
        <v>152.1</v>
      </c>
      <c r="I65" s="71">
        <v>4992</v>
      </c>
      <c r="J65" s="67">
        <v>61.62</v>
      </c>
      <c r="K65" s="72">
        <v>21.58</v>
      </c>
      <c r="L65" s="72">
        <v>45.5</v>
      </c>
      <c r="M65" s="72">
        <v>18.07</v>
      </c>
      <c r="N65" s="72"/>
      <c r="O65" s="65">
        <v>17.622222222222199</v>
      </c>
      <c r="P65" s="55">
        <v>0</v>
      </c>
      <c r="Q65" s="72">
        <v>1.43</v>
      </c>
      <c r="R65" s="55">
        <v>1.3</v>
      </c>
      <c r="S65" s="55">
        <v>1.82</v>
      </c>
      <c r="T65" s="55">
        <v>2.04285714285714</v>
      </c>
      <c r="U65" s="55">
        <v>8.1714285714285708</v>
      </c>
      <c r="V65" s="55">
        <v>3.25</v>
      </c>
    </row>
    <row r="66" spans="1:22" x14ac:dyDescent="0.25">
      <c r="A66" s="54" t="s">
        <v>532</v>
      </c>
      <c r="B66" s="67">
        <v>10.736499999999999</v>
      </c>
      <c r="C66" s="66"/>
      <c r="D66" s="66"/>
      <c r="E66" s="66"/>
      <c r="F66" s="66">
        <v>69.3</v>
      </c>
      <c r="G66" s="66">
        <v>12.88</v>
      </c>
      <c r="H66" s="66">
        <v>59.5</v>
      </c>
      <c r="I66" s="71">
        <v>1946</v>
      </c>
      <c r="J66" s="67">
        <v>32.549999999999997</v>
      </c>
      <c r="K66" s="72">
        <v>12.04</v>
      </c>
      <c r="L66" s="72">
        <v>24.92</v>
      </c>
      <c r="M66" s="72">
        <v>9.8000000000000007</v>
      </c>
      <c r="N66" s="72"/>
      <c r="O66" s="65">
        <v>10.8082568807339</v>
      </c>
      <c r="P66" s="55">
        <v>0.91</v>
      </c>
      <c r="Q66" s="72">
        <v>0.98</v>
      </c>
      <c r="R66" s="55">
        <v>0.7</v>
      </c>
      <c r="S66" s="55">
        <v>2.0299999999999998</v>
      </c>
      <c r="T66" s="55">
        <v>0.9</v>
      </c>
      <c r="U66" s="55">
        <v>3.5</v>
      </c>
      <c r="V66" s="55">
        <v>1.96</v>
      </c>
    </row>
    <row r="67" spans="1:22" x14ac:dyDescent="0.25">
      <c r="A67" s="54" t="s">
        <v>533</v>
      </c>
      <c r="B67" s="67">
        <v>11.063499999999999</v>
      </c>
      <c r="C67" s="66"/>
      <c r="D67" s="66"/>
      <c r="E67" s="66"/>
      <c r="F67" s="66">
        <v>128.69999999999999</v>
      </c>
      <c r="G67" s="66">
        <v>23.92</v>
      </c>
      <c r="H67" s="66">
        <v>110.5</v>
      </c>
      <c r="I67" s="71">
        <v>3614</v>
      </c>
      <c r="J67" s="67">
        <v>60.45</v>
      </c>
      <c r="K67" s="72">
        <v>22.36</v>
      </c>
      <c r="L67" s="72">
        <v>46.28</v>
      </c>
      <c r="M67" s="72">
        <v>18.2</v>
      </c>
      <c r="N67" s="72"/>
      <c r="O67" s="65">
        <v>20.072477064220202</v>
      </c>
      <c r="P67" s="55">
        <v>1.69</v>
      </c>
      <c r="Q67" s="72">
        <v>1.82</v>
      </c>
      <c r="R67" s="55">
        <v>1.3</v>
      </c>
      <c r="S67" s="55">
        <v>3.77</v>
      </c>
      <c r="T67" s="55">
        <v>1.6714285714285699</v>
      </c>
      <c r="U67" s="55">
        <v>6.5</v>
      </c>
      <c r="V67" s="55">
        <v>3.64</v>
      </c>
    </row>
    <row r="68" spans="1:22" x14ac:dyDescent="0.25">
      <c r="A68" s="54" t="s">
        <v>534</v>
      </c>
      <c r="B68" s="67">
        <v>13.002000000000001</v>
      </c>
      <c r="C68" s="66"/>
      <c r="D68" s="66"/>
      <c r="E68" s="66"/>
      <c r="F68" s="66">
        <v>66.5</v>
      </c>
      <c r="G68" s="66">
        <v>15.12</v>
      </c>
      <c r="H68" s="66">
        <v>59.5</v>
      </c>
      <c r="I68" s="71">
        <v>2660</v>
      </c>
      <c r="J68" s="67">
        <v>31.64</v>
      </c>
      <c r="K68" s="72">
        <v>11.9</v>
      </c>
      <c r="L68" s="72">
        <v>23.59</v>
      </c>
      <c r="M68" s="72">
        <v>9.17</v>
      </c>
      <c r="N68" s="72"/>
      <c r="O68" s="65">
        <v>8.5643939393939394</v>
      </c>
      <c r="P68" s="55">
        <v>3.01</v>
      </c>
      <c r="Q68" s="72">
        <v>0.77</v>
      </c>
      <c r="R68" s="55">
        <v>0.84</v>
      </c>
      <c r="S68" s="55">
        <v>1.75</v>
      </c>
      <c r="T68" s="55">
        <v>0.9</v>
      </c>
      <c r="U68" s="55">
        <v>4.3</v>
      </c>
      <c r="V68" s="55">
        <v>2.52</v>
      </c>
    </row>
    <row r="69" spans="1:22" x14ac:dyDescent="0.25">
      <c r="A69" s="54" t="s">
        <v>535</v>
      </c>
      <c r="B69" s="67">
        <v>13.398</v>
      </c>
      <c r="C69" s="66"/>
      <c r="D69" s="66"/>
      <c r="E69" s="66"/>
      <c r="F69" s="66">
        <v>123.5</v>
      </c>
      <c r="G69" s="66">
        <v>28.08</v>
      </c>
      <c r="H69" s="66">
        <v>110.5</v>
      </c>
      <c r="I69" s="71">
        <v>4940</v>
      </c>
      <c r="J69" s="67">
        <v>58.76</v>
      </c>
      <c r="K69" s="72">
        <v>22.1</v>
      </c>
      <c r="L69" s="72">
        <v>43.81</v>
      </c>
      <c r="M69" s="72">
        <v>17.03</v>
      </c>
      <c r="N69" s="72"/>
      <c r="O69" s="65">
        <v>15.905303030302999</v>
      </c>
      <c r="P69" s="55">
        <v>5.59</v>
      </c>
      <c r="Q69" s="72">
        <v>1.43</v>
      </c>
      <c r="R69" s="55">
        <v>1.56</v>
      </c>
      <c r="S69" s="55">
        <v>3.25</v>
      </c>
      <c r="T69" s="55">
        <v>1.6714285714285699</v>
      </c>
      <c r="U69" s="55">
        <v>7.9857142857142902</v>
      </c>
      <c r="V69" s="55">
        <v>4.68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AMK128"/>
  <sheetViews>
    <sheetView topLeftCell="A48" zoomScaleNormal="100" workbookViewId="0">
      <selection activeCell="C65" sqref="C65"/>
    </sheetView>
  </sheetViews>
  <sheetFormatPr defaultRowHeight="15.75" x14ac:dyDescent="0.25"/>
  <cols>
    <col min="1" max="1" width="15.85546875" style="54" customWidth="1"/>
    <col min="2" max="2" width="16.28515625" style="54" customWidth="1"/>
    <col min="3" max="3" width="32.28515625" style="20" customWidth="1"/>
    <col min="4" max="4" width="31.7109375" style="73" customWidth="1"/>
    <col min="5" max="5" width="16" style="55" customWidth="1"/>
    <col min="6" max="6" width="14.42578125" style="74" customWidth="1"/>
    <col min="7" max="7" width="18" style="55" customWidth="1"/>
    <col min="8" max="8" width="19" style="55" customWidth="1"/>
    <col min="9" max="9" width="18.140625" style="74" customWidth="1"/>
    <col min="10" max="10" width="16.140625" style="74" customWidth="1"/>
    <col min="11" max="11" width="19" style="74" customWidth="1"/>
    <col min="12" max="12" width="16.85546875" style="74" customWidth="1"/>
    <col min="13" max="13" width="16.42578125" style="55" customWidth="1"/>
    <col min="14" max="14" width="15.85546875" style="55" customWidth="1"/>
    <col min="15" max="15" width="15" style="74" customWidth="1"/>
    <col min="16" max="16" width="16" style="74" customWidth="1"/>
    <col min="17" max="17" width="19.7109375" style="74" customWidth="1"/>
    <col min="18" max="18" width="17.28515625" style="74" customWidth="1"/>
    <col min="19" max="1025" width="10.85546875" style="54" customWidth="1"/>
  </cols>
  <sheetData>
    <row r="1" spans="1:78" s="75" customFormat="1" x14ac:dyDescent="0.25">
      <c r="D1" s="76"/>
      <c r="E1" s="76"/>
      <c r="F1" s="76"/>
      <c r="G1" s="76"/>
      <c r="H1" s="76" t="s">
        <v>556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</row>
    <row r="2" spans="1:78" x14ac:dyDescent="0.25">
      <c r="C2" s="78" t="s">
        <v>557</v>
      </c>
      <c r="G2" s="221" t="s">
        <v>558</v>
      </c>
      <c r="H2" s="221"/>
      <c r="I2" s="221"/>
      <c r="J2" s="221" t="s">
        <v>559</v>
      </c>
      <c r="K2" s="221"/>
      <c r="L2" s="221"/>
      <c r="M2" s="221" t="s">
        <v>560</v>
      </c>
      <c r="N2" s="221"/>
      <c r="O2" s="221"/>
      <c r="P2" s="221" t="s">
        <v>561</v>
      </c>
      <c r="Q2" s="221"/>
      <c r="R2" s="221"/>
    </row>
    <row r="3" spans="1:78" s="83" customFormat="1" x14ac:dyDescent="0.25">
      <c r="A3" s="79" t="s">
        <v>0</v>
      </c>
      <c r="B3" s="79" t="s">
        <v>1</v>
      </c>
      <c r="C3" s="80" t="s">
        <v>2</v>
      </c>
      <c r="D3" s="40" t="s">
        <v>3</v>
      </c>
      <c r="E3" s="81" t="s">
        <v>562</v>
      </c>
      <c r="F3" s="82" t="s">
        <v>563</v>
      </c>
      <c r="G3" s="81" t="s">
        <v>564</v>
      </c>
      <c r="H3" s="81" t="s">
        <v>565</v>
      </c>
      <c r="I3" s="82" t="s">
        <v>566</v>
      </c>
      <c r="J3" s="81" t="s">
        <v>564</v>
      </c>
      <c r="K3" s="81" t="s">
        <v>565</v>
      </c>
      <c r="L3" s="82" t="s">
        <v>566</v>
      </c>
      <c r="M3" s="81" t="s">
        <v>564</v>
      </c>
      <c r="N3" s="81" t="s">
        <v>565</v>
      </c>
      <c r="O3" s="82" t="s">
        <v>566</v>
      </c>
      <c r="P3" s="81" t="s">
        <v>564</v>
      </c>
      <c r="Q3" s="81" t="s">
        <v>565</v>
      </c>
      <c r="R3" s="82" t="s">
        <v>566</v>
      </c>
    </row>
    <row r="4" spans="1:78" x14ac:dyDescent="0.25">
      <c r="I4" s="84" t="s">
        <v>567</v>
      </c>
      <c r="J4" s="55"/>
      <c r="K4" s="55"/>
      <c r="L4" s="84" t="s">
        <v>567</v>
      </c>
      <c r="O4" s="84" t="s">
        <v>567</v>
      </c>
      <c r="P4" s="55"/>
      <c r="Q4" s="55"/>
      <c r="R4" s="84" t="s">
        <v>567</v>
      </c>
    </row>
    <row r="5" spans="1:78" s="85" customFormat="1" x14ac:dyDescent="0.25">
      <c r="C5" s="86" t="s">
        <v>568</v>
      </c>
      <c r="D5" s="87"/>
      <c r="E5" s="87"/>
      <c r="F5" s="74"/>
      <c r="G5" s="62">
        <v>14</v>
      </c>
      <c r="H5" s="62">
        <v>21</v>
      </c>
      <c r="I5" s="88">
        <v>17.5</v>
      </c>
      <c r="J5" s="62">
        <v>14</v>
      </c>
      <c r="K5" s="62">
        <v>21</v>
      </c>
      <c r="L5" s="87">
        <v>17.5</v>
      </c>
      <c r="M5" s="62">
        <v>14</v>
      </c>
      <c r="N5" s="62">
        <v>21</v>
      </c>
      <c r="O5" s="87">
        <v>17.5</v>
      </c>
      <c r="P5" s="62">
        <v>14</v>
      </c>
      <c r="Q5" s="62">
        <v>21</v>
      </c>
      <c r="R5" s="87">
        <v>17.5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</row>
    <row r="6" spans="1:78" s="85" customFormat="1" x14ac:dyDescent="0.25">
      <c r="C6" s="86" t="s">
        <v>569</v>
      </c>
      <c r="D6" s="87"/>
      <c r="E6" s="87"/>
      <c r="F6" s="74"/>
      <c r="G6" s="87">
        <f t="shared" ref="G6:R6" si="0">G5*120</f>
        <v>1680</v>
      </c>
      <c r="H6" s="87">
        <f t="shared" si="0"/>
        <v>2520</v>
      </c>
      <c r="I6" s="88">
        <f t="shared" si="0"/>
        <v>2100</v>
      </c>
      <c r="J6" s="87">
        <f t="shared" si="0"/>
        <v>1680</v>
      </c>
      <c r="K6" s="87">
        <f t="shared" si="0"/>
        <v>2520</v>
      </c>
      <c r="L6" s="87">
        <f t="shared" si="0"/>
        <v>2100</v>
      </c>
      <c r="M6" s="87">
        <f t="shared" si="0"/>
        <v>1680</v>
      </c>
      <c r="N6" s="87">
        <f t="shared" si="0"/>
        <v>2520</v>
      </c>
      <c r="O6" s="87">
        <f t="shared" si="0"/>
        <v>2100</v>
      </c>
      <c r="P6" s="87">
        <f t="shared" si="0"/>
        <v>1680</v>
      </c>
      <c r="Q6" s="87">
        <f t="shared" si="0"/>
        <v>2520</v>
      </c>
      <c r="R6" s="87">
        <f t="shared" si="0"/>
        <v>2100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</row>
    <row r="7" spans="1:78" x14ac:dyDescent="0.25">
      <c r="A7" s="54" t="s">
        <v>8</v>
      </c>
      <c r="B7" s="54">
        <v>1</v>
      </c>
      <c r="C7" s="20" t="s">
        <v>9</v>
      </c>
      <c r="D7" s="73" t="s">
        <v>10</v>
      </c>
      <c r="E7" s="55">
        <v>1</v>
      </c>
      <c r="F7" s="89">
        <v>120</v>
      </c>
      <c r="G7" s="90">
        <v>120</v>
      </c>
      <c r="H7" s="90">
        <f>$F7*14</f>
        <v>1680</v>
      </c>
      <c r="I7" s="91"/>
      <c r="J7" s="90">
        <v>120</v>
      </c>
      <c r="K7" s="90">
        <v>1680</v>
      </c>
      <c r="M7" s="90">
        <v>120</v>
      </c>
      <c r="N7" s="90">
        <v>1680</v>
      </c>
      <c r="O7" s="89"/>
      <c r="P7" s="90">
        <v>120</v>
      </c>
      <c r="Q7" s="90">
        <v>1680</v>
      </c>
      <c r="R7" s="89"/>
    </row>
    <row r="8" spans="1:78" x14ac:dyDescent="0.25">
      <c r="A8" s="54" t="s">
        <v>8</v>
      </c>
      <c r="B8" s="54">
        <v>1</v>
      </c>
      <c r="C8" s="20" t="s">
        <v>14</v>
      </c>
      <c r="D8" s="73" t="s">
        <v>15</v>
      </c>
      <c r="E8" s="55">
        <v>1</v>
      </c>
      <c r="F8" s="89">
        <v>120</v>
      </c>
      <c r="G8" s="90">
        <v>120</v>
      </c>
      <c r="H8" s="90">
        <f>$F8*14</f>
        <v>1680</v>
      </c>
      <c r="J8" s="90">
        <v>120</v>
      </c>
      <c r="K8" s="90">
        <v>1680</v>
      </c>
      <c r="M8" s="90">
        <v>120</v>
      </c>
      <c r="N8" s="90">
        <v>1680</v>
      </c>
      <c r="O8" s="89"/>
      <c r="P8" s="90">
        <v>120</v>
      </c>
      <c r="Q8" s="90">
        <v>1680</v>
      </c>
      <c r="R8" s="89"/>
    </row>
    <row r="9" spans="1:78" x14ac:dyDescent="0.25">
      <c r="A9" s="54" t="s">
        <v>8</v>
      </c>
      <c r="B9" s="54">
        <v>1</v>
      </c>
      <c r="C9" s="20" t="s">
        <v>16</v>
      </c>
      <c r="D9" s="73" t="s">
        <v>17</v>
      </c>
      <c r="E9" s="55">
        <v>3</v>
      </c>
      <c r="F9" s="89">
        <v>120</v>
      </c>
      <c r="G9" s="90">
        <f>$F9/2</f>
        <v>60</v>
      </c>
      <c r="H9" s="90">
        <f>$F9*7</f>
        <v>840</v>
      </c>
      <c r="J9" s="90">
        <v>60</v>
      </c>
      <c r="K9" s="90">
        <v>840</v>
      </c>
      <c r="M9" s="90">
        <v>60</v>
      </c>
      <c r="N9" s="90">
        <v>840</v>
      </c>
      <c r="O9" s="89"/>
      <c r="P9" s="90">
        <v>60</v>
      </c>
      <c r="Q9" s="90">
        <v>840</v>
      </c>
      <c r="R9" s="89"/>
    </row>
    <row r="10" spans="1:78" x14ac:dyDescent="0.25">
      <c r="A10" s="54" t="s">
        <v>8</v>
      </c>
      <c r="B10" s="54">
        <v>1</v>
      </c>
      <c r="C10" s="20" t="s">
        <v>18</v>
      </c>
      <c r="D10" s="73" t="s">
        <v>19</v>
      </c>
      <c r="E10" s="55">
        <v>2</v>
      </c>
      <c r="F10" s="89">
        <v>120</v>
      </c>
      <c r="G10" s="90">
        <f>$F10/2</f>
        <v>60</v>
      </c>
      <c r="H10" s="90">
        <f>$F10*7</f>
        <v>840</v>
      </c>
      <c r="J10" s="90">
        <v>60</v>
      </c>
      <c r="K10" s="90">
        <v>840</v>
      </c>
      <c r="M10" s="90">
        <v>60</v>
      </c>
      <c r="N10" s="90">
        <v>840</v>
      </c>
      <c r="O10" s="89"/>
      <c r="P10" s="90">
        <v>60</v>
      </c>
      <c r="Q10" s="90">
        <v>840</v>
      </c>
      <c r="R10" s="89"/>
    </row>
    <row r="11" spans="1:78" x14ac:dyDescent="0.25">
      <c r="A11" s="54" t="s">
        <v>8</v>
      </c>
      <c r="B11" s="54">
        <v>1</v>
      </c>
      <c r="C11" s="20" t="s">
        <v>21</v>
      </c>
      <c r="D11" s="73" t="s">
        <v>22</v>
      </c>
      <c r="E11" s="55">
        <v>2</v>
      </c>
      <c r="F11" s="89">
        <v>120</v>
      </c>
      <c r="G11" s="90">
        <f>$F11/2</f>
        <v>60</v>
      </c>
      <c r="H11" s="90">
        <f>$F11*7</f>
        <v>840</v>
      </c>
      <c r="J11" s="90">
        <v>60</v>
      </c>
      <c r="K11" s="90">
        <v>840</v>
      </c>
      <c r="M11" s="90">
        <v>60</v>
      </c>
      <c r="N11" s="90">
        <v>840</v>
      </c>
      <c r="O11" s="89"/>
      <c r="P11" s="90">
        <v>60</v>
      </c>
      <c r="Q11" s="90">
        <v>840</v>
      </c>
      <c r="R11" s="89"/>
    </row>
    <row r="12" spans="1:78" x14ac:dyDescent="0.25">
      <c r="A12" s="54" t="s">
        <v>8</v>
      </c>
      <c r="B12" s="54">
        <v>1</v>
      </c>
      <c r="C12" s="20" t="s">
        <v>26</v>
      </c>
      <c r="D12" s="73" t="s">
        <v>27</v>
      </c>
      <c r="E12" s="55">
        <v>1</v>
      </c>
      <c r="F12" s="89">
        <v>120</v>
      </c>
      <c r="G12" s="90">
        <v>120</v>
      </c>
      <c r="H12" s="90">
        <f>$F12*14</f>
        <v>1680</v>
      </c>
      <c r="J12" s="90">
        <v>120</v>
      </c>
      <c r="K12" s="90">
        <v>1680</v>
      </c>
      <c r="M12" s="90">
        <v>120</v>
      </c>
      <c r="N12" s="90">
        <v>1680</v>
      </c>
      <c r="O12" s="89"/>
      <c r="P12" s="90">
        <v>120</v>
      </c>
      <c r="Q12" s="90">
        <v>1680</v>
      </c>
      <c r="R12" s="89"/>
    </row>
    <row r="13" spans="1:78" x14ac:dyDescent="0.25">
      <c r="A13" s="54" t="s">
        <v>8</v>
      </c>
      <c r="B13" s="54">
        <v>1</v>
      </c>
      <c r="C13" s="20" t="s">
        <v>28</v>
      </c>
      <c r="D13" s="73" t="s">
        <v>29</v>
      </c>
      <c r="E13" s="55">
        <v>2</v>
      </c>
      <c r="F13" s="89">
        <v>120</v>
      </c>
      <c r="G13" s="90">
        <f>$F13/2</f>
        <v>60</v>
      </c>
      <c r="H13" s="90">
        <f>$F13*7</f>
        <v>840</v>
      </c>
      <c r="J13" s="90">
        <v>60</v>
      </c>
      <c r="K13" s="90">
        <v>840</v>
      </c>
      <c r="M13" s="90">
        <v>60</v>
      </c>
      <c r="N13" s="90">
        <v>840</v>
      </c>
      <c r="O13" s="89"/>
      <c r="P13" s="90">
        <v>60</v>
      </c>
      <c r="Q13" s="90">
        <v>840</v>
      </c>
      <c r="R13" s="89"/>
    </row>
    <row r="14" spans="1:78" x14ac:dyDescent="0.25">
      <c r="A14" s="54" t="s">
        <v>8</v>
      </c>
      <c r="B14" s="54">
        <v>1</v>
      </c>
      <c r="C14" s="20" t="str">
        <f>'common foods'!C14</f>
        <v>Canned fruit salad in juice</v>
      </c>
      <c r="D14" s="73" t="s">
        <v>39</v>
      </c>
      <c r="E14" s="55">
        <v>2</v>
      </c>
      <c r="F14" s="89">
        <v>120</v>
      </c>
      <c r="G14" s="90">
        <v>60</v>
      </c>
      <c r="H14" s="90">
        <f>$F14*14/2</f>
        <v>840</v>
      </c>
      <c r="J14" s="90">
        <v>60</v>
      </c>
      <c r="K14" s="90">
        <v>840</v>
      </c>
      <c r="M14" s="90">
        <v>60</v>
      </c>
      <c r="N14" s="90">
        <v>840</v>
      </c>
      <c r="O14" s="89"/>
      <c r="P14" s="90">
        <v>60</v>
      </c>
      <c r="Q14" s="90">
        <f>$F14*14/2</f>
        <v>840</v>
      </c>
    </row>
    <row r="15" spans="1:78" x14ac:dyDescent="0.25">
      <c r="A15" s="85"/>
      <c r="B15" s="85"/>
      <c r="C15" s="86" t="s">
        <v>570</v>
      </c>
      <c r="D15" s="87"/>
      <c r="E15" s="87"/>
      <c r="G15" s="62">
        <v>14</v>
      </c>
      <c r="H15" s="62">
        <v>28</v>
      </c>
      <c r="I15" s="87">
        <v>21</v>
      </c>
      <c r="J15" s="62">
        <v>14</v>
      </c>
      <c r="K15" s="62">
        <v>28</v>
      </c>
      <c r="L15" s="87">
        <v>21</v>
      </c>
      <c r="M15" s="62">
        <v>14</v>
      </c>
      <c r="N15" s="62">
        <v>28</v>
      </c>
      <c r="O15" s="87">
        <v>21</v>
      </c>
      <c r="P15" s="62">
        <v>7</v>
      </c>
      <c r="Q15" s="62">
        <v>21</v>
      </c>
      <c r="R15" s="87">
        <v>14</v>
      </c>
    </row>
    <row r="16" spans="1:78" x14ac:dyDescent="0.25">
      <c r="A16" s="85"/>
      <c r="B16" s="85"/>
      <c r="C16" s="86" t="s">
        <v>569</v>
      </c>
      <c r="D16" s="87"/>
      <c r="E16" s="87"/>
      <c r="G16" s="87">
        <f t="shared" ref="G16:R16" si="1">G15*75</f>
        <v>1050</v>
      </c>
      <c r="H16" s="87">
        <f t="shared" si="1"/>
        <v>2100</v>
      </c>
      <c r="I16" s="87">
        <f t="shared" si="1"/>
        <v>1575</v>
      </c>
      <c r="J16" s="87">
        <f t="shared" si="1"/>
        <v>1050</v>
      </c>
      <c r="K16" s="87">
        <f t="shared" si="1"/>
        <v>2100</v>
      </c>
      <c r="L16" s="87">
        <f t="shared" si="1"/>
        <v>1575</v>
      </c>
      <c r="M16" s="87">
        <f t="shared" si="1"/>
        <v>1050</v>
      </c>
      <c r="N16" s="87">
        <f t="shared" si="1"/>
        <v>2100</v>
      </c>
      <c r="O16" s="87">
        <f t="shared" si="1"/>
        <v>1575</v>
      </c>
      <c r="P16" s="87">
        <f t="shared" si="1"/>
        <v>525</v>
      </c>
      <c r="Q16" s="87">
        <f t="shared" si="1"/>
        <v>1575</v>
      </c>
      <c r="R16" s="87">
        <f t="shared" si="1"/>
        <v>1050</v>
      </c>
    </row>
    <row r="17" spans="1:78" x14ac:dyDescent="0.25">
      <c r="A17" s="54" t="s">
        <v>43</v>
      </c>
      <c r="B17" s="54">
        <v>2</v>
      </c>
      <c r="C17" s="20" t="s">
        <v>44</v>
      </c>
      <c r="D17" s="73" t="s">
        <v>45</v>
      </c>
      <c r="E17" s="55">
        <v>3</v>
      </c>
      <c r="F17" s="74">
        <v>75</v>
      </c>
      <c r="G17" s="92">
        <f>$F17/2</f>
        <v>37.5</v>
      </c>
      <c r="H17" s="92">
        <f>F17*14/2</f>
        <v>525</v>
      </c>
      <c r="I17" s="91"/>
      <c r="J17" s="92">
        <v>37.5</v>
      </c>
      <c r="K17" s="92">
        <v>525</v>
      </c>
      <c r="L17" s="89"/>
      <c r="M17" s="92">
        <v>37.5</v>
      </c>
      <c r="N17" s="93">
        <v>525</v>
      </c>
      <c r="O17" s="89"/>
      <c r="P17" s="92">
        <v>25</v>
      </c>
      <c r="Q17" s="92">
        <v>270</v>
      </c>
      <c r="R17" s="89"/>
    </row>
    <row r="18" spans="1:78" s="85" customFormat="1" x14ac:dyDescent="0.25">
      <c r="A18" s="54" t="s">
        <v>43</v>
      </c>
      <c r="B18" s="54">
        <v>2</v>
      </c>
      <c r="C18" s="20" t="s">
        <v>46</v>
      </c>
      <c r="D18" s="73" t="s">
        <v>47</v>
      </c>
      <c r="E18" s="55">
        <v>1</v>
      </c>
      <c r="F18" s="74">
        <v>75</v>
      </c>
      <c r="G18" s="92">
        <v>75</v>
      </c>
      <c r="H18" s="92">
        <f>F18*14</f>
        <v>1050</v>
      </c>
      <c r="I18" s="74"/>
      <c r="J18" s="92">
        <v>75</v>
      </c>
      <c r="K18" s="92">
        <v>1050</v>
      </c>
      <c r="L18" s="89"/>
      <c r="M18" s="92">
        <v>75</v>
      </c>
      <c r="N18" s="93">
        <v>1050</v>
      </c>
      <c r="O18" s="89"/>
      <c r="P18" s="92">
        <v>38</v>
      </c>
      <c r="Q18" s="92">
        <v>525</v>
      </c>
      <c r="R18" s="89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</row>
    <row r="19" spans="1:78" s="85" customFormat="1" x14ac:dyDescent="0.25">
      <c r="A19" s="54" t="s">
        <v>43</v>
      </c>
      <c r="B19" s="54">
        <v>2</v>
      </c>
      <c r="C19" s="20" t="s">
        <v>48</v>
      </c>
      <c r="D19" s="73" t="s">
        <v>49</v>
      </c>
      <c r="E19" s="55">
        <v>2</v>
      </c>
      <c r="F19" s="74">
        <v>75</v>
      </c>
      <c r="G19" s="92">
        <f>$F19/2</f>
        <v>37.5</v>
      </c>
      <c r="H19" s="92">
        <v>525</v>
      </c>
      <c r="I19" s="74"/>
      <c r="J19" s="92">
        <v>37.5</v>
      </c>
      <c r="K19" s="92">
        <v>525</v>
      </c>
      <c r="L19" s="89"/>
      <c r="M19" s="92">
        <v>37.5</v>
      </c>
      <c r="N19" s="93">
        <v>525</v>
      </c>
      <c r="O19" s="89"/>
      <c r="P19" s="92">
        <v>25</v>
      </c>
      <c r="Q19" s="92">
        <v>270</v>
      </c>
      <c r="R19" s="89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</row>
    <row r="20" spans="1:78" x14ac:dyDescent="0.25">
      <c r="A20" s="54" t="s">
        <v>43</v>
      </c>
      <c r="B20" s="54">
        <v>2</v>
      </c>
      <c r="C20" s="20" t="s">
        <v>52</v>
      </c>
      <c r="D20" s="73" t="s">
        <v>53</v>
      </c>
      <c r="E20" s="55">
        <v>1</v>
      </c>
      <c r="F20" s="74">
        <v>75</v>
      </c>
      <c r="G20" s="92">
        <v>75</v>
      </c>
      <c r="H20" s="92">
        <v>1050</v>
      </c>
      <c r="J20" s="92">
        <v>75</v>
      </c>
      <c r="K20" s="92">
        <v>1050</v>
      </c>
      <c r="L20" s="89"/>
      <c r="M20" s="92">
        <v>75</v>
      </c>
      <c r="N20" s="93">
        <v>1050</v>
      </c>
      <c r="O20" s="89"/>
      <c r="P20" s="92">
        <v>38</v>
      </c>
      <c r="Q20" s="92">
        <v>525</v>
      </c>
      <c r="R20" s="89"/>
    </row>
    <row r="21" spans="1:78" x14ac:dyDescent="0.25">
      <c r="A21" s="54" t="s">
        <v>43</v>
      </c>
      <c r="B21" s="54">
        <v>2</v>
      </c>
      <c r="C21" s="20" t="s">
        <v>54</v>
      </c>
      <c r="D21" s="73" t="s">
        <v>55</v>
      </c>
      <c r="E21" s="55">
        <v>2</v>
      </c>
      <c r="F21" s="74">
        <v>75</v>
      </c>
      <c r="G21" s="92">
        <f>$F21/2</f>
        <v>37.5</v>
      </c>
      <c r="H21" s="92">
        <v>525</v>
      </c>
      <c r="J21" s="92">
        <v>37.5</v>
      </c>
      <c r="K21" s="92">
        <v>525</v>
      </c>
      <c r="L21" s="89"/>
      <c r="M21" s="92">
        <v>37.5</v>
      </c>
      <c r="N21" s="93">
        <v>525</v>
      </c>
      <c r="O21" s="89"/>
      <c r="P21" s="92">
        <v>25</v>
      </c>
      <c r="Q21" s="92">
        <v>270</v>
      </c>
      <c r="R21" s="89"/>
    </row>
    <row r="22" spans="1:78" x14ac:dyDescent="0.25">
      <c r="A22" s="54" t="s">
        <v>43</v>
      </c>
      <c r="B22" s="54">
        <v>2</v>
      </c>
      <c r="C22" s="20" t="s">
        <v>56</v>
      </c>
      <c r="D22" s="73" t="s">
        <v>57</v>
      </c>
      <c r="E22" s="55">
        <v>3</v>
      </c>
      <c r="F22" s="74">
        <v>75</v>
      </c>
      <c r="G22" s="92">
        <f>$F22/2</f>
        <v>37.5</v>
      </c>
      <c r="H22" s="92">
        <v>525</v>
      </c>
      <c r="J22" s="92">
        <v>37.5</v>
      </c>
      <c r="K22" s="92">
        <v>525</v>
      </c>
      <c r="M22" s="92">
        <v>37.5</v>
      </c>
      <c r="N22" s="93">
        <v>525</v>
      </c>
      <c r="P22" s="92">
        <v>25</v>
      </c>
      <c r="Q22" s="92">
        <v>270</v>
      </c>
      <c r="R22" s="94"/>
    </row>
    <row r="23" spans="1:78" x14ac:dyDescent="0.25">
      <c r="A23" s="54" t="s">
        <v>43</v>
      </c>
      <c r="B23" s="54">
        <v>2</v>
      </c>
      <c r="C23" s="20" t="s">
        <v>60</v>
      </c>
      <c r="D23" s="73" t="s">
        <v>61</v>
      </c>
      <c r="E23" s="55">
        <v>2</v>
      </c>
      <c r="F23" s="74">
        <v>75</v>
      </c>
      <c r="G23" s="92">
        <f>$F23/2</f>
        <v>37.5</v>
      </c>
      <c r="H23" s="92">
        <v>525</v>
      </c>
      <c r="J23" s="92">
        <v>37.5</v>
      </c>
      <c r="K23" s="92">
        <v>525</v>
      </c>
      <c r="L23" s="89"/>
      <c r="M23" s="92">
        <v>37.5</v>
      </c>
      <c r="N23" s="93">
        <v>525</v>
      </c>
      <c r="P23" s="92">
        <v>25</v>
      </c>
      <c r="Q23" s="92">
        <v>270</v>
      </c>
    </row>
    <row r="24" spans="1:78" x14ac:dyDescent="0.25">
      <c r="A24" s="54" t="s">
        <v>43</v>
      </c>
      <c r="B24" s="54">
        <v>2</v>
      </c>
      <c r="C24" s="20" t="s">
        <v>62</v>
      </c>
      <c r="D24" s="73" t="s">
        <v>63</v>
      </c>
      <c r="E24" s="55">
        <v>1</v>
      </c>
      <c r="F24" s="74">
        <v>75</v>
      </c>
      <c r="G24" s="92">
        <v>75</v>
      </c>
      <c r="H24" s="92">
        <v>1050</v>
      </c>
      <c r="J24" s="92">
        <v>75</v>
      </c>
      <c r="K24" s="92">
        <v>1050</v>
      </c>
      <c r="L24" s="89"/>
      <c r="M24" s="92">
        <v>75</v>
      </c>
      <c r="N24" s="93">
        <v>1050</v>
      </c>
      <c r="P24" s="92">
        <v>38</v>
      </c>
      <c r="Q24" s="92">
        <v>525</v>
      </c>
    </row>
    <row r="25" spans="1:78" x14ac:dyDescent="0.25">
      <c r="A25" s="54" t="s">
        <v>43</v>
      </c>
      <c r="B25" s="54">
        <v>2</v>
      </c>
      <c r="C25" s="20" t="s">
        <v>64</v>
      </c>
      <c r="D25" s="73" t="s">
        <v>65</v>
      </c>
      <c r="E25" s="55">
        <v>2</v>
      </c>
      <c r="F25" s="74">
        <v>75</v>
      </c>
      <c r="G25" s="93">
        <f>$F25/2</f>
        <v>37.5</v>
      </c>
      <c r="H25" s="93">
        <v>525</v>
      </c>
      <c r="J25" s="92">
        <v>37.5</v>
      </c>
      <c r="K25" s="92">
        <v>525</v>
      </c>
      <c r="M25" s="93">
        <v>37.5</v>
      </c>
      <c r="N25" s="93">
        <v>525</v>
      </c>
      <c r="P25" s="93">
        <v>25</v>
      </c>
      <c r="Q25" s="93">
        <v>270</v>
      </c>
    </row>
    <row r="26" spans="1:78" x14ac:dyDescent="0.25">
      <c r="A26" s="54" t="s">
        <v>43</v>
      </c>
      <c r="B26" s="54">
        <v>2</v>
      </c>
      <c r="C26" s="20" t="s">
        <v>68</v>
      </c>
      <c r="D26" s="73" t="s">
        <v>69</v>
      </c>
      <c r="E26" s="55">
        <v>1</v>
      </c>
      <c r="F26" s="74">
        <v>75</v>
      </c>
      <c r="G26" s="93">
        <v>75</v>
      </c>
      <c r="H26" s="93">
        <v>1050</v>
      </c>
      <c r="J26" s="92">
        <v>75</v>
      </c>
      <c r="K26" s="92">
        <v>1050</v>
      </c>
      <c r="L26" s="89"/>
      <c r="M26" s="93">
        <v>75</v>
      </c>
      <c r="N26" s="93">
        <v>1050</v>
      </c>
      <c r="O26" s="89"/>
      <c r="P26" s="93">
        <v>38</v>
      </c>
      <c r="Q26" s="93">
        <v>525</v>
      </c>
      <c r="R26" s="89"/>
    </row>
    <row r="27" spans="1:78" x14ac:dyDescent="0.25">
      <c r="A27" s="54" t="s">
        <v>43</v>
      </c>
      <c r="B27" s="54">
        <v>2</v>
      </c>
      <c r="C27" s="20" t="str">
        <f>'common foods'!C29</f>
        <v>Peas, frozen</v>
      </c>
      <c r="D27" s="73" t="s">
        <v>71</v>
      </c>
      <c r="E27" s="55">
        <v>3</v>
      </c>
      <c r="F27" s="74">
        <v>75</v>
      </c>
      <c r="G27" s="93">
        <v>38</v>
      </c>
      <c r="H27" s="93">
        <v>525</v>
      </c>
      <c r="J27" s="92">
        <v>38</v>
      </c>
      <c r="K27" s="92">
        <v>525</v>
      </c>
      <c r="L27" s="89"/>
      <c r="M27" s="93">
        <v>38</v>
      </c>
      <c r="N27" s="93">
        <v>525</v>
      </c>
      <c r="O27" s="89"/>
      <c r="P27" s="93">
        <v>25</v>
      </c>
      <c r="Q27" s="93">
        <v>270</v>
      </c>
      <c r="R27" s="89"/>
    </row>
    <row r="28" spans="1:78" x14ac:dyDescent="0.25">
      <c r="A28" s="54" t="s">
        <v>43</v>
      </c>
      <c r="B28" s="54">
        <v>2</v>
      </c>
      <c r="C28" s="20" t="s">
        <v>72</v>
      </c>
      <c r="D28" s="73" t="s">
        <v>73</v>
      </c>
      <c r="E28" s="55">
        <v>2</v>
      </c>
      <c r="F28" s="74">
        <v>75</v>
      </c>
      <c r="G28" s="93">
        <f>$F28/2</f>
        <v>37.5</v>
      </c>
      <c r="H28" s="93">
        <v>525</v>
      </c>
      <c r="J28" s="92">
        <v>37.5</v>
      </c>
      <c r="K28" s="92">
        <v>525</v>
      </c>
      <c r="L28" s="89"/>
      <c r="M28" s="93">
        <v>37.5</v>
      </c>
      <c r="N28" s="93">
        <v>525</v>
      </c>
      <c r="O28" s="89"/>
      <c r="P28" s="93">
        <v>25</v>
      </c>
      <c r="Q28" s="93">
        <v>270</v>
      </c>
      <c r="R28" s="89"/>
    </row>
    <row r="29" spans="1:78" x14ac:dyDescent="0.25">
      <c r="A29" s="54" t="s">
        <v>43</v>
      </c>
      <c r="B29" s="54">
        <v>2</v>
      </c>
      <c r="C29" s="20" t="s">
        <v>74</v>
      </c>
      <c r="D29" s="73" t="s">
        <v>75</v>
      </c>
      <c r="E29" s="55">
        <v>2</v>
      </c>
      <c r="F29" s="74">
        <v>75</v>
      </c>
      <c r="G29" s="93">
        <f>$F29/2</f>
        <v>37.5</v>
      </c>
      <c r="H29" s="93">
        <v>525</v>
      </c>
      <c r="J29" s="92">
        <v>37.5</v>
      </c>
      <c r="K29" s="92">
        <v>525</v>
      </c>
      <c r="L29" s="89"/>
      <c r="M29" s="93">
        <v>37.5</v>
      </c>
      <c r="N29" s="93">
        <v>525</v>
      </c>
      <c r="O29" s="89"/>
      <c r="P29" s="93">
        <v>25</v>
      </c>
      <c r="Q29" s="93">
        <v>270</v>
      </c>
      <c r="R29" s="89"/>
    </row>
    <row r="30" spans="1:78" x14ac:dyDescent="0.25">
      <c r="A30" s="54" t="s">
        <v>43</v>
      </c>
      <c r="B30" s="54">
        <v>2</v>
      </c>
      <c r="C30" s="20" t="s">
        <v>80</v>
      </c>
      <c r="D30" s="73" t="s">
        <v>81</v>
      </c>
      <c r="E30" s="55">
        <v>3</v>
      </c>
      <c r="F30" s="74">
        <v>75</v>
      </c>
      <c r="G30" s="93">
        <f>F30/2</f>
        <v>37.5</v>
      </c>
      <c r="H30" s="93">
        <v>525</v>
      </c>
      <c r="J30" s="93">
        <v>37.5</v>
      </c>
      <c r="K30" s="93">
        <v>525</v>
      </c>
      <c r="L30" s="94"/>
      <c r="M30" s="93">
        <v>37.5</v>
      </c>
      <c r="N30" s="93">
        <v>525</v>
      </c>
      <c r="O30" s="94"/>
      <c r="P30" s="93">
        <v>25</v>
      </c>
      <c r="Q30" s="93">
        <v>270</v>
      </c>
      <c r="R30" s="94"/>
    </row>
    <row r="31" spans="1:78" x14ac:dyDescent="0.25">
      <c r="A31" s="54" t="s">
        <v>43</v>
      </c>
      <c r="B31" s="54">
        <v>2</v>
      </c>
      <c r="C31" s="20" t="str">
        <f>'common foods'!C33</f>
        <v>Garlic, fresh</v>
      </c>
      <c r="D31" s="73" t="s">
        <v>79</v>
      </c>
      <c r="E31" s="55">
        <v>2</v>
      </c>
      <c r="F31" s="74">
        <v>5</v>
      </c>
      <c r="G31" s="93">
        <v>2.5</v>
      </c>
      <c r="H31" s="93">
        <v>70</v>
      </c>
      <c r="J31" s="93">
        <v>2.5</v>
      </c>
      <c r="K31" s="93">
        <v>70</v>
      </c>
      <c r="L31" s="94"/>
      <c r="M31" s="93">
        <v>2.5</v>
      </c>
      <c r="N31" s="93">
        <v>70</v>
      </c>
      <c r="O31" s="94"/>
      <c r="P31" s="93">
        <v>2.5</v>
      </c>
      <c r="Q31" s="93">
        <v>70</v>
      </c>
      <c r="R31" s="94"/>
    </row>
    <row r="32" spans="1:78" x14ac:dyDescent="0.25">
      <c r="A32" s="54" t="s">
        <v>43</v>
      </c>
      <c r="B32" s="54">
        <v>2</v>
      </c>
      <c r="C32" s="20" t="str">
        <f>'common foods'!C40</f>
        <v>Taro leaves</v>
      </c>
      <c r="D32" s="73" t="s">
        <v>93</v>
      </c>
      <c r="E32" s="55">
        <v>2</v>
      </c>
      <c r="F32" s="74">
        <v>75</v>
      </c>
      <c r="G32" s="93">
        <v>38</v>
      </c>
      <c r="H32" s="93">
        <v>525</v>
      </c>
      <c r="J32" s="93">
        <v>38</v>
      </c>
      <c r="K32" s="93">
        <v>525</v>
      </c>
      <c r="L32" s="94"/>
      <c r="M32" s="93">
        <v>38</v>
      </c>
      <c r="N32" s="93">
        <v>525</v>
      </c>
      <c r="O32" s="94"/>
      <c r="P32" s="93">
        <v>25</v>
      </c>
      <c r="Q32" s="93">
        <v>270</v>
      </c>
      <c r="R32" s="94"/>
    </row>
    <row r="33" spans="1:78" x14ac:dyDescent="0.25">
      <c r="A33" s="85"/>
      <c r="B33" s="85"/>
      <c r="C33" s="86" t="s">
        <v>571</v>
      </c>
      <c r="D33" s="95"/>
      <c r="E33" s="87"/>
      <c r="G33" s="62">
        <v>7</v>
      </c>
      <c r="H33" s="62">
        <v>14</v>
      </c>
      <c r="I33" s="87">
        <v>10.5</v>
      </c>
      <c r="J33" s="62">
        <v>7</v>
      </c>
      <c r="K33" s="62">
        <v>14</v>
      </c>
      <c r="L33" s="87">
        <v>10.5</v>
      </c>
      <c r="M33" s="62">
        <v>7</v>
      </c>
      <c r="N33" s="62">
        <v>14</v>
      </c>
      <c r="O33" s="87">
        <v>10.5</v>
      </c>
      <c r="P33" s="62">
        <v>7</v>
      </c>
      <c r="Q33" s="62">
        <v>14</v>
      </c>
      <c r="R33" s="87">
        <v>10.5</v>
      </c>
    </row>
    <row r="34" spans="1:78" x14ac:dyDescent="0.25">
      <c r="A34" s="85"/>
      <c r="B34" s="85"/>
      <c r="C34" s="86" t="s">
        <v>569</v>
      </c>
      <c r="D34" s="95"/>
      <c r="E34" s="87"/>
      <c r="G34" s="87">
        <f>G33*135</f>
        <v>945</v>
      </c>
      <c r="H34" s="87">
        <f>H33*135</f>
        <v>1890</v>
      </c>
      <c r="I34" s="87">
        <f>I33*135</f>
        <v>1417.5</v>
      </c>
      <c r="J34" s="87">
        <f>J33*135</f>
        <v>945</v>
      </c>
      <c r="K34" s="87">
        <v>1300</v>
      </c>
      <c r="L34" s="87">
        <f>L33*F35</f>
        <v>1417.5</v>
      </c>
      <c r="M34" s="87">
        <f>M33*135</f>
        <v>945</v>
      </c>
      <c r="N34" s="87">
        <f>N33*135</f>
        <v>1890</v>
      </c>
      <c r="O34" s="87">
        <f>O33*F35</f>
        <v>1417.5</v>
      </c>
      <c r="P34" s="87">
        <f>P33*135</f>
        <v>945</v>
      </c>
      <c r="Q34" s="87">
        <f>Q33*135</f>
        <v>1890</v>
      </c>
      <c r="R34" s="87">
        <f>R33*F35</f>
        <v>1417.5</v>
      </c>
    </row>
    <row r="35" spans="1:78" x14ac:dyDescent="0.25">
      <c r="A35" s="54" t="s">
        <v>43</v>
      </c>
      <c r="B35" s="54">
        <v>2</v>
      </c>
      <c r="C35" s="20" t="s">
        <v>82</v>
      </c>
      <c r="D35" s="73" t="s">
        <v>83</v>
      </c>
      <c r="E35" s="55">
        <v>2</v>
      </c>
      <c r="F35" s="74">
        <v>135</v>
      </c>
      <c r="G35" s="92">
        <f>$F35/2</f>
        <v>67.5</v>
      </c>
      <c r="H35" s="92">
        <f t="shared" ref="H35:H40" si="2">$F35*14</f>
        <v>1890</v>
      </c>
      <c r="I35" s="91"/>
      <c r="J35" s="92">
        <v>67.5</v>
      </c>
      <c r="K35" s="92">
        <v>1890</v>
      </c>
      <c r="M35" s="92">
        <v>67.5</v>
      </c>
      <c r="N35" s="92">
        <v>1890</v>
      </c>
      <c r="P35" s="92">
        <v>67.5</v>
      </c>
      <c r="Q35" s="92">
        <v>1890</v>
      </c>
    </row>
    <row r="36" spans="1:78" x14ac:dyDescent="0.25">
      <c r="A36" s="54" t="s">
        <v>43</v>
      </c>
      <c r="B36" s="54">
        <v>2</v>
      </c>
      <c r="C36" s="20" t="s">
        <v>84</v>
      </c>
      <c r="D36" s="73" t="s">
        <v>85</v>
      </c>
      <c r="E36" s="55">
        <v>1</v>
      </c>
      <c r="F36" s="74">
        <v>135</v>
      </c>
      <c r="G36" s="92">
        <v>135</v>
      </c>
      <c r="H36" s="92">
        <f t="shared" si="2"/>
        <v>1890</v>
      </c>
      <c r="J36" s="92">
        <v>135</v>
      </c>
      <c r="K36" s="92">
        <v>1890</v>
      </c>
      <c r="M36" s="92">
        <v>135</v>
      </c>
      <c r="N36" s="92">
        <v>1890</v>
      </c>
      <c r="P36" s="92">
        <v>135</v>
      </c>
      <c r="Q36" s="92">
        <v>1890</v>
      </c>
    </row>
    <row r="37" spans="1:78" s="85" customFormat="1" x14ac:dyDescent="0.25">
      <c r="A37" s="54" t="s">
        <v>43</v>
      </c>
      <c r="B37" s="54">
        <v>2</v>
      </c>
      <c r="C37" s="20" t="s">
        <v>86</v>
      </c>
      <c r="D37" s="73" t="s">
        <v>87</v>
      </c>
      <c r="E37" s="55">
        <v>2</v>
      </c>
      <c r="F37" s="74">
        <v>135</v>
      </c>
      <c r="G37" s="92">
        <f>$F37/2</f>
        <v>67.5</v>
      </c>
      <c r="H37" s="92">
        <f t="shared" si="2"/>
        <v>1890</v>
      </c>
      <c r="I37" s="74"/>
      <c r="J37" s="92">
        <v>67.5</v>
      </c>
      <c r="K37" s="92">
        <v>1890</v>
      </c>
      <c r="L37" s="74"/>
      <c r="M37" s="92">
        <v>67.5</v>
      </c>
      <c r="N37" s="92">
        <v>1890</v>
      </c>
      <c r="O37" s="74"/>
      <c r="P37" s="92">
        <v>67.5</v>
      </c>
      <c r="Q37" s="92">
        <v>1890</v>
      </c>
      <c r="R37" s="7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</row>
    <row r="38" spans="1:78" s="85" customFormat="1" x14ac:dyDescent="0.25">
      <c r="A38" s="54" t="s">
        <v>43</v>
      </c>
      <c r="B38" s="54">
        <v>2</v>
      </c>
      <c r="C38" s="20" t="s">
        <v>88</v>
      </c>
      <c r="D38" s="73" t="s">
        <v>89</v>
      </c>
      <c r="E38" s="55">
        <v>2</v>
      </c>
      <c r="F38" s="74">
        <v>135</v>
      </c>
      <c r="G38" s="92">
        <v>68</v>
      </c>
      <c r="H38" s="92">
        <f t="shared" si="2"/>
        <v>1890</v>
      </c>
      <c r="I38" s="74"/>
      <c r="J38" s="92">
        <v>68</v>
      </c>
      <c r="K38" s="92">
        <v>1890</v>
      </c>
      <c r="L38" s="74"/>
      <c r="M38" s="92">
        <v>68</v>
      </c>
      <c r="N38" s="92">
        <v>1890</v>
      </c>
      <c r="O38" s="74"/>
      <c r="P38" s="92">
        <v>68</v>
      </c>
      <c r="Q38" s="92">
        <v>1890</v>
      </c>
      <c r="R38" s="7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</row>
    <row r="39" spans="1:78" x14ac:dyDescent="0.25">
      <c r="A39" s="54" t="s">
        <v>43</v>
      </c>
      <c r="B39" s="54">
        <v>2</v>
      </c>
      <c r="C39" s="20" t="str">
        <f>'common foods'!C39</f>
        <v xml:space="preserve">Taro  </v>
      </c>
      <c r="D39" s="73" t="s">
        <v>91</v>
      </c>
      <c r="E39" s="55">
        <v>1</v>
      </c>
      <c r="F39" s="74">
        <v>135</v>
      </c>
      <c r="G39" s="92">
        <v>135</v>
      </c>
      <c r="H39" s="92">
        <f t="shared" si="2"/>
        <v>1890</v>
      </c>
      <c r="J39" s="92">
        <v>135</v>
      </c>
      <c r="K39" s="92">
        <v>1890</v>
      </c>
      <c r="M39" s="92">
        <v>135</v>
      </c>
      <c r="N39" s="92">
        <v>1890</v>
      </c>
      <c r="P39" s="92">
        <v>135</v>
      </c>
      <c r="Q39" s="92">
        <v>1890</v>
      </c>
    </row>
    <row r="40" spans="1:78" x14ac:dyDescent="0.25">
      <c r="A40" s="54" t="s">
        <v>43</v>
      </c>
      <c r="B40" s="54">
        <v>2</v>
      </c>
      <c r="C40" s="20" t="s">
        <v>94</v>
      </c>
      <c r="D40" s="73" t="s">
        <v>95</v>
      </c>
      <c r="E40" s="55">
        <v>2</v>
      </c>
      <c r="F40" s="74">
        <v>135</v>
      </c>
      <c r="G40" s="92">
        <v>68</v>
      </c>
      <c r="H40" s="92">
        <f t="shared" si="2"/>
        <v>1890</v>
      </c>
      <c r="J40" s="92">
        <v>68</v>
      </c>
      <c r="K40" s="92">
        <v>1890</v>
      </c>
      <c r="M40" s="92">
        <v>68</v>
      </c>
      <c r="N40" s="92">
        <v>1890</v>
      </c>
      <c r="P40" s="92">
        <v>68</v>
      </c>
      <c r="Q40" s="92">
        <v>1890</v>
      </c>
    </row>
    <row r="41" spans="1:78" x14ac:dyDescent="0.25">
      <c r="A41" s="85"/>
      <c r="B41" s="85"/>
      <c r="C41" s="86" t="s">
        <v>572</v>
      </c>
      <c r="D41" s="95"/>
      <c r="E41" s="87"/>
      <c r="G41" s="62">
        <v>42</v>
      </c>
      <c r="H41" s="62">
        <v>84</v>
      </c>
      <c r="I41" s="87">
        <f>(G41+H41)/2</f>
        <v>63</v>
      </c>
      <c r="J41" s="62">
        <v>42</v>
      </c>
      <c r="K41" s="62">
        <v>84</v>
      </c>
      <c r="L41" s="87">
        <v>63</v>
      </c>
      <c r="M41" s="62">
        <v>35</v>
      </c>
      <c r="N41" s="62">
        <v>84</v>
      </c>
      <c r="O41" s="87">
        <f>(M41+N41)/2</f>
        <v>59.5</v>
      </c>
      <c r="P41" s="62">
        <v>28</v>
      </c>
      <c r="Q41" s="62">
        <v>56</v>
      </c>
      <c r="R41" s="87">
        <f>(P41+Q41)/2</f>
        <v>42</v>
      </c>
    </row>
    <row r="42" spans="1:78" s="85" customFormat="1" x14ac:dyDescent="0.25">
      <c r="C42" s="86" t="s">
        <v>569</v>
      </c>
      <c r="D42" s="95"/>
      <c r="E42" s="87"/>
      <c r="F42" s="74"/>
      <c r="G42" s="87">
        <f t="shared" ref="G42:R42" si="3">G41*65</f>
        <v>2730</v>
      </c>
      <c r="H42" s="87">
        <f t="shared" si="3"/>
        <v>5460</v>
      </c>
      <c r="I42" s="87">
        <f t="shared" si="3"/>
        <v>4095</v>
      </c>
      <c r="J42" s="87">
        <f t="shared" si="3"/>
        <v>2730</v>
      </c>
      <c r="K42" s="87">
        <f t="shared" si="3"/>
        <v>5460</v>
      </c>
      <c r="L42" s="87">
        <f t="shared" si="3"/>
        <v>4095</v>
      </c>
      <c r="M42" s="87">
        <f t="shared" si="3"/>
        <v>2275</v>
      </c>
      <c r="N42" s="87">
        <f t="shared" si="3"/>
        <v>5460</v>
      </c>
      <c r="O42" s="87">
        <f t="shared" si="3"/>
        <v>3867.5</v>
      </c>
      <c r="P42" s="87">
        <f t="shared" si="3"/>
        <v>1820</v>
      </c>
      <c r="Q42" s="87">
        <f t="shared" si="3"/>
        <v>3640</v>
      </c>
      <c r="R42" s="87">
        <f t="shared" si="3"/>
        <v>2730</v>
      </c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</row>
    <row r="43" spans="1:78" s="85" customFormat="1" x14ac:dyDescent="0.25">
      <c r="A43" s="20" t="s">
        <v>106</v>
      </c>
      <c r="B43" s="20">
        <v>3</v>
      </c>
      <c r="C43" s="20" t="s">
        <v>107</v>
      </c>
      <c r="D43" s="46" t="s">
        <v>108</v>
      </c>
      <c r="E43" s="73">
        <v>1</v>
      </c>
      <c r="F43" s="84">
        <v>65</v>
      </c>
      <c r="G43" s="93">
        <f>F43</f>
        <v>65</v>
      </c>
      <c r="H43" s="93">
        <f>G43*14</f>
        <v>910</v>
      </c>
      <c r="I43" s="84"/>
      <c r="J43" s="93">
        <v>65</v>
      </c>
      <c r="K43" s="93">
        <v>910</v>
      </c>
      <c r="L43" s="96"/>
      <c r="M43" s="93">
        <v>65</v>
      </c>
      <c r="N43" s="93">
        <v>760</v>
      </c>
      <c r="O43" s="96"/>
      <c r="P43" s="93">
        <v>65</v>
      </c>
      <c r="Q43" s="93">
        <v>607</v>
      </c>
      <c r="R43" s="96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</row>
    <row r="44" spans="1:78" s="20" customFormat="1" x14ac:dyDescent="0.25">
      <c r="A44" s="20" t="s">
        <v>106</v>
      </c>
      <c r="B44" s="20">
        <v>3</v>
      </c>
      <c r="C44" s="20" t="s">
        <v>109</v>
      </c>
      <c r="D44" s="73" t="s">
        <v>110</v>
      </c>
      <c r="E44" s="73">
        <v>1</v>
      </c>
      <c r="F44" s="84">
        <v>65</v>
      </c>
      <c r="G44" s="93">
        <v>65</v>
      </c>
      <c r="H44" s="93">
        <f>F44*14</f>
        <v>910</v>
      </c>
      <c r="I44" s="84"/>
      <c r="J44" s="93">
        <v>65</v>
      </c>
      <c r="K44" s="93">
        <v>910</v>
      </c>
      <c r="L44" s="84"/>
      <c r="M44" s="93">
        <v>65</v>
      </c>
      <c r="N44" s="93">
        <v>760</v>
      </c>
      <c r="O44" s="84"/>
      <c r="P44" s="93">
        <v>65</v>
      </c>
      <c r="Q44" s="93">
        <v>607</v>
      </c>
      <c r="R44" s="84"/>
    </row>
    <row r="45" spans="1:78" s="20" customFormat="1" x14ac:dyDescent="0.25">
      <c r="A45" s="20" t="s">
        <v>106</v>
      </c>
      <c r="B45" s="20">
        <v>3</v>
      </c>
      <c r="C45" s="20" t="s">
        <v>111</v>
      </c>
      <c r="D45" s="73" t="s">
        <v>112</v>
      </c>
      <c r="E45" s="73">
        <v>2</v>
      </c>
      <c r="F45" s="84">
        <v>65</v>
      </c>
      <c r="G45" s="93">
        <v>33</v>
      </c>
      <c r="H45" s="93">
        <v>910</v>
      </c>
      <c r="I45" s="84"/>
      <c r="J45" s="93">
        <v>33</v>
      </c>
      <c r="K45" s="93">
        <v>910</v>
      </c>
      <c r="L45" s="84"/>
      <c r="M45" s="93">
        <v>33</v>
      </c>
      <c r="N45" s="93">
        <v>760</v>
      </c>
      <c r="O45" s="84"/>
      <c r="P45" s="93">
        <v>33</v>
      </c>
      <c r="Q45" s="93">
        <v>607</v>
      </c>
      <c r="R45" s="84"/>
    </row>
    <row r="46" spans="1:78" s="20" customFormat="1" x14ac:dyDescent="0.25">
      <c r="A46" s="20" t="s">
        <v>106</v>
      </c>
      <c r="B46" s="20">
        <v>3</v>
      </c>
      <c r="C46" s="20" t="s">
        <v>117</v>
      </c>
      <c r="D46" s="73" t="s">
        <v>118</v>
      </c>
      <c r="E46" s="73">
        <v>1</v>
      </c>
      <c r="F46" s="84">
        <v>65</v>
      </c>
      <c r="G46" s="93">
        <v>65</v>
      </c>
      <c r="H46" s="93">
        <v>910</v>
      </c>
      <c r="I46" s="84"/>
      <c r="J46" s="93">
        <v>65</v>
      </c>
      <c r="K46" s="93">
        <v>910</v>
      </c>
      <c r="L46" s="84"/>
      <c r="M46" s="93">
        <v>65</v>
      </c>
      <c r="N46" s="93">
        <v>760</v>
      </c>
      <c r="O46" s="84"/>
      <c r="P46" s="93">
        <v>65</v>
      </c>
      <c r="Q46" s="93">
        <v>607</v>
      </c>
      <c r="R46" s="84"/>
    </row>
    <row r="47" spans="1:78" s="20" customFormat="1" x14ac:dyDescent="0.25">
      <c r="A47" s="20" t="s">
        <v>106</v>
      </c>
      <c r="B47" s="20">
        <v>3</v>
      </c>
      <c r="C47" s="20" t="str">
        <f>'common foods'!C64</f>
        <v>Muesli, toasted</v>
      </c>
      <c r="D47" s="73" t="s">
        <v>142</v>
      </c>
      <c r="E47" s="73">
        <v>2</v>
      </c>
      <c r="F47" s="84">
        <v>65</v>
      </c>
      <c r="G47" s="93">
        <v>33</v>
      </c>
      <c r="H47" s="93">
        <v>910</v>
      </c>
      <c r="I47" s="84"/>
      <c r="J47" s="93">
        <v>33</v>
      </c>
      <c r="K47" s="93">
        <v>910</v>
      </c>
      <c r="L47" s="84"/>
      <c r="M47" s="93">
        <v>33</v>
      </c>
      <c r="N47" s="93">
        <v>760</v>
      </c>
      <c r="O47" s="84"/>
      <c r="P47" s="93">
        <v>33</v>
      </c>
      <c r="Q47" s="93">
        <v>607</v>
      </c>
      <c r="R47" s="84"/>
    </row>
    <row r="48" spans="1:78" s="20" customFormat="1" x14ac:dyDescent="0.25">
      <c r="A48" s="20" t="s">
        <v>106</v>
      </c>
      <c r="B48" s="20">
        <v>3</v>
      </c>
      <c r="C48" s="20" t="s">
        <v>121</v>
      </c>
      <c r="D48" s="73" t="s">
        <v>122</v>
      </c>
      <c r="E48" s="73">
        <v>1</v>
      </c>
      <c r="F48" s="84">
        <v>65</v>
      </c>
      <c r="G48" s="93">
        <f>F48</f>
        <v>65</v>
      </c>
      <c r="H48" s="93">
        <v>910</v>
      </c>
      <c r="I48" s="84"/>
      <c r="J48" s="93">
        <v>65</v>
      </c>
      <c r="K48" s="93">
        <v>910</v>
      </c>
      <c r="L48" s="84"/>
      <c r="M48" s="93">
        <v>65</v>
      </c>
      <c r="N48" s="93">
        <v>760</v>
      </c>
      <c r="O48" s="84"/>
      <c r="P48" s="93">
        <v>65</v>
      </c>
      <c r="Q48" s="93">
        <v>607</v>
      </c>
      <c r="R48" s="84"/>
    </row>
    <row r="49" spans="1:78" s="20" customFormat="1" x14ac:dyDescent="0.25">
      <c r="A49" s="20" t="s">
        <v>106</v>
      </c>
      <c r="B49" s="20">
        <v>3</v>
      </c>
      <c r="C49" s="20" t="s">
        <v>123</v>
      </c>
      <c r="D49" s="73" t="s">
        <v>124</v>
      </c>
      <c r="E49" s="55">
        <v>1</v>
      </c>
      <c r="F49" s="74">
        <v>65</v>
      </c>
      <c r="G49" s="92">
        <f>F49</f>
        <v>65</v>
      </c>
      <c r="H49" s="92">
        <v>910</v>
      </c>
      <c r="I49" s="74"/>
      <c r="J49" s="92">
        <v>65</v>
      </c>
      <c r="K49" s="92">
        <v>910</v>
      </c>
      <c r="L49" s="74"/>
      <c r="M49" s="92">
        <v>65</v>
      </c>
      <c r="N49" s="93">
        <v>760</v>
      </c>
      <c r="O49" s="74"/>
      <c r="P49" s="92">
        <v>65</v>
      </c>
      <c r="Q49" s="93">
        <v>607</v>
      </c>
      <c r="R49" s="74"/>
    </row>
    <row r="50" spans="1:78" s="20" customFormat="1" x14ac:dyDescent="0.25">
      <c r="A50" s="20" t="s">
        <v>106</v>
      </c>
      <c r="B50" s="20">
        <v>3</v>
      </c>
      <c r="C50" s="97" t="s">
        <v>125</v>
      </c>
      <c r="D50" s="73" t="s">
        <v>126</v>
      </c>
      <c r="E50" s="55">
        <v>1</v>
      </c>
      <c r="F50" s="74">
        <v>65</v>
      </c>
      <c r="G50" s="92">
        <f>F50</f>
        <v>65</v>
      </c>
      <c r="H50" s="92">
        <v>910</v>
      </c>
      <c r="I50" s="74"/>
      <c r="J50" s="92">
        <v>65</v>
      </c>
      <c r="K50" s="92">
        <v>910</v>
      </c>
      <c r="L50" s="74"/>
      <c r="M50" s="92">
        <v>65</v>
      </c>
      <c r="N50" s="93">
        <v>760</v>
      </c>
      <c r="O50" s="74"/>
      <c r="P50" s="92">
        <v>65</v>
      </c>
      <c r="Q50" s="93">
        <v>607</v>
      </c>
      <c r="R50" s="74"/>
    </row>
    <row r="51" spans="1:78" s="20" customFormat="1" x14ac:dyDescent="0.25">
      <c r="A51" s="20" t="s">
        <v>106</v>
      </c>
      <c r="B51" s="20">
        <v>3</v>
      </c>
      <c r="C51" s="97" t="s">
        <v>127</v>
      </c>
      <c r="D51" s="73" t="s">
        <v>128</v>
      </c>
      <c r="E51" s="55">
        <v>3</v>
      </c>
      <c r="F51" s="74">
        <v>65</v>
      </c>
      <c r="G51" s="92">
        <v>33</v>
      </c>
      <c r="H51" s="92">
        <v>910</v>
      </c>
      <c r="I51" s="74"/>
      <c r="J51" s="92">
        <v>33</v>
      </c>
      <c r="K51" s="92">
        <v>910</v>
      </c>
      <c r="L51" s="74"/>
      <c r="M51" s="92">
        <v>33</v>
      </c>
      <c r="N51" s="92">
        <v>760</v>
      </c>
      <c r="O51" s="74"/>
      <c r="P51" s="92">
        <v>33</v>
      </c>
      <c r="Q51" s="92">
        <v>607</v>
      </c>
      <c r="R51" s="74"/>
    </row>
    <row r="52" spans="1:78" x14ac:dyDescent="0.25">
      <c r="A52" s="20" t="s">
        <v>106</v>
      </c>
      <c r="B52" s="20">
        <v>3</v>
      </c>
      <c r="C52" s="20" t="str">
        <f>'common foods'!C59</f>
        <v>Rice, long grain, white</v>
      </c>
      <c r="D52" s="73" t="s">
        <v>132</v>
      </c>
      <c r="E52" s="55">
        <v>1</v>
      </c>
      <c r="F52" s="74">
        <v>65</v>
      </c>
      <c r="G52" s="92">
        <f>F52</f>
        <v>65</v>
      </c>
      <c r="H52" s="92">
        <f>$F52*21</f>
        <v>1365</v>
      </c>
      <c r="J52" s="92">
        <v>65</v>
      </c>
      <c r="K52" s="92">
        <v>1365</v>
      </c>
      <c r="M52" s="92">
        <v>65</v>
      </c>
      <c r="N52" s="93">
        <v>1138</v>
      </c>
      <c r="P52" s="92">
        <v>65</v>
      </c>
      <c r="Q52" s="93">
        <v>910</v>
      </c>
    </row>
    <row r="53" spans="1:78" x14ac:dyDescent="0.25">
      <c r="A53" s="20" t="s">
        <v>106</v>
      </c>
      <c r="B53" s="20">
        <v>3</v>
      </c>
      <c r="C53" s="20" t="s">
        <v>133</v>
      </c>
      <c r="D53" s="73" t="s">
        <v>134</v>
      </c>
      <c r="E53" s="55">
        <v>2</v>
      </c>
      <c r="F53" s="74">
        <v>65</v>
      </c>
      <c r="G53" s="92">
        <f>$F53/2</f>
        <v>32.5</v>
      </c>
      <c r="H53" s="92">
        <v>910</v>
      </c>
      <c r="J53" s="92">
        <v>32.5</v>
      </c>
      <c r="K53" s="92">
        <v>910</v>
      </c>
      <c r="M53" s="92">
        <v>32.5</v>
      </c>
      <c r="N53" s="93">
        <v>760</v>
      </c>
      <c r="P53" s="92">
        <v>32.5</v>
      </c>
      <c r="Q53" s="93">
        <v>607</v>
      </c>
    </row>
    <row r="54" spans="1:78" x14ac:dyDescent="0.25">
      <c r="A54" s="20" t="s">
        <v>106</v>
      </c>
      <c r="B54" s="20">
        <v>3</v>
      </c>
      <c r="C54" s="20" t="str">
        <f>'common foods'!C65</f>
        <v>Spaghetti, canned, lite</v>
      </c>
      <c r="D54" s="73" t="s">
        <v>144</v>
      </c>
      <c r="E54" s="55">
        <v>2</v>
      </c>
      <c r="F54" s="74">
        <v>65</v>
      </c>
      <c r="G54" s="92">
        <f>$F54/2</f>
        <v>32.5</v>
      </c>
      <c r="H54" s="92">
        <f>$F54*14</f>
        <v>910</v>
      </c>
      <c r="J54" s="92">
        <v>32.5</v>
      </c>
      <c r="K54" s="92">
        <v>910</v>
      </c>
      <c r="M54" s="92">
        <v>32.5</v>
      </c>
      <c r="N54" s="93">
        <v>760</v>
      </c>
      <c r="P54" s="92">
        <v>32.5</v>
      </c>
      <c r="Q54" s="93">
        <v>607</v>
      </c>
    </row>
    <row r="55" spans="1:78" x14ac:dyDescent="0.25">
      <c r="A55" s="20" t="s">
        <v>106</v>
      </c>
      <c r="B55" s="20">
        <v>3</v>
      </c>
      <c r="C55" s="20" t="str">
        <f>'common foods'!C62</f>
        <v>Crackers, cabin bread</v>
      </c>
      <c r="D55" s="73" t="s">
        <v>138</v>
      </c>
      <c r="E55" s="55">
        <v>2</v>
      </c>
      <c r="F55" s="74">
        <v>65</v>
      </c>
      <c r="G55" s="92">
        <f>$F55/2</f>
        <v>32.5</v>
      </c>
      <c r="H55" s="92">
        <v>910</v>
      </c>
      <c r="J55" s="92">
        <v>32.5</v>
      </c>
      <c r="K55" s="92">
        <v>910</v>
      </c>
      <c r="M55" s="92">
        <v>32.5</v>
      </c>
      <c r="N55" s="93">
        <v>760</v>
      </c>
      <c r="P55" s="92">
        <v>32.5</v>
      </c>
      <c r="Q55" s="93">
        <v>607</v>
      </c>
    </row>
    <row r="56" spans="1:78" x14ac:dyDescent="0.25">
      <c r="A56" s="20" t="s">
        <v>106</v>
      </c>
      <c r="B56" s="20">
        <v>3</v>
      </c>
      <c r="C56" s="20" t="s">
        <v>139</v>
      </c>
      <c r="D56" s="73" t="s">
        <v>140</v>
      </c>
      <c r="E56" s="55">
        <v>2</v>
      </c>
      <c r="F56" s="74">
        <v>65</v>
      </c>
      <c r="G56" s="92">
        <f>$F56/2</f>
        <v>32.5</v>
      </c>
      <c r="H56" s="92">
        <f>$F56*14</f>
        <v>910</v>
      </c>
      <c r="J56" s="92">
        <v>32.5</v>
      </c>
      <c r="K56" s="92">
        <v>910</v>
      </c>
      <c r="M56" s="92">
        <v>32.5</v>
      </c>
      <c r="N56" s="93">
        <v>760</v>
      </c>
      <c r="P56" s="92">
        <v>32.5</v>
      </c>
      <c r="Q56" s="93">
        <v>607</v>
      </c>
    </row>
    <row r="57" spans="1:78" x14ac:dyDescent="0.25">
      <c r="A57" s="85"/>
      <c r="B57" s="85"/>
      <c r="C57" s="86" t="s">
        <v>573</v>
      </c>
      <c r="D57" s="87"/>
      <c r="E57" s="87"/>
      <c r="G57" s="62">
        <v>14</v>
      </c>
      <c r="H57" s="62">
        <v>28</v>
      </c>
      <c r="I57" s="98">
        <v>21</v>
      </c>
      <c r="J57" s="62">
        <v>14</v>
      </c>
      <c r="K57" s="62">
        <v>28</v>
      </c>
      <c r="L57" s="87">
        <v>21</v>
      </c>
      <c r="M57" s="62">
        <v>21</v>
      </c>
      <c r="N57" s="62">
        <v>35</v>
      </c>
      <c r="O57" s="87">
        <v>28</v>
      </c>
      <c r="P57" s="62">
        <v>14</v>
      </c>
      <c r="Q57" s="62">
        <v>28</v>
      </c>
      <c r="R57" s="87">
        <v>21</v>
      </c>
    </row>
    <row r="58" spans="1:78" s="85" customFormat="1" x14ac:dyDescent="0.25">
      <c r="C58" s="86" t="s">
        <v>569</v>
      </c>
      <c r="D58" s="87"/>
      <c r="E58" s="87"/>
      <c r="F58" s="99"/>
      <c r="G58" s="99"/>
      <c r="H58" s="99"/>
      <c r="I58" s="100"/>
      <c r="J58" s="99"/>
      <c r="K58" s="99"/>
      <c r="L58" s="99"/>
      <c r="M58" s="99"/>
      <c r="N58" s="99"/>
      <c r="O58" s="99"/>
      <c r="P58" s="99"/>
      <c r="Q58" s="99"/>
      <c r="R58" s="99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</row>
    <row r="59" spans="1:78" s="85" customFormat="1" x14ac:dyDescent="0.25">
      <c r="A59" s="20" t="s">
        <v>157</v>
      </c>
      <c r="B59" s="20">
        <v>4</v>
      </c>
      <c r="C59" s="20" t="s">
        <v>158</v>
      </c>
      <c r="D59" s="73" t="s">
        <v>159</v>
      </c>
      <c r="E59" s="73">
        <v>1</v>
      </c>
      <c r="F59" s="84">
        <v>40</v>
      </c>
      <c r="G59" s="90">
        <v>40</v>
      </c>
      <c r="H59" s="90">
        <f>G59*14</f>
        <v>560</v>
      </c>
      <c r="I59" s="101"/>
      <c r="J59" s="90">
        <v>40</v>
      </c>
      <c r="K59" s="90">
        <v>560</v>
      </c>
      <c r="L59" s="84"/>
      <c r="M59" s="90">
        <v>40</v>
      </c>
      <c r="N59" s="90">
        <f>F59*21</f>
        <v>840</v>
      </c>
      <c r="O59" s="84"/>
      <c r="P59" s="90">
        <v>40</v>
      </c>
      <c r="Q59" s="90">
        <v>560</v>
      </c>
      <c r="R59" s="8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</row>
    <row r="60" spans="1:78" s="20" customFormat="1" x14ac:dyDescent="0.25">
      <c r="A60" s="20" t="s">
        <v>157</v>
      </c>
      <c r="B60" s="20">
        <v>4</v>
      </c>
      <c r="C60" s="20" t="s">
        <v>160</v>
      </c>
      <c r="D60" s="73" t="s">
        <v>161</v>
      </c>
      <c r="E60" s="73">
        <v>2</v>
      </c>
      <c r="F60" s="84">
        <v>40</v>
      </c>
      <c r="G60" s="90">
        <v>20</v>
      </c>
      <c r="H60" s="90">
        <f>F60*14/2</f>
        <v>280</v>
      </c>
      <c r="I60" s="84"/>
      <c r="J60" s="90">
        <v>20</v>
      </c>
      <c r="K60" s="90">
        <v>280</v>
      </c>
      <c r="L60" s="84"/>
      <c r="M60" s="102">
        <v>0</v>
      </c>
      <c r="N60" s="102">
        <v>0</v>
      </c>
      <c r="O60" s="103"/>
      <c r="P60" s="102">
        <v>0</v>
      </c>
      <c r="Q60" s="102">
        <v>0</v>
      </c>
      <c r="R60" s="103"/>
    </row>
    <row r="61" spans="1:78" s="20" customFormat="1" x14ac:dyDescent="0.25">
      <c r="A61" s="20" t="s">
        <v>157</v>
      </c>
      <c r="B61" s="20">
        <v>4</v>
      </c>
      <c r="C61" s="20" t="s">
        <v>162</v>
      </c>
      <c r="D61" s="73" t="s">
        <v>163</v>
      </c>
      <c r="E61" s="73">
        <v>1</v>
      </c>
      <c r="F61" s="84">
        <v>270</v>
      </c>
      <c r="G61" s="90">
        <v>270</v>
      </c>
      <c r="H61" s="90">
        <f>F61*14</f>
        <v>3780</v>
      </c>
      <c r="I61" s="84"/>
      <c r="J61" s="90">
        <v>270</v>
      </c>
      <c r="K61" s="90">
        <v>3780</v>
      </c>
      <c r="L61" s="84"/>
      <c r="M61" s="90">
        <v>270</v>
      </c>
      <c r="N61" s="90">
        <f>F61*M57</f>
        <v>5670</v>
      </c>
      <c r="O61" s="103"/>
      <c r="P61" s="90">
        <v>270</v>
      </c>
      <c r="Q61" s="90">
        <v>3780</v>
      </c>
      <c r="R61" s="103"/>
    </row>
    <row r="62" spans="1:78" s="20" customFormat="1" x14ac:dyDescent="0.25">
      <c r="A62" s="20" t="s">
        <v>157</v>
      </c>
      <c r="B62" s="20">
        <v>4</v>
      </c>
      <c r="C62" s="20" t="s">
        <v>165</v>
      </c>
      <c r="D62" s="73" t="s">
        <v>166</v>
      </c>
      <c r="E62" s="73">
        <v>1</v>
      </c>
      <c r="F62" s="84">
        <v>270</v>
      </c>
      <c r="G62" s="90">
        <v>270</v>
      </c>
      <c r="H62" s="90">
        <f>F62*14</f>
        <v>3780</v>
      </c>
      <c r="I62" s="84"/>
      <c r="J62" s="90">
        <v>270</v>
      </c>
      <c r="K62" s="90">
        <v>3780</v>
      </c>
      <c r="L62" s="84"/>
      <c r="M62" s="90">
        <v>270</v>
      </c>
      <c r="N62" s="90">
        <f>F62*M57</f>
        <v>5670</v>
      </c>
      <c r="O62" s="104"/>
      <c r="P62" s="90">
        <v>270</v>
      </c>
      <c r="Q62" s="90">
        <v>3780</v>
      </c>
      <c r="R62" s="104"/>
    </row>
    <row r="63" spans="1:78" s="20" customFormat="1" x14ac:dyDescent="0.25">
      <c r="A63" s="20" t="s">
        <v>157</v>
      </c>
      <c r="B63" s="20">
        <v>4</v>
      </c>
      <c r="C63" s="20" t="s">
        <v>173</v>
      </c>
      <c r="D63" s="73" t="s">
        <v>174</v>
      </c>
      <c r="E63" s="73">
        <v>3</v>
      </c>
      <c r="F63" s="84">
        <v>150</v>
      </c>
      <c r="G63" s="90">
        <f>$F63/2</f>
        <v>75</v>
      </c>
      <c r="H63" s="90">
        <f>F63*14/2</f>
        <v>1050</v>
      </c>
      <c r="I63" s="84"/>
      <c r="J63" s="90">
        <f>$F63/2</f>
        <v>75</v>
      </c>
      <c r="K63" s="90">
        <v>1050</v>
      </c>
      <c r="L63" s="84"/>
      <c r="M63" s="90">
        <v>75</v>
      </c>
      <c r="N63" s="90">
        <f>F63*21/2</f>
        <v>1575</v>
      </c>
      <c r="O63" s="84"/>
      <c r="P63" s="90">
        <v>75</v>
      </c>
      <c r="Q63" s="90">
        <v>1050</v>
      </c>
      <c r="R63" s="84"/>
    </row>
    <row r="64" spans="1:78" s="20" customFormat="1" x14ac:dyDescent="0.25">
      <c r="A64" s="105"/>
      <c r="B64" s="105"/>
      <c r="C64" s="105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84"/>
      <c r="P64" s="106"/>
      <c r="Q64" s="106"/>
      <c r="R64" s="106"/>
    </row>
    <row r="65" spans="1:78" s="20" customFormat="1" ht="31.5" x14ac:dyDescent="0.25">
      <c r="A65" s="85"/>
      <c r="B65" s="85"/>
      <c r="C65" s="107" t="s">
        <v>574</v>
      </c>
      <c r="D65" s="87"/>
      <c r="E65" s="87"/>
      <c r="F65" s="74"/>
      <c r="G65" s="62">
        <v>14</v>
      </c>
      <c r="H65" s="62">
        <v>28</v>
      </c>
      <c r="I65" s="74">
        <v>21</v>
      </c>
      <c r="J65" s="62">
        <v>14</v>
      </c>
      <c r="K65" s="62">
        <v>28</v>
      </c>
      <c r="L65" s="74">
        <v>21</v>
      </c>
      <c r="M65" s="62">
        <v>14</v>
      </c>
      <c r="N65" s="62">
        <v>28</v>
      </c>
      <c r="O65" s="74">
        <v>21</v>
      </c>
      <c r="P65" s="62">
        <v>7</v>
      </c>
      <c r="Q65" s="62">
        <v>21</v>
      </c>
      <c r="R65" s="74">
        <v>14</v>
      </c>
    </row>
    <row r="66" spans="1:78" s="20" customFormat="1" x14ac:dyDescent="0.25">
      <c r="A66" s="54" t="s">
        <v>230</v>
      </c>
      <c r="B66" s="54">
        <v>5</v>
      </c>
      <c r="C66" s="20" t="s">
        <v>188</v>
      </c>
      <c r="D66" s="73" t="s">
        <v>189</v>
      </c>
      <c r="E66" s="55">
        <v>1</v>
      </c>
      <c r="F66" s="74">
        <v>50</v>
      </c>
      <c r="G66" s="92">
        <v>50</v>
      </c>
      <c r="H66" s="92">
        <f>F66*14</f>
        <v>700</v>
      </c>
      <c r="I66" s="91"/>
      <c r="J66" s="92">
        <v>50</v>
      </c>
      <c r="K66" s="92">
        <v>700</v>
      </c>
      <c r="L66" s="74"/>
      <c r="M66" s="92">
        <v>50</v>
      </c>
      <c r="N66" s="92">
        <v>700</v>
      </c>
      <c r="O66" s="74"/>
      <c r="P66" s="92">
        <v>25</v>
      </c>
      <c r="Q66" s="92">
        <v>350</v>
      </c>
      <c r="R66" s="74"/>
    </row>
    <row r="67" spans="1:78" s="105" customFormat="1" x14ac:dyDescent="0.25">
      <c r="A67" s="54" t="s">
        <v>230</v>
      </c>
      <c r="B67" s="54">
        <v>5</v>
      </c>
      <c r="C67" s="79" t="s">
        <v>190</v>
      </c>
      <c r="D67" s="108" t="s">
        <v>191</v>
      </c>
      <c r="E67" s="55">
        <v>2</v>
      </c>
      <c r="F67" s="74">
        <v>100</v>
      </c>
      <c r="G67" s="109">
        <v>0</v>
      </c>
      <c r="H67" s="92">
        <v>700</v>
      </c>
      <c r="I67" s="91"/>
      <c r="J67" s="109">
        <v>0</v>
      </c>
      <c r="K67" s="92">
        <v>700</v>
      </c>
      <c r="L67" s="74"/>
      <c r="M67" s="109">
        <v>0</v>
      </c>
      <c r="N67" s="92">
        <v>700</v>
      </c>
      <c r="O67" s="74"/>
      <c r="P67" s="109">
        <v>0</v>
      </c>
      <c r="Q67" s="92">
        <v>350</v>
      </c>
      <c r="R67" s="74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</row>
    <row r="68" spans="1:78" s="85" customFormat="1" x14ac:dyDescent="0.25">
      <c r="A68" s="54" t="s">
        <v>230</v>
      </c>
      <c r="B68" s="54">
        <v>5</v>
      </c>
      <c r="C68" s="79" t="s">
        <v>194</v>
      </c>
      <c r="D68" s="108" t="s">
        <v>195</v>
      </c>
      <c r="E68" s="55">
        <v>3</v>
      </c>
      <c r="F68" s="74">
        <v>100</v>
      </c>
      <c r="G68" s="109">
        <v>0</v>
      </c>
      <c r="H68" s="92">
        <v>700</v>
      </c>
      <c r="I68" s="91"/>
      <c r="J68" s="109">
        <v>0</v>
      </c>
      <c r="K68" s="92">
        <v>700</v>
      </c>
      <c r="L68" s="74"/>
      <c r="M68" s="109">
        <v>0</v>
      </c>
      <c r="N68" s="92">
        <v>700</v>
      </c>
      <c r="O68" s="74"/>
      <c r="P68" s="109">
        <v>0</v>
      </c>
      <c r="Q68" s="92">
        <v>350</v>
      </c>
      <c r="R68" s="7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</row>
    <row r="69" spans="1:78" x14ac:dyDescent="0.25">
      <c r="A69" s="54" t="s">
        <v>230</v>
      </c>
      <c r="B69" s="54">
        <v>5</v>
      </c>
      <c r="C69" s="20" t="s">
        <v>206</v>
      </c>
      <c r="D69" s="73" t="s">
        <v>207</v>
      </c>
      <c r="E69" s="55">
        <v>3</v>
      </c>
      <c r="F69" s="74">
        <v>100</v>
      </c>
      <c r="G69" s="92">
        <v>50</v>
      </c>
      <c r="H69" s="92">
        <v>700</v>
      </c>
      <c r="I69" s="91"/>
      <c r="J69" s="92">
        <v>50</v>
      </c>
      <c r="K69" s="92">
        <v>700</v>
      </c>
      <c r="M69" s="92">
        <v>50</v>
      </c>
      <c r="N69" s="92">
        <v>700</v>
      </c>
      <c r="P69" s="92">
        <v>50</v>
      </c>
      <c r="Q69" s="92">
        <v>350</v>
      </c>
      <c r="T69" s="83"/>
      <c r="U69" s="110"/>
    </row>
    <row r="70" spans="1:78" x14ac:dyDescent="0.25">
      <c r="A70" s="54" t="s">
        <v>230</v>
      </c>
      <c r="B70" s="54">
        <v>5</v>
      </c>
      <c r="C70" s="20" t="s">
        <v>208</v>
      </c>
      <c r="D70" s="73" t="s">
        <v>209</v>
      </c>
      <c r="E70" s="55">
        <v>2</v>
      </c>
      <c r="F70" s="74">
        <v>100</v>
      </c>
      <c r="G70" s="92">
        <v>50</v>
      </c>
      <c r="H70" s="92">
        <v>700</v>
      </c>
      <c r="I70" s="91"/>
      <c r="J70" s="92">
        <v>50</v>
      </c>
      <c r="K70" s="92">
        <v>700</v>
      </c>
      <c r="M70" s="92">
        <v>50</v>
      </c>
      <c r="N70" s="92">
        <v>700</v>
      </c>
      <c r="P70" s="92">
        <v>50</v>
      </c>
      <c r="Q70" s="92">
        <v>350</v>
      </c>
      <c r="U70" s="110"/>
    </row>
    <row r="71" spans="1:78" x14ac:dyDescent="0.25">
      <c r="A71" s="54" t="s">
        <v>230</v>
      </c>
      <c r="B71" s="54">
        <v>5</v>
      </c>
      <c r="C71" s="79" t="str">
        <f>'common foods'!C97</f>
        <v>Lamb shoulder chops</v>
      </c>
      <c r="D71" s="108" t="s">
        <v>211</v>
      </c>
      <c r="E71" s="55">
        <v>2</v>
      </c>
      <c r="F71" s="74">
        <v>100</v>
      </c>
      <c r="G71" s="109">
        <v>0</v>
      </c>
      <c r="H71" s="92">
        <v>700</v>
      </c>
      <c r="I71" s="91"/>
      <c r="J71" s="109">
        <v>0</v>
      </c>
      <c r="K71" s="92">
        <v>700</v>
      </c>
      <c r="M71" s="109">
        <v>0</v>
      </c>
      <c r="N71" s="92">
        <v>700</v>
      </c>
      <c r="P71" s="109">
        <v>0</v>
      </c>
      <c r="Q71" s="92">
        <v>350</v>
      </c>
      <c r="U71" s="110"/>
    </row>
    <row r="72" spans="1:78" x14ac:dyDescent="0.25">
      <c r="A72" s="54" t="s">
        <v>230</v>
      </c>
      <c r="B72" s="54">
        <v>5</v>
      </c>
      <c r="C72" s="79" t="s">
        <v>214</v>
      </c>
      <c r="D72" s="108" t="s">
        <v>215</v>
      </c>
      <c r="E72" s="55">
        <v>1</v>
      </c>
      <c r="F72" s="74">
        <v>100</v>
      </c>
      <c r="G72" s="109">
        <v>0</v>
      </c>
      <c r="H72" s="92">
        <v>700</v>
      </c>
      <c r="I72" s="91"/>
      <c r="J72" s="109">
        <v>0</v>
      </c>
      <c r="K72" s="92">
        <v>700</v>
      </c>
      <c r="M72" s="109">
        <v>0</v>
      </c>
      <c r="N72" s="92">
        <v>700</v>
      </c>
      <c r="P72" s="109">
        <v>0</v>
      </c>
      <c r="Q72" s="92">
        <v>350</v>
      </c>
      <c r="U72" s="110"/>
    </row>
    <row r="73" spans="1:78" x14ac:dyDescent="0.25">
      <c r="A73" s="54" t="s">
        <v>230</v>
      </c>
      <c r="B73" s="54">
        <v>5</v>
      </c>
      <c r="C73" s="20" t="str">
        <f>'common foods'!C102</f>
        <v>Fish fillets, fresh</v>
      </c>
      <c r="D73" s="73" t="s">
        <v>221</v>
      </c>
      <c r="E73" s="55">
        <v>1</v>
      </c>
      <c r="F73" s="74">
        <v>100</v>
      </c>
      <c r="G73" s="92">
        <v>100</v>
      </c>
      <c r="H73" s="92">
        <v>1400</v>
      </c>
      <c r="I73" s="91"/>
      <c r="J73" s="92">
        <v>100</v>
      </c>
      <c r="K73" s="92">
        <v>1400</v>
      </c>
      <c r="M73" s="92">
        <v>100</v>
      </c>
      <c r="N73" s="92">
        <v>1400</v>
      </c>
      <c r="P73" s="92">
        <v>50</v>
      </c>
      <c r="Q73" s="92">
        <v>700</v>
      </c>
      <c r="U73" s="110"/>
    </row>
    <row r="74" spans="1:78" x14ac:dyDescent="0.25">
      <c r="A74" s="54" t="s">
        <v>230</v>
      </c>
      <c r="B74" s="54">
        <v>5</v>
      </c>
      <c r="C74" s="20" t="str">
        <f>'common foods'!C113</f>
        <v>Tuna, canned in water</v>
      </c>
      <c r="D74" s="73" t="str">
        <f>'common foods'!D113</f>
        <v>05091</v>
      </c>
      <c r="E74" s="55">
        <v>1</v>
      </c>
      <c r="F74" s="74">
        <v>100</v>
      </c>
      <c r="G74" s="92">
        <v>100</v>
      </c>
      <c r="H74" s="92">
        <f>$F74*14</f>
        <v>1400</v>
      </c>
      <c r="I74" s="91"/>
      <c r="J74" s="92">
        <v>100</v>
      </c>
      <c r="K74" s="92">
        <v>1400</v>
      </c>
      <c r="M74" s="92">
        <v>100</v>
      </c>
      <c r="N74" s="92">
        <v>1400</v>
      </c>
      <c r="P74" s="92">
        <v>50</v>
      </c>
      <c r="Q74" s="92">
        <v>700</v>
      </c>
      <c r="U74" s="110"/>
    </row>
    <row r="75" spans="1:78" x14ac:dyDescent="0.25">
      <c r="A75" s="54" t="s">
        <v>230</v>
      </c>
      <c r="B75" s="54">
        <v>5</v>
      </c>
      <c r="C75" s="20" t="str">
        <f>'common foods'!C103</f>
        <v>Fish fillets, frozen</v>
      </c>
      <c r="D75" s="73" t="s">
        <v>223</v>
      </c>
      <c r="E75" s="55">
        <v>1</v>
      </c>
      <c r="F75" s="74">
        <v>100</v>
      </c>
      <c r="G75" s="92">
        <v>100</v>
      </c>
      <c r="H75" s="92">
        <f>$F75*14</f>
        <v>1400</v>
      </c>
      <c r="I75" s="91"/>
      <c r="J75" s="92">
        <v>100</v>
      </c>
      <c r="K75" s="92">
        <v>1400</v>
      </c>
      <c r="M75" s="92">
        <v>100</v>
      </c>
      <c r="N75" s="92">
        <v>1400</v>
      </c>
      <c r="P75" s="92">
        <v>50</v>
      </c>
      <c r="Q75" s="92">
        <v>700</v>
      </c>
    </row>
    <row r="76" spans="1:78" x14ac:dyDescent="0.25">
      <c r="A76" s="54" t="s">
        <v>230</v>
      </c>
      <c r="B76" s="54">
        <v>5</v>
      </c>
      <c r="C76" s="20" t="s">
        <v>224</v>
      </c>
      <c r="D76" s="73" t="s">
        <v>225</v>
      </c>
      <c r="E76" s="55">
        <v>1</v>
      </c>
      <c r="F76" s="74">
        <v>50</v>
      </c>
      <c r="G76" s="92">
        <v>50</v>
      </c>
      <c r="H76" s="92">
        <v>700</v>
      </c>
      <c r="I76" s="91"/>
      <c r="J76" s="92">
        <v>50</v>
      </c>
      <c r="K76" s="92">
        <v>700</v>
      </c>
      <c r="M76" s="92">
        <v>50</v>
      </c>
      <c r="N76" s="92">
        <v>700</v>
      </c>
      <c r="P76" s="92">
        <v>25</v>
      </c>
      <c r="Q76" s="92">
        <v>350</v>
      </c>
    </row>
    <row r="77" spans="1:78" x14ac:dyDescent="0.25">
      <c r="A77" s="54" t="s">
        <v>230</v>
      </c>
      <c r="B77" s="54">
        <v>5</v>
      </c>
      <c r="C77" s="20" t="s">
        <v>226</v>
      </c>
      <c r="D77" s="73" t="s">
        <v>227</v>
      </c>
      <c r="E77" s="55">
        <v>3</v>
      </c>
      <c r="F77" s="74">
        <v>50</v>
      </c>
      <c r="G77" s="92">
        <f>$F77/2</f>
        <v>25</v>
      </c>
      <c r="H77" s="92">
        <f>F77*G65/2</f>
        <v>350</v>
      </c>
      <c r="I77" s="91"/>
      <c r="J77" s="92">
        <v>25</v>
      </c>
      <c r="K77" s="92">
        <v>350</v>
      </c>
      <c r="M77" s="92">
        <v>25</v>
      </c>
      <c r="N77" s="92">
        <v>350</v>
      </c>
      <c r="P77" s="92">
        <v>25</v>
      </c>
      <c r="Q77" s="92">
        <v>175</v>
      </c>
    </row>
    <row r="78" spans="1:78" x14ac:dyDescent="0.25">
      <c r="A78" s="54" t="s">
        <v>230</v>
      </c>
      <c r="B78" s="54">
        <v>5</v>
      </c>
      <c r="C78" s="20" t="str">
        <f>'common foods'!C107</f>
        <v>Chickpeas, canned</v>
      </c>
      <c r="D78" s="73" t="s">
        <v>232</v>
      </c>
      <c r="E78" s="55">
        <v>2</v>
      </c>
      <c r="F78" s="74">
        <v>135</v>
      </c>
      <c r="G78" s="92">
        <v>68</v>
      </c>
      <c r="H78" s="92">
        <v>945</v>
      </c>
      <c r="I78" s="91"/>
      <c r="J78" s="92">
        <v>68</v>
      </c>
      <c r="K78" s="92">
        <v>945</v>
      </c>
      <c r="M78" s="92">
        <v>68</v>
      </c>
      <c r="N78" s="92">
        <v>945</v>
      </c>
      <c r="P78" s="92">
        <v>68</v>
      </c>
      <c r="Q78" s="92">
        <v>945</v>
      </c>
    </row>
    <row r="79" spans="1:78" x14ac:dyDescent="0.25">
      <c r="A79" s="54" t="s">
        <v>230</v>
      </c>
      <c r="B79" s="54">
        <v>5</v>
      </c>
      <c r="C79" s="20" t="str">
        <f>'common foods'!C110</f>
        <v>Baked Beans 50% less sugar</v>
      </c>
      <c r="D79" s="73" t="str">
        <f>'common foods'!D110</f>
        <v>05088</v>
      </c>
      <c r="E79" s="55">
        <v>1</v>
      </c>
      <c r="F79" s="74">
        <v>135</v>
      </c>
      <c r="G79" s="92">
        <v>135</v>
      </c>
      <c r="H79" s="92">
        <v>1350</v>
      </c>
      <c r="I79" s="91"/>
      <c r="J79" s="92">
        <v>135</v>
      </c>
      <c r="K79" s="92">
        <v>1350</v>
      </c>
      <c r="M79" s="92">
        <v>135</v>
      </c>
      <c r="N79" s="92">
        <v>1350</v>
      </c>
      <c r="P79" s="92">
        <v>68</v>
      </c>
      <c r="Q79" s="92">
        <v>680</v>
      </c>
    </row>
    <row r="80" spans="1:78" x14ac:dyDescent="0.25">
      <c r="A80" s="54" t="s">
        <v>230</v>
      </c>
      <c r="B80" s="54">
        <v>5</v>
      </c>
      <c r="C80" s="79" t="s">
        <v>198</v>
      </c>
      <c r="D80" s="108" t="s">
        <v>199</v>
      </c>
      <c r="E80" s="55">
        <v>1</v>
      </c>
      <c r="F80" s="74">
        <v>100</v>
      </c>
      <c r="G80" s="109">
        <v>0</v>
      </c>
      <c r="H80" s="92">
        <v>700</v>
      </c>
      <c r="I80" s="91"/>
      <c r="J80" s="109">
        <v>0</v>
      </c>
      <c r="K80" s="92">
        <v>700</v>
      </c>
      <c r="M80" s="109">
        <v>0</v>
      </c>
      <c r="N80" s="92">
        <v>700</v>
      </c>
      <c r="P80" s="109">
        <v>0</v>
      </c>
      <c r="Q80" s="92">
        <v>350</v>
      </c>
    </row>
    <row r="81" spans="1:78" x14ac:dyDescent="0.25">
      <c r="A81" s="111"/>
      <c r="B81" s="111"/>
      <c r="C81" s="112"/>
      <c r="D81" s="113"/>
      <c r="E81" s="99"/>
      <c r="F81" s="99"/>
      <c r="G81" s="114"/>
      <c r="H81" s="114"/>
      <c r="I81" s="113"/>
      <c r="J81" s="114"/>
      <c r="K81" s="114"/>
      <c r="L81" s="99"/>
      <c r="M81" s="114"/>
      <c r="N81" s="114"/>
      <c r="O81" s="99"/>
      <c r="P81" s="114"/>
      <c r="Q81" s="114"/>
      <c r="R81" s="99"/>
    </row>
    <row r="82" spans="1:78" x14ac:dyDescent="0.25">
      <c r="A82" s="85"/>
      <c r="B82" s="85"/>
      <c r="C82" s="86" t="s">
        <v>575</v>
      </c>
      <c r="D82" s="87"/>
      <c r="E82" s="87"/>
      <c r="G82" s="62">
        <v>45</v>
      </c>
      <c r="H82" s="62">
        <v>500</v>
      </c>
      <c r="I82" s="74">
        <v>250</v>
      </c>
      <c r="J82" s="62">
        <v>45</v>
      </c>
      <c r="K82" s="62">
        <v>350</v>
      </c>
      <c r="L82" s="87">
        <v>175</v>
      </c>
      <c r="M82" s="62">
        <v>45</v>
      </c>
      <c r="N82" s="62">
        <v>500</v>
      </c>
      <c r="O82" s="87">
        <v>250</v>
      </c>
      <c r="P82" s="62">
        <v>45</v>
      </c>
      <c r="Q82" s="62">
        <v>210</v>
      </c>
      <c r="R82" s="87">
        <v>105</v>
      </c>
    </row>
    <row r="83" spans="1:78" x14ac:dyDescent="0.25">
      <c r="A83" s="54" t="s">
        <v>265</v>
      </c>
      <c r="B83" s="54">
        <v>6</v>
      </c>
      <c r="C83" s="20" t="s">
        <v>268</v>
      </c>
      <c r="D83" s="73" t="s">
        <v>269</v>
      </c>
      <c r="E83" s="55">
        <v>1</v>
      </c>
      <c r="F83" s="74">
        <v>15</v>
      </c>
      <c r="G83" s="92">
        <f>$F83</f>
        <v>15</v>
      </c>
      <c r="H83" s="92">
        <f>$F83*28</f>
        <v>420</v>
      </c>
      <c r="I83" s="91"/>
      <c r="J83" s="92">
        <v>15</v>
      </c>
      <c r="K83" s="92">
        <v>420</v>
      </c>
      <c r="M83" s="92">
        <v>15</v>
      </c>
      <c r="N83" s="92">
        <v>420</v>
      </c>
      <c r="O83" s="89"/>
      <c r="P83" s="92">
        <v>15</v>
      </c>
      <c r="Q83" s="92">
        <v>420</v>
      </c>
    </row>
    <row r="84" spans="1:78" x14ac:dyDescent="0.25">
      <c r="A84" s="54" t="s">
        <v>265</v>
      </c>
      <c r="B84" s="54">
        <v>6</v>
      </c>
      <c r="C84" s="20" t="s">
        <v>270</v>
      </c>
      <c r="D84" s="73" t="s">
        <v>271</v>
      </c>
      <c r="E84" s="55">
        <v>2</v>
      </c>
      <c r="F84" s="74">
        <v>10</v>
      </c>
      <c r="G84" s="92">
        <v>10</v>
      </c>
      <c r="H84" s="92">
        <f>$F84*7</f>
        <v>70</v>
      </c>
      <c r="I84" s="91"/>
      <c r="J84" s="92">
        <v>10</v>
      </c>
      <c r="K84" s="92">
        <v>70</v>
      </c>
      <c r="M84" s="92">
        <v>10</v>
      </c>
      <c r="N84" s="92">
        <v>70</v>
      </c>
      <c r="O84" s="89"/>
      <c r="P84" s="92">
        <v>10</v>
      </c>
      <c r="Q84" s="92">
        <v>70</v>
      </c>
    </row>
    <row r="85" spans="1:78" s="111" customFormat="1" x14ac:dyDescent="0.25">
      <c r="A85" s="54" t="s">
        <v>265</v>
      </c>
      <c r="B85" s="54">
        <v>6</v>
      </c>
      <c r="C85" s="20" t="s">
        <v>272</v>
      </c>
      <c r="D85" s="73" t="s">
        <v>273</v>
      </c>
      <c r="E85" s="55">
        <v>1</v>
      </c>
      <c r="F85" s="74">
        <v>10</v>
      </c>
      <c r="G85" s="92">
        <v>10</v>
      </c>
      <c r="H85" s="92">
        <v>70</v>
      </c>
      <c r="I85" s="91"/>
      <c r="J85" s="92">
        <v>10</v>
      </c>
      <c r="K85" s="92">
        <v>70</v>
      </c>
      <c r="L85" s="74"/>
      <c r="M85" s="92">
        <v>10</v>
      </c>
      <c r="N85" s="92">
        <v>70</v>
      </c>
      <c r="O85" s="89"/>
      <c r="P85" s="92">
        <v>10</v>
      </c>
      <c r="Q85" s="92">
        <v>70</v>
      </c>
      <c r="R85" s="7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</row>
    <row r="86" spans="1:78" s="85" customFormat="1" x14ac:dyDescent="0.25">
      <c r="A86" s="54" t="s">
        <v>265</v>
      </c>
      <c r="B86" s="54">
        <v>6</v>
      </c>
      <c r="C86" s="20" t="str">
        <f>'common foods'!C129</f>
        <v>coconut cream lite</v>
      </c>
      <c r="D86" s="73" t="s">
        <v>277</v>
      </c>
      <c r="E86" s="55">
        <v>1</v>
      </c>
      <c r="F86" s="74">
        <v>10</v>
      </c>
      <c r="G86" s="92">
        <v>10</v>
      </c>
      <c r="H86" s="92">
        <v>70</v>
      </c>
      <c r="I86" s="91"/>
      <c r="J86" s="92">
        <v>10</v>
      </c>
      <c r="K86" s="92">
        <v>70</v>
      </c>
      <c r="L86" s="74"/>
      <c r="M86" s="92">
        <v>10</v>
      </c>
      <c r="N86" s="92">
        <v>70</v>
      </c>
      <c r="O86" s="94"/>
      <c r="P86" s="92">
        <v>10</v>
      </c>
      <c r="Q86" s="92">
        <v>70</v>
      </c>
      <c r="R86" s="7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</row>
    <row r="87" spans="1:78" x14ac:dyDescent="0.25">
      <c r="A87" s="111"/>
      <c r="B87" s="111"/>
      <c r="C87" s="105" t="s">
        <v>576</v>
      </c>
      <c r="D87" s="106"/>
      <c r="E87" s="99"/>
      <c r="F87" s="99"/>
      <c r="G87" s="114"/>
      <c r="H87" s="114"/>
      <c r="I87" s="113"/>
      <c r="J87" s="114"/>
      <c r="K87" s="114"/>
      <c r="L87" s="99"/>
      <c r="M87" s="114"/>
      <c r="N87" s="114"/>
      <c r="O87" s="115"/>
      <c r="P87" s="114"/>
      <c r="Q87" s="114"/>
      <c r="R87" s="99"/>
    </row>
    <row r="88" spans="1:78" x14ac:dyDescent="0.25">
      <c r="A88" s="54" t="s">
        <v>278</v>
      </c>
      <c r="B88" s="54">
        <v>7</v>
      </c>
      <c r="C88" s="20" t="s">
        <v>312</v>
      </c>
      <c r="D88" s="73" t="s">
        <v>313</v>
      </c>
      <c r="E88" s="73">
        <v>2</v>
      </c>
      <c r="F88" s="84">
        <v>50</v>
      </c>
      <c r="G88" s="62">
        <f t="shared" ref="G88:G108" si="4">F88/2</f>
        <v>25</v>
      </c>
      <c r="H88" s="62">
        <f t="shared" ref="H88:H108" si="5">F88*14</f>
        <v>700</v>
      </c>
      <c r="J88" s="62">
        <v>25</v>
      </c>
      <c r="K88" s="62">
        <v>700</v>
      </c>
      <c r="M88" s="62">
        <v>25</v>
      </c>
      <c r="N88" s="62">
        <v>700</v>
      </c>
      <c r="P88" s="62">
        <v>25</v>
      </c>
      <c r="Q88" s="62">
        <v>700</v>
      </c>
      <c r="R88" s="55"/>
    </row>
    <row r="89" spans="1:78" x14ac:dyDescent="0.25">
      <c r="A89" s="54" t="s">
        <v>278</v>
      </c>
      <c r="B89" s="54">
        <v>7</v>
      </c>
      <c r="C89" s="20" t="s">
        <v>314</v>
      </c>
      <c r="D89" s="73" t="s">
        <v>315</v>
      </c>
      <c r="E89" s="73">
        <v>2</v>
      </c>
      <c r="F89" s="84">
        <v>50</v>
      </c>
      <c r="G89" s="62">
        <f t="shared" si="4"/>
        <v>25</v>
      </c>
      <c r="H89" s="62">
        <f t="shared" si="5"/>
        <v>700</v>
      </c>
      <c r="I89" s="91"/>
      <c r="J89" s="62">
        <v>25</v>
      </c>
      <c r="K89" s="62">
        <v>700</v>
      </c>
      <c r="M89" s="92">
        <v>25</v>
      </c>
      <c r="N89" s="92">
        <v>700</v>
      </c>
      <c r="P89" s="92">
        <v>25</v>
      </c>
      <c r="Q89" s="92">
        <v>700</v>
      </c>
      <c r="R89" s="55"/>
    </row>
    <row r="90" spans="1:78" s="111" customFormat="1" x14ac:dyDescent="0.25">
      <c r="A90" s="54" t="s">
        <v>278</v>
      </c>
      <c r="B90" s="54">
        <v>7</v>
      </c>
      <c r="C90" s="20" t="s">
        <v>316</v>
      </c>
      <c r="D90" s="73" t="s">
        <v>317</v>
      </c>
      <c r="E90" s="73">
        <v>1</v>
      </c>
      <c r="F90" s="84">
        <v>60</v>
      </c>
      <c r="G90" s="62">
        <f t="shared" si="4"/>
        <v>30</v>
      </c>
      <c r="H90" s="62">
        <f t="shared" si="5"/>
        <v>840</v>
      </c>
      <c r="I90" s="74"/>
      <c r="J90" s="62">
        <v>30</v>
      </c>
      <c r="K90" s="62">
        <v>840</v>
      </c>
      <c r="L90" s="74"/>
      <c r="M90" s="62">
        <v>30</v>
      </c>
      <c r="N90" s="62">
        <v>840</v>
      </c>
      <c r="O90" s="74"/>
      <c r="P90" s="62">
        <v>30</v>
      </c>
      <c r="Q90" s="62">
        <v>840</v>
      </c>
      <c r="R90" s="55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</row>
    <row r="91" spans="1:78" x14ac:dyDescent="0.25">
      <c r="A91" s="54" t="s">
        <v>278</v>
      </c>
      <c r="B91" s="54">
        <v>7</v>
      </c>
      <c r="C91" s="20" t="s">
        <v>318</v>
      </c>
      <c r="D91" s="73" t="s">
        <v>319</v>
      </c>
      <c r="E91" s="73">
        <v>1</v>
      </c>
      <c r="F91" s="84">
        <v>40</v>
      </c>
      <c r="G91" s="62">
        <f t="shared" si="4"/>
        <v>20</v>
      </c>
      <c r="H91" s="62">
        <f t="shared" si="5"/>
        <v>560</v>
      </c>
      <c r="J91" s="62">
        <v>20</v>
      </c>
      <c r="K91" s="62">
        <v>560</v>
      </c>
      <c r="M91" s="62">
        <v>20</v>
      </c>
      <c r="N91" s="62">
        <v>560</v>
      </c>
      <c r="P91" s="62">
        <v>20</v>
      </c>
      <c r="Q91" s="62">
        <v>560</v>
      </c>
      <c r="R91" s="55"/>
    </row>
    <row r="92" spans="1:78" x14ac:dyDescent="0.25">
      <c r="A92" s="54" t="s">
        <v>278</v>
      </c>
      <c r="B92" s="54">
        <v>7</v>
      </c>
      <c r="C92" s="20" t="s">
        <v>320</v>
      </c>
      <c r="D92" s="73" t="s">
        <v>321</v>
      </c>
      <c r="E92" s="73">
        <v>1</v>
      </c>
      <c r="F92" s="84">
        <v>135</v>
      </c>
      <c r="G92" s="62">
        <f t="shared" si="4"/>
        <v>67.5</v>
      </c>
      <c r="H92" s="62">
        <f t="shared" si="5"/>
        <v>1890</v>
      </c>
      <c r="J92" s="62">
        <v>67.5</v>
      </c>
      <c r="K92" s="62">
        <v>1890</v>
      </c>
      <c r="M92" s="62">
        <v>67.5</v>
      </c>
      <c r="N92" s="62">
        <v>1890</v>
      </c>
      <c r="P92" s="62">
        <v>67.5</v>
      </c>
      <c r="Q92" s="62">
        <v>1890</v>
      </c>
      <c r="R92" s="55"/>
    </row>
    <row r="93" spans="1:78" x14ac:dyDescent="0.25">
      <c r="A93" s="54" t="s">
        <v>278</v>
      </c>
      <c r="B93" s="54">
        <v>7</v>
      </c>
      <c r="C93" s="20" t="str">
        <f>'common foods'!C130</f>
        <v>Cake, fruit</v>
      </c>
      <c r="D93" s="73" t="s">
        <v>280</v>
      </c>
      <c r="E93" s="73">
        <v>1</v>
      </c>
      <c r="F93" s="84">
        <v>65</v>
      </c>
      <c r="G93" s="62">
        <f t="shared" si="4"/>
        <v>32.5</v>
      </c>
      <c r="H93" s="62">
        <f t="shared" si="5"/>
        <v>910</v>
      </c>
      <c r="J93" s="62">
        <v>32.5</v>
      </c>
      <c r="K93" s="62">
        <v>910</v>
      </c>
      <c r="M93" s="62">
        <v>32.5</v>
      </c>
      <c r="N93" s="62">
        <v>910</v>
      </c>
      <c r="P93" s="62">
        <v>32.5</v>
      </c>
      <c r="Q93" s="62">
        <v>910</v>
      </c>
      <c r="R93" s="55"/>
    </row>
    <row r="94" spans="1:78" x14ac:dyDescent="0.25">
      <c r="A94" s="54" t="s">
        <v>278</v>
      </c>
      <c r="B94" s="54">
        <v>7</v>
      </c>
      <c r="C94" s="20" t="s">
        <v>288</v>
      </c>
      <c r="D94" s="73" t="s">
        <v>289</v>
      </c>
      <c r="E94" s="73">
        <v>1</v>
      </c>
      <c r="F94" s="84">
        <v>30</v>
      </c>
      <c r="G94" s="62">
        <f t="shared" si="4"/>
        <v>15</v>
      </c>
      <c r="H94" s="62">
        <f t="shared" si="5"/>
        <v>420</v>
      </c>
      <c r="J94" s="62">
        <v>15</v>
      </c>
      <c r="K94" s="62">
        <v>420</v>
      </c>
      <c r="M94" s="62">
        <v>15</v>
      </c>
      <c r="N94" s="62">
        <v>420</v>
      </c>
      <c r="P94" s="62">
        <v>15</v>
      </c>
      <c r="Q94" s="62">
        <v>420</v>
      </c>
      <c r="R94" s="55"/>
    </row>
    <row r="95" spans="1:78" x14ac:dyDescent="0.25">
      <c r="A95" s="54" t="s">
        <v>278</v>
      </c>
      <c r="B95" s="54">
        <v>7</v>
      </c>
      <c r="C95" s="20" t="s">
        <v>294</v>
      </c>
      <c r="D95" s="73" t="s">
        <v>295</v>
      </c>
      <c r="E95" s="73">
        <v>1</v>
      </c>
      <c r="F95" s="84">
        <v>30</v>
      </c>
      <c r="G95" s="62">
        <f t="shared" si="4"/>
        <v>15</v>
      </c>
      <c r="H95" s="62">
        <f t="shared" si="5"/>
        <v>420</v>
      </c>
      <c r="J95" s="62">
        <v>15</v>
      </c>
      <c r="K95" s="62">
        <v>420</v>
      </c>
      <c r="M95" s="62">
        <v>15</v>
      </c>
      <c r="N95" s="62">
        <v>420</v>
      </c>
      <c r="P95" s="62">
        <v>15</v>
      </c>
      <c r="Q95" s="62">
        <v>420</v>
      </c>
      <c r="R95" s="55"/>
    </row>
    <row r="96" spans="1:78" x14ac:dyDescent="0.25">
      <c r="A96" s="54" t="s">
        <v>278</v>
      </c>
      <c r="B96" s="54">
        <v>7</v>
      </c>
      <c r="C96" s="20" t="str">
        <f>'common foods'!C138</f>
        <v>Coconut cream buns</v>
      </c>
      <c r="D96" s="73" t="s">
        <v>297</v>
      </c>
      <c r="E96" s="73">
        <v>1</v>
      </c>
      <c r="F96" s="84">
        <v>30</v>
      </c>
      <c r="G96" s="62">
        <f t="shared" si="4"/>
        <v>15</v>
      </c>
      <c r="H96" s="62">
        <f t="shared" si="5"/>
        <v>420</v>
      </c>
      <c r="J96" s="62">
        <v>15</v>
      </c>
      <c r="K96" s="62">
        <v>420</v>
      </c>
      <c r="M96" s="62">
        <v>15</v>
      </c>
      <c r="N96" s="62">
        <v>420</v>
      </c>
      <c r="P96" s="62">
        <v>15</v>
      </c>
      <c r="Q96" s="62">
        <v>420</v>
      </c>
      <c r="R96" s="55"/>
    </row>
    <row r="97" spans="1:78" x14ac:dyDescent="0.25">
      <c r="A97" s="54" t="s">
        <v>278</v>
      </c>
      <c r="B97" s="54">
        <v>7</v>
      </c>
      <c r="C97" s="20" t="s">
        <v>298</v>
      </c>
      <c r="D97" s="73" t="s">
        <v>299</v>
      </c>
      <c r="E97" s="73">
        <v>1</v>
      </c>
      <c r="F97" s="84">
        <v>65</v>
      </c>
      <c r="G97" s="62">
        <f t="shared" si="4"/>
        <v>32.5</v>
      </c>
      <c r="H97" s="62">
        <f t="shared" si="5"/>
        <v>910</v>
      </c>
      <c r="J97" s="62">
        <v>32.5</v>
      </c>
      <c r="K97" s="62">
        <v>910</v>
      </c>
      <c r="M97" s="62">
        <v>32.5</v>
      </c>
      <c r="N97" s="62">
        <v>910</v>
      </c>
      <c r="P97" s="62">
        <v>32.5</v>
      </c>
      <c r="Q97" s="62">
        <v>910</v>
      </c>
      <c r="R97" s="55"/>
    </row>
    <row r="98" spans="1:78" x14ac:dyDescent="0.25">
      <c r="A98" s="54" t="s">
        <v>278</v>
      </c>
      <c r="B98" s="54">
        <v>7</v>
      </c>
      <c r="C98" s="20" t="s">
        <v>292</v>
      </c>
      <c r="D98" s="73" t="s">
        <v>293</v>
      </c>
      <c r="E98" s="73">
        <v>1</v>
      </c>
      <c r="F98" s="84">
        <v>65</v>
      </c>
      <c r="G98" s="62">
        <f t="shared" si="4"/>
        <v>32.5</v>
      </c>
      <c r="H98" s="62">
        <f t="shared" si="5"/>
        <v>910</v>
      </c>
      <c r="J98" s="62">
        <v>32.5</v>
      </c>
      <c r="K98" s="62">
        <v>910</v>
      </c>
      <c r="M98" s="62">
        <v>32.5</v>
      </c>
      <c r="N98" s="62">
        <v>910</v>
      </c>
      <c r="P98" s="62">
        <v>32.5</v>
      </c>
      <c r="Q98" s="62">
        <v>910</v>
      </c>
      <c r="R98" s="55"/>
    </row>
    <row r="99" spans="1:78" x14ac:dyDescent="0.25">
      <c r="A99" s="54" t="s">
        <v>278</v>
      </c>
      <c r="B99" s="54">
        <v>7</v>
      </c>
      <c r="C99" s="20" t="s">
        <v>300</v>
      </c>
      <c r="D99" s="73" t="s">
        <v>301</v>
      </c>
      <c r="E99" s="73">
        <v>3</v>
      </c>
      <c r="F99" s="84">
        <v>50</v>
      </c>
      <c r="G99" s="62">
        <f t="shared" si="4"/>
        <v>25</v>
      </c>
      <c r="H99" s="62">
        <f t="shared" si="5"/>
        <v>700</v>
      </c>
      <c r="J99" s="62">
        <v>25</v>
      </c>
      <c r="K99" s="62">
        <v>700</v>
      </c>
      <c r="M99" s="62">
        <v>25</v>
      </c>
      <c r="N99" s="62">
        <v>700</v>
      </c>
      <c r="P99" s="62">
        <v>25</v>
      </c>
      <c r="Q99" s="62">
        <v>700</v>
      </c>
      <c r="R99" s="55"/>
    </row>
    <row r="100" spans="1:78" x14ac:dyDescent="0.25">
      <c r="A100" s="54" t="s">
        <v>278</v>
      </c>
      <c r="B100" s="54">
        <v>7</v>
      </c>
      <c r="C100" s="20" t="s">
        <v>302</v>
      </c>
      <c r="D100" s="73" t="s">
        <v>303</v>
      </c>
      <c r="E100" s="73">
        <v>2</v>
      </c>
      <c r="F100" s="84">
        <v>50</v>
      </c>
      <c r="G100" s="62">
        <f t="shared" si="4"/>
        <v>25</v>
      </c>
      <c r="H100" s="62">
        <f t="shared" si="5"/>
        <v>700</v>
      </c>
      <c r="J100" s="62">
        <v>25</v>
      </c>
      <c r="K100" s="62">
        <v>700</v>
      </c>
      <c r="M100" s="62">
        <v>25</v>
      </c>
      <c r="N100" s="62">
        <v>700</v>
      </c>
      <c r="P100" s="62">
        <v>25</v>
      </c>
      <c r="Q100" s="62">
        <v>700</v>
      </c>
      <c r="R100" s="55"/>
    </row>
    <row r="101" spans="1:78" x14ac:dyDescent="0.25">
      <c r="A101" s="54" t="s">
        <v>278</v>
      </c>
      <c r="B101" s="54">
        <v>7</v>
      </c>
      <c r="C101" s="20" t="s">
        <v>304</v>
      </c>
      <c r="D101" s="73" t="s">
        <v>305</v>
      </c>
      <c r="E101" s="73">
        <v>3</v>
      </c>
      <c r="F101" s="84">
        <v>100</v>
      </c>
      <c r="G101" s="62">
        <f t="shared" si="4"/>
        <v>50</v>
      </c>
      <c r="H101" s="62">
        <f t="shared" si="5"/>
        <v>1400</v>
      </c>
      <c r="J101" s="62">
        <v>50</v>
      </c>
      <c r="K101" s="62">
        <v>1400</v>
      </c>
      <c r="M101" s="62">
        <v>50</v>
      </c>
      <c r="N101" s="62">
        <v>1400</v>
      </c>
      <c r="P101" s="62">
        <v>50</v>
      </c>
      <c r="Q101" s="62">
        <v>1400</v>
      </c>
      <c r="R101" s="55"/>
    </row>
    <row r="102" spans="1:78" x14ac:dyDescent="0.25">
      <c r="A102" s="54" t="s">
        <v>278</v>
      </c>
      <c r="B102" s="54">
        <v>7</v>
      </c>
      <c r="C102" s="20" t="s">
        <v>306</v>
      </c>
      <c r="D102" s="73" t="s">
        <v>307</v>
      </c>
      <c r="E102" s="73">
        <v>3</v>
      </c>
      <c r="F102" s="84">
        <v>100</v>
      </c>
      <c r="G102" s="62">
        <f t="shared" si="4"/>
        <v>50</v>
      </c>
      <c r="H102" s="62">
        <f t="shared" si="5"/>
        <v>1400</v>
      </c>
      <c r="J102" s="62">
        <v>50</v>
      </c>
      <c r="K102" s="62">
        <v>1400</v>
      </c>
      <c r="M102" s="62">
        <v>50</v>
      </c>
      <c r="N102" s="62">
        <v>1400</v>
      </c>
      <c r="P102" s="62">
        <v>50</v>
      </c>
      <c r="Q102" s="62">
        <v>1400</v>
      </c>
      <c r="R102" s="55"/>
    </row>
    <row r="103" spans="1:78" x14ac:dyDescent="0.25">
      <c r="A103" s="54" t="s">
        <v>278</v>
      </c>
      <c r="B103" s="54">
        <v>7</v>
      </c>
      <c r="C103" s="20" t="str">
        <f>'common foods'!C145</f>
        <v>lamb mutton flaps</v>
      </c>
      <c r="D103" s="73" t="s">
        <v>311</v>
      </c>
      <c r="E103" s="73">
        <v>1</v>
      </c>
      <c r="F103" s="84">
        <v>100</v>
      </c>
      <c r="G103" s="62">
        <f t="shared" si="4"/>
        <v>50</v>
      </c>
      <c r="H103" s="62">
        <f t="shared" si="5"/>
        <v>1400</v>
      </c>
      <c r="J103" s="62">
        <v>50</v>
      </c>
      <c r="K103" s="62">
        <v>1400</v>
      </c>
      <c r="M103" s="62">
        <v>50</v>
      </c>
      <c r="N103" s="62">
        <v>1400</v>
      </c>
      <c r="P103" s="62">
        <v>50</v>
      </c>
      <c r="Q103" s="62">
        <v>1400</v>
      </c>
      <c r="R103" s="55"/>
    </row>
    <row r="104" spans="1:78" x14ac:dyDescent="0.25">
      <c r="A104" s="54" t="s">
        <v>278</v>
      </c>
      <c r="B104" s="54">
        <v>7</v>
      </c>
      <c r="C104" s="20" t="str">
        <f>'common foods'!C144</f>
        <v>corned beef regular</v>
      </c>
      <c r="D104" s="73" t="s">
        <v>309</v>
      </c>
      <c r="E104" s="73">
        <v>1</v>
      </c>
      <c r="F104" s="84">
        <v>100</v>
      </c>
      <c r="G104" s="62">
        <f t="shared" si="4"/>
        <v>50</v>
      </c>
      <c r="H104" s="62">
        <f t="shared" si="5"/>
        <v>1400</v>
      </c>
      <c r="J104" s="62">
        <v>50</v>
      </c>
      <c r="K104" s="62">
        <v>1400</v>
      </c>
      <c r="M104" s="62">
        <v>50</v>
      </c>
      <c r="N104" s="62">
        <v>1400</v>
      </c>
      <c r="P104" s="62">
        <v>50</v>
      </c>
      <c r="Q104" s="62">
        <v>1400</v>
      </c>
      <c r="R104" s="55"/>
    </row>
    <row r="105" spans="1:78" x14ac:dyDescent="0.25">
      <c r="A105" s="54" t="s">
        <v>278</v>
      </c>
      <c r="B105" s="54">
        <v>7</v>
      </c>
      <c r="C105" s="20" t="str">
        <f>'common foods'!C155</f>
        <v>Jam, strawberry</v>
      </c>
      <c r="D105" s="73" t="s">
        <v>332</v>
      </c>
      <c r="E105" s="73">
        <v>1</v>
      </c>
      <c r="F105" s="84">
        <v>10</v>
      </c>
      <c r="G105" s="62">
        <f t="shared" si="4"/>
        <v>5</v>
      </c>
      <c r="H105" s="62">
        <f t="shared" si="5"/>
        <v>140</v>
      </c>
      <c r="J105" s="62">
        <v>5</v>
      </c>
      <c r="K105" s="62">
        <v>140</v>
      </c>
      <c r="M105" s="62">
        <v>5</v>
      </c>
      <c r="N105" s="62">
        <v>140</v>
      </c>
      <c r="P105" s="62">
        <v>5</v>
      </c>
      <c r="Q105" s="62">
        <v>140</v>
      </c>
      <c r="R105" s="55"/>
    </row>
    <row r="106" spans="1:78" x14ac:dyDescent="0.25">
      <c r="A106" s="54" t="s">
        <v>278</v>
      </c>
      <c r="B106" s="54">
        <v>7</v>
      </c>
      <c r="C106" s="20" t="s">
        <v>333</v>
      </c>
      <c r="D106" s="73" t="s">
        <v>334</v>
      </c>
      <c r="E106" s="73">
        <v>2</v>
      </c>
      <c r="F106" s="84">
        <v>125</v>
      </c>
      <c r="G106" s="62">
        <f t="shared" si="4"/>
        <v>62.5</v>
      </c>
      <c r="H106" s="62">
        <f t="shared" si="5"/>
        <v>1750</v>
      </c>
      <c r="J106" s="62">
        <v>62.5</v>
      </c>
      <c r="K106" s="62">
        <v>1750</v>
      </c>
      <c r="M106" s="62">
        <v>62.5</v>
      </c>
      <c r="N106" s="62">
        <v>1750</v>
      </c>
      <c r="P106" s="62">
        <v>62.5</v>
      </c>
      <c r="Q106" s="62">
        <v>1750</v>
      </c>
      <c r="R106" s="55"/>
    </row>
    <row r="107" spans="1:78" x14ac:dyDescent="0.25">
      <c r="A107" s="54" t="s">
        <v>278</v>
      </c>
      <c r="B107" s="54">
        <v>7</v>
      </c>
      <c r="C107" s="20" t="s">
        <v>335</v>
      </c>
      <c r="D107" s="73" t="s">
        <v>336</v>
      </c>
      <c r="E107" s="73">
        <v>2</v>
      </c>
      <c r="F107" s="84">
        <v>15</v>
      </c>
      <c r="G107" s="62">
        <f t="shared" si="4"/>
        <v>7.5</v>
      </c>
      <c r="H107" s="62">
        <f t="shared" si="5"/>
        <v>210</v>
      </c>
      <c r="J107" s="62">
        <v>7.5</v>
      </c>
      <c r="K107" s="62">
        <v>210</v>
      </c>
      <c r="M107" s="62">
        <v>7.5</v>
      </c>
      <c r="N107" s="62">
        <v>210</v>
      </c>
      <c r="P107" s="62">
        <v>7.5</v>
      </c>
      <c r="Q107" s="62">
        <v>210</v>
      </c>
      <c r="R107" s="55"/>
    </row>
    <row r="108" spans="1:78" x14ac:dyDescent="0.25">
      <c r="A108" s="54" t="s">
        <v>278</v>
      </c>
      <c r="B108" s="54">
        <v>7</v>
      </c>
      <c r="C108" s="20" t="s">
        <v>339</v>
      </c>
      <c r="D108" s="73" t="s">
        <v>340</v>
      </c>
      <c r="E108" s="73">
        <v>1</v>
      </c>
      <c r="F108" s="84">
        <v>5</v>
      </c>
      <c r="G108" s="62">
        <f t="shared" si="4"/>
        <v>2.5</v>
      </c>
      <c r="H108" s="62">
        <f t="shared" si="5"/>
        <v>70</v>
      </c>
      <c r="J108" s="62">
        <v>2.5</v>
      </c>
      <c r="K108" s="62">
        <v>70</v>
      </c>
      <c r="M108" s="62">
        <v>2.5</v>
      </c>
      <c r="N108" s="62">
        <v>70</v>
      </c>
      <c r="P108" s="62">
        <v>2.5</v>
      </c>
      <c r="Q108" s="62">
        <v>70</v>
      </c>
      <c r="R108" s="55"/>
    </row>
    <row r="109" spans="1:78" x14ac:dyDescent="0.25">
      <c r="A109" s="54" t="s">
        <v>278</v>
      </c>
      <c r="B109" s="54">
        <v>7</v>
      </c>
      <c r="C109" s="20" t="str">
        <f>'common foods'!C152</f>
        <v>Cocoa puffs</v>
      </c>
      <c r="D109" s="73" t="s">
        <v>325</v>
      </c>
      <c r="E109" s="73">
        <v>3</v>
      </c>
      <c r="F109" s="84">
        <v>65</v>
      </c>
      <c r="G109" s="62">
        <v>33</v>
      </c>
      <c r="H109" s="62">
        <v>910</v>
      </c>
      <c r="J109" s="62">
        <v>33</v>
      </c>
      <c r="K109" s="62">
        <v>910</v>
      </c>
      <c r="M109" s="62">
        <v>33</v>
      </c>
      <c r="N109" s="62">
        <v>910</v>
      </c>
      <c r="P109" s="62">
        <v>33</v>
      </c>
      <c r="Q109" s="62">
        <v>910</v>
      </c>
      <c r="R109" s="55"/>
    </row>
    <row r="110" spans="1:78" x14ac:dyDescent="0.25">
      <c r="A110" s="111"/>
      <c r="B110" s="111"/>
      <c r="C110" s="105" t="s">
        <v>577</v>
      </c>
      <c r="D110" s="106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</row>
    <row r="111" spans="1:78" s="111" customFormat="1" x14ac:dyDescent="0.25">
      <c r="A111" s="54" t="s">
        <v>341</v>
      </c>
      <c r="B111" s="54">
        <v>8</v>
      </c>
      <c r="C111" s="20" t="str">
        <f>'common foods'!C161</f>
        <v>Peanut butter, no added salt or sugar</v>
      </c>
      <c r="D111" s="73" t="s">
        <v>345</v>
      </c>
      <c r="E111" s="73">
        <v>1</v>
      </c>
      <c r="F111" s="73">
        <v>15</v>
      </c>
      <c r="G111" s="62">
        <f>F111/2</f>
        <v>7.5</v>
      </c>
      <c r="H111" s="62">
        <f>F111*14</f>
        <v>210</v>
      </c>
      <c r="I111" s="55"/>
      <c r="J111" s="62">
        <v>7.5</v>
      </c>
      <c r="K111" s="62">
        <v>210</v>
      </c>
      <c r="L111" s="55"/>
      <c r="M111" s="62">
        <v>7.5</v>
      </c>
      <c r="N111" s="62">
        <v>210</v>
      </c>
      <c r="O111" s="55"/>
      <c r="P111" s="62">
        <v>7.5</v>
      </c>
      <c r="Q111" s="62">
        <v>210</v>
      </c>
      <c r="R111" s="55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</row>
    <row r="112" spans="1:78" x14ac:dyDescent="0.25">
      <c r="A112" s="54" t="s">
        <v>341</v>
      </c>
      <c r="B112" s="54">
        <v>8</v>
      </c>
      <c r="C112" s="20" t="s">
        <v>337</v>
      </c>
      <c r="D112" s="73" t="s">
        <v>338</v>
      </c>
      <c r="E112" s="73">
        <v>1</v>
      </c>
      <c r="F112" s="73">
        <v>15</v>
      </c>
      <c r="G112" s="62">
        <f>F112/2</f>
        <v>7.5</v>
      </c>
      <c r="H112" s="62">
        <f>F112*14</f>
        <v>210</v>
      </c>
      <c r="I112" s="55"/>
      <c r="J112" s="62">
        <v>7.5</v>
      </c>
      <c r="K112" s="62">
        <v>210</v>
      </c>
      <c r="L112" s="55"/>
      <c r="M112" s="62">
        <v>7.5</v>
      </c>
      <c r="N112" s="62">
        <v>210</v>
      </c>
      <c r="O112" s="55"/>
      <c r="P112" s="62">
        <v>7.5</v>
      </c>
      <c r="Q112" s="62">
        <v>210</v>
      </c>
      <c r="R112" s="55"/>
    </row>
    <row r="113" spans="1:78" x14ac:dyDescent="0.25">
      <c r="A113" s="54" t="s">
        <v>341</v>
      </c>
      <c r="B113" s="54">
        <v>8</v>
      </c>
      <c r="C113" s="20" t="str">
        <f>'common foods'!C164</f>
        <v>soy sauce reduced salt</v>
      </c>
      <c r="D113" s="73" t="s">
        <v>351</v>
      </c>
      <c r="E113" s="73">
        <v>3</v>
      </c>
      <c r="F113" s="73">
        <v>15</v>
      </c>
      <c r="G113" s="62">
        <v>7.5</v>
      </c>
      <c r="H113" s="62">
        <v>210</v>
      </c>
      <c r="I113" s="55"/>
      <c r="J113" s="62">
        <v>7.5</v>
      </c>
      <c r="K113" s="62">
        <v>210</v>
      </c>
      <c r="L113" s="55"/>
      <c r="M113" s="62">
        <v>7.5</v>
      </c>
      <c r="N113" s="62">
        <v>210</v>
      </c>
      <c r="O113" s="55"/>
      <c r="P113" s="62">
        <v>7.5</v>
      </c>
      <c r="Q113" s="62">
        <v>210</v>
      </c>
      <c r="R113" s="55"/>
    </row>
    <row r="114" spans="1:78" s="111" customFormat="1" x14ac:dyDescent="0.25">
      <c r="C114" s="105" t="s">
        <v>356</v>
      </c>
      <c r="D114" s="106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</row>
    <row r="115" spans="1:78" x14ac:dyDescent="0.25">
      <c r="A115" s="54" t="s">
        <v>356</v>
      </c>
      <c r="B115" s="54">
        <v>9</v>
      </c>
      <c r="C115" s="20" t="s">
        <v>357</v>
      </c>
      <c r="D115" s="73" t="s">
        <v>358</v>
      </c>
      <c r="E115" s="73">
        <v>2</v>
      </c>
      <c r="F115" s="73">
        <v>20</v>
      </c>
      <c r="G115" s="62">
        <f t="shared" ref="G115:G121" si="6">F115/2</f>
        <v>10</v>
      </c>
      <c r="H115" s="62">
        <f t="shared" ref="H115:H121" si="7">F115*14</f>
        <v>280</v>
      </c>
      <c r="I115" s="55"/>
      <c r="J115" s="62">
        <v>10</v>
      </c>
      <c r="K115" s="62">
        <v>280</v>
      </c>
      <c r="L115" s="55"/>
      <c r="M115" s="62">
        <v>10</v>
      </c>
      <c r="N115" s="62">
        <v>280</v>
      </c>
      <c r="O115" s="55"/>
      <c r="P115" s="62">
        <v>10</v>
      </c>
      <c r="Q115" s="62">
        <v>280</v>
      </c>
      <c r="R115" s="55"/>
    </row>
    <row r="116" spans="1:78" x14ac:dyDescent="0.25">
      <c r="A116" s="54" t="s">
        <v>356</v>
      </c>
      <c r="B116" s="54">
        <v>9</v>
      </c>
      <c r="C116" s="20" t="s">
        <v>359</v>
      </c>
      <c r="D116" s="73" t="s">
        <v>360</v>
      </c>
      <c r="E116" s="73">
        <v>1</v>
      </c>
      <c r="F116" s="73">
        <v>250</v>
      </c>
      <c r="G116" s="62">
        <f t="shared" si="6"/>
        <v>125</v>
      </c>
      <c r="H116" s="62">
        <f t="shared" si="7"/>
        <v>3500</v>
      </c>
      <c r="I116" s="55"/>
      <c r="J116" s="62">
        <v>125</v>
      </c>
      <c r="K116" s="62">
        <v>3500</v>
      </c>
      <c r="L116" s="55"/>
      <c r="M116" s="62">
        <v>125</v>
      </c>
      <c r="N116" s="62">
        <v>3500</v>
      </c>
      <c r="O116" s="55"/>
      <c r="P116" s="62">
        <v>125</v>
      </c>
      <c r="Q116" s="62">
        <v>3500</v>
      </c>
      <c r="R116" s="55"/>
    </row>
    <row r="117" spans="1:78" x14ac:dyDescent="0.25">
      <c r="A117" s="54" t="s">
        <v>356</v>
      </c>
      <c r="B117" s="54">
        <v>9</v>
      </c>
      <c r="C117" s="20" t="s">
        <v>361</v>
      </c>
      <c r="D117" s="73" t="s">
        <v>362</v>
      </c>
      <c r="E117" s="73">
        <v>2</v>
      </c>
      <c r="F117" s="73">
        <v>250</v>
      </c>
      <c r="G117" s="62">
        <f t="shared" si="6"/>
        <v>125</v>
      </c>
      <c r="H117" s="62">
        <f t="shared" si="7"/>
        <v>3500</v>
      </c>
      <c r="I117" s="55"/>
      <c r="J117" s="62">
        <v>125</v>
      </c>
      <c r="K117" s="62">
        <v>3500</v>
      </c>
      <c r="L117" s="55"/>
      <c r="M117" s="62">
        <v>125</v>
      </c>
      <c r="N117" s="62">
        <v>3500</v>
      </c>
      <c r="O117" s="55"/>
      <c r="P117" s="62">
        <v>125</v>
      </c>
      <c r="Q117" s="62">
        <v>3500</v>
      </c>
      <c r="R117" s="55"/>
    </row>
    <row r="118" spans="1:78" x14ac:dyDescent="0.25">
      <c r="A118" s="54" t="s">
        <v>356</v>
      </c>
      <c r="B118" s="54">
        <v>9</v>
      </c>
      <c r="C118" s="20" t="s">
        <v>363</v>
      </c>
      <c r="D118" s="73" t="s">
        <v>364</v>
      </c>
      <c r="E118" s="73">
        <v>2</v>
      </c>
      <c r="F118" s="73">
        <v>250</v>
      </c>
      <c r="G118" s="62">
        <f t="shared" si="6"/>
        <v>125</v>
      </c>
      <c r="H118" s="62">
        <f t="shared" si="7"/>
        <v>3500</v>
      </c>
      <c r="I118" s="55"/>
      <c r="J118" s="62">
        <v>125</v>
      </c>
      <c r="K118" s="62">
        <v>3500</v>
      </c>
      <c r="L118" s="55"/>
      <c r="M118" s="62">
        <v>125</v>
      </c>
      <c r="N118" s="62">
        <v>3500</v>
      </c>
      <c r="O118" s="55"/>
      <c r="P118" s="62">
        <v>125</v>
      </c>
      <c r="Q118" s="62">
        <v>3500</v>
      </c>
      <c r="R118" s="55"/>
    </row>
    <row r="119" spans="1:78" x14ac:dyDescent="0.25">
      <c r="A119" s="54" t="s">
        <v>356</v>
      </c>
      <c r="B119" s="54">
        <v>9</v>
      </c>
      <c r="C119" s="20" t="s">
        <v>365</v>
      </c>
      <c r="D119" s="73" t="s">
        <v>366</v>
      </c>
      <c r="E119" s="73">
        <v>1</v>
      </c>
      <c r="F119" s="73">
        <v>250</v>
      </c>
      <c r="G119" s="62">
        <f t="shared" si="6"/>
        <v>125</v>
      </c>
      <c r="H119" s="62">
        <f t="shared" si="7"/>
        <v>3500</v>
      </c>
      <c r="I119" s="55"/>
      <c r="J119" s="62">
        <v>125</v>
      </c>
      <c r="K119" s="62">
        <v>3500</v>
      </c>
      <c r="L119" s="55"/>
      <c r="M119" s="62">
        <v>125</v>
      </c>
      <c r="N119" s="62">
        <v>3500</v>
      </c>
      <c r="O119" s="55"/>
      <c r="P119" s="62">
        <v>125</v>
      </c>
      <c r="Q119" s="62">
        <v>3500</v>
      </c>
      <c r="R119" s="55"/>
    </row>
    <row r="120" spans="1:78" x14ac:dyDescent="0.25">
      <c r="A120" s="54" t="s">
        <v>356</v>
      </c>
      <c r="B120" s="54">
        <v>9</v>
      </c>
      <c r="C120" s="20" t="str">
        <f>'common foods'!C172</f>
        <v>Soft drink Powder</v>
      </c>
      <c r="D120" s="73" t="s">
        <v>368</v>
      </c>
      <c r="E120" s="73">
        <v>3</v>
      </c>
      <c r="F120" s="73">
        <v>15</v>
      </c>
      <c r="G120" s="62">
        <f t="shared" si="6"/>
        <v>7.5</v>
      </c>
      <c r="H120" s="62">
        <f t="shared" si="7"/>
        <v>210</v>
      </c>
      <c r="I120" s="55"/>
      <c r="J120" s="62">
        <v>7.5</v>
      </c>
      <c r="K120" s="62">
        <v>210</v>
      </c>
      <c r="L120" s="55"/>
      <c r="M120" s="62">
        <v>7.5</v>
      </c>
      <c r="N120" s="62">
        <v>210</v>
      </c>
      <c r="O120" s="55"/>
      <c r="P120" s="62">
        <v>7.5</v>
      </c>
      <c r="Q120" s="62">
        <v>210</v>
      </c>
      <c r="R120" s="55"/>
    </row>
    <row r="121" spans="1:78" x14ac:dyDescent="0.25">
      <c r="A121" s="54" t="s">
        <v>356</v>
      </c>
      <c r="B121" s="54">
        <v>9</v>
      </c>
      <c r="C121" s="20" t="s">
        <v>369</v>
      </c>
      <c r="D121" s="73" t="s">
        <v>370</v>
      </c>
      <c r="E121" s="73">
        <v>3</v>
      </c>
      <c r="F121" s="73">
        <v>250</v>
      </c>
      <c r="G121" s="62">
        <f t="shared" si="6"/>
        <v>125</v>
      </c>
      <c r="H121" s="62">
        <f t="shared" si="7"/>
        <v>3500</v>
      </c>
      <c r="I121" s="55"/>
      <c r="J121" s="62">
        <v>125</v>
      </c>
      <c r="K121" s="62">
        <v>3500</v>
      </c>
      <c r="L121" s="55"/>
      <c r="M121" s="81">
        <v>0</v>
      </c>
      <c r="N121" s="81">
        <v>0</v>
      </c>
      <c r="O121" s="55"/>
      <c r="P121" s="81">
        <v>0</v>
      </c>
      <c r="Q121" s="81">
        <v>0</v>
      </c>
      <c r="R121" s="55"/>
    </row>
    <row r="122" spans="1:78" s="111" customFormat="1" x14ac:dyDescent="0.25">
      <c r="C122" s="105" t="s">
        <v>578</v>
      </c>
      <c r="D122" s="106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</row>
    <row r="123" spans="1:78" x14ac:dyDescent="0.25">
      <c r="A123" s="54" t="s">
        <v>377</v>
      </c>
      <c r="B123" s="54">
        <v>10</v>
      </c>
      <c r="C123" s="20" t="s">
        <v>388</v>
      </c>
      <c r="D123" s="73">
        <v>10115</v>
      </c>
      <c r="E123" s="55">
        <v>2</v>
      </c>
      <c r="F123" s="55">
        <v>240</v>
      </c>
      <c r="G123" s="62">
        <f>F123/2</f>
        <v>120</v>
      </c>
      <c r="H123" s="62">
        <f>F123*14</f>
        <v>3360</v>
      </c>
      <c r="I123" s="55"/>
      <c r="J123" s="62">
        <v>120</v>
      </c>
      <c r="K123" s="62">
        <v>3360</v>
      </c>
      <c r="L123" s="55"/>
      <c r="M123" s="62">
        <v>120</v>
      </c>
      <c r="N123" s="62">
        <v>3360</v>
      </c>
      <c r="O123" s="55"/>
      <c r="P123" s="62">
        <v>120</v>
      </c>
      <c r="Q123" s="62">
        <v>3360</v>
      </c>
      <c r="R123" s="55"/>
    </row>
    <row r="124" spans="1:78" x14ac:dyDescent="0.25">
      <c r="A124" s="54" t="s">
        <v>377</v>
      </c>
      <c r="B124" s="54">
        <v>10</v>
      </c>
      <c r="C124" s="20" t="s">
        <v>392</v>
      </c>
      <c r="D124" s="73">
        <v>10117</v>
      </c>
      <c r="E124" s="55">
        <v>2</v>
      </c>
      <c r="F124" s="55">
        <v>200</v>
      </c>
      <c r="G124" s="62">
        <f>F124/2</f>
        <v>100</v>
      </c>
      <c r="H124" s="62">
        <f>F124*14</f>
        <v>2800</v>
      </c>
      <c r="I124" s="55"/>
      <c r="J124" s="62">
        <v>100</v>
      </c>
      <c r="K124" s="62">
        <v>2800</v>
      </c>
      <c r="L124" s="55"/>
      <c r="M124" s="81">
        <v>0</v>
      </c>
      <c r="N124" s="81">
        <v>0</v>
      </c>
      <c r="O124" s="55"/>
      <c r="P124" s="81">
        <v>0</v>
      </c>
      <c r="Q124" s="81">
        <v>0</v>
      </c>
      <c r="R124" s="55"/>
    </row>
    <row r="125" spans="1:78" x14ac:dyDescent="0.25">
      <c r="A125" s="54" t="s">
        <v>377</v>
      </c>
      <c r="B125" s="54">
        <v>10</v>
      </c>
      <c r="C125" s="20" t="s">
        <v>396</v>
      </c>
      <c r="D125" s="73">
        <v>10119</v>
      </c>
      <c r="E125" s="55">
        <v>1</v>
      </c>
      <c r="F125" s="55">
        <v>200</v>
      </c>
      <c r="G125" s="62">
        <f>F125/2</f>
        <v>100</v>
      </c>
      <c r="H125" s="62">
        <f>F125*14</f>
        <v>2800</v>
      </c>
      <c r="I125" s="55"/>
      <c r="J125" s="62">
        <v>100</v>
      </c>
      <c r="K125" s="62">
        <v>2800</v>
      </c>
      <c r="L125" s="55"/>
      <c r="M125" s="62">
        <v>100</v>
      </c>
      <c r="N125" s="62">
        <v>2800</v>
      </c>
      <c r="O125" s="55"/>
      <c r="P125" s="62">
        <v>100</v>
      </c>
      <c r="Q125" s="62">
        <v>2800</v>
      </c>
      <c r="R125" s="55"/>
    </row>
    <row r="126" spans="1:78" x14ac:dyDescent="0.25">
      <c r="A126" s="111"/>
      <c r="B126" s="111"/>
      <c r="C126" s="105" t="s">
        <v>406</v>
      </c>
      <c r="D126" s="106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</row>
    <row r="127" spans="1:78" x14ac:dyDescent="0.25">
      <c r="A127" s="54" t="s">
        <v>406</v>
      </c>
      <c r="B127" s="54">
        <v>11</v>
      </c>
      <c r="C127" s="20" t="s">
        <v>407</v>
      </c>
      <c r="D127" s="73" t="s">
        <v>408</v>
      </c>
      <c r="E127" s="55">
        <v>1</v>
      </c>
      <c r="F127" s="55">
        <v>100</v>
      </c>
      <c r="G127" s="62">
        <f>F127/2</f>
        <v>50</v>
      </c>
      <c r="H127" s="62">
        <f>F127*21</f>
        <v>2100</v>
      </c>
      <c r="I127" s="55"/>
      <c r="J127" s="62">
        <v>50</v>
      </c>
      <c r="K127" s="62">
        <v>2100</v>
      </c>
      <c r="L127" s="55"/>
      <c r="M127" s="81">
        <v>0</v>
      </c>
      <c r="N127" s="81">
        <v>0</v>
      </c>
      <c r="O127" s="116"/>
      <c r="P127" s="81">
        <v>0</v>
      </c>
      <c r="Q127" s="81">
        <v>0</v>
      </c>
      <c r="R127" s="55"/>
    </row>
    <row r="128" spans="1:78" s="111" customFormat="1" x14ac:dyDescent="0.25">
      <c r="A128" s="54" t="s">
        <v>406</v>
      </c>
      <c r="B128" s="54">
        <v>11</v>
      </c>
      <c r="C128" s="20" t="s">
        <v>409</v>
      </c>
      <c r="D128" s="73" t="s">
        <v>410</v>
      </c>
      <c r="E128" s="55">
        <v>1</v>
      </c>
      <c r="F128" s="55">
        <v>330</v>
      </c>
      <c r="G128" s="62">
        <f>F128/2</f>
        <v>165</v>
      </c>
      <c r="H128" s="62">
        <f>F128*21</f>
        <v>6930</v>
      </c>
      <c r="I128" s="55"/>
      <c r="J128" s="62">
        <v>165</v>
      </c>
      <c r="K128" s="62">
        <v>6930</v>
      </c>
      <c r="L128" s="55"/>
      <c r="M128" s="81">
        <v>0</v>
      </c>
      <c r="N128" s="81">
        <v>0</v>
      </c>
      <c r="O128" s="116"/>
      <c r="P128" s="81">
        <v>0</v>
      </c>
      <c r="Q128" s="81">
        <v>0</v>
      </c>
      <c r="R128" s="55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MK122"/>
  <sheetViews>
    <sheetView zoomScale="70" zoomScaleNormal="70" workbookViewId="0">
      <selection activeCell="C31" sqref="C31"/>
    </sheetView>
  </sheetViews>
  <sheetFormatPr defaultRowHeight="15" x14ac:dyDescent="0.25"/>
  <cols>
    <col min="1" max="1" width="32" style="117" customWidth="1"/>
    <col min="2" max="2" width="19.85546875" style="118" customWidth="1"/>
    <col min="3" max="3" width="32.28515625" style="117" customWidth="1"/>
    <col min="4" max="4" width="25" style="118" customWidth="1"/>
    <col min="5" max="5" width="12.85546875" style="118" customWidth="1"/>
    <col min="6" max="6" width="11.140625" style="118" customWidth="1"/>
    <col min="7" max="7" width="13.5703125" style="119" customWidth="1"/>
    <col min="8" max="8" width="15.42578125" style="119" customWidth="1"/>
    <col min="9" max="9" width="15.7109375" style="120" customWidth="1"/>
    <col min="10" max="10" width="10.85546875" style="121" customWidth="1"/>
    <col min="11" max="11" width="14.5703125" style="120" customWidth="1"/>
    <col min="12" max="12" width="16.42578125" style="120" customWidth="1"/>
    <col min="13" max="13" width="20.28515625" style="120" customWidth="1"/>
    <col min="14" max="14" width="17.7109375" style="120" customWidth="1"/>
    <col min="15" max="15" width="18.5703125" style="120" customWidth="1"/>
    <col min="16" max="16" width="10.85546875" style="122" customWidth="1"/>
    <col min="17" max="17" width="10.85546875" style="120" customWidth="1"/>
    <col min="18" max="18" width="13.85546875" style="120" customWidth="1"/>
    <col min="19" max="21" width="10.85546875" style="120" hidden="1" customWidth="1"/>
    <col min="22" max="22" width="10.85546875" style="122" customWidth="1"/>
    <col min="23" max="23" width="13.140625" style="120" customWidth="1"/>
    <col min="24" max="24" width="13.5703125" style="120" customWidth="1"/>
    <col min="25" max="27" width="10.85546875" style="120" hidden="1" customWidth="1"/>
    <col min="28" max="28" width="11.42578125" style="122"/>
    <col min="29" max="1025" width="11.42578125" style="123"/>
  </cols>
  <sheetData>
    <row r="1" spans="1:68" s="75" customFormat="1" ht="15.75" x14ac:dyDescent="0.25">
      <c r="D1" s="76"/>
      <c r="E1" s="76"/>
      <c r="F1" s="76"/>
      <c r="G1" s="76"/>
      <c r="H1" s="76" t="s">
        <v>579</v>
      </c>
      <c r="I1" s="76"/>
      <c r="J1" s="76"/>
      <c r="K1" s="76"/>
      <c r="L1" s="76"/>
      <c r="M1" s="76"/>
      <c r="N1" s="76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</row>
    <row r="2" spans="1:68" s="123" customFormat="1" ht="18" customHeight="1" x14ac:dyDescent="0.25">
      <c r="A2" s="54"/>
      <c r="B2" s="54"/>
      <c r="C2" s="78" t="s">
        <v>557</v>
      </c>
      <c r="D2" s="73"/>
      <c r="E2" s="55"/>
      <c r="F2" s="74"/>
      <c r="G2" s="221" t="s">
        <v>558</v>
      </c>
      <c r="H2" s="221"/>
      <c r="I2" s="221"/>
      <c r="J2" s="221" t="s">
        <v>559</v>
      </c>
      <c r="K2" s="221"/>
      <c r="L2" s="221"/>
      <c r="M2" s="221" t="s">
        <v>560</v>
      </c>
      <c r="N2" s="221"/>
      <c r="O2" s="221"/>
      <c r="P2" s="221" t="s">
        <v>561</v>
      </c>
      <c r="Q2" s="221"/>
      <c r="R2" s="221"/>
    </row>
    <row r="3" spans="1:68" s="123" customFormat="1" ht="15.75" x14ac:dyDescent="0.25">
      <c r="A3" s="79" t="s">
        <v>0</v>
      </c>
      <c r="B3" s="79" t="s">
        <v>1</v>
      </c>
      <c r="C3" s="80" t="s">
        <v>2</v>
      </c>
      <c r="D3" s="40" t="s">
        <v>3</v>
      </c>
      <c r="E3" s="81" t="s">
        <v>562</v>
      </c>
      <c r="F3" s="82" t="s">
        <v>563</v>
      </c>
      <c r="G3" s="81" t="s">
        <v>564</v>
      </c>
      <c r="H3" s="81" t="s">
        <v>565</v>
      </c>
      <c r="I3" s="82" t="s">
        <v>580</v>
      </c>
      <c r="J3" s="81" t="s">
        <v>564</v>
      </c>
      <c r="K3" s="81" t="s">
        <v>565</v>
      </c>
      <c r="L3" s="82" t="s">
        <v>580</v>
      </c>
      <c r="M3" s="81" t="s">
        <v>564</v>
      </c>
      <c r="N3" s="81" t="s">
        <v>565</v>
      </c>
      <c r="O3" s="82" t="s">
        <v>580</v>
      </c>
      <c r="P3" s="81" t="s">
        <v>564</v>
      </c>
      <c r="Q3" s="81" t="s">
        <v>565</v>
      </c>
      <c r="R3" s="82" t="s">
        <v>580</v>
      </c>
    </row>
    <row r="4" spans="1:68" s="123" customFormat="1" ht="15.75" x14ac:dyDescent="0.25">
      <c r="A4" s="54"/>
      <c r="B4" s="54"/>
      <c r="C4" s="20"/>
      <c r="D4" s="73"/>
      <c r="E4" s="55"/>
      <c r="F4" s="74"/>
      <c r="G4" s="55"/>
      <c r="H4" s="55"/>
      <c r="I4" s="84" t="s">
        <v>567</v>
      </c>
      <c r="J4" s="55"/>
      <c r="K4" s="55"/>
      <c r="L4" s="84" t="s">
        <v>567</v>
      </c>
      <c r="M4" s="55"/>
      <c r="N4" s="55"/>
      <c r="O4" s="84" t="s">
        <v>567</v>
      </c>
      <c r="P4" s="55"/>
      <c r="Q4" s="55"/>
      <c r="R4" s="84" t="s">
        <v>567</v>
      </c>
    </row>
    <row r="5" spans="1:68" s="130" customFormat="1" x14ac:dyDescent="0.25">
      <c r="A5" s="124" t="s">
        <v>581</v>
      </c>
      <c r="B5" s="125"/>
      <c r="C5" s="126"/>
      <c r="D5" s="125"/>
      <c r="E5" s="125"/>
      <c r="F5" s="125"/>
      <c r="G5" s="127">
        <v>8</v>
      </c>
      <c r="H5" s="127">
        <v>10</v>
      </c>
      <c r="I5" s="127">
        <v>9</v>
      </c>
      <c r="J5" s="127">
        <v>9</v>
      </c>
      <c r="K5" s="127">
        <v>11</v>
      </c>
      <c r="L5" s="127">
        <v>10</v>
      </c>
      <c r="M5" s="128">
        <v>7</v>
      </c>
      <c r="N5" s="128">
        <v>9</v>
      </c>
      <c r="O5" s="129">
        <v>8</v>
      </c>
      <c r="P5" s="128">
        <v>11</v>
      </c>
      <c r="Q5" s="128">
        <v>13</v>
      </c>
      <c r="R5" s="129">
        <v>12</v>
      </c>
    </row>
    <row r="6" spans="1:68" s="123" customFormat="1" x14ac:dyDescent="0.25">
      <c r="A6" s="117" t="s">
        <v>8</v>
      </c>
      <c r="B6" s="118">
        <v>1</v>
      </c>
      <c r="C6" s="131" t="s">
        <v>9</v>
      </c>
      <c r="D6" s="132" t="s">
        <v>10</v>
      </c>
      <c r="E6" s="120">
        <v>1</v>
      </c>
      <c r="F6" s="133">
        <v>120</v>
      </c>
      <c r="G6" s="134">
        <v>60</v>
      </c>
      <c r="H6" s="134">
        <f>F6*G5</f>
        <v>960</v>
      </c>
      <c r="I6" s="135"/>
      <c r="J6" s="134">
        <v>60</v>
      </c>
      <c r="K6" s="134">
        <f>F6*9</f>
        <v>1080</v>
      </c>
      <c r="L6" s="136"/>
      <c r="M6" s="134">
        <v>60</v>
      </c>
      <c r="N6" s="134">
        <f>F6*7</f>
        <v>840</v>
      </c>
      <c r="O6" s="136"/>
      <c r="P6" s="134">
        <v>60</v>
      </c>
      <c r="Q6" s="134">
        <f>F6*11</f>
        <v>1320</v>
      </c>
      <c r="R6" s="136"/>
    </row>
    <row r="7" spans="1:68" s="123" customFormat="1" x14ac:dyDescent="0.25">
      <c r="A7" s="117" t="s">
        <v>8</v>
      </c>
      <c r="B7" s="118">
        <v>1</v>
      </c>
      <c r="C7" s="131" t="s">
        <v>14</v>
      </c>
      <c r="D7" s="132" t="s">
        <v>15</v>
      </c>
      <c r="E7" s="120">
        <v>1</v>
      </c>
      <c r="F7" s="133">
        <v>120</v>
      </c>
      <c r="G7" s="134">
        <v>60</v>
      </c>
      <c r="H7" s="134">
        <v>960</v>
      </c>
      <c r="I7" s="135"/>
      <c r="J7" s="134">
        <v>60</v>
      </c>
      <c r="K7" s="134">
        <v>1080</v>
      </c>
      <c r="L7" s="136"/>
      <c r="M7" s="134">
        <v>60</v>
      </c>
      <c r="N7" s="134">
        <v>840</v>
      </c>
      <c r="O7" s="136"/>
      <c r="P7" s="134">
        <v>60</v>
      </c>
      <c r="Q7" s="134">
        <v>1320</v>
      </c>
      <c r="R7" s="136"/>
    </row>
    <row r="8" spans="1:68" s="123" customFormat="1" x14ac:dyDescent="0.25">
      <c r="A8" s="117" t="s">
        <v>8</v>
      </c>
      <c r="B8" s="118">
        <v>1</v>
      </c>
      <c r="C8" s="131" t="s">
        <v>18</v>
      </c>
      <c r="D8" s="132" t="s">
        <v>19</v>
      </c>
      <c r="E8" s="120">
        <v>2</v>
      </c>
      <c r="F8" s="133">
        <v>120</v>
      </c>
      <c r="G8" s="134">
        <v>60</v>
      </c>
      <c r="H8" s="134">
        <f>F8*4</f>
        <v>480</v>
      </c>
      <c r="I8" s="135"/>
      <c r="J8" s="134">
        <v>60</v>
      </c>
      <c r="K8" s="134">
        <f>K7/2</f>
        <v>540</v>
      </c>
      <c r="L8" s="136"/>
      <c r="M8" s="134">
        <v>60</v>
      </c>
      <c r="N8" s="134">
        <f>F8*7/2</f>
        <v>420</v>
      </c>
      <c r="O8" s="136"/>
      <c r="P8" s="134">
        <v>60</v>
      </c>
      <c r="Q8" s="134">
        <f>Q6/2</f>
        <v>660</v>
      </c>
      <c r="R8" s="136"/>
    </row>
    <row r="9" spans="1:68" s="123" customFormat="1" x14ac:dyDescent="0.25">
      <c r="A9" s="117" t="s">
        <v>8</v>
      </c>
      <c r="B9" s="118">
        <v>1</v>
      </c>
      <c r="C9" s="131" t="s">
        <v>21</v>
      </c>
      <c r="D9" s="132" t="s">
        <v>22</v>
      </c>
      <c r="E9" s="120">
        <v>2</v>
      </c>
      <c r="F9" s="133">
        <v>120</v>
      </c>
      <c r="G9" s="134">
        <v>60</v>
      </c>
      <c r="H9" s="134">
        <v>480</v>
      </c>
      <c r="I9" s="135"/>
      <c r="J9" s="134">
        <v>60</v>
      </c>
      <c r="K9" s="134">
        <v>540</v>
      </c>
      <c r="L9" s="136"/>
      <c r="M9" s="134">
        <v>60</v>
      </c>
      <c r="N9" s="134">
        <v>420</v>
      </c>
      <c r="O9" s="136"/>
      <c r="P9" s="134">
        <v>60</v>
      </c>
      <c r="Q9" s="134">
        <v>660</v>
      </c>
      <c r="R9" s="136"/>
    </row>
    <row r="10" spans="1:68" s="123" customFormat="1" x14ac:dyDescent="0.25">
      <c r="A10" s="117" t="s">
        <v>8</v>
      </c>
      <c r="B10" s="118">
        <v>1</v>
      </c>
      <c r="C10" s="131" t="s">
        <v>26</v>
      </c>
      <c r="D10" s="132" t="s">
        <v>27</v>
      </c>
      <c r="E10" s="120">
        <v>1</v>
      </c>
      <c r="F10" s="133">
        <v>120</v>
      </c>
      <c r="G10" s="134">
        <v>60</v>
      </c>
      <c r="H10" s="134">
        <v>960</v>
      </c>
      <c r="I10" s="135"/>
      <c r="J10" s="134">
        <v>60</v>
      </c>
      <c r="K10" s="134">
        <v>1080</v>
      </c>
      <c r="L10" s="136"/>
      <c r="M10" s="134">
        <v>60</v>
      </c>
      <c r="N10" s="134">
        <v>840</v>
      </c>
      <c r="O10" s="136"/>
      <c r="P10" s="134">
        <v>60</v>
      </c>
      <c r="Q10" s="134">
        <v>1320</v>
      </c>
      <c r="R10" s="136"/>
    </row>
    <row r="11" spans="1:68" s="123" customFormat="1" x14ac:dyDescent="0.25">
      <c r="A11" s="117" t="s">
        <v>8</v>
      </c>
      <c r="B11" s="118">
        <v>1</v>
      </c>
      <c r="C11" s="131" t="s">
        <v>28</v>
      </c>
      <c r="D11" s="132" t="s">
        <v>29</v>
      </c>
      <c r="E11" s="120">
        <v>2</v>
      </c>
      <c r="F11" s="133">
        <v>120</v>
      </c>
      <c r="G11" s="134">
        <v>60</v>
      </c>
      <c r="H11" s="134">
        <v>480</v>
      </c>
      <c r="I11" s="135"/>
      <c r="J11" s="134">
        <v>60</v>
      </c>
      <c r="K11" s="134">
        <v>540</v>
      </c>
      <c r="L11" s="136"/>
      <c r="M11" s="134">
        <v>60</v>
      </c>
      <c r="N11" s="134">
        <v>420</v>
      </c>
      <c r="O11" s="136"/>
      <c r="P11" s="134">
        <v>60</v>
      </c>
      <c r="Q11" s="134">
        <v>660</v>
      </c>
      <c r="R11" s="136"/>
    </row>
    <row r="12" spans="1:68" s="131" customFormat="1" x14ac:dyDescent="0.25">
      <c r="A12" s="131" t="s">
        <v>8</v>
      </c>
      <c r="B12" s="132">
        <v>1</v>
      </c>
      <c r="C12" s="131" t="str">
        <f>'common foods'!C15</f>
        <v>Canned fruit salad in syrup</v>
      </c>
      <c r="D12" s="132" t="s">
        <v>42</v>
      </c>
      <c r="E12" s="132">
        <v>2</v>
      </c>
      <c r="F12" s="137">
        <v>120</v>
      </c>
      <c r="G12" s="134">
        <v>60</v>
      </c>
      <c r="H12" s="138">
        <v>480</v>
      </c>
      <c r="I12" s="139"/>
      <c r="J12" s="138">
        <v>60</v>
      </c>
      <c r="K12" s="138">
        <v>540</v>
      </c>
      <c r="L12" s="137"/>
      <c r="M12" s="134">
        <v>60</v>
      </c>
      <c r="N12" s="138">
        <v>420</v>
      </c>
      <c r="O12" s="139"/>
      <c r="P12" s="138">
        <v>60</v>
      </c>
      <c r="Q12" s="138">
        <v>660</v>
      </c>
      <c r="R12" s="139"/>
    </row>
    <row r="13" spans="1:68" s="130" customFormat="1" x14ac:dyDescent="0.25">
      <c r="A13" s="124" t="s">
        <v>582</v>
      </c>
      <c r="B13" s="125"/>
      <c r="C13" s="124"/>
      <c r="D13" s="140"/>
      <c r="E13" s="127"/>
      <c r="F13" s="125"/>
      <c r="G13" s="128">
        <v>23</v>
      </c>
      <c r="H13" s="128">
        <v>27</v>
      </c>
      <c r="I13" s="129">
        <v>25</v>
      </c>
      <c r="J13" s="128">
        <v>24</v>
      </c>
      <c r="K13" s="128">
        <v>28</v>
      </c>
      <c r="L13" s="129">
        <v>26</v>
      </c>
      <c r="M13" s="128">
        <v>19</v>
      </c>
      <c r="N13" s="128">
        <v>23</v>
      </c>
      <c r="O13" s="129">
        <v>21</v>
      </c>
      <c r="P13" s="128">
        <v>15</v>
      </c>
      <c r="Q13" s="128">
        <v>19</v>
      </c>
      <c r="R13" s="129">
        <v>17</v>
      </c>
    </row>
    <row r="14" spans="1:68" s="123" customFormat="1" x14ac:dyDescent="0.25">
      <c r="A14" s="117" t="s">
        <v>43</v>
      </c>
      <c r="B14" s="118">
        <v>2</v>
      </c>
      <c r="C14" s="131" t="s">
        <v>46</v>
      </c>
      <c r="D14" s="132" t="s">
        <v>47</v>
      </c>
      <c r="E14" s="120">
        <v>1</v>
      </c>
      <c r="F14" s="141">
        <v>75</v>
      </c>
      <c r="G14" s="134">
        <v>38</v>
      </c>
      <c r="H14" s="134">
        <f>F14*23</f>
        <v>1725</v>
      </c>
      <c r="I14" s="135"/>
      <c r="J14" s="134">
        <v>38</v>
      </c>
      <c r="K14" s="134">
        <f>F14*24</f>
        <v>1800</v>
      </c>
      <c r="L14" s="136"/>
      <c r="M14" s="134">
        <f t="shared" ref="M14:M23" si="0">$F14/3</f>
        <v>25</v>
      </c>
      <c r="N14" s="134">
        <f>F14*M13</f>
        <v>1425</v>
      </c>
      <c r="O14" s="136"/>
      <c r="P14" s="134">
        <f t="shared" ref="P14:P23" si="1">$F14/3</f>
        <v>25</v>
      </c>
      <c r="Q14" s="134">
        <f>F14*15</f>
        <v>1125</v>
      </c>
      <c r="R14" s="136"/>
    </row>
    <row r="15" spans="1:68" s="123" customFormat="1" x14ac:dyDescent="0.25">
      <c r="A15" s="117" t="s">
        <v>43</v>
      </c>
      <c r="B15" s="118">
        <v>2</v>
      </c>
      <c r="C15" s="131" t="s">
        <v>48</v>
      </c>
      <c r="D15" s="132" t="s">
        <v>49</v>
      </c>
      <c r="E15" s="120">
        <v>2</v>
      </c>
      <c r="F15" s="141">
        <v>75</v>
      </c>
      <c r="G15" s="134">
        <v>38</v>
      </c>
      <c r="H15" s="134">
        <f>H14/2</f>
        <v>862.5</v>
      </c>
      <c r="I15" s="135"/>
      <c r="J15" s="134">
        <v>38</v>
      </c>
      <c r="K15" s="134">
        <f>K14/2</f>
        <v>900</v>
      </c>
      <c r="L15" s="136"/>
      <c r="M15" s="134">
        <f t="shared" si="0"/>
        <v>25</v>
      </c>
      <c r="N15" s="134">
        <f>N14/2</f>
        <v>712.5</v>
      </c>
      <c r="O15" s="136"/>
      <c r="P15" s="134">
        <f t="shared" si="1"/>
        <v>25</v>
      </c>
      <c r="Q15" s="134">
        <f>Q14/2</f>
        <v>562.5</v>
      </c>
      <c r="R15" s="136"/>
    </row>
    <row r="16" spans="1:68" s="123" customFormat="1" x14ac:dyDescent="0.25">
      <c r="A16" s="117" t="s">
        <v>43</v>
      </c>
      <c r="B16" s="118">
        <v>2</v>
      </c>
      <c r="C16" s="131" t="s">
        <v>52</v>
      </c>
      <c r="D16" s="132" t="s">
        <v>53</v>
      </c>
      <c r="E16" s="120">
        <v>1</v>
      </c>
      <c r="F16" s="141">
        <v>75</v>
      </c>
      <c r="G16" s="134">
        <v>38</v>
      </c>
      <c r="H16" s="134">
        <f>F16*23</f>
        <v>1725</v>
      </c>
      <c r="I16" s="135"/>
      <c r="J16" s="134">
        <v>38</v>
      </c>
      <c r="K16" s="134">
        <v>1800</v>
      </c>
      <c r="L16" s="136"/>
      <c r="M16" s="134">
        <f t="shared" si="0"/>
        <v>25</v>
      </c>
      <c r="N16" s="134">
        <v>1425</v>
      </c>
      <c r="O16" s="136"/>
      <c r="P16" s="134">
        <f t="shared" si="1"/>
        <v>25</v>
      </c>
      <c r="Q16" s="134">
        <v>1125</v>
      </c>
      <c r="R16" s="136"/>
    </row>
    <row r="17" spans="1:18" s="123" customFormat="1" x14ac:dyDescent="0.25">
      <c r="A17" s="117" t="s">
        <v>43</v>
      </c>
      <c r="B17" s="118">
        <v>2</v>
      </c>
      <c r="C17" s="131" t="s">
        <v>54</v>
      </c>
      <c r="D17" s="132" t="s">
        <v>55</v>
      </c>
      <c r="E17" s="120">
        <v>2</v>
      </c>
      <c r="F17" s="141">
        <v>75</v>
      </c>
      <c r="G17" s="134">
        <v>38</v>
      </c>
      <c r="H17" s="134">
        <v>863</v>
      </c>
      <c r="I17" s="135"/>
      <c r="J17" s="134">
        <v>38</v>
      </c>
      <c r="K17" s="134">
        <v>900</v>
      </c>
      <c r="L17" s="136"/>
      <c r="M17" s="134">
        <f t="shared" si="0"/>
        <v>25</v>
      </c>
      <c r="N17" s="134">
        <v>713</v>
      </c>
      <c r="O17" s="136"/>
      <c r="P17" s="134">
        <f t="shared" si="1"/>
        <v>25</v>
      </c>
      <c r="Q17" s="134">
        <v>563</v>
      </c>
      <c r="R17" s="136"/>
    </row>
    <row r="18" spans="1:18" s="123" customFormat="1" x14ac:dyDescent="0.25">
      <c r="A18" s="117" t="s">
        <v>43</v>
      </c>
      <c r="B18" s="118">
        <v>2</v>
      </c>
      <c r="C18" s="131" t="s">
        <v>60</v>
      </c>
      <c r="D18" s="132" t="s">
        <v>61</v>
      </c>
      <c r="E18" s="120">
        <v>2</v>
      </c>
      <c r="F18" s="141">
        <v>75</v>
      </c>
      <c r="G18" s="134">
        <v>38</v>
      </c>
      <c r="H18" s="134">
        <v>863</v>
      </c>
      <c r="I18" s="135"/>
      <c r="J18" s="134">
        <v>38</v>
      </c>
      <c r="K18" s="134">
        <v>900</v>
      </c>
      <c r="L18" s="136"/>
      <c r="M18" s="134">
        <f t="shared" si="0"/>
        <v>25</v>
      </c>
      <c r="N18" s="134">
        <v>713</v>
      </c>
      <c r="O18" s="136"/>
      <c r="P18" s="134">
        <f t="shared" si="1"/>
        <v>25</v>
      </c>
      <c r="Q18" s="134">
        <v>563</v>
      </c>
      <c r="R18" s="136"/>
    </row>
    <row r="19" spans="1:18" s="123" customFormat="1" x14ac:dyDescent="0.25">
      <c r="A19" s="117" t="s">
        <v>43</v>
      </c>
      <c r="B19" s="118">
        <v>2</v>
      </c>
      <c r="C19" s="131" t="s">
        <v>62</v>
      </c>
      <c r="D19" s="132" t="s">
        <v>63</v>
      </c>
      <c r="E19" s="120">
        <v>1</v>
      </c>
      <c r="F19" s="141">
        <v>75</v>
      </c>
      <c r="G19" s="134">
        <v>38</v>
      </c>
      <c r="H19" s="134">
        <f>F19*23</f>
        <v>1725</v>
      </c>
      <c r="I19" s="135"/>
      <c r="J19" s="134">
        <v>38</v>
      </c>
      <c r="K19" s="134">
        <v>1800</v>
      </c>
      <c r="L19" s="136"/>
      <c r="M19" s="134">
        <f t="shared" si="0"/>
        <v>25</v>
      </c>
      <c r="N19" s="134">
        <v>1425</v>
      </c>
      <c r="O19" s="136"/>
      <c r="P19" s="134">
        <f t="shared" si="1"/>
        <v>25</v>
      </c>
      <c r="Q19" s="134">
        <v>1125</v>
      </c>
      <c r="R19" s="136"/>
    </row>
    <row r="20" spans="1:18" s="123" customFormat="1" x14ac:dyDescent="0.25">
      <c r="A20" s="117" t="s">
        <v>43</v>
      </c>
      <c r="B20" s="118">
        <v>2</v>
      </c>
      <c r="C20" s="131" t="s">
        <v>64</v>
      </c>
      <c r="D20" s="132" t="s">
        <v>65</v>
      </c>
      <c r="E20" s="120">
        <v>2</v>
      </c>
      <c r="F20" s="141">
        <v>75</v>
      </c>
      <c r="G20" s="134">
        <v>38</v>
      </c>
      <c r="H20" s="134">
        <v>863</v>
      </c>
      <c r="I20" s="135"/>
      <c r="J20" s="134">
        <v>38</v>
      </c>
      <c r="K20" s="134">
        <v>900</v>
      </c>
      <c r="L20" s="136"/>
      <c r="M20" s="134">
        <f t="shared" si="0"/>
        <v>25</v>
      </c>
      <c r="N20" s="134">
        <v>713</v>
      </c>
      <c r="O20" s="136"/>
      <c r="P20" s="134">
        <f t="shared" si="1"/>
        <v>25</v>
      </c>
      <c r="Q20" s="134">
        <v>563</v>
      </c>
      <c r="R20" s="136"/>
    </row>
    <row r="21" spans="1:18" s="123" customFormat="1" x14ac:dyDescent="0.25">
      <c r="A21" s="117" t="s">
        <v>43</v>
      </c>
      <c r="B21" s="118">
        <v>2</v>
      </c>
      <c r="C21" s="131" t="s">
        <v>68</v>
      </c>
      <c r="D21" s="132" t="s">
        <v>69</v>
      </c>
      <c r="E21" s="120">
        <v>1</v>
      </c>
      <c r="F21" s="141">
        <v>75</v>
      </c>
      <c r="G21" s="134">
        <v>38</v>
      </c>
      <c r="H21" s="134">
        <f>F21*23</f>
        <v>1725</v>
      </c>
      <c r="I21" s="135"/>
      <c r="J21" s="134">
        <v>38</v>
      </c>
      <c r="K21" s="134">
        <v>1800</v>
      </c>
      <c r="L21" s="136"/>
      <c r="M21" s="134">
        <f t="shared" si="0"/>
        <v>25</v>
      </c>
      <c r="N21" s="134">
        <v>1425</v>
      </c>
      <c r="O21" s="136"/>
      <c r="P21" s="134">
        <f t="shared" si="1"/>
        <v>25</v>
      </c>
      <c r="Q21" s="134">
        <v>1125</v>
      </c>
      <c r="R21" s="136"/>
    </row>
    <row r="22" spans="1:18" s="123" customFormat="1" x14ac:dyDescent="0.25">
      <c r="A22" s="117" t="s">
        <v>43</v>
      </c>
      <c r="B22" s="118">
        <v>2</v>
      </c>
      <c r="C22" s="131" t="s">
        <v>72</v>
      </c>
      <c r="D22" s="132" t="s">
        <v>73</v>
      </c>
      <c r="E22" s="120">
        <v>2</v>
      </c>
      <c r="F22" s="141">
        <v>75</v>
      </c>
      <c r="G22" s="134">
        <v>38</v>
      </c>
      <c r="H22" s="134">
        <v>863</v>
      </c>
      <c r="I22" s="135"/>
      <c r="J22" s="134">
        <v>38</v>
      </c>
      <c r="K22" s="134">
        <v>900</v>
      </c>
      <c r="L22" s="136"/>
      <c r="M22" s="134">
        <f t="shared" si="0"/>
        <v>25</v>
      </c>
      <c r="N22" s="134">
        <v>713</v>
      </c>
      <c r="O22" s="136"/>
      <c r="P22" s="134">
        <f t="shared" si="1"/>
        <v>25</v>
      </c>
      <c r="Q22" s="134">
        <v>563</v>
      </c>
      <c r="R22" s="136"/>
    </row>
    <row r="23" spans="1:18" s="123" customFormat="1" x14ac:dyDescent="0.25">
      <c r="A23" s="117" t="s">
        <v>43</v>
      </c>
      <c r="B23" s="118">
        <v>2</v>
      </c>
      <c r="C23" s="131" t="str">
        <f>'common foods'!C31</f>
        <v>Tomatoes, fresh</v>
      </c>
      <c r="D23" s="132" t="s">
        <v>75</v>
      </c>
      <c r="E23" s="120">
        <v>2</v>
      </c>
      <c r="F23" s="141">
        <v>75</v>
      </c>
      <c r="G23" s="134">
        <v>38</v>
      </c>
      <c r="H23" s="134">
        <v>863</v>
      </c>
      <c r="I23" s="135"/>
      <c r="J23" s="134">
        <v>38</v>
      </c>
      <c r="K23" s="134">
        <v>900</v>
      </c>
      <c r="L23" s="136"/>
      <c r="M23" s="134">
        <f t="shared" si="0"/>
        <v>25</v>
      </c>
      <c r="N23" s="134">
        <v>713</v>
      </c>
      <c r="O23" s="136"/>
      <c r="P23" s="134">
        <f t="shared" si="1"/>
        <v>25</v>
      </c>
      <c r="Q23" s="134">
        <v>563</v>
      </c>
      <c r="R23" s="136"/>
    </row>
    <row r="24" spans="1:18" s="123" customFormat="1" x14ac:dyDescent="0.25">
      <c r="A24" s="117" t="s">
        <v>43</v>
      </c>
      <c r="B24" s="118">
        <v>2</v>
      </c>
      <c r="C24" s="131" t="s">
        <v>96</v>
      </c>
      <c r="D24" s="132" t="s">
        <v>97</v>
      </c>
      <c r="E24" s="132">
        <v>2</v>
      </c>
      <c r="F24" s="139">
        <v>250</v>
      </c>
      <c r="G24" s="134">
        <f>$F24/2</f>
        <v>125</v>
      </c>
      <c r="H24" s="134">
        <f>F24*23/2</f>
        <v>2875</v>
      </c>
      <c r="I24" s="135"/>
      <c r="J24" s="134">
        <f>$F24/2</f>
        <v>125</v>
      </c>
      <c r="K24" s="134">
        <f>F24*12</f>
        <v>3000</v>
      </c>
      <c r="L24" s="136"/>
      <c r="M24" s="134">
        <f>F24/3</f>
        <v>83.333333333333329</v>
      </c>
      <c r="N24" s="134">
        <f>F24*19/2</f>
        <v>2375</v>
      </c>
      <c r="O24" s="136"/>
      <c r="P24" s="134">
        <v>83</v>
      </c>
      <c r="Q24" s="134">
        <f>F24*15/2</f>
        <v>1875</v>
      </c>
      <c r="R24" s="136"/>
    </row>
    <row r="25" spans="1:18" s="123" customFormat="1" x14ac:dyDescent="0.25">
      <c r="A25" s="117" t="s">
        <v>43</v>
      </c>
      <c r="B25" s="118">
        <v>2</v>
      </c>
      <c r="C25" s="131" t="str">
        <f>'common foods'!C33</f>
        <v>Garlic, fresh</v>
      </c>
      <c r="D25" s="132" t="s">
        <v>79</v>
      </c>
      <c r="E25" s="132">
        <v>2</v>
      </c>
      <c r="F25" s="139">
        <v>5</v>
      </c>
      <c r="G25" s="134">
        <v>2.5</v>
      </c>
      <c r="H25" s="134">
        <v>70</v>
      </c>
      <c r="I25" s="135"/>
      <c r="J25" s="134">
        <v>2.5</v>
      </c>
      <c r="K25" s="134">
        <v>70</v>
      </c>
      <c r="L25" s="136"/>
      <c r="M25" s="134">
        <v>2.5</v>
      </c>
      <c r="N25" s="134">
        <v>70</v>
      </c>
      <c r="O25" s="136"/>
      <c r="P25" s="134">
        <v>2.5</v>
      </c>
      <c r="Q25" s="134">
        <v>70</v>
      </c>
      <c r="R25" s="136"/>
    </row>
    <row r="26" spans="1:18" s="123" customFormat="1" x14ac:dyDescent="0.25">
      <c r="A26" s="117" t="s">
        <v>43</v>
      </c>
      <c r="B26" s="118">
        <v>2</v>
      </c>
      <c r="C26" s="131" t="s">
        <v>92</v>
      </c>
      <c r="D26" s="132" t="s">
        <v>93</v>
      </c>
      <c r="E26" s="132">
        <v>2</v>
      </c>
      <c r="F26" s="139">
        <v>75</v>
      </c>
      <c r="G26" s="134">
        <v>38</v>
      </c>
      <c r="H26" s="134">
        <v>863</v>
      </c>
      <c r="I26" s="135"/>
      <c r="J26" s="134">
        <v>38</v>
      </c>
      <c r="K26" s="134">
        <v>900</v>
      </c>
      <c r="L26" s="136"/>
      <c r="M26" s="134">
        <v>38</v>
      </c>
      <c r="N26" s="134">
        <v>713</v>
      </c>
      <c r="O26" s="136"/>
      <c r="P26" s="134">
        <v>38</v>
      </c>
      <c r="Q26" s="134">
        <v>563</v>
      </c>
      <c r="R26" s="136"/>
    </row>
    <row r="27" spans="1:18" s="130" customFormat="1" x14ac:dyDescent="0.25">
      <c r="A27" s="126" t="s">
        <v>583</v>
      </c>
      <c r="B27" s="125"/>
      <c r="C27" s="124"/>
      <c r="D27" s="140"/>
      <c r="E27" s="127"/>
      <c r="F27" s="125"/>
      <c r="G27" s="128"/>
      <c r="H27" s="128"/>
      <c r="I27" s="129"/>
      <c r="J27" s="128"/>
      <c r="K27" s="128"/>
      <c r="L27" s="142"/>
      <c r="M27" s="128"/>
      <c r="N27" s="128"/>
      <c r="O27" s="142"/>
      <c r="P27" s="128"/>
      <c r="Q27" s="128"/>
      <c r="R27" s="142"/>
    </row>
    <row r="28" spans="1:18" s="123" customFormat="1" x14ac:dyDescent="0.25">
      <c r="A28" s="117" t="s">
        <v>43</v>
      </c>
      <c r="B28" s="118">
        <v>2</v>
      </c>
      <c r="C28" s="131" t="s">
        <v>82</v>
      </c>
      <c r="D28" s="132" t="s">
        <v>83</v>
      </c>
      <c r="E28" s="120">
        <v>2</v>
      </c>
      <c r="F28" s="141">
        <v>135</v>
      </c>
      <c r="G28" s="134">
        <f>F28/2</f>
        <v>67.5</v>
      </c>
      <c r="H28" s="134">
        <f t="shared" ref="H28:H34" si="2">$F28*4</f>
        <v>540</v>
      </c>
      <c r="I28" s="135"/>
      <c r="J28" s="134">
        <v>68</v>
      </c>
      <c r="K28" s="134">
        <f>$F28*4</f>
        <v>540</v>
      </c>
      <c r="L28" s="136"/>
      <c r="M28" s="134">
        <f>F28/3</f>
        <v>45</v>
      </c>
      <c r="N28" s="134">
        <f>$F28*4</f>
        <v>540</v>
      </c>
      <c r="O28" s="136"/>
      <c r="P28" s="134">
        <f>$F28/3</f>
        <v>45</v>
      </c>
      <c r="Q28" s="134">
        <v>540</v>
      </c>
      <c r="R28" s="136"/>
    </row>
    <row r="29" spans="1:18" s="123" customFormat="1" x14ac:dyDescent="0.25">
      <c r="A29" s="117" t="s">
        <v>43</v>
      </c>
      <c r="B29" s="118">
        <v>2</v>
      </c>
      <c r="C29" s="131" t="s">
        <v>84</v>
      </c>
      <c r="D29" s="132" t="s">
        <v>85</v>
      </c>
      <c r="E29" s="120">
        <v>1</v>
      </c>
      <c r="F29" s="141">
        <v>135</v>
      </c>
      <c r="G29" s="134">
        <v>68</v>
      </c>
      <c r="H29" s="134">
        <f t="shared" si="2"/>
        <v>540</v>
      </c>
      <c r="I29" s="135"/>
      <c r="J29" s="134">
        <v>68</v>
      </c>
      <c r="K29" s="134">
        <f>$F29*4</f>
        <v>540</v>
      </c>
      <c r="L29" s="136"/>
      <c r="M29" s="134">
        <v>45</v>
      </c>
      <c r="N29" s="134">
        <f>$F29*4</f>
        <v>540</v>
      </c>
      <c r="O29" s="136"/>
      <c r="P29" s="134">
        <f>$F29/3</f>
        <v>45</v>
      </c>
      <c r="Q29" s="134">
        <v>540</v>
      </c>
      <c r="R29" s="136"/>
    </row>
    <row r="30" spans="1:18" s="123" customFormat="1" x14ac:dyDescent="0.25">
      <c r="A30" s="117" t="s">
        <v>43</v>
      </c>
      <c r="B30" s="118">
        <v>2</v>
      </c>
      <c r="C30" s="131" t="s">
        <v>327</v>
      </c>
      <c r="D30" s="132" t="s">
        <v>328</v>
      </c>
      <c r="E30" s="120">
        <v>1</v>
      </c>
      <c r="F30" s="141">
        <v>135</v>
      </c>
      <c r="G30" s="134">
        <v>68</v>
      </c>
      <c r="H30" s="134">
        <f t="shared" si="2"/>
        <v>540</v>
      </c>
      <c r="I30" s="135"/>
      <c r="J30" s="134">
        <v>68</v>
      </c>
      <c r="K30" s="134">
        <f>$F30*4</f>
        <v>540</v>
      </c>
      <c r="L30" s="136"/>
      <c r="M30" s="134">
        <v>45</v>
      </c>
      <c r="N30" s="134">
        <f>$F30*4</f>
        <v>540</v>
      </c>
      <c r="O30" s="136"/>
      <c r="P30" s="134">
        <f>$F30/3</f>
        <v>45</v>
      </c>
      <c r="Q30" s="134">
        <v>540</v>
      </c>
      <c r="R30" s="136"/>
    </row>
    <row r="31" spans="1:18" s="123" customFormat="1" x14ac:dyDescent="0.25">
      <c r="A31" s="117" t="s">
        <v>43</v>
      </c>
      <c r="B31" s="118">
        <v>2</v>
      </c>
      <c r="C31" s="131" t="s">
        <v>86</v>
      </c>
      <c r="D31" s="132" t="s">
        <v>87</v>
      </c>
      <c r="E31" s="120">
        <v>2</v>
      </c>
      <c r="F31" s="141">
        <v>135</v>
      </c>
      <c r="G31" s="134">
        <v>68</v>
      </c>
      <c r="H31" s="134">
        <f t="shared" si="2"/>
        <v>540</v>
      </c>
      <c r="I31" s="135"/>
      <c r="J31" s="134">
        <v>68</v>
      </c>
      <c r="K31" s="134">
        <f>$F31*4</f>
        <v>540</v>
      </c>
      <c r="L31" s="136"/>
      <c r="M31" s="134">
        <v>45</v>
      </c>
      <c r="N31" s="134">
        <f>$F31*4</f>
        <v>540</v>
      </c>
      <c r="O31" s="136"/>
      <c r="P31" s="134">
        <f>$F31/3</f>
        <v>45</v>
      </c>
      <c r="Q31" s="134">
        <v>540</v>
      </c>
      <c r="R31" s="136"/>
    </row>
    <row r="32" spans="1:18" s="123" customFormat="1" x14ac:dyDescent="0.25">
      <c r="A32" s="117" t="s">
        <v>43</v>
      </c>
      <c r="B32" s="118">
        <v>2</v>
      </c>
      <c r="C32" s="131" t="str">
        <f>'common foods'!C38</f>
        <v>Cassava, frozen</v>
      </c>
      <c r="D32" s="132" t="s">
        <v>89</v>
      </c>
      <c r="E32" s="120">
        <v>2</v>
      </c>
      <c r="F32" s="141">
        <v>135</v>
      </c>
      <c r="G32" s="134">
        <v>68</v>
      </c>
      <c r="H32" s="134">
        <f t="shared" si="2"/>
        <v>540</v>
      </c>
      <c r="I32" s="135"/>
      <c r="J32" s="134">
        <v>68</v>
      </c>
      <c r="K32" s="134">
        <f>$F32*4</f>
        <v>540</v>
      </c>
      <c r="L32" s="136"/>
      <c r="M32" s="134">
        <v>68</v>
      </c>
      <c r="N32" s="134">
        <f>$F32*4</f>
        <v>540</v>
      </c>
      <c r="O32" s="136"/>
      <c r="P32" s="134">
        <f>$F32/3</f>
        <v>45</v>
      </c>
      <c r="Q32" s="134">
        <v>540</v>
      </c>
      <c r="R32" s="136"/>
    </row>
    <row r="33" spans="1:18" s="123" customFormat="1" x14ac:dyDescent="0.25">
      <c r="A33" s="117" t="s">
        <v>43</v>
      </c>
      <c r="B33" s="118">
        <v>2</v>
      </c>
      <c r="C33" s="131" t="str">
        <f>'common foods'!C39</f>
        <v xml:space="preserve">Taro  </v>
      </c>
      <c r="D33" s="132" t="s">
        <v>91</v>
      </c>
      <c r="E33" s="120">
        <v>1</v>
      </c>
      <c r="F33" s="141">
        <v>135</v>
      </c>
      <c r="G33" s="134">
        <v>68</v>
      </c>
      <c r="H33" s="134">
        <f t="shared" si="2"/>
        <v>540</v>
      </c>
      <c r="I33" s="135"/>
      <c r="J33" s="134">
        <v>68</v>
      </c>
      <c r="K33" s="134">
        <v>540</v>
      </c>
      <c r="L33" s="136"/>
      <c r="M33" s="134">
        <v>68</v>
      </c>
      <c r="N33" s="134">
        <v>540</v>
      </c>
      <c r="O33" s="136"/>
      <c r="P33" s="134">
        <v>68</v>
      </c>
      <c r="Q33" s="134">
        <v>540</v>
      </c>
      <c r="R33" s="136"/>
    </row>
    <row r="34" spans="1:18" s="123" customFormat="1" x14ac:dyDescent="0.25">
      <c r="A34" s="117" t="s">
        <v>43</v>
      </c>
      <c r="B34" s="118">
        <v>2</v>
      </c>
      <c r="C34" s="131" t="str">
        <f>'common foods'!C41</f>
        <v>Green banana</v>
      </c>
      <c r="D34" s="132" t="s">
        <v>95</v>
      </c>
      <c r="E34" s="120">
        <v>2</v>
      </c>
      <c r="F34" s="141">
        <v>135</v>
      </c>
      <c r="G34" s="134">
        <v>68</v>
      </c>
      <c r="H34" s="134">
        <f t="shared" si="2"/>
        <v>540</v>
      </c>
      <c r="I34" s="135"/>
      <c r="J34" s="134">
        <v>68</v>
      </c>
      <c r="K34" s="134">
        <v>540</v>
      </c>
      <c r="L34" s="136"/>
      <c r="M34" s="134">
        <v>68</v>
      </c>
      <c r="N34" s="134">
        <v>540</v>
      </c>
      <c r="O34" s="136"/>
      <c r="P34" s="134">
        <v>68</v>
      </c>
      <c r="Q34" s="134">
        <v>540</v>
      </c>
      <c r="R34" s="136"/>
    </row>
    <row r="35" spans="1:18" s="130" customFormat="1" x14ac:dyDescent="0.25">
      <c r="A35" s="126" t="s">
        <v>572</v>
      </c>
      <c r="B35" s="125"/>
      <c r="C35" s="124"/>
      <c r="D35" s="140"/>
      <c r="E35" s="127"/>
      <c r="F35" s="127"/>
      <c r="G35" s="127">
        <v>39</v>
      </c>
      <c r="H35" s="127">
        <v>47</v>
      </c>
      <c r="I35" s="127">
        <v>43</v>
      </c>
      <c r="J35" s="127">
        <v>29</v>
      </c>
      <c r="K35" s="127">
        <v>39</v>
      </c>
      <c r="L35" s="127">
        <v>35</v>
      </c>
      <c r="M35" s="128">
        <v>40</v>
      </c>
      <c r="N35" s="128">
        <v>48</v>
      </c>
      <c r="O35" s="129">
        <v>44</v>
      </c>
      <c r="P35" s="128">
        <v>20</v>
      </c>
      <c r="Q35" s="128">
        <v>28</v>
      </c>
      <c r="R35" s="129">
        <v>24</v>
      </c>
    </row>
    <row r="36" spans="1:18" s="123" customFormat="1" x14ac:dyDescent="0.25">
      <c r="A36" s="117" t="s">
        <v>106</v>
      </c>
      <c r="B36" s="118">
        <v>3</v>
      </c>
      <c r="C36" s="131" t="s">
        <v>107</v>
      </c>
      <c r="D36" s="132" t="s">
        <v>108</v>
      </c>
      <c r="E36" s="120">
        <v>1</v>
      </c>
      <c r="F36" s="141">
        <v>65</v>
      </c>
      <c r="G36" s="134">
        <f>F36/2</f>
        <v>32.5</v>
      </c>
      <c r="H36" s="134">
        <f>F36*39/2</f>
        <v>1267.5</v>
      </c>
      <c r="I36" s="135"/>
      <c r="J36" s="134">
        <v>32.5</v>
      </c>
      <c r="K36" s="134">
        <f>F36*29/2</f>
        <v>942.5</v>
      </c>
      <c r="L36" s="136"/>
      <c r="M36" s="134">
        <v>32.5</v>
      </c>
      <c r="N36" s="134">
        <f>F36*40/2</f>
        <v>1300</v>
      </c>
      <c r="O36" s="136"/>
      <c r="P36" s="134">
        <v>32.5</v>
      </c>
      <c r="Q36" s="134">
        <f>F36*20/2</f>
        <v>650</v>
      </c>
      <c r="R36" s="136"/>
    </row>
    <row r="37" spans="1:18" s="123" customFormat="1" x14ac:dyDescent="0.25">
      <c r="A37" s="117" t="s">
        <v>106</v>
      </c>
      <c r="B37" s="118">
        <v>3</v>
      </c>
      <c r="C37" s="131" t="s">
        <v>109</v>
      </c>
      <c r="D37" s="132" t="s">
        <v>110</v>
      </c>
      <c r="E37" s="120">
        <v>1</v>
      </c>
      <c r="F37" s="141">
        <v>65</v>
      </c>
      <c r="G37" s="134">
        <v>33</v>
      </c>
      <c r="H37" s="134">
        <v>1268</v>
      </c>
      <c r="I37" s="135"/>
      <c r="J37" s="134">
        <v>33</v>
      </c>
      <c r="K37" s="134">
        <f>F37*29/2</f>
        <v>942.5</v>
      </c>
      <c r="L37" s="136"/>
      <c r="M37" s="134">
        <v>33</v>
      </c>
      <c r="N37" s="134">
        <v>1300</v>
      </c>
      <c r="O37" s="136"/>
      <c r="P37" s="134">
        <v>33</v>
      </c>
      <c r="Q37" s="134">
        <v>650</v>
      </c>
      <c r="R37" s="136"/>
    </row>
    <row r="38" spans="1:18" s="123" customFormat="1" x14ac:dyDescent="0.25">
      <c r="A38" s="117" t="s">
        <v>106</v>
      </c>
      <c r="B38" s="118">
        <v>3</v>
      </c>
      <c r="C38" s="131" t="str">
        <f>'common foods'!C49</f>
        <v>Bread, multigrain</v>
      </c>
      <c r="D38" s="132" t="s">
        <v>112</v>
      </c>
      <c r="E38" s="120">
        <v>2</v>
      </c>
      <c r="F38" s="141">
        <v>65</v>
      </c>
      <c r="G38" s="134">
        <f>F38/2</f>
        <v>32.5</v>
      </c>
      <c r="H38" s="134">
        <v>1268</v>
      </c>
      <c r="I38" s="135"/>
      <c r="J38" s="134">
        <v>32.5</v>
      </c>
      <c r="K38" s="134">
        <f>F38*29/2</f>
        <v>942.5</v>
      </c>
      <c r="L38" s="136"/>
      <c r="M38" s="134">
        <v>32.5</v>
      </c>
      <c r="N38" s="134">
        <f>F38*40/2</f>
        <v>1300</v>
      </c>
      <c r="O38" s="136"/>
      <c r="P38" s="134">
        <v>32.5</v>
      </c>
      <c r="Q38" s="134">
        <v>650</v>
      </c>
      <c r="R38" s="136"/>
    </row>
    <row r="39" spans="1:18" s="123" customFormat="1" x14ac:dyDescent="0.25">
      <c r="A39" s="117" t="s">
        <v>106</v>
      </c>
      <c r="B39" s="118">
        <v>3</v>
      </c>
      <c r="C39" s="131" t="s">
        <v>117</v>
      </c>
      <c r="D39" s="132" t="s">
        <v>118</v>
      </c>
      <c r="E39" s="120">
        <v>1</v>
      </c>
      <c r="F39" s="141">
        <v>65</v>
      </c>
      <c r="G39" s="143">
        <v>0</v>
      </c>
      <c r="H39" s="143">
        <v>0</v>
      </c>
      <c r="I39" s="135"/>
      <c r="J39" s="143">
        <v>0</v>
      </c>
      <c r="K39" s="143">
        <v>0</v>
      </c>
      <c r="L39" s="136"/>
      <c r="M39" s="134">
        <v>33</v>
      </c>
      <c r="N39" s="134">
        <f>F39*40/2</f>
        <v>1300</v>
      </c>
      <c r="O39" s="136"/>
      <c r="P39" s="134">
        <v>33</v>
      </c>
      <c r="Q39" s="134">
        <v>650</v>
      </c>
      <c r="R39" s="136"/>
    </row>
    <row r="40" spans="1:18" s="123" customFormat="1" x14ac:dyDescent="0.25">
      <c r="A40" s="117" t="s">
        <v>106</v>
      </c>
      <c r="B40" s="118">
        <v>3</v>
      </c>
      <c r="C40" s="131" t="str">
        <f>'common foods'!C64</f>
        <v>Muesli, toasted</v>
      </c>
      <c r="D40" s="132" t="s">
        <v>142</v>
      </c>
      <c r="E40" s="120">
        <v>2</v>
      </c>
      <c r="F40" s="141">
        <v>65</v>
      </c>
      <c r="G40" s="134">
        <v>33</v>
      </c>
      <c r="H40" s="134">
        <v>1268</v>
      </c>
      <c r="I40" s="135"/>
      <c r="J40" s="134">
        <v>33</v>
      </c>
      <c r="K40" s="134">
        <v>943</v>
      </c>
      <c r="L40" s="136"/>
      <c r="M40" s="134">
        <v>33</v>
      </c>
      <c r="N40" s="134">
        <v>1302</v>
      </c>
      <c r="O40" s="136"/>
      <c r="P40" s="134">
        <v>33</v>
      </c>
      <c r="Q40" s="134">
        <v>650</v>
      </c>
      <c r="R40" s="136"/>
    </row>
    <row r="41" spans="1:18" s="123" customFormat="1" x14ac:dyDescent="0.25">
      <c r="A41" s="117" t="s">
        <v>106</v>
      </c>
      <c r="B41" s="118">
        <v>3</v>
      </c>
      <c r="C41" s="131" t="s">
        <v>121</v>
      </c>
      <c r="D41" s="132" t="s">
        <v>122</v>
      </c>
      <c r="E41" s="120">
        <v>1</v>
      </c>
      <c r="F41" s="141">
        <v>65</v>
      </c>
      <c r="G41" s="134">
        <v>33</v>
      </c>
      <c r="H41" s="134">
        <v>1268</v>
      </c>
      <c r="I41" s="135"/>
      <c r="J41" s="134">
        <v>33</v>
      </c>
      <c r="K41" s="134">
        <v>943</v>
      </c>
      <c r="L41" s="136"/>
      <c r="M41" s="134">
        <v>33</v>
      </c>
      <c r="N41" s="134">
        <f>F41*40/2</f>
        <v>1300</v>
      </c>
      <c r="O41" s="136"/>
      <c r="P41" s="134">
        <v>33</v>
      </c>
      <c r="Q41" s="134">
        <v>650</v>
      </c>
      <c r="R41" s="136"/>
    </row>
    <row r="42" spans="1:18" s="123" customFormat="1" x14ac:dyDescent="0.25">
      <c r="A42" s="117" t="s">
        <v>106</v>
      </c>
      <c r="B42" s="118">
        <v>3</v>
      </c>
      <c r="C42" s="131" t="s">
        <v>123</v>
      </c>
      <c r="D42" s="132" t="s">
        <v>124</v>
      </c>
      <c r="E42" s="120">
        <v>1</v>
      </c>
      <c r="F42" s="141">
        <v>65</v>
      </c>
      <c r="G42" s="134">
        <v>33</v>
      </c>
      <c r="H42" s="134">
        <v>1268</v>
      </c>
      <c r="I42" s="135"/>
      <c r="J42" s="134">
        <v>33</v>
      </c>
      <c r="K42" s="134">
        <v>943</v>
      </c>
      <c r="L42" s="136"/>
      <c r="M42" s="134">
        <v>33</v>
      </c>
      <c r="N42" s="134">
        <v>1303</v>
      </c>
      <c r="O42" s="136"/>
      <c r="P42" s="134">
        <v>33</v>
      </c>
      <c r="Q42" s="134">
        <v>650</v>
      </c>
      <c r="R42" s="136"/>
    </row>
    <row r="43" spans="1:18" s="123" customFormat="1" x14ac:dyDescent="0.25">
      <c r="A43" s="117" t="s">
        <v>106</v>
      </c>
      <c r="B43" s="118">
        <v>3</v>
      </c>
      <c r="C43" s="131" t="s">
        <v>125</v>
      </c>
      <c r="D43" s="132" t="s">
        <v>126</v>
      </c>
      <c r="E43" s="120">
        <v>1</v>
      </c>
      <c r="F43" s="141">
        <v>65</v>
      </c>
      <c r="G43" s="134">
        <v>33</v>
      </c>
      <c r="H43" s="134">
        <v>1268</v>
      </c>
      <c r="I43" s="135"/>
      <c r="J43" s="134">
        <v>33</v>
      </c>
      <c r="K43" s="134">
        <v>943</v>
      </c>
      <c r="L43" s="136"/>
      <c r="M43" s="134">
        <v>33</v>
      </c>
      <c r="N43" s="134">
        <v>1304</v>
      </c>
      <c r="O43" s="136"/>
      <c r="P43" s="134">
        <v>33</v>
      </c>
      <c r="Q43" s="134">
        <v>650</v>
      </c>
      <c r="R43" s="136"/>
    </row>
    <row r="44" spans="1:18" s="123" customFormat="1" x14ac:dyDescent="0.25">
      <c r="A44" s="117" t="s">
        <v>106</v>
      </c>
      <c r="B44" s="118">
        <v>3</v>
      </c>
      <c r="C44" s="131" t="s">
        <v>131</v>
      </c>
      <c r="D44" s="132" t="s">
        <v>132</v>
      </c>
      <c r="E44" s="120">
        <v>2</v>
      </c>
      <c r="F44" s="141">
        <v>65</v>
      </c>
      <c r="G44" s="134">
        <v>33</v>
      </c>
      <c r="H44" s="134">
        <v>1268</v>
      </c>
      <c r="I44" s="135"/>
      <c r="J44" s="134">
        <v>33</v>
      </c>
      <c r="K44" s="134">
        <v>943</v>
      </c>
      <c r="L44" s="136"/>
      <c r="M44" s="134">
        <v>33</v>
      </c>
      <c r="N44" s="134">
        <f>F44*40/2</f>
        <v>1300</v>
      </c>
      <c r="O44" s="136"/>
      <c r="P44" s="134">
        <v>33</v>
      </c>
      <c r="Q44" s="134">
        <v>650</v>
      </c>
      <c r="R44" s="136"/>
    </row>
    <row r="45" spans="1:18" s="123" customFormat="1" x14ac:dyDescent="0.25">
      <c r="A45" s="117" t="s">
        <v>106</v>
      </c>
      <c r="B45" s="118">
        <v>3</v>
      </c>
      <c r="C45" s="131" t="s">
        <v>135</v>
      </c>
      <c r="D45" s="132" t="s">
        <v>136</v>
      </c>
      <c r="E45" s="120">
        <v>2</v>
      </c>
      <c r="F45" s="141">
        <v>65</v>
      </c>
      <c r="G45" s="134">
        <v>33</v>
      </c>
      <c r="H45" s="134">
        <v>1268</v>
      </c>
      <c r="I45" s="135"/>
      <c r="J45" s="134">
        <v>33</v>
      </c>
      <c r="K45" s="134">
        <v>943</v>
      </c>
      <c r="L45" s="136"/>
      <c r="M45" s="134">
        <v>33</v>
      </c>
      <c r="N45" s="134">
        <v>1305</v>
      </c>
      <c r="O45" s="136"/>
      <c r="P45" s="134">
        <v>33</v>
      </c>
      <c r="Q45" s="134">
        <v>650</v>
      </c>
      <c r="R45" s="136"/>
    </row>
    <row r="46" spans="1:18" s="123" customFormat="1" x14ac:dyDescent="0.25">
      <c r="A46" s="117" t="s">
        <v>106</v>
      </c>
      <c r="B46" s="118">
        <v>3</v>
      </c>
      <c r="C46" s="131" t="str">
        <f>'common foods'!C62</f>
        <v>Crackers, cabin bread</v>
      </c>
      <c r="D46" s="132" t="s">
        <v>138</v>
      </c>
      <c r="E46" s="120">
        <v>2</v>
      </c>
      <c r="F46" s="141">
        <v>65</v>
      </c>
      <c r="G46" s="134">
        <v>33</v>
      </c>
      <c r="H46" s="134">
        <v>1268</v>
      </c>
      <c r="I46" s="135"/>
      <c r="J46" s="134">
        <v>33</v>
      </c>
      <c r="K46" s="134">
        <v>943</v>
      </c>
      <c r="L46" s="136"/>
      <c r="M46" s="134">
        <v>33</v>
      </c>
      <c r="N46" s="134">
        <v>1305</v>
      </c>
      <c r="O46" s="136"/>
      <c r="P46" s="134">
        <v>33</v>
      </c>
      <c r="Q46" s="134">
        <v>650</v>
      </c>
      <c r="R46" s="136"/>
    </row>
    <row r="47" spans="1:18" s="123" customFormat="1" x14ac:dyDescent="0.25">
      <c r="A47" s="117" t="s">
        <v>106</v>
      </c>
      <c r="B47" s="118">
        <v>3</v>
      </c>
      <c r="C47" s="131" t="s">
        <v>139</v>
      </c>
      <c r="D47" s="132" t="s">
        <v>140</v>
      </c>
      <c r="E47" s="120">
        <v>2</v>
      </c>
      <c r="F47" s="141">
        <v>65</v>
      </c>
      <c r="G47" s="134">
        <v>33</v>
      </c>
      <c r="H47" s="134">
        <v>1268</v>
      </c>
      <c r="I47" s="135"/>
      <c r="J47" s="134">
        <v>33</v>
      </c>
      <c r="K47" s="134">
        <v>943</v>
      </c>
      <c r="L47" s="136"/>
      <c r="M47" s="134">
        <v>33</v>
      </c>
      <c r="N47" s="134">
        <v>1305</v>
      </c>
      <c r="O47" s="136"/>
      <c r="P47" s="134">
        <v>33</v>
      </c>
      <c r="Q47" s="134">
        <v>650</v>
      </c>
      <c r="R47" s="136"/>
    </row>
    <row r="48" spans="1:18" s="123" customFormat="1" x14ac:dyDescent="0.25">
      <c r="A48" s="131" t="s">
        <v>584</v>
      </c>
      <c r="B48" s="118">
        <v>7</v>
      </c>
      <c r="C48" s="144" t="s">
        <v>288</v>
      </c>
      <c r="D48" s="145" t="s">
        <v>289</v>
      </c>
      <c r="E48" s="120">
        <v>1</v>
      </c>
      <c r="F48" s="122">
        <v>30</v>
      </c>
      <c r="G48" s="134">
        <f>$F48/2</f>
        <v>15</v>
      </c>
      <c r="H48" s="134">
        <v>585</v>
      </c>
      <c r="I48" s="121"/>
      <c r="J48" s="134">
        <v>15</v>
      </c>
      <c r="K48" s="134">
        <v>435</v>
      </c>
      <c r="L48" s="122"/>
      <c r="M48" s="134">
        <v>15</v>
      </c>
      <c r="N48" s="134">
        <v>600</v>
      </c>
      <c r="O48" s="122"/>
      <c r="P48" s="134">
        <v>15</v>
      </c>
      <c r="Q48" s="134">
        <v>300</v>
      </c>
      <c r="R48" s="122"/>
    </row>
    <row r="49" spans="1:18" s="123" customFormat="1" x14ac:dyDescent="0.25">
      <c r="A49" s="131" t="s">
        <v>584</v>
      </c>
      <c r="B49" s="118">
        <v>7</v>
      </c>
      <c r="C49" s="144" t="s">
        <v>294</v>
      </c>
      <c r="D49" s="145" t="s">
        <v>295</v>
      </c>
      <c r="E49" s="120">
        <v>1</v>
      </c>
      <c r="F49" s="122">
        <v>30</v>
      </c>
      <c r="G49" s="134">
        <f>$F49/2</f>
        <v>15</v>
      </c>
      <c r="H49" s="134">
        <v>585</v>
      </c>
      <c r="I49" s="121"/>
      <c r="J49" s="134">
        <v>15</v>
      </c>
      <c r="K49" s="134">
        <v>435</v>
      </c>
      <c r="L49" s="122"/>
      <c r="M49" s="134">
        <v>15</v>
      </c>
      <c r="N49" s="134">
        <v>600</v>
      </c>
      <c r="O49" s="122"/>
      <c r="P49" s="134">
        <v>15</v>
      </c>
      <c r="Q49" s="134">
        <v>300</v>
      </c>
      <c r="R49" s="122"/>
    </row>
    <row r="50" spans="1:18" s="123" customFormat="1" x14ac:dyDescent="0.25">
      <c r="A50" s="131" t="s">
        <v>584</v>
      </c>
      <c r="B50" s="118">
        <v>7</v>
      </c>
      <c r="C50" s="131" t="s">
        <v>292</v>
      </c>
      <c r="D50" s="132" t="s">
        <v>293</v>
      </c>
      <c r="E50" s="120">
        <v>1</v>
      </c>
      <c r="F50" s="141">
        <v>65</v>
      </c>
      <c r="G50" s="134">
        <f>$F50/2</f>
        <v>32.5</v>
      </c>
      <c r="H50" s="134">
        <v>1268</v>
      </c>
      <c r="I50" s="135"/>
      <c r="J50" s="134">
        <v>32.5</v>
      </c>
      <c r="K50" s="134">
        <v>943</v>
      </c>
      <c r="L50" s="136"/>
      <c r="M50" s="134">
        <v>32.5</v>
      </c>
      <c r="N50" s="134">
        <v>1300</v>
      </c>
      <c r="O50" s="136"/>
      <c r="P50" s="134">
        <v>32.5</v>
      </c>
      <c r="Q50" s="134">
        <v>650</v>
      </c>
      <c r="R50" s="136"/>
    </row>
    <row r="51" spans="1:18" s="123" customFormat="1" x14ac:dyDescent="0.25">
      <c r="A51" s="131" t="s">
        <v>584</v>
      </c>
      <c r="B51" s="118">
        <v>7</v>
      </c>
      <c r="C51" s="131" t="str">
        <f>'common foods'!C152</f>
        <v>Cocoa puffs</v>
      </c>
      <c r="D51" s="132" t="s">
        <v>325</v>
      </c>
      <c r="E51" s="120">
        <v>3</v>
      </c>
      <c r="F51" s="141">
        <v>65</v>
      </c>
      <c r="G51" s="134">
        <v>33</v>
      </c>
      <c r="H51" s="134">
        <v>1268</v>
      </c>
      <c r="I51" s="135"/>
      <c r="J51" s="134">
        <v>33</v>
      </c>
      <c r="K51" s="134">
        <v>943</v>
      </c>
      <c r="L51" s="136"/>
      <c r="M51" s="134">
        <v>33</v>
      </c>
      <c r="N51" s="134">
        <v>600</v>
      </c>
      <c r="O51" s="136"/>
      <c r="P51" s="134">
        <v>33</v>
      </c>
      <c r="Q51" s="134">
        <v>600</v>
      </c>
      <c r="R51" s="136"/>
    </row>
    <row r="52" spans="1:18" s="123" customFormat="1" x14ac:dyDescent="0.25">
      <c r="A52" s="131" t="s">
        <v>584</v>
      </c>
      <c r="B52" s="118">
        <v>7</v>
      </c>
      <c r="C52" s="131" t="s">
        <v>296</v>
      </c>
      <c r="D52" s="132" t="s">
        <v>297</v>
      </c>
      <c r="E52" s="120">
        <v>1</v>
      </c>
      <c r="F52" s="141">
        <v>30</v>
      </c>
      <c r="G52" s="134">
        <v>15</v>
      </c>
      <c r="H52" s="134">
        <v>585</v>
      </c>
      <c r="I52" s="135"/>
      <c r="J52" s="134">
        <v>15</v>
      </c>
      <c r="K52" s="134">
        <v>435</v>
      </c>
      <c r="L52" s="136"/>
      <c r="M52" s="134">
        <v>15</v>
      </c>
      <c r="N52" s="134">
        <v>600</v>
      </c>
      <c r="O52" s="136"/>
      <c r="P52" s="134">
        <v>15</v>
      </c>
      <c r="Q52" s="134">
        <v>600</v>
      </c>
      <c r="R52" s="136"/>
    </row>
    <row r="53" spans="1:18" s="123" customFormat="1" x14ac:dyDescent="0.25">
      <c r="A53" s="131" t="s">
        <v>278</v>
      </c>
      <c r="B53" s="118">
        <v>7</v>
      </c>
      <c r="C53" s="131" t="str">
        <f>'common foods'!C151</f>
        <v>Cake, chocolate</v>
      </c>
      <c r="D53" s="132" t="s">
        <v>323</v>
      </c>
      <c r="E53" s="120">
        <v>1</v>
      </c>
      <c r="F53" s="141">
        <v>65</v>
      </c>
      <c r="G53" s="134">
        <v>33</v>
      </c>
      <c r="H53" s="134">
        <v>1268</v>
      </c>
      <c r="I53" s="135"/>
      <c r="J53" s="134">
        <v>33</v>
      </c>
      <c r="K53" s="134">
        <v>1268</v>
      </c>
      <c r="L53" s="136"/>
      <c r="M53" s="134">
        <v>33</v>
      </c>
      <c r="N53" s="134">
        <v>1268</v>
      </c>
      <c r="O53" s="136"/>
      <c r="P53" s="134">
        <v>33</v>
      </c>
      <c r="Q53" s="134">
        <v>1268</v>
      </c>
      <c r="R53" s="136"/>
    </row>
    <row r="54" spans="1:18" s="123" customFormat="1" x14ac:dyDescent="0.25">
      <c r="A54" s="131" t="s">
        <v>584</v>
      </c>
      <c r="B54" s="118">
        <v>7</v>
      </c>
      <c r="C54" s="131" t="s">
        <v>298</v>
      </c>
      <c r="D54" s="132" t="s">
        <v>299</v>
      </c>
      <c r="E54" s="120">
        <v>1</v>
      </c>
      <c r="F54" s="141">
        <v>65</v>
      </c>
      <c r="G54" s="134">
        <v>33</v>
      </c>
      <c r="H54" s="134">
        <v>1268</v>
      </c>
      <c r="I54" s="135"/>
      <c r="J54" s="134">
        <v>33</v>
      </c>
      <c r="K54" s="134">
        <v>943</v>
      </c>
      <c r="L54" s="136"/>
      <c r="M54" s="134">
        <v>33</v>
      </c>
      <c r="N54" s="134">
        <v>600</v>
      </c>
      <c r="O54" s="136"/>
      <c r="P54" s="134">
        <v>33</v>
      </c>
      <c r="Q54" s="134">
        <v>600</v>
      </c>
      <c r="R54" s="136"/>
    </row>
    <row r="55" spans="1:18" s="130" customFormat="1" x14ac:dyDescent="0.25">
      <c r="A55" s="126" t="s">
        <v>573</v>
      </c>
      <c r="B55" s="125"/>
      <c r="C55" s="124"/>
      <c r="D55" s="140"/>
      <c r="E55" s="127"/>
      <c r="F55" s="125"/>
      <c r="G55" s="128">
        <v>8</v>
      </c>
      <c r="H55" s="128">
        <v>10</v>
      </c>
      <c r="I55" s="129">
        <v>9</v>
      </c>
      <c r="J55" s="128">
        <v>8</v>
      </c>
      <c r="K55" s="128">
        <v>10</v>
      </c>
      <c r="L55" s="129">
        <v>9</v>
      </c>
      <c r="M55" s="128">
        <v>10</v>
      </c>
      <c r="N55" s="128">
        <v>12</v>
      </c>
      <c r="O55" s="129">
        <v>11</v>
      </c>
      <c r="P55" s="128">
        <v>10</v>
      </c>
      <c r="Q55" s="128">
        <v>12</v>
      </c>
      <c r="R55" s="129">
        <v>11</v>
      </c>
    </row>
    <row r="56" spans="1:18" s="123" customFormat="1" x14ac:dyDescent="0.25">
      <c r="A56" s="117" t="s">
        <v>157</v>
      </c>
      <c r="B56" s="118">
        <v>4</v>
      </c>
      <c r="C56" s="131" t="str">
        <f>'common foods'!C72</f>
        <v>Cheese, Colby</v>
      </c>
      <c r="D56" s="132" t="s">
        <v>159</v>
      </c>
      <c r="E56" s="120">
        <v>1</v>
      </c>
      <c r="F56" s="141">
        <v>40</v>
      </c>
      <c r="G56" s="134">
        <v>20</v>
      </c>
      <c r="H56" s="134">
        <f>40*8</f>
        <v>320</v>
      </c>
      <c r="I56" s="135"/>
      <c r="J56" s="134">
        <v>20</v>
      </c>
      <c r="K56" s="134">
        <v>320</v>
      </c>
      <c r="L56" s="136"/>
      <c r="M56" s="134">
        <v>20</v>
      </c>
      <c r="N56" s="134">
        <v>400</v>
      </c>
      <c r="O56" s="136"/>
      <c r="P56" s="134">
        <v>20</v>
      </c>
      <c r="Q56" s="134">
        <v>400</v>
      </c>
      <c r="R56" s="136"/>
    </row>
    <row r="57" spans="1:18" s="123" customFormat="1" x14ac:dyDescent="0.25">
      <c r="A57" s="117" t="s">
        <v>157</v>
      </c>
      <c r="B57" s="118">
        <v>4</v>
      </c>
      <c r="C57" s="131" t="s">
        <v>160</v>
      </c>
      <c r="D57" s="132" t="s">
        <v>161</v>
      </c>
      <c r="E57" s="120">
        <v>2</v>
      </c>
      <c r="F57" s="141">
        <v>40</v>
      </c>
      <c r="G57" s="134">
        <v>20</v>
      </c>
      <c r="H57" s="134">
        <v>160</v>
      </c>
      <c r="I57" s="135"/>
      <c r="J57" s="134">
        <v>20</v>
      </c>
      <c r="K57" s="134">
        <v>160</v>
      </c>
      <c r="L57" s="136"/>
      <c r="M57" s="143">
        <v>0</v>
      </c>
      <c r="N57" s="143">
        <v>0</v>
      </c>
      <c r="O57" s="136"/>
      <c r="P57" s="143">
        <v>0</v>
      </c>
      <c r="Q57" s="143">
        <v>0</v>
      </c>
      <c r="R57" s="136"/>
    </row>
    <row r="58" spans="1:18" s="123" customFormat="1" x14ac:dyDescent="0.25">
      <c r="A58" s="117" t="s">
        <v>157</v>
      </c>
      <c r="B58" s="118">
        <v>4</v>
      </c>
      <c r="C58" s="131" t="s">
        <v>162</v>
      </c>
      <c r="D58" s="132" t="s">
        <v>163</v>
      </c>
      <c r="E58" s="120">
        <v>1</v>
      </c>
      <c r="F58" s="141">
        <v>250</v>
      </c>
      <c r="G58" s="134">
        <v>125</v>
      </c>
      <c r="H58" s="134">
        <v>2000</v>
      </c>
      <c r="I58" s="135"/>
      <c r="J58" s="134">
        <v>125</v>
      </c>
      <c r="K58" s="134">
        <v>2000</v>
      </c>
      <c r="L58" s="136"/>
      <c r="M58" s="134">
        <v>125</v>
      </c>
      <c r="N58" s="134">
        <v>2500</v>
      </c>
      <c r="O58" s="136"/>
      <c r="P58" s="134">
        <v>125</v>
      </c>
      <c r="Q58" s="134">
        <v>2500</v>
      </c>
      <c r="R58" s="136"/>
    </row>
    <row r="59" spans="1:18" s="123" customFormat="1" x14ac:dyDescent="0.25">
      <c r="A59" s="117" t="s">
        <v>157</v>
      </c>
      <c r="B59" s="118">
        <v>4</v>
      </c>
      <c r="C59" s="131" t="s">
        <v>165</v>
      </c>
      <c r="D59" s="132" t="s">
        <v>166</v>
      </c>
      <c r="E59" s="120">
        <v>2</v>
      </c>
      <c r="F59" s="122">
        <v>250</v>
      </c>
      <c r="G59" s="134">
        <v>125</v>
      </c>
      <c r="H59" s="134">
        <f>$F59*4</f>
        <v>1000</v>
      </c>
      <c r="I59" s="135"/>
      <c r="J59" s="134">
        <v>125</v>
      </c>
      <c r="K59" s="134">
        <v>1000</v>
      </c>
      <c r="L59" s="136"/>
      <c r="M59" s="134">
        <v>125</v>
      </c>
      <c r="N59" s="134">
        <v>1250</v>
      </c>
      <c r="O59" s="136"/>
      <c r="P59" s="134">
        <v>125</v>
      </c>
      <c r="Q59" s="134">
        <v>1250</v>
      </c>
      <c r="R59" s="136"/>
    </row>
    <row r="60" spans="1:18" s="123" customFormat="1" x14ac:dyDescent="0.25">
      <c r="A60" s="117" t="s">
        <v>157</v>
      </c>
      <c r="B60" s="118">
        <v>4</v>
      </c>
      <c r="C60" s="131" t="s">
        <v>167</v>
      </c>
      <c r="D60" s="132" t="s">
        <v>168</v>
      </c>
      <c r="E60" s="120">
        <v>1</v>
      </c>
      <c r="F60" s="122">
        <v>150</v>
      </c>
      <c r="G60" s="134">
        <v>75</v>
      </c>
      <c r="H60" s="134">
        <v>1000</v>
      </c>
      <c r="I60" s="135"/>
      <c r="J60" s="134">
        <v>75</v>
      </c>
      <c r="K60" s="134">
        <v>1000</v>
      </c>
      <c r="L60" s="136"/>
      <c r="M60" s="134">
        <v>75</v>
      </c>
      <c r="N60" s="134">
        <v>1500</v>
      </c>
      <c r="O60" s="136"/>
      <c r="P60" s="134">
        <v>75</v>
      </c>
      <c r="Q60" s="134">
        <v>1500</v>
      </c>
      <c r="R60" s="136"/>
    </row>
    <row r="61" spans="1:18" s="130" customFormat="1" x14ac:dyDescent="0.25">
      <c r="A61" s="126" t="s">
        <v>585</v>
      </c>
      <c r="B61" s="125"/>
      <c r="C61" s="124"/>
      <c r="D61" s="140"/>
      <c r="E61" s="127"/>
      <c r="F61" s="127"/>
      <c r="G61" s="128">
        <v>18</v>
      </c>
      <c r="H61" s="128">
        <v>22</v>
      </c>
      <c r="I61" s="129">
        <v>20</v>
      </c>
      <c r="J61" s="128">
        <v>10</v>
      </c>
      <c r="K61" s="128">
        <f>L61+(L61*0.2)</f>
        <v>14.4</v>
      </c>
      <c r="L61" s="129">
        <v>12</v>
      </c>
      <c r="M61" s="128">
        <v>12</v>
      </c>
      <c r="N61" s="128">
        <v>16</v>
      </c>
      <c r="O61" s="129">
        <v>14</v>
      </c>
      <c r="P61" s="128">
        <v>7</v>
      </c>
      <c r="Q61" s="128">
        <v>11</v>
      </c>
      <c r="R61" s="129">
        <v>5</v>
      </c>
    </row>
    <row r="62" spans="1:18" s="123" customFormat="1" x14ac:dyDescent="0.25">
      <c r="A62" s="117" t="s">
        <v>187</v>
      </c>
      <c r="B62" s="118">
        <v>5</v>
      </c>
      <c r="C62" s="131" t="s">
        <v>188</v>
      </c>
      <c r="D62" s="132" t="s">
        <v>189</v>
      </c>
      <c r="E62" s="120">
        <v>3</v>
      </c>
      <c r="F62" s="141">
        <v>50</v>
      </c>
      <c r="G62" s="134">
        <v>25</v>
      </c>
      <c r="H62" s="134">
        <f>F62*9</f>
        <v>450</v>
      </c>
      <c r="I62" s="135"/>
      <c r="J62" s="134">
        <v>25</v>
      </c>
      <c r="K62" s="134">
        <v>250</v>
      </c>
      <c r="L62" s="136"/>
      <c r="M62" s="134">
        <v>25</v>
      </c>
      <c r="N62" s="134">
        <f>F62*6</f>
        <v>300</v>
      </c>
      <c r="O62" s="136"/>
      <c r="P62" s="134">
        <f t="shared" ref="P62:P75" si="3">$F62/3</f>
        <v>16.666666666666668</v>
      </c>
      <c r="Q62" s="134">
        <f>F62*7/2</f>
        <v>175</v>
      </c>
      <c r="R62" s="136"/>
    </row>
    <row r="63" spans="1:18" s="123" customFormat="1" x14ac:dyDescent="0.25">
      <c r="A63" s="117" t="s">
        <v>187</v>
      </c>
      <c r="B63" s="118">
        <v>5</v>
      </c>
      <c r="C63" s="131" t="s">
        <v>190</v>
      </c>
      <c r="D63" s="132" t="s">
        <v>191</v>
      </c>
      <c r="E63" s="120">
        <v>2</v>
      </c>
      <c r="F63" s="141">
        <v>100</v>
      </c>
      <c r="G63" s="134">
        <v>50</v>
      </c>
      <c r="H63" s="134">
        <v>900</v>
      </c>
      <c r="I63" s="135"/>
      <c r="J63" s="134">
        <v>50</v>
      </c>
      <c r="K63" s="134">
        <v>500</v>
      </c>
      <c r="L63" s="136"/>
      <c r="M63" s="134">
        <v>50</v>
      </c>
      <c r="N63" s="134">
        <v>600</v>
      </c>
      <c r="O63" s="136"/>
      <c r="P63" s="134">
        <f t="shared" si="3"/>
        <v>33.333333333333336</v>
      </c>
      <c r="Q63" s="134">
        <v>350</v>
      </c>
      <c r="R63" s="136"/>
    </row>
    <row r="64" spans="1:18" s="123" customFormat="1" x14ac:dyDescent="0.25">
      <c r="A64" s="117" t="s">
        <v>187</v>
      </c>
      <c r="B64" s="118">
        <v>5</v>
      </c>
      <c r="C64" s="131" t="s">
        <v>192</v>
      </c>
      <c r="D64" s="132" t="s">
        <v>193</v>
      </c>
      <c r="E64" s="120">
        <v>2</v>
      </c>
      <c r="F64" s="141">
        <v>100</v>
      </c>
      <c r="G64" s="134">
        <v>50</v>
      </c>
      <c r="H64" s="134">
        <v>900</v>
      </c>
      <c r="I64" s="135"/>
      <c r="J64" s="134">
        <v>50</v>
      </c>
      <c r="K64" s="134">
        <v>500</v>
      </c>
      <c r="L64" s="136"/>
      <c r="M64" s="134">
        <v>50</v>
      </c>
      <c r="N64" s="134">
        <v>600</v>
      </c>
      <c r="O64" s="136"/>
      <c r="P64" s="134">
        <f t="shared" si="3"/>
        <v>33.333333333333336</v>
      </c>
      <c r="Q64" s="134">
        <v>350</v>
      </c>
      <c r="R64" s="136"/>
    </row>
    <row r="65" spans="1:18" s="123" customFormat="1" x14ac:dyDescent="0.25">
      <c r="A65" s="117" t="s">
        <v>187</v>
      </c>
      <c r="B65" s="118">
        <v>5</v>
      </c>
      <c r="C65" s="131" t="s">
        <v>196</v>
      </c>
      <c r="D65" s="132" t="s">
        <v>197</v>
      </c>
      <c r="E65" s="120">
        <v>1</v>
      </c>
      <c r="F65" s="141">
        <v>100</v>
      </c>
      <c r="G65" s="134">
        <v>50</v>
      </c>
      <c r="H65" s="134">
        <v>1800</v>
      </c>
      <c r="I65" s="135"/>
      <c r="J65" s="134">
        <v>50</v>
      </c>
      <c r="K65" s="134">
        <v>1000</v>
      </c>
      <c r="L65" s="136"/>
      <c r="M65" s="134">
        <v>50</v>
      </c>
      <c r="N65" s="134">
        <v>1200</v>
      </c>
      <c r="O65" s="136"/>
      <c r="P65" s="134">
        <f t="shared" si="3"/>
        <v>33.333333333333336</v>
      </c>
      <c r="Q65" s="134">
        <v>700</v>
      </c>
      <c r="R65" s="136"/>
    </row>
    <row r="66" spans="1:18" s="123" customFormat="1" x14ac:dyDescent="0.25">
      <c r="A66" s="117" t="s">
        <v>187</v>
      </c>
      <c r="B66" s="118">
        <v>5</v>
      </c>
      <c r="C66" s="131" t="str">
        <f>'common foods'!C95</f>
        <v>Chicken, whole, pre-cooked</v>
      </c>
      <c r="D66" s="132" t="s">
        <v>207</v>
      </c>
      <c r="E66" s="120">
        <v>1</v>
      </c>
      <c r="F66" s="141">
        <v>100</v>
      </c>
      <c r="G66" s="134">
        <v>50</v>
      </c>
      <c r="H66" s="134">
        <v>1800</v>
      </c>
      <c r="I66" s="135"/>
      <c r="J66" s="134">
        <v>50</v>
      </c>
      <c r="K66" s="134">
        <v>1000</v>
      </c>
      <c r="L66" s="136"/>
      <c r="M66" s="134">
        <v>50</v>
      </c>
      <c r="N66" s="134">
        <v>1200</v>
      </c>
      <c r="O66" s="136"/>
      <c r="P66" s="134">
        <f t="shared" si="3"/>
        <v>33.333333333333336</v>
      </c>
      <c r="Q66" s="134">
        <v>700</v>
      </c>
      <c r="R66" s="136"/>
    </row>
    <row r="67" spans="1:18" s="123" customFormat="1" x14ac:dyDescent="0.25">
      <c r="A67" s="117" t="s">
        <v>187</v>
      </c>
      <c r="B67" s="118">
        <v>5</v>
      </c>
      <c r="C67" s="131" t="s">
        <v>208</v>
      </c>
      <c r="D67" s="132" t="s">
        <v>209</v>
      </c>
      <c r="E67" s="120">
        <v>1</v>
      </c>
      <c r="F67" s="141">
        <v>100</v>
      </c>
      <c r="G67" s="134">
        <v>50</v>
      </c>
      <c r="H67" s="134">
        <v>1800</v>
      </c>
      <c r="I67" s="135"/>
      <c r="J67" s="134">
        <v>50</v>
      </c>
      <c r="K67" s="134">
        <v>1000</v>
      </c>
      <c r="L67" s="136"/>
      <c r="M67" s="134">
        <v>50</v>
      </c>
      <c r="N67" s="134">
        <v>1200</v>
      </c>
      <c r="O67" s="136"/>
      <c r="P67" s="134">
        <f t="shared" si="3"/>
        <v>33.333333333333336</v>
      </c>
      <c r="Q67" s="134">
        <v>700</v>
      </c>
      <c r="R67" s="136"/>
    </row>
    <row r="68" spans="1:18" s="123" customFormat="1" x14ac:dyDescent="0.25">
      <c r="A68" s="117" t="s">
        <v>187</v>
      </c>
      <c r="B68" s="118">
        <v>5</v>
      </c>
      <c r="C68" s="131" t="s">
        <v>210</v>
      </c>
      <c r="D68" s="132" t="s">
        <v>211</v>
      </c>
      <c r="E68" s="120">
        <v>2</v>
      </c>
      <c r="F68" s="141">
        <v>100</v>
      </c>
      <c r="G68" s="134">
        <v>50</v>
      </c>
      <c r="H68" s="134">
        <v>900</v>
      </c>
      <c r="I68" s="135"/>
      <c r="J68" s="134">
        <v>50</v>
      </c>
      <c r="K68" s="134">
        <v>500</v>
      </c>
      <c r="L68" s="136"/>
      <c r="M68" s="134">
        <v>50</v>
      </c>
      <c r="N68" s="134">
        <v>600</v>
      </c>
      <c r="O68" s="136"/>
      <c r="P68" s="134">
        <f t="shared" si="3"/>
        <v>33.333333333333336</v>
      </c>
      <c r="Q68" s="134">
        <v>350</v>
      </c>
      <c r="R68" s="136"/>
    </row>
    <row r="69" spans="1:18" s="123" customFormat="1" x14ac:dyDescent="0.25">
      <c r="A69" s="117" t="s">
        <v>187</v>
      </c>
      <c r="B69" s="118">
        <v>5</v>
      </c>
      <c r="C69" s="131" t="s">
        <v>214</v>
      </c>
      <c r="D69" s="132" t="s">
        <v>215</v>
      </c>
      <c r="E69" s="120">
        <v>1</v>
      </c>
      <c r="F69" s="141">
        <v>100</v>
      </c>
      <c r="G69" s="134">
        <v>50</v>
      </c>
      <c r="H69" s="134">
        <v>1800</v>
      </c>
      <c r="I69" s="135"/>
      <c r="J69" s="134">
        <v>50</v>
      </c>
      <c r="K69" s="134">
        <v>1000</v>
      </c>
      <c r="L69" s="136"/>
      <c r="M69" s="134">
        <v>50</v>
      </c>
      <c r="N69" s="134">
        <v>1200</v>
      </c>
      <c r="O69" s="136"/>
      <c r="P69" s="134">
        <f t="shared" si="3"/>
        <v>33.333333333333336</v>
      </c>
      <c r="Q69" s="134">
        <v>700</v>
      </c>
      <c r="R69" s="136"/>
    </row>
    <row r="70" spans="1:18" s="123" customFormat="1" x14ac:dyDescent="0.25">
      <c r="A70" s="117" t="s">
        <v>187</v>
      </c>
      <c r="B70" s="118">
        <v>5</v>
      </c>
      <c r="C70" s="131" t="s">
        <v>220</v>
      </c>
      <c r="D70" s="132" t="s">
        <v>221</v>
      </c>
      <c r="E70" s="120">
        <v>2</v>
      </c>
      <c r="F70" s="141">
        <v>100</v>
      </c>
      <c r="G70" s="134">
        <v>50</v>
      </c>
      <c r="H70" s="134">
        <v>900</v>
      </c>
      <c r="I70" s="135"/>
      <c r="J70" s="134">
        <v>50</v>
      </c>
      <c r="K70" s="134">
        <v>500</v>
      </c>
      <c r="L70" s="136"/>
      <c r="M70" s="134">
        <v>50</v>
      </c>
      <c r="N70" s="134">
        <v>600</v>
      </c>
      <c r="O70" s="136"/>
      <c r="P70" s="134">
        <f t="shared" si="3"/>
        <v>33.333333333333336</v>
      </c>
      <c r="Q70" s="134">
        <v>350</v>
      </c>
      <c r="R70" s="136"/>
    </row>
    <row r="71" spans="1:18" s="123" customFormat="1" x14ac:dyDescent="0.25">
      <c r="A71" s="117" t="s">
        <v>187</v>
      </c>
      <c r="B71" s="118">
        <v>5</v>
      </c>
      <c r="C71" s="131" t="s">
        <v>241</v>
      </c>
      <c r="D71" s="132" t="s">
        <v>242</v>
      </c>
      <c r="E71" s="120">
        <v>1</v>
      </c>
      <c r="F71" s="141">
        <v>100</v>
      </c>
      <c r="G71" s="134">
        <v>50</v>
      </c>
      <c r="H71" s="134">
        <v>1800</v>
      </c>
      <c r="I71" s="135"/>
      <c r="J71" s="134">
        <v>50</v>
      </c>
      <c r="K71" s="134">
        <v>1000</v>
      </c>
      <c r="L71" s="136"/>
      <c r="M71" s="134">
        <v>50</v>
      </c>
      <c r="N71" s="134">
        <v>1200</v>
      </c>
      <c r="O71" s="136"/>
      <c r="P71" s="134">
        <f t="shared" si="3"/>
        <v>33.333333333333336</v>
      </c>
      <c r="Q71" s="134">
        <v>700</v>
      </c>
      <c r="R71" s="136"/>
    </row>
    <row r="72" spans="1:18" s="123" customFormat="1" x14ac:dyDescent="0.25">
      <c r="A72" s="117" t="s">
        <v>187</v>
      </c>
      <c r="B72" s="118">
        <v>5</v>
      </c>
      <c r="C72" s="131" t="str">
        <f>'common foods'!C103</f>
        <v>Fish fillets, frozen</v>
      </c>
      <c r="D72" s="132" t="s">
        <v>223</v>
      </c>
      <c r="E72" s="120">
        <v>1</v>
      </c>
      <c r="F72" s="141">
        <v>100</v>
      </c>
      <c r="G72" s="134">
        <v>50</v>
      </c>
      <c r="H72" s="134">
        <v>1800</v>
      </c>
      <c r="I72" s="135"/>
      <c r="J72" s="134">
        <v>50</v>
      </c>
      <c r="K72" s="134">
        <v>1000</v>
      </c>
      <c r="L72" s="136"/>
      <c r="M72" s="134">
        <v>50</v>
      </c>
      <c r="N72" s="134">
        <v>1200</v>
      </c>
      <c r="O72" s="136"/>
      <c r="P72" s="134">
        <f t="shared" si="3"/>
        <v>33.333333333333336</v>
      </c>
      <c r="Q72" s="134">
        <v>700</v>
      </c>
      <c r="R72" s="136"/>
    </row>
    <row r="73" spans="1:18" s="123" customFormat="1" x14ac:dyDescent="0.25">
      <c r="A73" s="117" t="s">
        <v>187</v>
      </c>
      <c r="B73" s="118">
        <v>5</v>
      </c>
      <c r="C73" s="131" t="s">
        <v>235</v>
      </c>
      <c r="D73" s="132" t="s">
        <v>236</v>
      </c>
      <c r="E73" s="120">
        <v>1</v>
      </c>
      <c r="F73" s="141">
        <v>135</v>
      </c>
      <c r="G73" s="134">
        <f>F73/2</f>
        <v>67.5</v>
      </c>
      <c r="H73" s="134">
        <v>1800</v>
      </c>
      <c r="I73" s="135"/>
      <c r="J73" s="134">
        <v>67.5</v>
      </c>
      <c r="K73" s="134">
        <v>1000</v>
      </c>
      <c r="L73" s="136"/>
      <c r="M73" s="134">
        <v>67.5</v>
      </c>
      <c r="N73" s="134">
        <v>1200</v>
      </c>
      <c r="O73" s="136"/>
      <c r="P73" s="134">
        <f t="shared" si="3"/>
        <v>45</v>
      </c>
      <c r="Q73" s="134">
        <v>700</v>
      </c>
      <c r="R73" s="136"/>
    </row>
    <row r="74" spans="1:18" s="123" customFormat="1" x14ac:dyDescent="0.25">
      <c r="A74" s="117" t="s">
        <v>187</v>
      </c>
      <c r="B74" s="118">
        <v>5</v>
      </c>
      <c r="C74" s="131" t="str">
        <f>'common foods'!C106</f>
        <v>peanuts, salted</v>
      </c>
      <c r="D74" s="132" t="s">
        <v>229</v>
      </c>
      <c r="E74" s="132">
        <v>1</v>
      </c>
      <c r="F74" s="141">
        <v>50</v>
      </c>
      <c r="G74" s="134">
        <v>25</v>
      </c>
      <c r="H74" s="134">
        <v>900</v>
      </c>
      <c r="I74" s="135"/>
      <c r="J74" s="134">
        <v>25</v>
      </c>
      <c r="K74" s="134">
        <v>500</v>
      </c>
      <c r="L74" s="136"/>
      <c r="M74" s="134">
        <v>25</v>
      </c>
      <c r="N74" s="134">
        <v>600</v>
      </c>
      <c r="O74" s="136"/>
      <c r="P74" s="134">
        <f t="shared" si="3"/>
        <v>16.666666666666668</v>
      </c>
      <c r="Q74" s="134">
        <v>350</v>
      </c>
      <c r="R74" s="136"/>
    </row>
    <row r="75" spans="1:18" s="123" customFormat="1" x14ac:dyDescent="0.25">
      <c r="A75" s="117" t="s">
        <v>187</v>
      </c>
      <c r="B75" s="118">
        <v>5</v>
      </c>
      <c r="C75" s="131" t="str">
        <f>'common foods'!C107</f>
        <v>Chickpeas, canned</v>
      </c>
      <c r="D75" s="132" t="s">
        <v>232</v>
      </c>
      <c r="E75" s="132">
        <v>1</v>
      </c>
      <c r="F75" s="141">
        <v>135</v>
      </c>
      <c r="G75" s="134">
        <v>38</v>
      </c>
      <c r="H75" s="134">
        <v>2430</v>
      </c>
      <c r="I75" s="135"/>
      <c r="J75" s="134">
        <v>38</v>
      </c>
      <c r="K75" s="134">
        <f>F75*10</f>
        <v>1350</v>
      </c>
      <c r="L75" s="136"/>
      <c r="M75" s="134">
        <v>38</v>
      </c>
      <c r="N75" s="134">
        <v>1620</v>
      </c>
      <c r="O75" s="136"/>
      <c r="P75" s="134">
        <f t="shared" si="3"/>
        <v>45</v>
      </c>
      <c r="Q75" s="134">
        <v>945</v>
      </c>
      <c r="R75" s="136"/>
    </row>
    <row r="76" spans="1:18" s="123" customFormat="1" x14ac:dyDescent="0.25">
      <c r="A76" s="131" t="s">
        <v>584</v>
      </c>
      <c r="B76" s="118">
        <v>7</v>
      </c>
      <c r="C76" s="144" t="s">
        <v>300</v>
      </c>
      <c r="D76" s="145" t="s">
        <v>301</v>
      </c>
      <c r="E76" s="120">
        <v>3</v>
      </c>
      <c r="F76" s="122">
        <v>50</v>
      </c>
      <c r="G76" s="134">
        <f t="shared" ref="G76:G81" si="4">$F76/2</f>
        <v>25</v>
      </c>
      <c r="H76" s="134">
        <v>450</v>
      </c>
      <c r="I76" s="121"/>
      <c r="J76" s="134">
        <v>25</v>
      </c>
      <c r="K76" s="134">
        <v>250</v>
      </c>
      <c r="L76" s="122"/>
      <c r="M76" s="134">
        <v>25</v>
      </c>
      <c r="N76" s="134">
        <v>300</v>
      </c>
      <c r="O76" s="122"/>
      <c r="P76" s="134">
        <f>$F76</f>
        <v>50</v>
      </c>
      <c r="Q76" s="134">
        <v>175</v>
      </c>
      <c r="R76" s="122"/>
    </row>
    <row r="77" spans="1:18" s="123" customFormat="1" x14ac:dyDescent="0.25">
      <c r="A77" s="131" t="s">
        <v>584</v>
      </c>
      <c r="B77" s="118">
        <v>7</v>
      </c>
      <c r="C77" s="144" t="s">
        <v>302</v>
      </c>
      <c r="D77" s="145" t="s">
        <v>303</v>
      </c>
      <c r="E77" s="120">
        <v>2</v>
      </c>
      <c r="F77" s="122">
        <v>50</v>
      </c>
      <c r="G77" s="134">
        <f t="shared" si="4"/>
        <v>25</v>
      </c>
      <c r="H77" s="134">
        <v>450</v>
      </c>
      <c r="I77" s="121"/>
      <c r="J77" s="134">
        <v>25</v>
      </c>
      <c r="K77" s="134">
        <v>250</v>
      </c>
      <c r="L77" s="122"/>
      <c r="M77" s="134">
        <v>25</v>
      </c>
      <c r="N77" s="134">
        <v>300</v>
      </c>
      <c r="O77" s="122"/>
      <c r="P77" s="134">
        <f>$F77</f>
        <v>50</v>
      </c>
      <c r="Q77" s="134">
        <v>175</v>
      </c>
      <c r="R77" s="122"/>
    </row>
    <row r="78" spans="1:18" s="123" customFormat="1" x14ac:dyDescent="0.25">
      <c r="A78" s="131" t="s">
        <v>584</v>
      </c>
      <c r="B78" s="118">
        <v>7</v>
      </c>
      <c r="C78" s="144" t="s">
        <v>304</v>
      </c>
      <c r="D78" s="145" t="s">
        <v>305</v>
      </c>
      <c r="E78" s="120">
        <v>3</v>
      </c>
      <c r="F78" s="122">
        <v>100</v>
      </c>
      <c r="G78" s="134">
        <f t="shared" si="4"/>
        <v>50</v>
      </c>
      <c r="H78" s="134">
        <v>900</v>
      </c>
      <c r="I78" s="121"/>
      <c r="J78" s="134">
        <v>50</v>
      </c>
      <c r="K78" s="134">
        <v>500</v>
      </c>
      <c r="L78" s="122"/>
      <c r="M78" s="134">
        <v>50</v>
      </c>
      <c r="N78" s="134">
        <v>600</v>
      </c>
      <c r="O78" s="122"/>
      <c r="P78" s="134">
        <v>50</v>
      </c>
      <c r="Q78" s="134">
        <v>350</v>
      </c>
      <c r="R78" s="122"/>
    </row>
    <row r="79" spans="1:18" s="123" customFormat="1" x14ac:dyDescent="0.25">
      <c r="A79" s="131" t="s">
        <v>584</v>
      </c>
      <c r="B79" s="118">
        <v>7</v>
      </c>
      <c r="C79" s="144" t="s">
        <v>306</v>
      </c>
      <c r="D79" s="145" t="s">
        <v>307</v>
      </c>
      <c r="E79" s="120">
        <v>3</v>
      </c>
      <c r="F79" s="122">
        <v>100</v>
      </c>
      <c r="G79" s="134">
        <f t="shared" si="4"/>
        <v>50</v>
      </c>
      <c r="H79" s="134">
        <v>900</v>
      </c>
      <c r="I79" s="121"/>
      <c r="J79" s="134">
        <v>50</v>
      </c>
      <c r="K79" s="134">
        <v>500</v>
      </c>
      <c r="L79" s="122"/>
      <c r="M79" s="134">
        <v>50</v>
      </c>
      <c r="N79" s="134">
        <v>600</v>
      </c>
      <c r="O79" s="122"/>
      <c r="P79" s="134">
        <v>50</v>
      </c>
      <c r="Q79" s="134">
        <v>350</v>
      </c>
      <c r="R79" s="122"/>
    </row>
    <row r="80" spans="1:18" s="123" customFormat="1" x14ac:dyDescent="0.25">
      <c r="A80" s="131" t="s">
        <v>278</v>
      </c>
      <c r="B80" s="118">
        <v>7</v>
      </c>
      <c r="C80" s="144" t="str">
        <f>'common foods'!C144</f>
        <v>corned beef regular</v>
      </c>
      <c r="D80" s="145" t="s">
        <v>309</v>
      </c>
      <c r="E80" s="120">
        <v>1</v>
      </c>
      <c r="F80" s="122">
        <v>100</v>
      </c>
      <c r="G80" s="134">
        <f t="shared" si="4"/>
        <v>50</v>
      </c>
      <c r="H80" s="134">
        <v>900</v>
      </c>
      <c r="I80" s="121"/>
      <c r="J80" s="134">
        <f>$F80/2</f>
        <v>50</v>
      </c>
      <c r="K80" s="134">
        <v>500</v>
      </c>
      <c r="L80" s="122"/>
      <c r="M80" s="134">
        <f>$F80/2</f>
        <v>50</v>
      </c>
      <c r="N80" s="134">
        <v>600</v>
      </c>
      <c r="O80" s="122"/>
      <c r="P80" s="134">
        <v>50</v>
      </c>
      <c r="Q80" s="134">
        <v>350</v>
      </c>
      <c r="R80" s="122"/>
    </row>
    <row r="81" spans="1:18" s="123" customFormat="1" x14ac:dyDescent="0.25">
      <c r="A81" s="131" t="s">
        <v>278</v>
      </c>
      <c r="B81" s="118">
        <v>7</v>
      </c>
      <c r="C81" s="144" t="str">
        <f>'common foods'!C145</f>
        <v>lamb mutton flaps</v>
      </c>
      <c r="D81" s="145" t="s">
        <v>311</v>
      </c>
      <c r="E81" s="120">
        <v>1</v>
      </c>
      <c r="F81" s="122">
        <v>100</v>
      </c>
      <c r="G81" s="134">
        <f t="shared" si="4"/>
        <v>50</v>
      </c>
      <c r="H81" s="134">
        <v>900</v>
      </c>
      <c r="I81" s="121"/>
      <c r="J81" s="134">
        <f>$F81/2</f>
        <v>50</v>
      </c>
      <c r="K81" s="134">
        <v>500</v>
      </c>
      <c r="L81" s="122"/>
      <c r="M81" s="134">
        <f>$F81/2</f>
        <v>50</v>
      </c>
      <c r="N81" s="134">
        <v>600</v>
      </c>
      <c r="O81" s="122"/>
      <c r="P81" s="134">
        <v>50</v>
      </c>
      <c r="Q81" s="134">
        <v>350</v>
      </c>
      <c r="R81" s="122"/>
    </row>
    <row r="82" spans="1:18" s="130" customFormat="1" x14ac:dyDescent="0.25">
      <c r="A82" s="126" t="s">
        <v>575</v>
      </c>
      <c r="B82" s="125"/>
      <c r="C82" s="124"/>
      <c r="D82" s="140"/>
      <c r="E82" s="140"/>
      <c r="F82" s="140"/>
      <c r="G82" s="128">
        <f>I82-(I82*0.2)</f>
        <v>168</v>
      </c>
      <c r="H82" s="128">
        <f>I82+(I82*0.2)</f>
        <v>252</v>
      </c>
      <c r="I82" s="129">
        <v>210</v>
      </c>
      <c r="J82" s="128">
        <f>L82-(L82*0.2)</f>
        <v>130.4</v>
      </c>
      <c r="K82" s="128">
        <f>L82+(L82*0.2)</f>
        <v>195.6</v>
      </c>
      <c r="L82" s="129">
        <v>163</v>
      </c>
      <c r="M82" s="128">
        <f>O82-(O82*0.2)</f>
        <v>156</v>
      </c>
      <c r="N82" s="128">
        <f>O82+(O82*0.2)</f>
        <v>234</v>
      </c>
      <c r="O82" s="129">
        <v>195</v>
      </c>
      <c r="P82" s="128">
        <f>R82-(R82*0.2)</f>
        <v>50.4</v>
      </c>
      <c r="Q82" s="128">
        <f>R82+(R82*0.2)</f>
        <v>75.599999999999994</v>
      </c>
      <c r="R82" s="129">
        <v>63</v>
      </c>
    </row>
    <row r="83" spans="1:18" s="123" customFormat="1" x14ac:dyDescent="0.25">
      <c r="A83" s="117" t="s">
        <v>265</v>
      </c>
      <c r="B83" s="118">
        <v>6</v>
      </c>
      <c r="C83" s="131" t="s">
        <v>266</v>
      </c>
      <c r="D83" s="132" t="s">
        <v>267</v>
      </c>
      <c r="E83" s="132">
        <v>1</v>
      </c>
      <c r="F83" s="141">
        <v>15</v>
      </c>
      <c r="G83" s="134">
        <v>7.5</v>
      </c>
      <c r="H83" s="134">
        <f>$F83*14</f>
        <v>210</v>
      </c>
      <c r="I83" s="135"/>
      <c r="J83" s="134">
        <v>7.5</v>
      </c>
      <c r="K83" s="134">
        <f>$F83*14</f>
        <v>210</v>
      </c>
      <c r="L83" s="136"/>
      <c r="M83" s="134">
        <v>7.5</v>
      </c>
      <c r="N83" s="134">
        <f>$F83*14</f>
        <v>210</v>
      </c>
      <c r="O83" s="136"/>
      <c r="P83" s="134">
        <v>7.5</v>
      </c>
      <c r="Q83" s="134">
        <f>$F83*14</f>
        <v>210</v>
      </c>
      <c r="R83" s="136"/>
    </row>
    <row r="84" spans="1:18" s="123" customFormat="1" x14ac:dyDescent="0.25">
      <c r="A84" s="117" t="s">
        <v>265</v>
      </c>
      <c r="B84" s="118">
        <v>6</v>
      </c>
      <c r="C84" s="131" t="s">
        <v>268</v>
      </c>
      <c r="D84" s="132" t="s">
        <v>269</v>
      </c>
      <c r="E84" s="132">
        <v>1</v>
      </c>
      <c r="F84" s="141">
        <v>15</v>
      </c>
      <c r="G84" s="134">
        <v>7.5</v>
      </c>
      <c r="H84" s="134">
        <f>F84*14</f>
        <v>210</v>
      </c>
      <c r="I84" s="135"/>
      <c r="J84" s="134">
        <v>7.5</v>
      </c>
      <c r="K84" s="134">
        <f>$F84*14</f>
        <v>210</v>
      </c>
      <c r="L84" s="136"/>
      <c r="M84" s="134">
        <v>7.5</v>
      </c>
      <c r="N84" s="134">
        <f>$F84*14</f>
        <v>210</v>
      </c>
      <c r="O84" s="136"/>
      <c r="P84" s="134">
        <v>7.5</v>
      </c>
      <c r="Q84" s="134">
        <f>$F84*14</f>
        <v>210</v>
      </c>
      <c r="R84" s="136"/>
    </row>
    <row r="85" spans="1:18" s="123" customFormat="1" x14ac:dyDescent="0.25">
      <c r="A85" s="117" t="s">
        <v>265</v>
      </c>
      <c r="B85" s="118">
        <v>6</v>
      </c>
      <c r="C85" s="131" t="s">
        <v>270</v>
      </c>
      <c r="D85" s="132" t="s">
        <v>271</v>
      </c>
      <c r="E85" s="132">
        <v>1</v>
      </c>
      <c r="F85" s="141">
        <v>10</v>
      </c>
      <c r="G85" s="134">
        <f>$F85</f>
        <v>10</v>
      </c>
      <c r="H85" s="134">
        <f>F85*14</f>
        <v>140</v>
      </c>
      <c r="I85" s="135"/>
      <c r="J85" s="134">
        <f>$F85</f>
        <v>10</v>
      </c>
      <c r="K85" s="134">
        <f>$F85*14</f>
        <v>140</v>
      </c>
      <c r="L85" s="136"/>
      <c r="M85" s="134">
        <f>$F85</f>
        <v>10</v>
      </c>
      <c r="N85" s="134">
        <f>$F85*14</f>
        <v>140</v>
      </c>
      <c r="O85" s="136"/>
      <c r="P85" s="134">
        <f>$F85</f>
        <v>10</v>
      </c>
      <c r="Q85" s="134">
        <f>$F85*14</f>
        <v>140</v>
      </c>
      <c r="R85" s="136"/>
    </row>
    <row r="86" spans="1:18" s="123" customFormat="1" x14ac:dyDescent="0.25">
      <c r="A86" s="117" t="s">
        <v>265</v>
      </c>
      <c r="B86" s="118">
        <v>6</v>
      </c>
      <c r="C86" s="131" t="s">
        <v>272</v>
      </c>
      <c r="D86" s="132" t="s">
        <v>273</v>
      </c>
      <c r="E86" s="132">
        <v>1</v>
      </c>
      <c r="F86" s="141">
        <v>10</v>
      </c>
      <c r="G86" s="134">
        <f>$F86</f>
        <v>10</v>
      </c>
      <c r="H86" s="134">
        <f>F86*14</f>
        <v>140</v>
      </c>
      <c r="I86" s="135"/>
      <c r="J86" s="134">
        <f>$F86</f>
        <v>10</v>
      </c>
      <c r="K86" s="134">
        <f>$F86*14</f>
        <v>140</v>
      </c>
      <c r="L86" s="136"/>
      <c r="M86" s="134">
        <f>$F86</f>
        <v>10</v>
      </c>
      <c r="N86" s="134">
        <f>$F86*14</f>
        <v>140</v>
      </c>
      <c r="O86" s="136"/>
      <c r="P86" s="134">
        <f>$F86</f>
        <v>10</v>
      </c>
      <c r="Q86" s="134">
        <f>$F86*14</f>
        <v>140</v>
      </c>
      <c r="R86" s="136"/>
    </row>
    <row r="87" spans="1:18" s="123" customFormat="1" x14ac:dyDescent="0.25">
      <c r="A87" s="117" t="s">
        <v>265</v>
      </c>
      <c r="B87" s="118">
        <v>6</v>
      </c>
      <c r="C87" s="131" t="str">
        <f>'common foods'!C128</f>
        <v>coconut cream regular</v>
      </c>
      <c r="D87" s="132" t="s">
        <v>275</v>
      </c>
      <c r="E87" s="132">
        <v>1</v>
      </c>
      <c r="F87" s="141">
        <v>10</v>
      </c>
      <c r="G87" s="134">
        <v>10</v>
      </c>
      <c r="H87" s="134">
        <v>140</v>
      </c>
      <c r="I87" s="135"/>
      <c r="J87" s="134">
        <v>10</v>
      </c>
      <c r="K87" s="134">
        <f>$F87*14</f>
        <v>140</v>
      </c>
      <c r="L87" s="136"/>
      <c r="M87" s="134">
        <v>10</v>
      </c>
      <c r="N87" s="134">
        <f>$F87*14</f>
        <v>140</v>
      </c>
      <c r="O87" s="136"/>
      <c r="P87" s="134">
        <v>10</v>
      </c>
      <c r="Q87" s="134">
        <f>$F87*14</f>
        <v>140</v>
      </c>
      <c r="R87" s="136"/>
    </row>
    <row r="88" spans="1:18" s="130" customFormat="1" x14ac:dyDescent="0.25">
      <c r="A88" s="124" t="s">
        <v>586</v>
      </c>
      <c r="B88" s="125"/>
      <c r="C88" s="124"/>
      <c r="D88" s="140"/>
      <c r="E88" s="140"/>
      <c r="F88" s="140"/>
      <c r="G88" s="128">
        <f>I88-(I88*0.2)</f>
        <v>1144</v>
      </c>
      <c r="H88" s="128">
        <f>I88+(I88*0.2)</f>
        <v>1716</v>
      </c>
      <c r="I88" s="129">
        <v>1430</v>
      </c>
      <c r="J88" s="128">
        <f>L88-(L88*0.2)</f>
        <v>545.6</v>
      </c>
      <c r="K88" s="128">
        <f>L88+(L88*0.2)</f>
        <v>818.4</v>
      </c>
      <c r="L88" s="129">
        <v>682</v>
      </c>
      <c r="M88" s="128">
        <f>O88-(O88*0.2)</f>
        <v>1360</v>
      </c>
      <c r="N88" s="128">
        <f>O88+(O88*0.2)</f>
        <v>2040</v>
      </c>
      <c r="O88" s="129">
        <v>1700</v>
      </c>
      <c r="P88" s="128">
        <f>R88-(R88*0.2)</f>
        <v>984</v>
      </c>
      <c r="Q88" s="128">
        <f>R88+(R88*0.2)</f>
        <v>1476</v>
      </c>
      <c r="R88" s="129">
        <v>1230</v>
      </c>
    </row>
    <row r="89" spans="1:18" s="123" customFormat="1" x14ac:dyDescent="0.25">
      <c r="A89" s="131" t="s">
        <v>584</v>
      </c>
      <c r="B89" s="118">
        <v>7</v>
      </c>
      <c r="C89" s="131" t="s">
        <v>312</v>
      </c>
      <c r="D89" s="132" t="s">
        <v>313</v>
      </c>
      <c r="E89" s="132">
        <v>2</v>
      </c>
      <c r="F89" s="139">
        <v>50</v>
      </c>
      <c r="G89" s="134">
        <f t="shared" ref="G89:G98" si="5">$F89/2</f>
        <v>25</v>
      </c>
      <c r="H89" s="134">
        <f t="shared" ref="H89:H98" si="6">$F89*3</f>
        <v>150</v>
      </c>
      <c r="I89" s="135"/>
      <c r="J89" s="134">
        <f t="shared" ref="J89:J98" si="7">$F89/2</f>
        <v>25</v>
      </c>
      <c r="K89" s="134">
        <f t="shared" ref="K89:K98" si="8">$F89*3</f>
        <v>150</v>
      </c>
      <c r="L89" s="136"/>
      <c r="M89" s="134">
        <f t="shared" ref="M89:M98" si="9">$F89/2</f>
        <v>25</v>
      </c>
      <c r="N89" s="134">
        <f t="shared" ref="N89:N98" si="10">$F89*3</f>
        <v>150</v>
      </c>
      <c r="O89" s="136"/>
      <c r="P89" s="134">
        <v>25</v>
      </c>
      <c r="Q89" s="134">
        <f t="shared" ref="Q89:Q98" si="11">$F89*3</f>
        <v>150</v>
      </c>
      <c r="R89" s="136"/>
    </row>
    <row r="90" spans="1:18" s="123" customFormat="1" x14ac:dyDescent="0.25">
      <c r="A90" s="131" t="s">
        <v>584</v>
      </c>
      <c r="B90" s="118">
        <v>7</v>
      </c>
      <c r="C90" s="131" t="s">
        <v>314</v>
      </c>
      <c r="D90" s="132" t="s">
        <v>315</v>
      </c>
      <c r="E90" s="132">
        <v>2</v>
      </c>
      <c r="F90" s="139">
        <v>50</v>
      </c>
      <c r="G90" s="134">
        <f t="shared" si="5"/>
        <v>25</v>
      </c>
      <c r="H90" s="134">
        <f t="shared" si="6"/>
        <v>150</v>
      </c>
      <c r="I90" s="135"/>
      <c r="J90" s="134">
        <f t="shared" si="7"/>
        <v>25</v>
      </c>
      <c r="K90" s="134">
        <f t="shared" si="8"/>
        <v>150</v>
      </c>
      <c r="L90" s="136"/>
      <c r="M90" s="134">
        <f t="shared" si="9"/>
        <v>25</v>
      </c>
      <c r="N90" s="134">
        <f t="shared" si="10"/>
        <v>150</v>
      </c>
      <c r="O90" s="136"/>
      <c r="P90" s="134">
        <v>25</v>
      </c>
      <c r="Q90" s="134">
        <f t="shared" si="11"/>
        <v>150</v>
      </c>
      <c r="R90" s="136"/>
    </row>
    <row r="91" spans="1:18" s="123" customFormat="1" x14ac:dyDescent="0.25">
      <c r="A91" s="131" t="s">
        <v>584</v>
      </c>
      <c r="B91" s="118">
        <v>7</v>
      </c>
      <c r="C91" s="131" t="s">
        <v>316</v>
      </c>
      <c r="D91" s="132" t="s">
        <v>317</v>
      </c>
      <c r="E91" s="132">
        <v>1</v>
      </c>
      <c r="F91" s="139">
        <v>60</v>
      </c>
      <c r="G91" s="134">
        <f t="shared" si="5"/>
        <v>30</v>
      </c>
      <c r="H91" s="134">
        <f t="shared" si="6"/>
        <v>180</v>
      </c>
      <c r="I91" s="135"/>
      <c r="J91" s="134">
        <f t="shared" si="7"/>
        <v>30</v>
      </c>
      <c r="K91" s="134">
        <f t="shared" si="8"/>
        <v>180</v>
      </c>
      <c r="L91" s="136"/>
      <c r="M91" s="134">
        <f t="shared" si="9"/>
        <v>30</v>
      </c>
      <c r="N91" s="134">
        <f t="shared" si="10"/>
        <v>180</v>
      </c>
      <c r="O91" s="136"/>
      <c r="P91" s="134">
        <v>30</v>
      </c>
      <c r="Q91" s="134">
        <f t="shared" si="11"/>
        <v>180</v>
      </c>
      <c r="R91" s="136"/>
    </row>
    <row r="92" spans="1:18" s="123" customFormat="1" x14ac:dyDescent="0.25">
      <c r="A92" s="131" t="s">
        <v>584</v>
      </c>
      <c r="B92" s="118">
        <v>7</v>
      </c>
      <c r="C92" s="131" t="s">
        <v>318</v>
      </c>
      <c r="D92" s="132" t="s">
        <v>319</v>
      </c>
      <c r="E92" s="132">
        <v>1</v>
      </c>
      <c r="F92" s="139">
        <v>40</v>
      </c>
      <c r="G92" s="134">
        <f t="shared" si="5"/>
        <v>20</v>
      </c>
      <c r="H92" s="134">
        <f t="shared" si="6"/>
        <v>120</v>
      </c>
      <c r="I92" s="135"/>
      <c r="J92" s="134">
        <f t="shared" si="7"/>
        <v>20</v>
      </c>
      <c r="K92" s="134">
        <f t="shared" si="8"/>
        <v>120</v>
      </c>
      <c r="L92" s="136"/>
      <c r="M92" s="134">
        <f t="shared" si="9"/>
        <v>20</v>
      </c>
      <c r="N92" s="134">
        <f t="shared" si="10"/>
        <v>120</v>
      </c>
      <c r="O92" s="136"/>
      <c r="P92" s="134">
        <v>20</v>
      </c>
      <c r="Q92" s="134">
        <f t="shared" si="11"/>
        <v>120</v>
      </c>
      <c r="R92" s="136"/>
    </row>
    <row r="93" spans="1:18" s="123" customFormat="1" x14ac:dyDescent="0.25">
      <c r="A93" s="131" t="s">
        <v>584</v>
      </c>
      <c r="B93" s="118">
        <v>7</v>
      </c>
      <c r="C93" s="131" t="s">
        <v>333</v>
      </c>
      <c r="D93" s="132" t="s">
        <v>334</v>
      </c>
      <c r="E93" s="132">
        <v>2</v>
      </c>
      <c r="F93" s="139">
        <v>125</v>
      </c>
      <c r="G93" s="134">
        <f t="shared" si="5"/>
        <v>62.5</v>
      </c>
      <c r="H93" s="134">
        <f t="shared" si="6"/>
        <v>375</v>
      </c>
      <c r="I93" s="135"/>
      <c r="J93" s="134">
        <f t="shared" si="7"/>
        <v>62.5</v>
      </c>
      <c r="K93" s="134">
        <f t="shared" si="8"/>
        <v>375</v>
      </c>
      <c r="L93" s="136"/>
      <c r="M93" s="134">
        <f t="shared" si="9"/>
        <v>62.5</v>
      </c>
      <c r="N93" s="134">
        <f t="shared" si="10"/>
        <v>375</v>
      </c>
      <c r="O93" s="136"/>
      <c r="P93" s="134">
        <f>$F93/2</f>
        <v>62.5</v>
      </c>
      <c r="Q93" s="134">
        <f t="shared" si="11"/>
        <v>375</v>
      </c>
      <c r="R93" s="136"/>
    </row>
    <row r="94" spans="1:18" s="123" customFormat="1" x14ac:dyDescent="0.25">
      <c r="A94" s="131" t="s">
        <v>584</v>
      </c>
      <c r="B94" s="118">
        <v>7</v>
      </c>
      <c r="C94" s="131" t="s">
        <v>337</v>
      </c>
      <c r="D94" s="132" t="s">
        <v>338</v>
      </c>
      <c r="E94" s="132">
        <v>1</v>
      </c>
      <c r="F94" s="139">
        <v>15</v>
      </c>
      <c r="G94" s="134">
        <f t="shared" si="5"/>
        <v>7.5</v>
      </c>
      <c r="H94" s="134">
        <f t="shared" si="6"/>
        <v>45</v>
      </c>
      <c r="I94" s="135"/>
      <c r="J94" s="134">
        <f t="shared" si="7"/>
        <v>7.5</v>
      </c>
      <c r="K94" s="134">
        <f t="shared" si="8"/>
        <v>45</v>
      </c>
      <c r="L94" s="136"/>
      <c r="M94" s="134">
        <f t="shared" si="9"/>
        <v>7.5</v>
      </c>
      <c r="N94" s="134">
        <f t="shared" si="10"/>
        <v>45</v>
      </c>
      <c r="O94" s="136"/>
      <c r="P94" s="134">
        <f>$F94/2</f>
        <v>7.5</v>
      </c>
      <c r="Q94" s="134">
        <f t="shared" si="11"/>
        <v>45</v>
      </c>
      <c r="R94" s="136"/>
    </row>
    <row r="95" spans="1:18" s="123" customFormat="1" x14ac:dyDescent="0.25">
      <c r="A95" s="131" t="s">
        <v>584</v>
      </c>
      <c r="B95" s="118">
        <v>7</v>
      </c>
      <c r="C95" s="131" t="s">
        <v>339</v>
      </c>
      <c r="D95" s="132" t="s">
        <v>340</v>
      </c>
      <c r="E95" s="132">
        <v>1</v>
      </c>
      <c r="F95" s="139">
        <v>5</v>
      </c>
      <c r="G95" s="134">
        <f t="shared" si="5"/>
        <v>2.5</v>
      </c>
      <c r="H95" s="134">
        <f t="shared" si="6"/>
        <v>15</v>
      </c>
      <c r="I95" s="135"/>
      <c r="J95" s="134">
        <f t="shared" si="7"/>
        <v>2.5</v>
      </c>
      <c r="K95" s="134">
        <f t="shared" si="8"/>
        <v>15</v>
      </c>
      <c r="L95" s="136"/>
      <c r="M95" s="134">
        <f t="shared" si="9"/>
        <v>2.5</v>
      </c>
      <c r="N95" s="134">
        <f t="shared" si="10"/>
        <v>15</v>
      </c>
      <c r="O95" s="136"/>
      <c r="P95" s="134">
        <f>$F95/2</f>
        <v>2.5</v>
      </c>
      <c r="Q95" s="134">
        <f t="shared" si="11"/>
        <v>15</v>
      </c>
      <c r="R95" s="136"/>
    </row>
    <row r="96" spans="1:18" s="123" customFormat="1" x14ac:dyDescent="0.25">
      <c r="A96" s="131" t="s">
        <v>584</v>
      </c>
      <c r="B96" s="118">
        <v>7</v>
      </c>
      <c r="C96" s="131" t="s">
        <v>335</v>
      </c>
      <c r="D96" s="132" t="s">
        <v>336</v>
      </c>
      <c r="E96" s="132">
        <v>2</v>
      </c>
      <c r="F96" s="139">
        <v>15</v>
      </c>
      <c r="G96" s="134">
        <f t="shared" si="5"/>
        <v>7.5</v>
      </c>
      <c r="H96" s="134">
        <f t="shared" si="6"/>
        <v>45</v>
      </c>
      <c r="I96" s="135"/>
      <c r="J96" s="134">
        <f t="shared" si="7"/>
        <v>7.5</v>
      </c>
      <c r="K96" s="134">
        <f t="shared" si="8"/>
        <v>45</v>
      </c>
      <c r="L96" s="136"/>
      <c r="M96" s="134">
        <f t="shared" si="9"/>
        <v>7.5</v>
      </c>
      <c r="N96" s="134">
        <f t="shared" si="10"/>
        <v>45</v>
      </c>
      <c r="O96" s="136"/>
      <c r="P96" s="134">
        <f>$F96/2</f>
        <v>7.5</v>
      </c>
      <c r="Q96" s="134">
        <f t="shared" si="11"/>
        <v>45</v>
      </c>
      <c r="R96" s="136"/>
    </row>
    <row r="97" spans="1:18" s="123" customFormat="1" x14ac:dyDescent="0.25">
      <c r="A97" s="131" t="s">
        <v>584</v>
      </c>
      <c r="B97" s="118">
        <v>7</v>
      </c>
      <c r="C97" s="131" t="str">
        <f>'common foods'!C155</f>
        <v>Jam, strawberry</v>
      </c>
      <c r="D97" s="132" t="s">
        <v>332</v>
      </c>
      <c r="E97" s="132">
        <v>1</v>
      </c>
      <c r="F97" s="139">
        <v>10</v>
      </c>
      <c r="G97" s="134">
        <f t="shared" si="5"/>
        <v>5</v>
      </c>
      <c r="H97" s="134">
        <f t="shared" si="6"/>
        <v>30</v>
      </c>
      <c r="I97" s="135"/>
      <c r="J97" s="134">
        <f t="shared" si="7"/>
        <v>5</v>
      </c>
      <c r="K97" s="134">
        <f t="shared" si="8"/>
        <v>30</v>
      </c>
      <c r="L97" s="136"/>
      <c r="M97" s="134">
        <f t="shared" si="9"/>
        <v>5</v>
      </c>
      <c r="N97" s="134">
        <f t="shared" si="10"/>
        <v>30</v>
      </c>
      <c r="O97" s="136"/>
      <c r="P97" s="134">
        <f>$F97/2</f>
        <v>5</v>
      </c>
      <c r="Q97" s="134">
        <f t="shared" si="11"/>
        <v>30</v>
      </c>
      <c r="R97" s="136"/>
    </row>
    <row r="98" spans="1:18" s="123" customFormat="1" x14ac:dyDescent="0.25">
      <c r="A98" s="131" t="s">
        <v>584</v>
      </c>
      <c r="B98" s="118">
        <v>7</v>
      </c>
      <c r="C98" s="131" t="s">
        <v>320</v>
      </c>
      <c r="D98" s="132" t="s">
        <v>321</v>
      </c>
      <c r="E98" s="132">
        <v>1</v>
      </c>
      <c r="F98" s="139">
        <v>50</v>
      </c>
      <c r="G98" s="134">
        <f t="shared" si="5"/>
        <v>25</v>
      </c>
      <c r="H98" s="134">
        <f t="shared" si="6"/>
        <v>150</v>
      </c>
      <c r="I98" s="135"/>
      <c r="J98" s="134">
        <f t="shared" si="7"/>
        <v>25</v>
      </c>
      <c r="K98" s="134">
        <f t="shared" si="8"/>
        <v>150</v>
      </c>
      <c r="L98" s="136"/>
      <c r="M98" s="134">
        <f t="shared" si="9"/>
        <v>25</v>
      </c>
      <c r="N98" s="134">
        <f t="shared" si="10"/>
        <v>150</v>
      </c>
      <c r="O98" s="136"/>
      <c r="P98" s="134">
        <v>25</v>
      </c>
      <c r="Q98" s="134">
        <f t="shared" si="11"/>
        <v>150</v>
      </c>
      <c r="R98" s="136"/>
    </row>
    <row r="99" spans="1:18" s="130" customFormat="1" x14ac:dyDescent="0.25">
      <c r="A99" s="126" t="s">
        <v>587</v>
      </c>
      <c r="B99" s="125"/>
      <c r="C99" s="124"/>
      <c r="D99" s="140"/>
      <c r="E99" s="140"/>
      <c r="F99" s="140"/>
      <c r="G99" s="128">
        <f>I99-(I99*0.2)</f>
        <v>440</v>
      </c>
      <c r="H99" s="128">
        <f>I99+(I99*0.2)</f>
        <v>660</v>
      </c>
      <c r="I99" s="129">
        <v>550</v>
      </c>
      <c r="J99" s="128">
        <f>L99-(L99*0.2)</f>
        <v>414.4</v>
      </c>
      <c r="K99" s="128">
        <f>L99+(L99*0.2)</f>
        <v>621.6</v>
      </c>
      <c r="L99" s="129">
        <v>518</v>
      </c>
      <c r="M99" s="128">
        <f>O99-(O99*0.2)</f>
        <v>340</v>
      </c>
      <c r="N99" s="128">
        <f>O99+(O99*0.2)</f>
        <v>510</v>
      </c>
      <c r="O99" s="129">
        <v>425</v>
      </c>
      <c r="P99" s="128">
        <f>R99-(R99*0.2)</f>
        <v>140</v>
      </c>
      <c r="Q99" s="128">
        <f>R99+(R99*0.2)</f>
        <v>210</v>
      </c>
      <c r="R99" s="129">
        <v>175</v>
      </c>
    </row>
    <row r="100" spans="1:18" s="123" customFormat="1" x14ac:dyDescent="0.25">
      <c r="A100" s="117" t="s">
        <v>341</v>
      </c>
      <c r="B100" s="118">
        <v>8</v>
      </c>
      <c r="C100" s="131" t="s">
        <v>342</v>
      </c>
      <c r="D100" s="132" t="s">
        <v>343</v>
      </c>
      <c r="E100" s="132">
        <v>1</v>
      </c>
      <c r="F100" s="139">
        <v>15</v>
      </c>
      <c r="G100" s="134">
        <f>$F100/2</f>
        <v>7.5</v>
      </c>
      <c r="H100" s="134">
        <f>$F100*3</f>
        <v>45</v>
      </c>
      <c r="I100" s="135"/>
      <c r="J100" s="134">
        <f>$F100/2</f>
        <v>7.5</v>
      </c>
      <c r="K100" s="134">
        <f>$F100*3</f>
        <v>45</v>
      </c>
      <c r="L100" s="136"/>
      <c r="M100" s="134">
        <f>$F100/2</f>
        <v>7.5</v>
      </c>
      <c r="N100" s="134">
        <f>$F100*3</f>
        <v>45</v>
      </c>
      <c r="O100" s="136"/>
      <c r="P100" s="134">
        <f>$F100/2</f>
        <v>7.5</v>
      </c>
      <c r="Q100" s="134">
        <f>$F100*3</f>
        <v>45</v>
      </c>
      <c r="R100" s="136"/>
    </row>
    <row r="101" spans="1:18" s="123" customFormat="1" x14ac:dyDescent="0.25">
      <c r="A101" s="117" t="s">
        <v>341</v>
      </c>
      <c r="B101" s="118">
        <v>8</v>
      </c>
      <c r="C101" s="131" t="s">
        <v>337</v>
      </c>
      <c r="D101" s="132" t="s">
        <v>338</v>
      </c>
      <c r="E101" s="132">
        <v>1</v>
      </c>
      <c r="F101" s="139">
        <v>15</v>
      </c>
      <c r="G101" s="134">
        <f>$F101/2</f>
        <v>7.5</v>
      </c>
      <c r="H101" s="134">
        <f>$F101*3</f>
        <v>45</v>
      </c>
      <c r="I101" s="135"/>
      <c r="J101" s="134">
        <f>$F101/2</f>
        <v>7.5</v>
      </c>
      <c r="K101" s="134">
        <f>$F101*3</f>
        <v>45</v>
      </c>
      <c r="L101" s="136"/>
      <c r="M101" s="134">
        <f>$F101/2</f>
        <v>7.5</v>
      </c>
      <c r="N101" s="134">
        <f>$F101*3</f>
        <v>45</v>
      </c>
      <c r="O101" s="136"/>
      <c r="P101" s="134">
        <f>$F101/2</f>
        <v>7.5</v>
      </c>
      <c r="Q101" s="134">
        <f>$F101*3</f>
        <v>45</v>
      </c>
      <c r="R101" s="136"/>
    </row>
    <row r="102" spans="1:18" s="123" customFormat="1" x14ac:dyDescent="0.25">
      <c r="A102" s="117" t="s">
        <v>341</v>
      </c>
      <c r="B102" s="118">
        <v>8</v>
      </c>
      <c r="C102" s="131" t="str">
        <f>'common foods'!C163</f>
        <v>soy sauce regular</v>
      </c>
      <c r="D102" s="132" t="s">
        <v>349</v>
      </c>
      <c r="E102" s="132">
        <v>2</v>
      </c>
      <c r="F102" s="139">
        <v>5</v>
      </c>
      <c r="G102" s="134">
        <v>3</v>
      </c>
      <c r="H102" s="134">
        <f>$F102*3</f>
        <v>15</v>
      </c>
      <c r="I102" s="135"/>
      <c r="J102" s="134">
        <f>$F102/2</f>
        <v>2.5</v>
      </c>
      <c r="K102" s="134">
        <f>$F102*3</f>
        <v>15</v>
      </c>
      <c r="L102" s="136"/>
      <c r="M102" s="134">
        <f>$F102/2</f>
        <v>2.5</v>
      </c>
      <c r="N102" s="134">
        <f>$F102*3</f>
        <v>15</v>
      </c>
      <c r="O102" s="136"/>
      <c r="P102" s="134">
        <f>$F102/2</f>
        <v>2.5</v>
      </c>
      <c r="Q102" s="134">
        <f>$F102*3</f>
        <v>15</v>
      </c>
      <c r="R102" s="136"/>
    </row>
    <row r="103" spans="1:18" s="123" customFormat="1" x14ac:dyDescent="0.25">
      <c r="A103" s="117" t="s">
        <v>341</v>
      </c>
      <c r="B103" s="118">
        <v>8</v>
      </c>
      <c r="C103" s="131" t="str">
        <f>'common foods'!C165</f>
        <v>marmite</v>
      </c>
      <c r="D103" s="132" t="s">
        <v>353</v>
      </c>
      <c r="E103" s="132">
        <v>1</v>
      </c>
      <c r="F103" s="139">
        <v>10</v>
      </c>
      <c r="G103" s="134">
        <v>5</v>
      </c>
      <c r="H103" s="134">
        <v>30</v>
      </c>
      <c r="I103" s="135"/>
      <c r="J103" s="134">
        <v>5</v>
      </c>
      <c r="K103" s="134">
        <v>30</v>
      </c>
      <c r="L103" s="136"/>
      <c r="M103" s="134">
        <v>5</v>
      </c>
      <c r="N103" s="134">
        <v>30</v>
      </c>
      <c r="O103" s="136"/>
      <c r="P103" s="134">
        <v>5</v>
      </c>
      <c r="Q103" s="134">
        <v>30</v>
      </c>
      <c r="R103" s="136"/>
    </row>
    <row r="104" spans="1:18" s="130" customFormat="1" x14ac:dyDescent="0.25">
      <c r="A104" s="126" t="s">
        <v>588</v>
      </c>
      <c r="B104" s="125"/>
      <c r="C104" s="124"/>
      <c r="D104" s="140"/>
      <c r="E104" s="140"/>
      <c r="F104" s="140"/>
      <c r="G104" s="128">
        <f>I104-(I104*0.2)</f>
        <v>1380</v>
      </c>
      <c r="H104" s="128">
        <f>I104+(I104*0.2)</f>
        <v>2070</v>
      </c>
      <c r="I104" s="129">
        <v>1725</v>
      </c>
      <c r="J104" s="128">
        <f>L104-(L104*0.2)</f>
        <v>910.4</v>
      </c>
      <c r="K104" s="128">
        <f>L104+(L104*0.2)</f>
        <v>1365.6</v>
      </c>
      <c r="L104" s="129">
        <v>1138</v>
      </c>
      <c r="M104" s="128">
        <f>O104-(O104*0.2)</f>
        <v>1800</v>
      </c>
      <c r="N104" s="128">
        <f>O104+(O104*0.2)</f>
        <v>2700</v>
      </c>
      <c r="O104" s="129">
        <v>2250</v>
      </c>
      <c r="P104" s="128">
        <f>R104-(R104*0.2)</f>
        <v>908</v>
      </c>
      <c r="Q104" s="128">
        <f>R104+(R104*0.2)</f>
        <v>1362</v>
      </c>
      <c r="R104" s="129">
        <v>1135</v>
      </c>
    </row>
    <row r="105" spans="1:18" s="123" customFormat="1" x14ac:dyDescent="0.25">
      <c r="A105" s="117" t="s">
        <v>356</v>
      </c>
      <c r="B105" s="118">
        <v>9</v>
      </c>
      <c r="C105" s="131" t="s">
        <v>357</v>
      </c>
      <c r="D105" s="132" t="s">
        <v>358</v>
      </c>
      <c r="E105" s="132">
        <v>2</v>
      </c>
      <c r="F105" s="139">
        <v>20</v>
      </c>
      <c r="G105" s="134">
        <f t="shared" ref="G105:G111" si="12">$F105/2</f>
        <v>10</v>
      </c>
      <c r="H105" s="134">
        <f t="shared" ref="H105:H111" si="13">$F105*4</f>
        <v>80</v>
      </c>
      <c r="I105" s="135"/>
      <c r="J105" s="134">
        <f t="shared" ref="J105:J111" si="14">$F105/2</f>
        <v>10</v>
      </c>
      <c r="K105" s="134">
        <f t="shared" ref="K105:K111" si="15">$F105*4</f>
        <v>80</v>
      </c>
      <c r="L105" s="136"/>
      <c r="M105" s="134">
        <f t="shared" ref="M105:M110" si="16">$F105/2</f>
        <v>10</v>
      </c>
      <c r="N105" s="134">
        <f t="shared" ref="N105:N110" si="17">$F105*4</f>
        <v>80</v>
      </c>
      <c r="O105" s="136"/>
      <c r="P105" s="134">
        <f t="shared" ref="P105:P110" si="18">$F105/2</f>
        <v>10</v>
      </c>
      <c r="Q105" s="134">
        <f t="shared" ref="Q105:Q110" si="19">$F105*4</f>
        <v>80</v>
      </c>
      <c r="R105" s="136"/>
    </row>
    <row r="106" spans="1:18" s="123" customFormat="1" x14ac:dyDescent="0.25">
      <c r="A106" s="117" t="s">
        <v>356</v>
      </c>
      <c r="B106" s="118">
        <v>9</v>
      </c>
      <c r="C106" s="131" t="s">
        <v>359</v>
      </c>
      <c r="D106" s="132" t="s">
        <v>360</v>
      </c>
      <c r="E106" s="132">
        <v>1</v>
      </c>
      <c r="F106" s="139">
        <v>250</v>
      </c>
      <c r="G106" s="134">
        <f t="shared" si="12"/>
        <v>125</v>
      </c>
      <c r="H106" s="134">
        <f t="shared" si="13"/>
        <v>1000</v>
      </c>
      <c r="I106" s="135"/>
      <c r="J106" s="134">
        <f t="shared" si="14"/>
        <v>125</v>
      </c>
      <c r="K106" s="134">
        <f t="shared" si="15"/>
        <v>1000</v>
      </c>
      <c r="L106" s="136"/>
      <c r="M106" s="134">
        <f t="shared" si="16"/>
        <v>125</v>
      </c>
      <c r="N106" s="134">
        <f t="shared" si="17"/>
        <v>1000</v>
      </c>
      <c r="O106" s="136"/>
      <c r="P106" s="134">
        <f t="shared" si="18"/>
        <v>125</v>
      </c>
      <c r="Q106" s="134">
        <f t="shared" si="19"/>
        <v>1000</v>
      </c>
      <c r="R106" s="136"/>
    </row>
    <row r="107" spans="1:18" s="123" customFormat="1" x14ac:dyDescent="0.25">
      <c r="A107" s="117" t="s">
        <v>356</v>
      </c>
      <c r="B107" s="118">
        <v>9</v>
      </c>
      <c r="C107" s="131" t="s">
        <v>361</v>
      </c>
      <c r="D107" s="132" t="s">
        <v>362</v>
      </c>
      <c r="E107" s="132">
        <v>2</v>
      </c>
      <c r="F107" s="139">
        <v>250</v>
      </c>
      <c r="G107" s="134">
        <f t="shared" si="12"/>
        <v>125</v>
      </c>
      <c r="H107" s="134">
        <f t="shared" si="13"/>
        <v>1000</v>
      </c>
      <c r="I107" s="135"/>
      <c r="J107" s="134">
        <f t="shared" si="14"/>
        <v>125</v>
      </c>
      <c r="K107" s="134">
        <f t="shared" si="15"/>
        <v>1000</v>
      </c>
      <c r="L107" s="136"/>
      <c r="M107" s="134">
        <f t="shared" si="16"/>
        <v>125</v>
      </c>
      <c r="N107" s="134">
        <f t="shared" si="17"/>
        <v>1000</v>
      </c>
      <c r="O107" s="136"/>
      <c r="P107" s="134">
        <f t="shared" si="18"/>
        <v>125</v>
      </c>
      <c r="Q107" s="134">
        <f t="shared" si="19"/>
        <v>1000</v>
      </c>
      <c r="R107" s="136"/>
    </row>
    <row r="108" spans="1:18" s="123" customFormat="1" x14ac:dyDescent="0.25">
      <c r="A108" s="117" t="s">
        <v>356</v>
      </c>
      <c r="B108" s="118">
        <v>9</v>
      </c>
      <c r="C108" s="131" t="s">
        <v>363</v>
      </c>
      <c r="D108" s="132" t="s">
        <v>364</v>
      </c>
      <c r="E108" s="132">
        <v>2</v>
      </c>
      <c r="F108" s="139">
        <v>250</v>
      </c>
      <c r="G108" s="134">
        <f t="shared" si="12"/>
        <v>125</v>
      </c>
      <c r="H108" s="134">
        <f t="shared" si="13"/>
        <v>1000</v>
      </c>
      <c r="I108" s="135"/>
      <c r="J108" s="134">
        <f t="shared" si="14"/>
        <v>125</v>
      </c>
      <c r="K108" s="134">
        <f t="shared" si="15"/>
        <v>1000</v>
      </c>
      <c r="L108" s="136"/>
      <c r="M108" s="134">
        <f t="shared" si="16"/>
        <v>125</v>
      </c>
      <c r="N108" s="134">
        <f t="shared" si="17"/>
        <v>1000</v>
      </c>
      <c r="O108" s="136"/>
      <c r="P108" s="134">
        <f t="shared" si="18"/>
        <v>125</v>
      </c>
      <c r="Q108" s="134">
        <f t="shared" si="19"/>
        <v>1000</v>
      </c>
      <c r="R108" s="136"/>
    </row>
    <row r="109" spans="1:18" s="123" customFormat="1" x14ac:dyDescent="0.25">
      <c r="A109" s="117" t="s">
        <v>356</v>
      </c>
      <c r="B109" s="118">
        <v>9</v>
      </c>
      <c r="C109" s="131" t="s">
        <v>365</v>
      </c>
      <c r="D109" s="132" t="s">
        <v>366</v>
      </c>
      <c r="E109" s="132">
        <v>1</v>
      </c>
      <c r="F109" s="139">
        <v>250</v>
      </c>
      <c r="G109" s="134">
        <f t="shared" si="12"/>
        <v>125</v>
      </c>
      <c r="H109" s="134">
        <f t="shared" si="13"/>
        <v>1000</v>
      </c>
      <c r="I109" s="135"/>
      <c r="J109" s="134">
        <f t="shared" si="14"/>
        <v>125</v>
      </c>
      <c r="K109" s="134">
        <f t="shared" si="15"/>
        <v>1000</v>
      </c>
      <c r="L109" s="136"/>
      <c r="M109" s="134">
        <f t="shared" si="16"/>
        <v>125</v>
      </c>
      <c r="N109" s="134">
        <f t="shared" si="17"/>
        <v>1000</v>
      </c>
      <c r="O109" s="136"/>
      <c r="P109" s="134">
        <f t="shared" si="18"/>
        <v>125</v>
      </c>
      <c r="Q109" s="134">
        <f t="shared" si="19"/>
        <v>1000</v>
      </c>
      <c r="R109" s="136"/>
    </row>
    <row r="110" spans="1:18" s="123" customFormat="1" x14ac:dyDescent="0.25">
      <c r="A110" s="117" t="s">
        <v>356</v>
      </c>
      <c r="B110" s="118">
        <v>9</v>
      </c>
      <c r="C110" s="131" t="str">
        <f>'common foods'!C172</f>
        <v>Soft drink Powder</v>
      </c>
      <c r="D110" s="132" t="s">
        <v>368</v>
      </c>
      <c r="E110" s="132">
        <v>3</v>
      </c>
      <c r="F110" s="139">
        <v>15</v>
      </c>
      <c r="G110" s="134">
        <f t="shared" si="12"/>
        <v>7.5</v>
      </c>
      <c r="H110" s="134">
        <f t="shared" si="13"/>
        <v>60</v>
      </c>
      <c r="I110" s="135"/>
      <c r="J110" s="134">
        <f t="shared" si="14"/>
        <v>7.5</v>
      </c>
      <c r="K110" s="134">
        <f t="shared" si="15"/>
        <v>60</v>
      </c>
      <c r="L110" s="136"/>
      <c r="M110" s="134">
        <f t="shared" si="16"/>
        <v>7.5</v>
      </c>
      <c r="N110" s="134">
        <f t="shared" si="17"/>
        <v>60</v>
      </c>
      <c r="O110" s="136"/>
      <c r="P110" s="134">
        <f t="shared" si="18"/>
        <v>7.5</v>
      </c>
      <c r="Q110" s="134">
        <f t="shared" si="19"/>
        <v>60</v>
      </c>
      <c r="R110" s="136"/>
    </row>
    <row r="111" spans="1:18" s="123" customFormat="1" x14ac:dyDescent="0.25">
      <c r="A111" s="117" t="s">
        <v>356</v>
      </c>
      <c r="B111" s="118">
        <v>9</v>
      </c>
      <c r="C111" s="131" t="s">
        <v>369</v>
      </c>
      <c r="D111" s="132" t="s">
        <v>370</v>
      </c>
      <c r="E111" s="132">
        <v>3</v>
      </c>
      <c r="F111" s="139">
        <v>250</v>
      </c>
      <c r="G111" s="134">
        <f t="shared" si="12"/>
        <v>125</v>
      </c>
      <c r="H111" s="134">
        <f t="shared" si="13"/>
        <v>1000</v>
      </c>
      <c r="I111" s="135"/>
      <c r="J111" s="134">
        <f t="shared" si="14"/>
        <v>125</v>
      </c>
      <c r="K111" s="134">
        <f t="shared" si="15"/>
        <v>1000</v>
      </c>
      <c r="L111" s="136"/>
      <c r="M111" s="143">
        <v>0</v>
      </c>
      <c r="N111" s="143">
        <v>0</v>
      </c>
      <c r="O111" s="136"/>
      <c r="P111" s="143">
        <v>0</v>
      </c>
      <c r="Q111" s="143">
        <v>0</v>
      </c>
      <c r="R111" s="136"/>
    </row>
    <row r="112" spans="1:18" s="130" customFormat="1" x14ac:dyDescent="0.25">
      <c r="A112" s="126" t="s">
        <v>589</v>
      </c>
      <c r="B112" s="125"/>
      <c r="C112" s="124"/>
      <c r="D112" s="140"/>
      <c r="E112" s="140"/>
      <c r="F112" s="140"/>
      <c r="G112" s="128">
        <f>I112-(I112*0.2)</f>
        <v>440</v>
      </c>
      <c r="H112" s="128">
        <f>I112+(I112*0.2)</f>
        <v>660</v>
      </c>
      <c r="I112" s="129">
        <v>550</v>
      </c>
      <c r="J112" s="128">
        <f>L112-(L112*0.2)</f>
        <v>308</v>
      </c>
      <c r="K112" s="128">
        <f>L112+(L112*0.2)</f>
        <v>462</v>
      </c>
      <c r="L112" s="129">
        <v>385</v>
      </c>
      <c r="M112" s="128">
        <f>O112-(O112*0.2)</f>
        <v>1092</v>
      </c>
      <c r="N112" s="128">
        <f>O112+(O112*0.2)</f>
        <v>1638</v>
      </c>
      <c r="O112" s="129">
        <v>1365</v>
      </c>
      <c r="P112" s="128">
        <f>R112-(R112*0.2)</f>
        <v>148</v>
      </c>
      <c r="Q112" s="128">
        <f>R112+(R112*0.2)</f>
        <v>222</v>
      </c>
      <c r="R112" s="129">
        <v>185</v>
      </c>
    </row>
    <row r="113" spans="1:18" s="123" customFormat="1" x14ac:dyDescent="0.25">
      <c r="A113" s="117" t="s">
        <v>377</v>
      </c>
      <c r="B113" s="118">
        <v>10</v>
      </c>
      <c r="C113" s="131" t="s">
        <v>378</v>
      </c>
      <c r="D113" s="132" t="s">
        <v>379</v>
      </c>
      <c r="E113" s="132">
        <v>1</v>
      </c>
      <c r="F113" s="139">
        <v>150</v>
      </c>
      <c r="G113" s="134">
        <f>$F113/2</f>
        <v>75</v>
      </c>
      <c r="H113" s="134">
        <f>$F113*3</f>
        <v>450</v>
      </c>
      <c r="I113" s="135"/>
      <c r="J113" s="134">
        <f>$F113/2</f>
        <v>75</v>
      </c>
      <c r="K113" s="134">
        <f>$F113*3</f>
        <v>450</v>
      </c>
      <c r="L113" s="136"/>
      <c r="M113" s="134">
        <f>$F113/2</f>
        <v>75</v>
      </c>
      <c r="N113" s="134">
        <f>$F113*5</f>
        <v>750</v>
      </c>
      <c r="O113" s="136"/>
      <c r="P113" s="134">
        <f>$F113/2</f>
        <v>75</v>
      </c>
      <c r="Q113" s="134">
        <f>$F113*3</f>
        <v>450</v>
      </c>
      <c r="R113" s="136"/>
    </row>
    <row r="114" spans="1:18" s="123" customFormat="1" x14ac:dyDescent="0.25">
      <c r="A114" s="117" t="s">
        <v>377</v>
      </c>
      <c r="B114" s="118">
        <v>10</v>
      </c>
      <c r="C114" s="131" t="s">
        <v>380</v>
      </c>
      <c r="D114" s="132" t="s">
        <v>381</v>
      </c>
      <c r="E114" s="132">
        <v>1</v>
      </c>
      <c r="F114" s="139">
        <v>150</v>
      </c>
      <c r="G114" s="134">
        <f>$F114/2</f>
        <v>75</v>
      </c>
      <c r="H114" s="134">
        <f>$F114*3</f>
        <v>450</v>
      </c>
      <c r="I114" s="135"/>
      <c r="J114" s="134">
        <f>$F114/2</f>
        <v>75</v>
      </c>
      <c r="K114" s="134">
        <f>$F114*3</f>
        <v>450</v>
      </c>
      <c r="L114" s="136"/>
      <c r="M114" s="134">
        <f>$F114/2</f>
        <v>75</v>
      </c>
      <c r="N114" s="134">
        <f>$F114*5</f>
        <v>750</v>
      </c>
      <c r="O114" s="136"/>
      <c r="P114" s="134">
        <f>$F114/2</f>
        <v>75</v>
      </c>
      <c r="Q114" s="134">
        <f>$F114*3</f>
        <v>450</v>
      </c>
      <c r="R114" s="136"/>
    </row>
    <row r="115" spans="1:18" s="123" customFormat="1" x14ac:dyDescent="0.25">
      <c r="A115" s="117" t="s">
        <v>377</v>
      </c>
      <c r="B115" s="118">
        <v>10</v>
      </c>
      <c r="C115" s="131" t="s">
        <v>382</v>
      </c>
      <c r="D115" s="132" t="s">
        <v>383</v>
      </c>
      <c r="E115" s="132">
        <v>1</v>
      </c>
      <c r="F115" s="139">
        <v>120</v>
      </c>
      <c r="G115" s="134">
        <f>$F115/2</f>
        <v>60</v>
      </c>
      <c r="H115" s="134">
        <f>$F115*3</f>
        <v>360</v>
      </c>
      <c r="I115" s="135"/>
      <c r="J115" s="134">
        <f>$F115/2</f>
        <v>60</v>
      </c>
      <c r="K115" s="134">
        <f>$F115*3</f>
        <v>360</v>
      </c>
      <c r="L115" s="136"/>
      <c r="M115" s="134">
        <f>$F115/2</f>
        <v>60</v>
      </c>
      <c r="N115" s="134">
        <f>$F115*5</f>
        <v>600</v>
      </c>
      <c r="O115" s="136"/>
      <c r="P115" s="134">
        <f>$F115/2</f>
        <v>60</v>
      </c>
      <c r="Q115" s="134">
        <f>$F115*3</f>
        <v>360</v>
      </c>
      <c r="R115" s="136"/>
    </row>
    <row r="116" spans="1:18" s="123" customFormat="1" x14ac:dyDescent="0.25">
      <c r="A116" s="117" t="s">
        <v>377</v>
      </c>
      <c r="B116" s="118">
        <v>10</v>
      </c>
      <c r="C116" s="131" t="s">
        <v>384</v>
      </c>
      <c r="D116" s="132" t="s">
        <v>385</v>
      </c>
      <c r="E116" s="132">
        <v>1</v>
      </c>
      <c r="F116" s="139">
        <v>150</v>
      </c>
      <c r="G116" s="134">
        <f>$F116/2</f>
        <v>75</v>
      </c>
      <c r="H116" s="134">
        <f>$F116*3</f>
        <v>450</v>
      </c>
      <c r="I116" s="135"/>
      <c r="J116" s="134">
        <f>$F116/2</f>
        <v>75</v>
      </c>
      <c r="K116" s="134">
        <f>$F116*3</f>
        <v>450</v>
      </c>
      <c r="L116" s="136"/>
      <c r="M116" s="134">
        <f>$F116/2</f>
        <v>75</v>
      </c>
      <c r="N116" s="134">
        <f>$F116*5</f>
        <v>750</v>
      </c>
      <c r="O116" s="136"/>
      <c r="P116" s="134">
        <f>$F116/2</f>
        <v>75</v>
      </c>
      <c r="Q116" s="134">
        <f>$F116*3</f>
        <v>450</v>
      </c>
      <c r="R116" s="136"/>
    </row>
    <row r="117" spans="1:18" s="123" customFormat="1" x14ac:dyDescent="0.25">
      <c r="A117" s="117" t="s">
        <v>377</v>
      </c>
      <c r="B117" s="118">
        <v>10</v>
      </c>
      <c r="C117" s="131" t="s">
        <v>400</v>
      </c>
      <c r="D117" s="132">
        <v>10121</v>
      </c>
      <c r="E117" s="132">
        <v>2</v>
      </c>
      <c r="F117" s="139">
        <v>150</v>
      </c>
      <c r="G117" s="134">
        <f>$F117/2</f>
        <v>75</v>
      </c>
      <c r="H117" s="134">
        <f>$F117*3</f>
        <v>450</v>
      </c>
      <c r="I117" s="135"/>
      <c r="J117" s="134">
        <f>$F117/2</f>
        <v>75</v>
      </c>
      <c r="K117" s="134">
        <f>$F117*3</f>
        <v>450</v>
      </c>
      <c r="L117" s="136"/>
      <c r="M117" s="134">
        <f>$F117/2</f>
        <v>75</v>
      </c>
      <c r="N117" s="134">
        <f>$F117*5</f>
        <v>750</v>
      </c>
      <c r="O117" s="136"/>
      <c r="P117" s="134">
        <f>$F117/2</f>
        <v>75</v>
      </c>
      <c r="Q117" s="134">
        <f>$F117*3</f>
        <v>450</v>
      </c>
      <c r="R117" s="136"/>
    </row>
    <row r="118" spans="1:18" s="123" customFormat="1" x14ac:dyDescent="0.25">
      <c r="A118" s="117" t="s">
        <v>377</v>
      </c>
      <c r="B118" s="118">
        <v>10</v>
      </c>
      <c r="C118" s="131" t="str">
        <f>'common foods'!C190</f>
        <v>McDonald's cheeseburger</v>
      </c>
      <c r="D118" s="132">
        <v>10123</v>
      </c>
      <c r="E118" s="132">
        <v>1</v>
      </c>
      <c r="F118" s="139">
        <v>120</v>
      </c>
      <c r="G118" s="134">
        <f>F118/2</f>
        <v>60</v>
      </c>
      <c r="H118" s="134">
        <f>F118*3</f>
        <v>360</v>
      </c>
      <c r="I118" s="135"/>
      <c r="J118" s="134">
        <v>60</v>
      </c>
      <c r="K118" s="134">
        <v>360</v>
      </c>
      <c r="L118" s="136"/>
      <c r="M118" s="134">
        <v>60</v>
      </c>
      <c r="N118" s="134">
        <v>360</v>
      </c>
      <c r="O118" s="136"/>
      <c r="P118" s="134">
        <v>60</v>
      </c>
      <c r="Q118" s="134">
        <v>360</v>
      </c>
      <c r="R118" s="136"/>
    </row>
    <row r="119" spans="1:18" s="123" customFormat="1" x14ac:dyDescent="0.25">
      <c r="A119" s="117" t="s">
        <v>377</v>
      </c>
      <c r="B119" s="118">
        <v>10</v>
      </c>
      <c r="C119" s="131" t="str">
        <f>'common foods'!C189</f>
        <v>McDonald's value sharepack</v>
      </c>
      <c r="D119" s="132">
        <v>10122</v>
      </c>
      <c r="E119" s="132">
        <v>1</v>
      </c>
      <c r="F119" s="139">
        <v>150</v>
      </c>
      <c r="G119" s="134">
        <f>F119/2</f>
        <v>75</v>
      </c>
      <c r="H119" s="134">
        <f>F119*3</f>
        <v>450</v>
      </c>
      <c r="I119" s="135"/>
      <c r="J119" s="134">
        <v>75</v>
      </c>
      <c r="K119" s="134">
        <v>450</v>
      </c>
      <c r="L119" s="136"/>
      <c r="M119" s="134">
        <v>75</v>
      </c>
      <c r="N119" s="134">
        <v>450</v>
      </c>
      <c r="O119" s="136"/>
      <c r="P119" s="134">
        <v>75</v>
      </c>
      <c r="Q119" s="134">
        <v>450</v>
      </c>
      <c r="R119" s="136"/>
    </row>
    <row r="120" spans="1:18" s="130" customFormat="1" x14ac:dyDescent="0.25">
      <c r="A120" s="126" t="s">
        <v>590</v>
      </c>
      <c r="B120" s="125"/>
      <c r="C120" s="124"/>
      <c r="D120" s="140"/>
      <c r="E120" s="140"/>
      <c r="F120" s="140"/>
      <c r="G120" s="128">
        <f>I120-(I120*0.2)</f>
        <v>2088</v>
      </c>
      <c r="H120" s="128">
        <f>I120+(I120*0.2)</f>
        <v>3132</v>
      </c>
      <c r="I120" s="129">
        <v>2610</v>
      </c>
      <c r="J120" s="128">
        <f>L120-(L120*0.2)</f>
        <v>776</v>
      </c>
      <c r="K120" s="128">
        <f>L120+(L120*0.2)</f>
        <v>1164</v>
      </c>
      <c r="L120" s="129">
        <v>970</v>
      </c>
      <c r="M120" s="128" t="e">
        <f>O120-(O120*0.2)</f>
        <v>#REF!</v>
      </c>
      <c r="N120" s="128" t="e">
        <f>O120+(O120*0.2)</f>
        <v>#REF!</v>
      </c>
      <c r="O120" s="129" t="e">
        <f>#REF!/2</f>
        <v>#REF!</v>
      </c>
      <c r="P120" s="128" t="e">
        <f>R120-(R120*0.2)</f>
        <v>#REF!</v>
      </c>
      <c r="Q120" s="128" t="e">
        <f>R120+(R120*0.2)</f>
        <v>#REF!</v>
      </c>
      <c r="R120" s="129" t="e">
        <f>#REF!/2</f>
        <v>#REF!</v>
      </c>
    </row>
    <row r="121" spans="1:18" s="123" customFormat="1" x14ac:dyDescent="0.25">
      <c r="A121" s="117" t="s">
        <v>406</v>
      </c>
      <c r="B121" s="118">
        <v>11</v>
      </c>
      <c r="C121" s="131" t="s">
        <v>407</v>
      </c>
      <c r="D121" s="132" t="s">
        <v>408</v>
      </c>
      <c r="E121" s="132">
        <v>1</v>
      </c>
      <c r="F121" s="139">
        <v>100</v>
      </c>
      <c r="G121" s="134">
        <v>50</v>
      </c>
      <c r="H121" s="134">
        <f>$F121*14</f>
        <v>1400</v>
      </c>
      <c r="I121" s="135"/>
      <c r="J121" s="134">
        <v>50</v>
      </c>
      <c r="K121" s="134">
        <f>$F121*14</f>
        <v>1400</v>
      </c>
      <c r="L121" s="136"/>
      <c r="M121" s="134">
        <v>0</v>
      </c>
      <c r="N121" s="134">
        <v>0</v>
      </c>
      <c r="O121" s="136" t="e">
        <f>#REF!/2</f>
        <v>#REF!</v>
      </c>
      <c r="P121" s="134">
        <v>0</v>
      </c>
      <c r="Q121" s="134">
        <v>0</v>
      </c>
      <c r="R121" s="136" t="e">
        <f>#REF!/2</f>
        <v>#REF!</v>
      </c>
    </row>
    <row r="122" spans="1:18" s="123" customFormat="1" x14ac:dyDescent="0.25">
      <c r="A122" s="117" t="s">
        <v>406</v>
      </c>
      <c r="B122" s="118">
        <v>11</v>
      </c>
      <c r="C122" s="131" t="s">
        <v>409</v>
      </c>
      <c r="D122" s="132" t="s">
        <v>410</v>
      </c>
      <c r="E122" s="132">
        <v>1</v>
      </c>
      <c r="F122" s="139">
        <v>330</v>
      </c>
      <c r="G122" s="134">
        <v>165</v>
      </c>
      <c r="H122" s="134">
        <f>$F122*14</f>
        <v>4620</v>
      </c>
      <c r="I122" s="135"/>
      <c r="J122" s="134">
        <v>165</v>
      </c>
      <c r="K122" s="134">
        <f>$F122*14</f>
        <v>4620</v>
      </c>
      <c r="L122" s="136"/>
      <c r="M122" s="134">
        <v>0</v>
      </c>
      <c r="N122" s="134">
        <v>0</v>
      </c>
      <c r="O122" s="136" t="e">
        <f>#REF!/2</f>
        <v>#REF!</v>
      </c>
      <c r="P122" s="134">
        <v>0</v>
      </c>
      <c r="Q122" s="134">
        <v>0</v>
      </c>
      <c r="R122" s="136" t="e">
        <f>#REF!/2</f>
        <v>#REF!</v>
      </c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AMK989"/>
  <sheetViews>
    <sheetView topLeftCell="A25" zoomScale="60" zoomScaleNormal="60" workbookViewId="0">
      <selection activeCell="P37" sqref="P37"/>
    </sheetView>
  </sheetViews>
  <sheetFormatPr defaultRowHeight="15" x14ac:dyDescent="0.25"/>
  <cols>
    <col min="1" max="1" width="34.7109375" style="146" customWidth="1"/>
    <col min="2" max="2" width="31.7109375" style="146" customWidth="1"/>
    <col min="3" max="3" width="16" style="146" customWidth="1"/>
    <col min="4" max="4" width="14.42578125" style="146" customWidth="1"/>
    <col min="5" max="5" width="18" style="146" customWidth="1"/>
    <col min="6" max="6" width="19" style="146" customWidth="1"/>
    <col min="7" max="7" width="18.140625" style="146" customWidth="1"/>
    <col min="8" max="8" width="16.140625" style="146" customWidth="1"/>
    <col min="9" max="9" width="19" style="146" customWidth="1"/>
    <col min="10" max="10" width="16.85546875" style="146" customWidth="1"/>
    <col min="11" max="11" width="16.42578125" style="146" customWidth="1"/>
    <col min="12" max="12" width="15.85546875" style="146" customWidth="1"/>
    <col min="13" max="13" width="15" style="146" customWidth="1"/>
    <col min="14" max="14" width="16" style="146" customWidth="1"/>
    <col min="15" max="15" width="19.7109375" style="146" customWidth="1"/>
    <col min="16" max="16" width="17.28515625" style="146" customWidth="1"/>
    <col min="17" max="17" width="10.85546875" style="146" customWidth="1"/>
    <col min="18" max="18" width="11.28515625" style="146" customWidth="1"/>
    <col min="19" max="36" width="10.85546875" style="146" customWidth="1"/>
    <col min="37" max="1025" width="14.42578125" style="146" customWidth="1"/>
  </cols>
  <sheetData>
    <row r="1" spans="1:36" ht="15.75" customHeight="1" x14ac:dyDescent="0.25">
      <c r="A1" s="147"/>
      <c r="B1" s="148"/>
      <c r="C1" s="148"/>
      <c r="D1" s="148"/>
      <c r="E1" s="148"/>
      <c r="F1" s="148" t="s">
        <v>591</v>
      </c>
      <c r="G1" s="148"/>
      <c r="H1" s="148" t="s">
        <v>592</v>
      </c>
      <c r="I1" s="148"/>
      <c r="J1" s="148"/>
      <c r="K1" s="148"/>
      <c r="L1" s="148"/>
      <c r="M1" s="148"/>
      <c r="N1" s="148"/>
      <c r="O1" s="148"/>
      <c r="P1" s="148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</row>
    <row r="2" spans="1:36" s="54" customFormat="1" ht="15.75" x14ac:dyDescent="0.25">
      <c r="A2" s="78" t="s">
        <v>557</v>
      </c>
      <c r="B2" s="73"/>
      <c r="C2" s="55"/>
      <c r="D2" s="74"/>
      <c r="E2" s="221" t="s">
        <v>558</v>
      </c>
      <c r="F2" s="221"/>
      <c r="G2" s="221"/>
      <c r="H2" s="221" t="s">
        <v>559</v>
      </c>
      <c r="I2" s="221"/>
      <c r="J2" s="221"/>
      <c r="K2" s="221" t="s">
        <v>560</v>
      </c>
      <c r="L2" s="221"/>
      <c r="M2" s="221"/>
      <c r="N2" s="221" t="s">
        <v>561</v>
      </c>
      <c r="O2" s="221"/>
      <c r="P2" s="221"/>
    </row>
    <row r="3" spans="1:36" s="83" customFormat="1" ht="15.75" x14ac:dyDescent="0.25">
      <c r="A3" s="80" t="s">
        <v>2</v>
      </c>
      <c r="B3" s="40" t="s">
        <v>3</v>
      </c>
      <c r="C3" s="81" t="s">
        <v>562</v>
      </c>
      <c r="D3" s="82" t="s">
        <v>563</v>
      </c>
      <c r="E3" s="81" t="s">
        <v>564</v>
      </c>
      <c r="F3" s="81" t="s">
        <v>565</v>
      </c>
      <c r="G3" s="82" t="s">
        <v>566</v>
      </c>
      <c r="H3" s="81" t="s">
        <v>564</v>
      </c>
      <c r="I3" s="81" t="s">
        <v>565</v>
      </c>
      <c r="J3" s="82" t="s">
        <v>566</v>
      </c>
      <c r="K3" s="81" t="s">
        <v>564</v>
      </c>
      <c r="L3" s="81" t="s">
        <v>565</v>
      </c>
      <c r="M3" s="82" t="s">
        <v>566</v>
      </c>
      <c r="N3" s="81" t="s">
        <v>564</v>
      </c>
      <c r="O3" s="81" t="s">
        <v>565</v>
      </c>
      <c r="P3" s="82" t="s">
        <v>566</v>
      </c>
    </row>
    <row r="4" spans="1:36" ht="15.75" customHeight="1" x14ac:dyDescent="0.25">
      <c r="A4" s="150"/>
      <c r="B4" s="151"/>
      <c r="C4" s="151"/>
      <c r="D4" s="152"/>
      <c r="E4" s="151"/>
      <c r="F4" s="151"/>
      <c r="G4" s="152" t="s">
        <v>567</v>
      </c>
      <c r="H4" s="151"/>
      <c r="I4" s="151"/>
      <c r="J4" s="152" t="s">
        <v>567</v>
      </c>
      <c r="K4" s="151"/>
      <c r="L4" s="151"/>
      <c r="M4" s="152" t="s">
        <v>567</v>
      </c>
      <c r="N4" s="151"/>
      <c r="O4" s="151"/>
      <c r="P4" s="152" t="s">
        <v>567</v>
      </c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</row>
    <row r="5" spans="1:36" ht="15.75" customHeight="1" x14ac:dyDescent="0.25">
      <c r="A5" s="153" t="s">
        <v>568</v>
      </c>
      <c r="B5" s="154"/>
      <c r="C5" s="154"/>
      <c r="D5" s="152"/>
      <c r="E5" s="155">
        <v>12</v>
      </c>
      <c r="F5" s="155">
        <v>23</v>
      </c>
      <c r="G5" s="154">
        <v>17.5</v>
      </c>
      <c r="H5" s="155">
        <v>12</v>
      </c>
      <c r="I5" s="155">
        <v>23</v>
      </c>
      <c r="J5" s="154">
        <v>17.5</v>
      </c>
      <c r="K5" s="155">
        <v>12</v>
      </c>
      <c r="L5" s="155">
        <v>23</v>
      </c>
      <c r="M5" s="154">
        <v>17.5</v>
      </c>
      <c r="N5" s="155">
        <v>12</v>
      </c>
      <c r="O5" s="155">
        <v>23</v>
      </c>
      <c r="P5" s="154">
        <v>17.5</v>
      </c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spans="1:36" ht="15.75" customHeight="1" x14ac:dyDescent="0.25">
      <c r="A6" s="153" t="s">
        <v>569</v>
      </c>
      <c r="B6" s="154"/>
      <c r="C6" s="154"/>
      <c r="D6" s="152"/>
      <c r="E6" s="154">
        <f>D7*E5</f>
        <v>1440</v>
      </c>
      <c r="F6" s="154">
        <f>D7*F5</f>
        <v>2760</v>
      </c>
      <c r="G6" s="154">
        <f>D7*G5</f>
        <v>2100</v>
      </c>
      <c r="H6" s="154">
        <f>D7*H5</f>
        <v>1440</v>
      </c>
      <c r="I6" s="154">
        <f>D7*I5</f>
        <v>2760</v>
      </c>
      <c r="J6" s="154">
        <f>D7*J5</f>
        <v>2100</v>
      </c>
      <c r="K6" s="154">
        <f>D7*K5</f>
        <v>1440</v>
      </c>
      <c r="L6" s="154">
        <f>D7*L5</f>
        <v>2760</v>
      </c>
      <c r="M6" s="154">
        <f>D7*M5</f>
        <v>2100</v>
      </c>
      <c r="N6" s="154">
        <f>D7*N5</f>
        <v>1440</v>
      </c>
      <c r="O6" s="154">
        <f>D7*O5</f>
        <v>2760</v>
      </c>
      <c r="P6" s="154">
        <f>D7*P5</f>
        <v>2100</v>
      </c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spans="1:36" ht="15.75" customHeight="1" x14ac:dyDescent="0.25">
      <c r="A7" s="1" t="s">
        <v>18</v>
      </c>
      <c r="B7" s="2" t="s">
        <v>19</v>
      </c>
      <c r="C7" s="151">
        <v>2</v>
      </c>
      <c r="D7" s="156">
        <v>120</v>
      </c>
      <c r="E7" s="155">
        <v>0</v>
      </c>
      <c r="F7" s="155">
        <v>1000</v>
      </c>
      <c r="G7" s="157"/>
      <c r="H7" s="155">
        <v>0</v>
      </c>
      <c r="I7" s="159">
        <v>1000</v>
      </c>
      <c r="J7" s="152"/>
      <c r="K7" s="155">
        <v>0</v>
      </c>
      <c r="L7" s="159">
        <v>1000</v>
      </c>
      <c r="M7" s="158"/>
      <c r="N7" s="155">
        <v>0</v>
      </c>
      <c r="O7" s="159">
        <v>1000</v>
      </c>
      <c r="P7" s="158" t="s">
        <v>593</v>
      </c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spans="1:36" ht="15.75" customHeight="1" x14ac:dyDescent="0.25">
      <c r="A8" s="1" t="s">
        <v>14</v>
      </c>
      <c r="B8" s="151" t="s">
        <v>15</v>
      </c>
      <c r="C8" s="151">
        <v>1</v>
      </c>
      <c r="D8" s="156">
        <v>120</v>
      </c>
      <c r="E8" s="155">
        <v>0</v>
      </c>
      <c r="F8" s="155">
        <v>1000</v>
      </c>
      <c r="G8" s="152"/>
      <c r="H8" s="155">
        <v>0</v>
      </c>
      <c r="I8" s="159">
        <v>1000</v>
      </c>
      <c r="J8" s="152"/>
      <c r="K8" s="155">
        <v>0</v>
      </c>
      <c r="L8" s="159">
        <v>1000</v>
      </c>
      <c r="M8" s="158"/>
      <c r="N8" s="155">
        <v>0</v>
      </c>
      <c r="O8" s="159">
        <v>1000</v>
      </c>
      <c r="P8" s="158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spans="1:36" ht="15.75" customHeight="1" x14ac:dyDescent="0.25">
      <c r="A9" s="1" t="s">
        <v>9</v>
      </c>
      <c r="B9" s="151" t="s">
        <v>10</v>
      </c>
      <c r="C9" s="151">
        <v>1</v>
      </c>
      <c r="D9" s="156">
        <v>120</v>
      </c>
      <c r="E9" s="155">
        <v>0</v>
      </c>
      <c r="F9" s="155">
        <v>1000</v>
      </c>
      <c r="G9" s="152"/>
      <c r="H9" s="155">
        <v>0</v>
      </c>
      <c r="I9" s="159">
        <v>1000</v>
      </c>
      <c r="J9" s="152"/>
      <c r="K9" s="155">
        <v>0</v>
      </c>
      <c r="L9" s="159">
        <v>1000</v>
      </c>
      <c r="M9" s="158"/>
      <c r="N9" s="155">
        <v>0</v>
      </c>
      <c r="O9" s="159">
        <v>1000</v>
      </c>
      <c r="P9" s="158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spans="1:36" ht="15.75" customHeight="1" x14ac:dyDescent="0.25">
      <c r="A10" s="1" t="s">
        <v>36</v>
      </c>
      <c r="B10" s="151" t="s">
        <v>37</v>
      </c>
      <c r="C10" s="151">
        <v>2</v>
      </c>
      <c r="D10" s="156">
        <v>120</v>
      </c>
      <c r="E10" s="155">
        <v>0</v>
      </c>
      <c r="F10" s="155">
        <v>1000</v>
      </c>
      <c r="G10" s="152"/>
      <c r="H10" s="155">
        <v>0</v>
      </c>
      <c r="I10" s="159">
        <v>1000</v>
      </c>
      <c r="J10" s="152"/>
      <c r="K10" s="155">
        <v>0</v>
      </c>
      <c r="L10" s="159">
        <v>1000</v>
      </c>
      <c r="M10" s="158"/>
      <c r="N10" s="155">
        <v>0</v>
      </c>
      <c r="O10" s="159">
        <v>1000</v>
      </c>
      <c r="P10" s="158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spans="1:36" ht="15.75" customHeight="1" x14ac:dyDescent="0.25">
      <c r="A11" s="1" t="s">
        <v>21</v>
      </c>
      <c r="B11" s="151" t="s">
        <v>22</v>
      </c>
      <c r="C11" s="151">
        <v>3</v>
      </c>
      <c r="D11" s="156">
        <v>120</v>
      </c>
      <c r="E11" s="155">
        <v>0</v>
      </c>
      <c r="F11" s="155">
        <v>1000</v>
      </c>
      <c r="G11" s="152"/>
      <c r="H11" s="155">
        <v>0</v>
      </c>
      <c r="I11" s="159">
        <v>1000</v>
      </c>
      <c r="J11" s="152"/>
      <c r="K11" s="155">
        <v>0</v>
      </c>
      <c r="L11" s="159">
        <v>1000</v>
      </c>
      <c r="M11" s="158"/>
      <c r="N11" s="155">
        <v>0</v>
      </c>
      <c r="O11" s="159">
        <v>1000</v>
      </c>
      <c r="P11" s="158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spans="1:36" ht="15.75" customHeight="1" x14ac:dyDescent="0.25">
      <c r="A12" s="1" t="s">
        <v>26</v>
      </c>
      <c r="B12" s="151" t="s">
        <v>27</v>
      </c>
      <c r="C12" s="151">
        <v>1</v>
      </c>
      <c r="D12" s="156">
        <v>120</v>
      </c>
      <c r="E12" s="155">
        <v>0</v>
      </c>
      <c r="F12" s="155">
        <v>1000</v>
      </c>
      <c r="G12" s="152"/>
      <c r="H12" s="155">
        <v>0</v>
      </c>
      <c r="I12" s="159">
        <v>1000</v>
      </c>
      <c r="J12" s="152"/>
      <c r="K12" s="155">
        <v>0</v>
      </c>
      <c r="L12" s="159">
        <v>1000</v>
      </c>
      <c r="M12" s="158"/>
      <c r="N12" s="155">
        <v>0</v>
      </c>
      <c r="O12" s="159">
        <v>1000</v>
      </c>
      <c r="P12" s="158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spans="1:36" ht="15.75" customHeight="1" x14ac:dyDescent="0.25">
      <c r="A13" s="1" t="s">
        <v>28</v>
      </c>
      <c r="B13" s="151" t="s">
        <v>29</v>
      </c>
      <c r="C13" s="151">
        <v>2</v>
      </c>
      <c r="D13" s="156">
        <v>120</v>
      </c>
      <c r="E13" s="155">
        <v>0</v>
      </c>
      <c r="F13" s="155">
        <v>1000</v>
      </c>
      <c r="G13" s="152"/>
      <c r="H13" s="155">
        <v>0</v>
      </c>
      <c r="I13" s="159">
        <v>1000</v>
      </c>
      <c r="J13" s="152"/>
      <c r="K13" s="155">
        <v>0</v>
      </c>
      <c r="L13" s="159">
        <v>1000</v>
      </c>
      <c r="M13" s="158"/>
      <c r="N13" s="155">
        <v>0</v>
      </c>
      <c r="O13" s="159">
        <v>1000</v>
      </c>
      <c r="P13" s="158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spans="1:36" ht="15.75" customHeight="1" x14ac:dyDescent="0.25">
      <c r="A14" s="153" t="s">
        <v>570</v>
      </c>
      <c r="B14" s="154"/>
      <c r="C14" s="154"/>
      <c r="D14" s="152"/>
      <c r="E14" s="155">
        <v>28</v>
      </c>
      <c r="F14" s="155">
        <v>56</v>
      </c>
      <c r="G14" s="154">
        <v>42</v>
      </c>
      <c r="H14" s="155">
        <v>28</v>
      </c>
      <c r="I14" s="155">
        <v>56</v>
      </c>
      <c r="J14" s="154">
        <v>42</v>
      </c>
      <c r="K14" s="155">
        <v>28</v>
      </c>
      <c r="L14" s="155">
        <v>56</v>
      </c>
      <c r="M14" s="154">
        <v>42</v>
      </c>
      <c r="N14" s="155">
        <v>28</v>
      </c>
      <c r="O14" s="155">
        <v>56</v>
      </c>
      <c r="P14" s="154">
        <v>42</v>
      </c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spans="1:36" ht="15.75" customHeight="1" x14ac:dyDescent="0.25">
      <c r="A15" s="153" t="s">
        <v>569</v>
      </c>
      <c r="B15" s="154"/>
      <c r="C15" s="154"/>
      <c r="D15" s="152"/>
      <c r="E15" s="154">
        <f>D16*G14</f>
        <v>3150</v>
      </c>
      <c r="F15" s="154">
        <f>D16*F14</f>
        <v>4200</v>
      </c>
      <c r="G15" s="154">
        <f>D16*G14</f>
        <v>3150</v>
      </c>
      <c r="H15" s="154">
        <f>D16*H14</f>
        <v>2100</v>
      </c>
      <c r="I15" s="154">
        <f>D16*I14</f>
        <v>4200</v>
      </c>
      <c r="J15" s="154">
        <f>D16*J14</f>
        <v>3150</v>
      </c>
      <c r="K15" s="154">
        <f>D16*K14</f>
        <v>2100</v>
      </c>
      <c r="L15" s="154">
        <f>D16*L14</f>
        <v>4200</v>
      </c>
      <c r="M15" s="154">
        <f>D16*M14</f>
        <v>3150</v>
      </c>
      <c r="N15" s="154">
        <f>D16*N14</f>
        <v>2100</v>
      </c>
      <c r="O15" s="154">
        <f>D16*O14</f>
        <v>4200</v>
      </c>
      <c r="P15" s="154">
        <f>D16*P14</f>
        <v>3150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spans="1:36" ht="15.75" customHeight="1" x14ac:dyDescent="0.25">
      <c r="A16" s="1" t="s">
        <v>80</v>
      </c>
      <c r="B16" s="2" t="s">
        <v>81</v>
      </c>
      <c r="C16" s="151">
        <v>2</v>
      </c>
      <c r="D16" s="152">
        <v>75</v>
      </c>
      <c r="E16" s="159">
        <v>0</v>
      </c>
      <c r="F16" s="155">
        <v>1000</v>
      </c>
      <c r="G16" s="157"/>
      <c r="H16" s="159">
        <v>0</v>
      </c>
      <c r="I16" s="159">
        <v>1000</v>
      </c>
      <c r="J16" s="158"/>
      <c r="K16" s="159">
        <v>0</v>
      </c>
      <c r="L16" s="159">
        <v>1000</v>
      </c>
      <c r="M16" s="158"/>
      <c r="N16" s="159">
        <v>0</v>
      </c>
      <c r="O16" s="159">
        <v>1000</v>
      </c>
      <c r="P16" s="158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spans="1:36" ht="15.75" customHeight="1" x14ac:dyDescent="0.25">
      <c r="A17" s="1" t="s">
        <v>46</v>
      </c>
      <c r="B17" s="2" t="s">
        <v>47</v>
      </c>
      <c r="C17" s="151">
        <v>3</v>
      </c>
      <c r="D17" s="152">
        <v>75</v>
      </c>
      <c r="E17" s="159">
        <v>0</v>
      </c>
      <c r="F17" s="155">
        <v>1000</v>
      </c>
      <c r="G17" s="157"/>
      <c r="H17" s="159">
        <v>0</v>
      </c>
      <c r="I17" s="159">
        <v>1000</v>
      </c>
      <c r="J17" s="158"/>
      <c r="K17" s="159">
        <v>0</v>
      </c>
      <c r="L17" s="159">
        <v>1000</v>
      </c>
      <c r="M17" s="158"/>
      <c r="N17" s="159">
        <v>0</v>
      </c>
      <c r="O17" s="159">
        <v>1000</v>
      </c>
      <c r="P17" s="158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spans="1:36" ht="15.75" customHeight="1" x14ac:dyDescent="0.25">
      <c r="A18" s="150" t="str">
        <f>'common foods'!C31</f>
        <v>Tomatoes, fresh</v>
      </c>
      <c r="B18" s="2" t="s">
        <v>75</v>
      </c>
      <c r="C18" s="151">
        <v>3</v>
      </c>
      <c r="D18" s="152">
        <v>75</v>
      </c>
      <c r="E18" s="159">
        <v>0</v>
      </c>
      <c r="F18" s="155">
        <v>1000</v>
      </c>
      <c r="G18" s="152"/>
      <c r="H18" s="159">
        <v>0</v>
      </c>
      <c r="I18" s="159">
        <v>1000</v>
      </c>
      <c r="J18" s="158"/>
      <c r="K18" s="159">
        <v>0</v>
      </c>
      <c r="L18" s="159">
        <v>1000</v>
      </c>
      <c r="M18" s="158"/>
      <c r="N18" s="159">
        <v>0</v>
      </c>
      <c r="O18" s="159">
        <v>1000</v>
      </c>
      <c r="P18" s="158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spans="1:36" ht="15.75" customHeight="1" x14ac:dyDescent="0.25">
      <c r="A19" s="150" t="str">
        <f>'common foods'!C24</f>
        <v>Cucumber, fresh</v>
      </c>
      <c r="B19" s="151" t="s">
        <v>61</v>
      </c>
      <c r="C19" s="151">
        <v>2</v>
      </c>
      <c r="D19" s="152">
        <v>75</v>
      </c>
      <c r="E19" s="159">
        <v>0</v>
      </c>
      <c r="F19" s="155">
        <v>1000</v>
      </c>
      <c r="G19" s="152"/>
      <c r="H19" s="159">
        <v>0</v>
      </c>
      <c r="I19" s="159">
        <v>1000</v>
      </c>
      <c r="J19" s="158"/>
      <c r="K19" s="159">
        <v>0</v>
      </c>
      <c r="L19" s="159">
        <v>1000</v>
      </c>
      <c r="M19" s="158"/>
      <c r="N19" s="159">
        <v>0</v>
      </c>
      <c r="O19" s="159">
        <v>1000</v>
      </c>
      <c r="P19" s="158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spans="1:36" ht="15.75" customHeight="1" x14ac:dyDescent="0.25">
      <c r="A20" s="150" t="s">
        <v>100</v>
      </c>
      <c r="B20" s="151" t="str">
        <f>'common foods'!D44</f>
        <v>02047</v>
      </c>
      <c r="C20" s="151">
        <v>1</v>
      </c>
      <c r="D20" s="152">
        <v>75</v>
      </c>
      <c r="E20" s="159">
        <v>0</v>
      </c>
      <c r="F20" s="155">
        <v>1000</v>
      </c>
      <c r="G20" s="152"/>
      <c r="H20" s="159">
        <v>0</v>
      </c>
      <c r="I20" s="159">
        <v>1000</v>
      </c>
      <c r="J20" s="158"/>
      <c r="K20" s="159">
        <v>0</v>
      </c>
      <c r="L20" s="159">
        <v>1000</v>
      </c>
      <c r="M20" s="158"/>
      <c r="N20" s="159">
        <v>0</v>
      </c>
      <c r="O20" s="159">
        <v>1050</v>
      </c>
      <c r="P20" s="158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spans="1:36" ht="15.75" customHeight="1" x14ac:dyDescent="0.25">
      <c r="A21" s="150" t="str">
        <f>'common foods'!C21</f>
        <v>Cauliflower, fresh</v>
      </c>
      <c r="B21" s="151" t="s">
        <v>55</v>
      </c>
      <c r="C21" s="151">
        <v>2</v>
      </c>
      <c r="D21" s="152">
        <v>75</v>
      </c>
      <c r="E21" s="159">
        <v>0</v>
      </c>
      <c r="F21" s="155">
        <v>1000</v>
      </c>
      <c r="G21" s="152"/>
      <c r="H21" s="159">
        <v>0</v>
      </c>
      <c r="I21" s="159">
        <v>1000</v>
      </c>
      <c r="J21" s="158"/>
      <c r="K21" s="159">
        <v>0</v>
      </c>
      <c r="L21" s="159">
        <v>1000</v>
      </c>
      <c r="M21" s="158"/>
      <c r="N21" s="159">
        <v>0</v>
      </c>
      <c r="O21" s="159">
        <v>525</v>
      </c>
      <c r="P21" s="158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spans="1:36" ht="15.75" customHeight="1" x14ac:dyDescent="0.25">
      <c r="A22" s="150" t="s">
        <v>44</v>
      </c>
      <c r="B22" s="151" t="s">
        <v>45</v>
      </c>
      <c r="C22" s="151">
        <v>1</v>
      </c>
      <c r="D22" s="152">
        <v>75</v>
      </c>
      <c r="E22" s="159">
        <v>0</v>
      </c>
      <c r="F22" s="155">
        <v>1000</v>
      </c>
      <c r="G22" s="152"/>
      <c r="H22" s="159">
        <v>0</v>
      </c>
      <c r="I22" s="159">
        <v>1000</v>
      </c>
      <c r="J22" s="152"/>
      <c r="K22" s="159">
        <v>0</v>
      </c>
      <c r="L22" s="159">
        <v>1000</v>
      </c>
      <c r="M22" s="152"/>
      <c r="N22" s="159">
        <v>0</v>
      </c>
      <c r="O22" s="159">
        <v>1050</v>
      </c>
      <c r="P22" s="152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spans="1:36" ht="15.75" customHeight="1" x14ac:dyDescent="0.25">
      <c r="A23" s="150" t="str">
        <f>'common foods'!C23</f>
        <v>Courgettes, fresh</v>
      </c>
      <c r="B23" s="151" t="str">
        <f>'common foods'!D23</f>
        <v>02018</v>
      </c>
      <c r="C23" s="151">
        <v>3</v>
      </c>
      <c r="D23" s="152">
        <v>75</v>
      </c>
      <c r="E23" s="159">
        <v>0</v>
      </c>
      <c r="F23" s="155">
        <v>1000</v>
      </c>
      <c r="G23" s="152"/>
      <c r="H23" s="159">
        <v>0</v>
      </c>
      <c r="I23" s="159">
        <v>1000</v>
      </c>
      <c r="J23" s="158"/>
      <c r="K23" s="159">
        <v>0</v>
      </c>
      <c r="L23" s="159">
        <v>1000</v>
      </c>
      <c r="M23" s="152"/>
      <c r="N23" s="159">
        <v>0</v>
      </c>
      <c r="O23" s="159">
        <v>525</v>
      </c>
      <c r="P23" s="152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spans="1:36" ht="15.75" customHeight="1" x14ac:dyDescent="0.25">
      <c r="A24" s="150" t="str">
        <f>'common foods'!C25</f>
        <v>Lettuce, fresh</v>
      </c>
      <c r="B24" s="151" t="s">
        <v>63</v>
      </c>
      <c r="C24" s="151">
        <v>1</v>
      </c>
      <c r="D24" s="152">
        <v>75</v>
      </c>
      <c r="E24" s="159">
        <v>0</v>
      </c>
      <c r="F24" s="155">
        <v>1000</v>
      </c>
      <c r="G24" s="152"/>
      <c r="H24" s="159">
        <v>0</v>
      </c>
      <c r="I24" s="159">
        <v>1000</v>
      </c>
      <c r="J24" s="158"/>
      <c r="K24" s="159">
        <v>0</v>
      </c>
      <c r="L24" s="159">
        <v>1000</v>
      </c>
      <c r="M24" s="152"/>
      <c r="N24" s="159">
        <v>0</v>
      </c>
      <c r="O24" s="159">
        <v>1050</v>
      </c>
      <c r="P24" s="152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spans="1:36" ht="15.75" customHeight="1" x14ac:dyDescent="0.25">
      <c r="A25" s="150" t="str">
        <f>'common foods'!C27</f>
        <v>Mushrooms, fresh</v>
      </c>
      <c r="B25" s="151" t="str">
        <f>'common foods'!D27</f>
        <v>02023</v>
      </c>
      <c r="C25" s="151">
        <v>2</v>
      </c>
      <c r="D25" s="152">
        <v>75</v>
      </c>
      <c r="E25" s="159">
        <v>0</v>
      </c>
      <c r="F25" s="155">
        <v>1000</v>
      </c>
      <c r="G25" s="152"/>
      <c r="H25" s="159">
        <v>0</v>
      </c>
      <c r="I25" s="159">
        <v>1000</v>
      </c>
      <c r="J25" s="152"/>
      <c r="K25" s="159">
        <v>0</v>
      </c>
      <c r="L25" s="159">
        <v>1000</v>
      </c>
      <c r="M25" s="152"/>
      <c r="N25" s="159">
        <v>0</v>
      </c>
      <c r="O25" s="159">
        <v>525</v>
      </c>
      <c r="P25" s="152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spans="1:36" ht="15.75" customHeight="1" x14ac:dyDescent="0.25">
      <c r="A26" s="150" t="s">
        <v>102</v>
      </c>
      <c r="B26" s="151" t="str">
        <f>'common foods'!D45</f>
        <v>02050</v>
      </c>
      <c r="C26" s="151">
        <v>2</v>
      </c>
      <c r="D26" s="152">
        <v>75</v>
      </c>
      <c r="E26" s="159">
        <v>0</v>
      </c>
      <c r="F26" s="155">
        <v>1000</v>
      </c>
      <c r="G26" s="152"/>
      <c r="H26" s="159">
        <v>0</v>
      </c>
      <c r="I26" s="159">
        <v>1000</v>
      </c>
      <c r="J26" s="158"/>
      <c r="K26" s="159">
        <v>0</v>
      </c>
      <c r="L26" s="159">
        <v>1000</v>
      </c>
      <c r="M26" s="158"/>
      <c r="N26" s="159">
        <v>0</v>
      </c>
      <c r="O26" s="159">
        <v>525</v>
      </c>
      <c r="P26" s="158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spans="1:36" ht="15.75" customHeight="1" x14ac:dyDescent="0.25">
      <c r="A27" s="150" t="s">
        <v>48</v>
      </c>
      <c r="B27" s="151" t="str">
        <f>'common foods'!D18</f>
        <v>02013</v>
      </c>
      <c r="C27" s="151">
        <v>1</v>
      </c>
      <c r="D27" s="152">
        <v>75</v>
      </c>
      <c r="E27" s="159">
        <v>0</v>
      </c>
      <c r="F27" s="155">
        <v>1000</v>
      </c>
      <c r="G27" s="152"/>
      <c r="H27" s="159">
        <v>0</v>
      </c>
      <c r="I27" s="159">
        <v>1000</v>
      </c>
      <c r="J27" s="158"/>
      <c r="K27" s="159">
        <v>0</v>
      </c>
      <c r="L27" s="159">
        <v>1000</v>
      </c>
      <c r="M27" s="158"/>
      <c r="N27" s="159">
        <v>0</v>
      </c>
      <c r="O27" s="159">
        <v>1050</v>
      </c>
      <c r="P27" s="158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spans="1:36" ht="15.75" customHeight="1" x14ac:dyDescent="0.25">
      <c r="A28" s="150" t="str">
        <f>'common foods'!C19</f>
        <v>Capsicums, fresh</v>
      </c>
      <c r="B28" s="151" t="str">
        <f>'common foods'!D19</f>
        <v>02014</v>
      </c>
      <c r="C28" s="151">
        <v>3</v>
      </c>
      <c r="D28" s="152">
        <v>75</v>
      </c>
      <c r="E28" s="159">
        <v>0</v>
      </c>
      <c r="F28" s="155">
        <v>1000</v>
      </c>
      <c r="G28" s="152"/>
      <c r="H28" s="159">
        <v>0</v>
      </c>
      <c r="I28" s="159">
        <v>1000</v>
      </c>
      <c r="J28" s="158"/>
      <c r="K28" s="159">
        <v>0</v>
      </c>
      <c r="L28" s="159">
        <v>1000</v>
      </c>
      <c r="M28" s="158"/>
      <c r="N28" s="159">
        <v>0</v>
      </c>
      <c r="O28" s="159">
        <v>525</v>
      </c>
      <c r="P28" s="158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spans="1:36" ht="15.75" customHeight="1" x14ac:dyDescent="0.25">
      <c r="A29" s="150" t="str">
        <f>'common foods'!C28</f>
        <v>Onions, fresh</v>
      </c>
      <c r="B29" s="151" t="str">
        <f>'common foods'!D28</f>
        <v>02024</v>
      </c>
      <c r="C29" s="151">
        <v>2</v>
      </c>
      <c r="D29" s="152">
        <v>75</v>
      </c>
      <c r="E29" s="159">
        <v>0</v>
      </c>
      <c r="F29" s="155">
        <v>1000</v>
      </c>
      <c r="G29" s="152"/>
      <c r="H29" s="159">
        <v>0</v>
      </c>
      <c r="I29" s="159">
        <v>1000</v>
      </c>
      <c r="J29" s="158"/>
      <c r="K29" s="159">
        <v>0</v>
      </c>
      <c r="L29" s="159">
        <v>1000</v>
      </c>
      <c r="M29" s="158"/>
      <c r="N29" s="159">
        <v>0</v>
      </c>
      <c r="O29" s="159">
        <v>787.5</v>
      </c>
      <c r="P29" s="158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spans="1:36" ht="15.75" customHeight="1" x14ac:dyDescent="0.25">
      <c r="A30" s="153" t="s">
        <v>571</v>
      </c>
      <c r="B30" s="160"/>
      <c r="C30" s="154"/>
      <c r="D30" s="152"/>
      <c r="E30" s="155">
        <v>3</v>
      </c>
      <c r="F30" s="155">
        <v>5</v>
      </c>
      <c r="G30" s="154">
        <v>4</v>
      </c>
      <c r="H30" s="155">
        <v>3</v>
      </c>
      <c r="I30" s="155">
        <v>5</v>
      </c>
      <c r="J30" s="154">
        <v>4</v>
      </c>
      <c r="K30" s="155">
        <v>3</v>
      </c>
      <c r="L30" s="155">
        <v>5</v>
      </c>
      <c r="M30" s="154">
        <v>4</v>
      </c>
      <c r="N30" s="155">
        <v>3</v>
      </c>
      <c r="O30" s="155">
        <v>5</v>
      </c>
      <c r="P30" s="154">
        <v>4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spans="1:36" ht="15.75" customHeight="1" x14ac:dyDescent="0.25">
      <c r="A31" s="153" t="s">
        <v>569</v>
      </c>
      <c r="B31" s="160"/>
      <c r="C31" s="154"/>
      <c r="D31" s="152"/>
      <c r="E31" s="154">
        <f>D32*3</f>
        <v>405</v>
      </c>
      <c r="F31" s="154">
        <f>D32*F30</f>
        <v>675</v>
      </c>
      <c r="G31" s="154">
        <f>D32*G30</f>
        <v>540</v>
      </c>
      <c r="H31" s="154">
        <v>405</v>
      </c>
      <c r="I31" s="154">
        <v>675</v>
      </c>
      <c r="J31" s="154">
        <f>D32*J30</f>
        <v>540</v>
      </c>
      <c r="K31" s="154">
        <v>405</v>
      </c>
      <c r="L31" s="154">
        <v>675</v>
      </c>
      <c r="M31" s="154">
        <f>D32*M30</f>
        <v>540</v>
      </c>
      <c r="N31" s="154">
        <v>405</v>
      </c>
      <c r="O31" s="154">
        <v>675</v>
      </c>
      <c r="P31" s="154">
        <f>D32*P30</f>
        <v>540</v>
      </c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spans="1:36" ht="15.75" customHeight="1" x14ac:dyDescent="0.25">
      <c r="A32" s="150" t="str">
        <f>'common foods'!C35</f>
        <v>Kumara, fresh</v>
      </c>
      <c r="B32" s="151" t="s">
        <v>83</v>
      </c>
      <c r="C32" s="151">
        <v>2</v>
      </c>
      <c r="D32" s="152">
        <v>135</v>
      </c>
      <c r="E32" s="159">
        <v>0</v>
      </c>
      <c r="F32" s="155">
        <v>1000</v>
      </c>
      <c r="G32" s="157"/>
      <c r="H32" s="159">
        <v>0</v>
      </c>
      <c r="I32" s="159">
        <v>1000</v>
      </c>
      <c r="J32" s="152"/>
      <c r="K32" s="159">
        <v>0</v>
      </c>
      <c r="L32" s="159">
        <v>1000</v>
      </c>
      <c r="M32" s="152"/>
      <c r="N32" s="159">
        <v>0</v>
      </c>
      <c r="O32" s="159">
        <v>1000</v>
      </c>
      <c r="P32" s="152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spans="1:36" ht="15.75" customHeight="1" x14ac:dyDescent="0.25">
      <c r="A33" s="150" t="str">
        <f>'common foods'!C36</f>
        <v>Potatoes, fresh</v>
      </c>
      <c r="B33" s="151" t="s">
        <v>85</v>
      </c>
      <c r="C33" s="151">
        <v>2</v>
      </c>
      <c r="D33" s="152">
        <v>135</v>
      </c>
      <c r="E33" s="159">
        <v>0</v>
      </c>
      <c r="F33" s="155">
        <v>1000</v>
      </c>
      <c r="G33" s="152"/>
      <c r="H33" s="159">
        <v>0</v>
      </c>
      <c r="I33" s="159">
        <v>1000</v>
      </c>
      <c r="J33" s="152"/>
      <c r="K33" s="159">
        <v>0</v>
      </c>
      <c r="L33" s="159">
        <v>1000</v>
      </c>
      <c r="M33" s="152"/>
      <c r="N33" s="159">
        <v>0</v>
      </c>
      <c r="O33" s="159">
        <v>1000</v>
      </c>
      <c r="P33" s="152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spans="1:36" ht="15.75" customHeight="1" x14ac:dyDescent="0.25">
      <c r="A34" s="150" t="str">
        <f>'common foods'!C37</f>
        <v>Pumpkin, fresh</v>
      </c>
      <c r="B34" s="151" t="s">
        <v>87</v>
      </c>
      <c r="C34" s="151">
        <v>3</v>
      </c>
      <c r="D34" s="152">
        <v>135</v>
      </c>
      <c r="E34" s="159">
        <v>0</v>
      </c>
      <c r="F34" s="155">
        <v>1000</v>
      </c>
      <c r="G34" s="152"/>
      <c r="H34" s="159">
        <v>0</v>
      </c>
      <c r="I34" s="159">
        <v>1000</v>
      </c>
      <c r="J34" s="152"/>
      <c r="K34" s="159">
        <v>0</v>
      </c>
      <c r="L34" s="159">
        <v>1000</v>
      </c>
      <c r="M34" s="152"/>
      <c r="N34" s="159">
        <v>0</v>
      </c>
      <c r="O34" s="159">
        <v>1000</v>
      </c>
      <c r="P34" s="152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spans="1:36" ht="15.75" customHeight="1" x14ac:dyDescent="0.25">
      <c r="A35" s="150" t="str">
        <f>'common foods'!C20</f>
        <v>Carrots, fresh</v>
      </c>
      <c r="B35" s="151" t="str">
        <f>'common foods'!D20</f>
        <v>02015</v>
      </c>
      <c r="C35" s="151">
        <v>3</v>
      </c>
      <c r="D35" s="152">
        <v>135</v>
      </c>
      <c r="E35" s="159">
        <v>0</v>
      </c>
      <c r="F35" s="155">
        <v>1000</v>
      </c>
      <c r="G35" s="152"/>
      <c r="H35" s="159">
        <v>0</v>
      </c>
      <c r="I35" s="159">
        <v>1000</v>
      </c>
      <c r="J35" s="152"/>
      <c r="K35" s="159">
        <v>0</v>
      </c>
      <c r="L35" s="159">
        <v>1000</v>
      </c>
      <c r="M35" s="152"/>
      <c r="N35" s="159">
        <v>0</v>
      </c>
      <c r="O35" s="159">
        <v>1000</v>
      </c>
      <c r="P35" s="152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spans="1:36" ht="15.75" customHeight="1" x14ac:dyDescent="0.25">
      <c r="A36" s="153" t="s">
        <v>572</v>
      </c>
      <c r="B36" s="160"/>
      <c r="C36" s="154"/>
      <c r="D36" s="152"/>
      <c r="E36" s="155">
        <v>25</v>
      </c>
      <c r="F36" s="155">
        <v>33</v>
      </c>
      <c r="G36" s="154">
        <v>29</v>
      </c>
      <c r="H36" s="155">
        <v>25</v>
      </c>
      <c r="I36" s="155">
        <v>33</v>
      </c>
      <c r="J36" s="154">
        <v>29</v>
      </c>
      <c r="K36" s="159">
        <f>H36*0.8333</f>
        <v>20.8325</v>
      </c>
      <c r="L36" s="155">
        <v>33</v>
      </c>
      <c r="M36" s="154">
        <v>29</v>
      </c>
      <c r="N36" s="155">
        <v>17</v>
      </c>
      <c r="O36" s="155">
        <f>L36/1.5</f>
        <v>22</v>
      </c>
      <c r="P36" s="154">
        <v>19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spans="1:36" ht="15.75" customHeight="1" x14ac:dyDescent="0.25">
      <c r="A37" s="153" t="s">
        <v>569</v>
      </c>
      <c r="B37" s="160"/>
      <c r="C37" s="154"/>
      <c r="D37" s="152"/>
      <c r="E37" s="154">
        <f>D38*E36</f>
        <v>1625</v>
      </c>
      <c r="F37" s="154">
        <f>D38*F36</f>
        <v>2145</v>
      </c>
      <c r="G37" s="154">
        <f>D38*G36</f>
        <v>1885</v>
      </c>
      <c r="H37" s="154">
        <v>1601.6</v>
      </c>
      <c r="I37" s="154">
        <v>2329.6</v>
      </c>
      <c r="J37" s="154">
        <f>D38*J36</f>
        <v>1885</v>
      </c>
      <c r="K37" s="154">
        <f>D38*K36</f>
        <v>1354.1125</v>
      </c>
      <c r="L37" s="154">
        <f>D38*L36</f>
        <v>2145</v>
      </c>
      <c r="M37" s="154">
        <f>D38*M36</f>
        <v>1885</v>
      </c>
      <c r="N37" s="154">
        <f>D38*N36</f>
        <v>1105</v>
      </c>
      <c r="O37" s="154">
        <f>D38*O36</f>
        <v>1430</v>
      </c>
      <c r="P37" s="154">
        <f>D38*P36</f>
        <v>1235</v>
      </c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spans="1:36" ht="15.75" customHeight="1" x14ac:dyDescent="0.25">
      <c r="A38" s="150" t="str">
        <f>'common foods'!C54</f>
        <v>Weetbix</v>
      </c>
      <c r="B38" s="151" t="str">
        <f>'common foods'!D54</f>
        <v>03048</v>
      </c>
      <c r="C38" s="151">
        <v>2</v>
      </c>
      <c r="D38" s="152">
        <v>65</v>
      </c>
      <c r="E38" s="159">
        <v>0</v>
      </c>
      <c r="F38" s="155">
        <v>1000</v>
      </c>
      <c r="G38" s="152"/>
      <c r="H38" s="159">
        <v>0</v>
      </c>
      <c r="I38" s="155">
        <v>1000</v>
      </c>
      <c r="J38" s="161"/>
      <c r="K38" s="159">
        <v>0</v>
      </c>
      <c r="L38" s="155">
        <v>1000</v>
      </c>
      <c r="M38" s="161"/>
      <c r="N38" s="159">
        <v>0</v>
      </c>
      <c r="O38" s="155">
        <v>1000</v>
      </c>
      <c r="P38" s="161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spans="1:36" ht="15.75" customHeight="1" x14ac:dyDescent="0.25">
      <c r="A39" s="150" t="str">
        <f>'common foods'!C49</f>
        <v>Bread, multigrain</v>
      </c>
      <c r="B39" s="151" t="str">
        <f>'common foods'!D49</f>
        <v>03038</v>
      </c>
      <c r="C39" s="151">
        <v>1</v>
      </c>
      <c r="D39" s="152">
        <v>65</v>
      </c>
      <c r="E39" s="159">
        <v>0</v>
      </c>
      <c r="F39" s="155">
        <v>1000</v>
      </c>
      <c r="G39" s="152"/>
      <c r="H39" s="159">
        <v>0</v>
      </c>
      <c r="I39" s="155">
        <v>1000</v>
      </c>
      <c r="J39" s="152"/>
      <c r="K39" s="159">
        <v>0</v>
      </c>
      <c r="L39" s="155">
        <v>1000</v>
      </c>
      <c r="M39" s="152"/>
      <c r="N39" s="159">
        <v>0</v>
      </c>
      <c r="O39" s="155">
        <v>1000</v>
      </c>
      <c r="P39" s="152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spans="1:36" ht="15.75" customHeight="1" x14ac:dyDescent="0.25">
      <c r="A40" s="150" t="str">
        <f>'common foods'!C57</f>
        <v>Pasta wholemeal</v>
      </c>
      <c r="B40" s="151" t="str">
        <f>'common foods'!D57</f>
        <v>03052</v>
      </c>
      <c r="C40" s="151">
        <v>1</v>
      </c>
      <c r="D40" s="152">
        <v>65</v>
      </c>
      <c r="E40" s="159">
        <v>0</v>
      </c>
      <c r="F40" s="155">
        <v>1000</v>
      </c>
      <c r="G40" s="152"/>
      <c r="H40" s="159">
        <v>0</v>
      </c>
      <c r="I40" s="155">
        <v>1000</v>
      </c>
      <c r="J40" s="152"/>
      <c r="K40" s="159">
        <v>0</v>
      </c>
      <c r="L40" s="155">
        <v>1000</v>
      </c>
      <c r="M40" s="152"/>
      <c r="N40" s="159">
        <v>0</v>
      </c>
      <c r="O40" s="155">
        <v>1000</v>
      </c>
      <c r="P40" s="152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spans="1:36" ht="15.75" customHeight="1" x14ac:dyDescent="0.25">
      <c r="A41" s="150" t="s">
        <v>129</v>
      </c>
      <c r="B41" s="151" t="str">
        <f>'common foods'!D58</f>
        <v>03089</v>
      </c>
      <c r="C41" s="151">
        <v>1</v>
      </c>
      <c r="D41" s="152">
        <v>65</v>
      </c>
      <c r="E41" s="159">
        <v>0</v>
      </c>
      <c r="F41" s="155">
        <v>1000</v>
      </c>
      <c r="G41" s="152"/>
      <c r="H41" s="159">
        <v>0</v>
      </c>
      <c r="I41" s="155">
        <v>1000</v>
      </c>
      <c r="J41" s="152"/>
      <c r="K41" s="159">
        <v>0</v>
      </c>
      <c r="L41" s="155">
        <v>1000</v>
      </c>
      <c r="M41" s="152"/>
      <c r="N41" s="159">
        <v>0</v>
      </c>
      <c r="O41" s="155">
        <v>1000</v>
      </c>
      <c r="P41" s="152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spans="1:36" ht="15.75" customHeight="1" x14ac:dyDescent="0.25">
      <c r="A42" s="150" t="str">
        <f>'common foods'!C48</f>
        <v>Bread, wheatmeal</v>
      </c>
      <c r="B42" s="151" t="str">
        <f>'common foods'!D48</f>
        <v>03037</v>
      </c>
      <c r="C42" s="151">
        <v>3</v>
      </c>
      <c r="D42" s="152">
        <v>65</v>
      </c>
      <c r="E42" s="159">
        <v>0</v>
      </c>
      <c r="F42" s="155">
        <v>1000</v>
      </c>
      <c r="G42" s="152"/>
      <c r="H42" s="159">
        <v>0</v>
      </c>
      <c r="I42" s="155">
        <v>1000</v>
      </c>
      <c r="J42" s="152"/>
      <c r="K42" s="159">
        <v>0</v>
      </c>
      <c r="L42" s="155">
        <v>1000</v>
      </c>
      <c r="M42" s="152"/>
      <c r="N42" s="159">
        <v>0</v>
      </c>
      <c r="O42" s="155">
        <v>1000</v>
      </c>
      <c r="P42" s="152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spans="1:36" ht="15.75" customHeight="1" x14ac:dyDescent="0.25">
      <c r="A43" s="150" t="str">
        <f>'common foods'!C55</f>
        <v>Rolled oats</v>
      </c>
      <c r="B43" s="151" t="str">
        <f>'common foods'!D55</f>
        <v>03049</v>
      </c>
      <c r="C43" s="151">
        <v>1</v>
      </c>
      <c r="D43" s="152">
        <v>65</v>
      </c>
      <c r="E43" s="159">
        <v>0</v>
      </c>
      <c r="F43" s="155">
        <v>1000</v>
      </c>
      <c r="G43" s="152"/>
      <c r="H43" s="159">
        <v>0</v>
      </c>
      <c r="I43" s="155">
        <v>1000</v>
      </c>
      <c r="J43" s="152"/>
      <c r="K43" s="159">
        <v>0</v>
      </c>
      <c r="L43" s="155">
        <v>1000</v>
      </c>
      <c r="M43" s="152"/>
      <c r="N43" s="159">
        <v>0</v>
      </c>
      <c r="O43" s="155">
        <v>1000</v>
      </c>
      <c r="P43" s="152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spans="1:36" ht="15.75" customHeight="1" x14ac:dyDescent="0.25">
      <c r="A44" s="150" t="str">
        <f>'common foods'!C66</f>
        <v>Rye Crispbread</v>
      </c>
      <c r="B44" s="151" t="str">
        <f>'common foods'!D66</f>
        <v>03073</v>
      </c>
      <c r="C44" s="151">
        <v>2</v>
      </c>
      <c r="D44" s="152">
        <v>65</v>
      </c>
      <c r="E44" s="159">
        <v>0</v>
      </c>
      <c r="F44" s="155">
        <v>1000</v>
      </c>
      <c r="G44" s="152"/>
      <c r="H44" s="159">
        <v>0</v>
      </c>
      <c r="I44" s="155">
        <v>1000</v>
      </c>
      <c r="J44" s="152"/>
      <c r="K44" s="159">
        <v>0</v>
      </c>
      <c r="L44" s="155">
        <v>1000</v>
      </c>
      <c r="M44" s="152"/>
      <c r="N44" s="159">
        <v>0</v>
      </c>
      <c r="O44" s="155">
        <v>1000</v>
      </c>
      <c r="P44" s="152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spans="1:36" ht="15.75" customHeight="1" x14ac:dyDescent="0.25">
      <c r="A45" s="162" t="str">
        <f>'common foods'!C67</f>
        <v>Mixed grain crackers</v>
      </c>
      <c r="B45" s="151" t="str">
        <f>'common foods'!D67</f>
        <v>03074</v>
      </c>
      <c r="C45" s="151">
        <v>2</v>
      </c>
      <c r="D45" s="152">
        <v>65</v>
      </c>
      <c r="E45" s="159">
        <v>0</v>
      </c>
      <c r="F45" s="155">
        <v>1000</v>
      </c>
      <c r="G45" s="152"/>
      <c r="H45" s="159">
        <v>0</v>
      </c>
      <c r="I45" s="155">
        <v>1000</v>
      </c>
      <c r="J45" s="152"/>
      <c r="K45" s="159">
        <v>0</v>
      </c>
      <c r="L45" s="155">
        <v>1000</v>
      </c>
      <c r="M45" s="152"/>
      <c r="N45" s="159">
        <v>0</v>
      </c>
      <c r="O45" s="155">
        <v>1000</v>
      </c>
      <c r="P45" s="152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spans="1:36" ht="15.75" customHeight="1" x14ac:dyDescent="0.25">
      <c r="A46" s="162" t="str">
        <f>'common foods'!C70</f>
        <v>Pita bread, wholemeal</v>
      </c>
      <c r="B46" s="151" t="str">
        <f>'common foods'!D70</f>
        <v>03071</v>
      </c>
      <c r="C46" s="151">
        <v>3</v>
      </c>
      <c r="D46" s="152">
        <v>65</v>
      </c>
      <c r="E46" s="159">
        <v>0</v>
      </c>
      <c r="F46" s="155">
        <v>1000</v>
      </c>
      <c r="G46" s="152"/>
      <c r="H46" s="159">
        <v>0</v>
      </c>
      <c r="I46" s="155">
        <v>1000</v>
      </c>
      <c r="J46" s="152"/>
      <c r="K46" s="159">
        <v>0</v>
      </c>
      <c r="L46" s="155">
        <v>1000</v>
      </c>
      <c r="M46" s="152"/>
      <c r="N46" s="159">
        <v>0</v>
      </c>
      <c r="O46" s="155">
        <v>1000</v>
      </c>
      <c r="P46" s="152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spans="1:36" ht="15.75" customHeight="1" x14ac:dyDescent="0.25">
      <c r="A47" s="150" t="str">
        <f>'common foods'!C64</f>
        <v>Muesli, toasted</v>
      </c>
      <c r="B47" s="151" t="str">
        <f>'common foods'!D64</f>
        <v>03065</v>
      </c>
      <c r="C47" s="151">
        <v>3</v>
      </c>
      <c r="D47" s="152">
        <v>65</v>
      </c>
      <c r="E47" s="159">
        <v>0</v>
      </c>
      <c r="F47" s="155">
        <v>1000</v>
      </c>
      <c r="G47" s="152"/>
      <c r="H47" s="159">
        <v>0</v>
      </c>
      <c r="I47" s="155">
        <v>1000</v>
      </c>
      <c r="J47" s="152"/>
      <c r="K47" s="159">
        <v>0</v>
      </c>
      <c r="L47" s="155">
        <v>1000</v>
      </c>
      <c r="M47" s="152"/>
      <c r="N47" s="159">
        <v>0</v>
      </c>
      <c r="O47" s="155">
        <v>1000</v>
      </c>
      <c r="P47" s="152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spans="1:36" ht="15.75" customHeight="1" x14ac:dyDescent="0.25">
      <c r="A48" s="150" t="str">
        <f>'common foods'!C60</f>
        <v>Rice, brown</v>
      </c>
      <c r="B48" s="151" t="str">
        <f>'common foods'!D60</f>
        <v>03055</v>
      </c>
      <c r="C48" s="151">
        <v>1</v>
      </c>
      <c r="D48" s="152">
        <v>65</v>
      </c>
      <c r="E48" s="159">
        <v>0</v>
      </c>
      <c r="F48" s="155">
        <v>1000</v>
      </c>
      <c r="G48" s="152"/>
      <c r="H48" s="159">
        <v>0</v>
      </c>
      <c r="I48" s="155">
        <v>1000</v>
      </c>
      <c r="J48" s="152"/>
      <c r="K48" s="159">
        <v>0</v>
      </c>
      <c r="L48" s="155">
        <v>1000</v>
      </c>
      <c r="M48" s="152"/>
      <c r="N48" s="159">
        <v>0</v>
      </c>
      <c r="O48" s="155">
        <v>1000</v>
      </c>
      <c r="P48" s="152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spans="1:36" ht="15.75" customHeight="1" x14ac:dyDescent="0.25">
      <c r="A49" s="150" t="str">
        <f>'common foods'!C68</f>
        <v>Corn Chips</v>
      </c>
      <c r="B49" s="151" t="str">
        <f>'common foods'!D68</f>
        <v>03069</v>
      </c>
      <c r="C49" s="151">
        <v>2</v>
      </c>
      <c r="D49" s="152">
        <v>65</v>
      </c>
      <c r="E49" s="159">
        <v>0</v>
      </c>
      <c r="F49" s="155">
        <v>1000</v>
      </c>
      <c r="G49" s="152"/>
      <c r="H49" s="159">
        <v>0</v>
      </c>
      <c r="I49" s="155">
        <v>1000</v>
      </c>
      <c r="J49" s="152"/>
      <c r="K49" s="159">
        <v>0</v>
      </c>
      <c r="L49" s="155">
        <v>1000</v>
      </c>
      <c r="M49" s="152"/>
      <c r="N49" s="159">
        <v>0</v>
      </c>
      <c r="O49" s="155">
        <v>1000</v>
      </c>
      <c r="P49" s="152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spans="1:36" ht="15.75" customHeight="1" x14ac:dyDescent="0.25">
      <c r="A50" s="153" t="s">
        <v>573</v>
      </c>
      <c r="B50" s="154"/>
      <c r="C50" s="154"/>
      <c r="D50" s="152"/>
      <c r="E50" s="155">
        <v>6</v>
      </c>
      <c r="F50" s="155">
        <v>13</v>
      </c>
      <c r="G50" s="163">
        <v>9.5</v>
      </c>
      <c r="H50" s="155">
        <v>6</v>
      </c>
      <c r="I50" s="155">
        <v>13</v>
      </c>
      <c r="J50" s="163">
        <v>9.5</v>
      </c>
      <c r="K50" s="159">
        <f>H50*1.333</f>
        <v>7.9979999999999993</v>
      </c>
      <c r="L50" s="159">
        <f>I50*1.2</f>
        <v>15.6</v>
      </c>
      <c r="M50" s="161">
        <v>12</v>
      </c>
      <c r="N50" s="155">
        <v>6</v>
      </c>
      <c r="O50" s="155">
        <v>13</v>
      </c>
      <c r="P50" s="163">
        <v>9.5</v>
      </c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spans="1:36" ht="15.75" customHeight="1" x14ac:dyDescent="0.25">
      <c r="A51" s="153" t="s">
        <v>569</v>
      </c>
      <c r="B51" s="154"/>
      <c r="C51" s="154"/>
      <c r="D51" s="164"/>
      <c r="E51" s="154">
        <f>D52*E50</f>
        <v>900</v>
      </c>
      <c r="F51" s="154">
        <f>D52*F50</f>
        <v>1950</v>
      </c>
      <c r="G51" s="154">
        <f>D52*G50</f>
        <v>1425</v>
      </c>
      <c r="H51" s="154">
        <v>1050</v>
      </c>
      <c r="I51" s="154">
        <v>2100</v>
      </c>
      <c r="J51" s="154">
        <f>D52*J50</f>
        <v>1425</v>
      </c>
      <c r="K51" s="154">
        <f>D52*K50</f>
        <v>1199.6999999999998</v>
      </c>
      <c r="L51" s="154">
        <f>D52*L50</f>
        <v>2340</v>
      </c>
      <c r="M51" s="154">
        <f>D52*M50</f>
        <v>1800</v>
      </c>
      <c r="N51" s="154">
        <f>D52*N50</f>
        <v>900</v>
      </c>
      <c r="O51" s="154">
        <f>D52*O50</f>
        <v>1950</v>
      </c>
      <c r="P51" s="154">
        <f>D52*P50</f>
        <v>1425</v>
      </c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spans="1:36" ht="15.75" customHeight="1" x14ac:dyDescent="0.25">
      <c r="A52" s="150" t="str">
        <f>'common foods'!C77</f>
        <v>Yoghurt, natural, low-fat</v>
      </c>
      <c r="B52" s="151" t="str">
        <f>'common foods'!D77</f>
        <v>04062</v>
      </c>
      <c r="C52" s="151">
        <v>2</v>
      </c>
      <c r="D52" s="152">
        <v>150</v>
      </c>
      <c r="E52" s="159">
        <v>0</v>
      </c>
      <c r="F52" s="155">
        <v>1000</v>
      </c>
      <c r="G52" s="163"/>
      <c r="H52" s="159">
        <v>0</v>
      </c>
      <c r="I52" s="155">
        <v>1000</v>
      </c>
      <c r="J52" s="152"/>
      <c r="K52" s="159">
        <v>0</v>
      </c>
      <c r="L52" s="155">
        <v>1000</v>
      </c>
      <c r="M52" s="152"/>
      <c r="N52" s="159">
        <v>0</v>
      </c>
      <c r="O52" s="155">
        <v>1000</v>
      </c>
      <c r="P52" s="152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spans="1:36" ht="15.75" customHeight="1" x14ac:dyDescent="0.25">
      <c r="A53" s="150" t="str">
        <f>'common foods'!C74</f>
        <v>Milk, trim</v>
      </c>
      <c r="B53" s="151" t="str">
        <f>'common foods'!D74</f>
        <v>04059</v>
      </c>
      <c r="C53" s="151">
        <v>2</v>
      </c>
      <c r="D53" s="152">
        <v>270</v>
      </c>
      <c r="E53" s="159">
        <v>0</v>
      </c>
      <c r="F53" s="155">
        <v>1000</v>
      </c>
      <c r="G53" s="152"/>
      <c r="H53" s="159">
        <v>0</v>
      </c>
      <c r="I53" s="155">
        <v>1000</v>
      </c>
      <c r="J53" s="152"/>
      <c r="K53" s="159">
        <v>0</v>
      </c>
      <c r="L53" s="155">
        <v>1000</v>
      </c>
      <c r="M53" s="158"/>
      <c r="N53" s="159">
        <v>0</v>
      </c>
      <c r="O53" s="155">
        <v>1000</v>
      </c>
      <c r="P53" s="158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spans="1:36" ht="15.75" customHeight="1" x14ac:dyDescent="0.25">
      <c r="A54" s="150" t="str">
        <f>'common foods'!C73</f>
        <v>Cheese, Edam</v>
      </c>
      <c r="B54" s="151" t="str">
        <f>'common foods'!D73</f>
        <v>04058</v>
      </c>
      <c r="C54" s="151">
        <v>3</v>
      </c>
      <c r="D54" s="152">
        <v>40</v>
      </c>
      <c r="E54" s="159">
        <v>0</v>
      </c>
      <c r="F54" s="155">
        <v>1000</v>
      </c>
      <c r="G54" s="152"/>
      <c r="H54" s="159">
        <v>0</v>
      </c>
      <c r="I54" s="155">
        <v>1000</v>
      </c>
      <c r="J54" s="152"/>
      <c r="K54" s="159">
        <v>0</v>
      </c>
      <c r="L54" s="155">
        <v>1000</v>
      </c>
      <c r="M54" s="158"/>
      <c r="N54" s="159">
        <v>0</v>
      </c>
      <c r="O54" s="155">
        <v>1000</v>
      </c>
      <c r="P54" s="158"/>
      <c r="Q54" s="150"/>
      <c r="R54" s="165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spans="1:36" ht="15.75" customHeight="1" x14ac:dyDescent="0.25">
      <c r="A55" s="166" t="s">
        <v>585</v>
      </c>
      <c r="B55" s="164"/>
      <c r="C55" s="164"/>
      <c r="D55" s="164"/>
      <c r="E55" s="164">
        <v>24</v>
      </c>
      <c r="F55" s="164">
        <v>49</v>
      </c>
      <c r="G55" s="164">
        <v>36.5</v>
      </c>
      <c r="H55" s="164">
        <v>24</v>
      </c>
      <c r="I55" s="164">
        <v>49</v>
      </c>
      <c r="J55" s="164">
        <v>36.5</v>
      </c>
      <c r="K55" s="164">
        <v>24</v>
      </c>
      <c r="L55" s="164">
        <v>49</v>
      </c>
      <c r="M55" s="164">
        <v>36.5</v>
      </c>
      <c r="N55" s="164">
        <v>12</v>
      </c>
      <c r="O55" s="164">
        <f>N55*3</f>
        <v>36</v>
      </c>
      <c r="P55" s="164">
        <v>24</v>
      </c>
      <c r="Q55" s="150"/>
      <c r="R55" s="165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spans="1:36" ht="15.75" customHeight="1" x14ac:dyDescent="0.25">
      <c r="A56" s="167"/>
      <c r="B56" s="154"/>
      <c r="C56" s="154"/>
      <c r="D56" s="154"/>
      <c r="E56" s="154">
        <f>D57*E55</f>
        <v>2400</v>
      </c>
      <c r="F56" s="154">
        <f>D57*F55</f>
        <v>4900</v>
      </c>
      <c r="G56" s="154">
        <f>D57*G55</f>
        <v>3650</v>
      </c>
      <c r="H56" s="154">
        <v>2800</v>
      </c>
      <c r="I56" s="154">
        <v>5600</v>
      </c>
      <c r="J56" s="154">
        <f>D57*J55</f>
        <v>3650</v>
      </c>
      <c r="K56" s="154">
        <f>D57*K55</f>
        <v>2400</v>
      </c>
      <c r="L56" s="154">
        <f>D57*L55</f>
        <v>4900</v>
      </c>
      <c r="M56" s="154">
        <f>D57*M55</f>
        <v>3650</v>
      </c>
      <c r="N56" s="154">
        <f>D57*N55</f>
        <v>1200</v>
      </c>
      <c r="O56" s="154">
        <f>D57*O55</f>
        <v>3600</v>
      </c>
      <c r="P56" s="154">
        <f>D57*P55</f>
        <v>2400</v>
      </c>
      <c r="Q56" s="150"/>
      <c r="R56" s="165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spans="1:36" ht="15.75" customHeight="1" x14ac:dyDescent="0.25">
      <c r="A57" s="150" t="str">
        <f>'common foods'!C99</f>
        <v>Pork leg roast</v>
      </c>
      <c r="B57" s="151" t="str">
        <f>'common foods'!D99</f>
        <v>05074</v>
      </c>
      <c r="C57" s="151">
        <v>3</v>
      </c>
      <c r="D57" s="152">
        <v>100</v>
      </c>
      <c r="E57" s="159">
        <v>0</v>
      </c>
      <c r="F57" s="155">
        <v>1000</v>
      </c>
      <c r="G57" s="157"/>
      <c r="H57" s="159">
        <v>0</v>
      </c>
      <c r="I57" s="155">
        <v>1000</v>
      </c>
      <c r="J57" s="152"/>
      <c r="K57" s="159">
        <v>0</v>
      </c>
      <c r="L57" s="155">
        <v>1000</v>
      </c>
      <c r="M57" s="152"/>
      <c r="N57" s="159">
        <v>0</v>
      </c>
      <c r="O57" s="155">
        <v>1000</v>
      </c>
      <c r="P57" s="152"/>
      <c r="Q57" s="150"/>
      <c r="R57" s="150"/>
      <c r="S57" s="150"/>
      <c r="T57" s="149"/>
      <c r="U57" s="168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spans="1:36" ht="15.75" customHeight="1" x14ac:dyDescent="0.25">
      <c r="A58" s="169" t="str">
        <f>'common foods'!C97</f>
        <v>Lamb shoulder chops</v>
      </c>
      <c r="B58" s="170" t="str">
        <f>'common foods'!D97</f>
        <v>05073</v>
      </c>
      <c r="C58" s="151">
        <v>3</v>
      </c>
      <c r="D58" s="152">
        <v>100</v>
      </c>
      <c r="E58" s="159">
        <v>0</v>
      </c>
      <c r="F58" s="155">
        <v>1000</v>
      </c>
      <c r="G58" s="157"/>
      <c r="H58" s="159">
        <v>0</v>
      </c>
      <c r="I58" s="155">
        <v>1000</v>
      </c>
      <c r="J58" s="152"/>
      <c r="K58" s="171">
        <v>0</v>
      </c>
      <c r="L58" s="155">
        <v>1000</v>
      </c>
      <c r="M58" s="152"/>
      <c r="N58" s="171">
        <v>0</v>
      </c>
      <c r="O58" s="155">
        <v>1000</v>
      </c>
      <c r="P58" s="152"/>
      <c r="Q58" s="150"/>
      <c r="R58" s="150"/>
      <c r="S58" s="150"/>
      <c r="T58" s="150"/>
      <c r="U58" s="168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spans="1:36" ht="15.75" customHeight="1" x14ac:dyDescent="0.25">
      <c r="A59" s="169" t="s">
        <v>237</v>
      </c>
      <c r="B59" s="170" t="str">
        <f>'common foods'!D110</f>
        <v>05088</v>
      </c>
      <c r="C59" s="151">
        <v>3</v>
      </c>
      <c r="D59" s="152">
        <v>135</v>
      </c>
      <c r="E59" s="159">
        <v>0</v>
      </c>
      <c r="F59" s="155">
        <v>1000</v>
      </c>
      <c r="G59" s="157"/>
      <c r="H59" s="159">
        <v>0</v>
      </c>
      <c r="I59" s="155">
        <v>1000</v>
      </c>
      <c r="J59" s="152"/>
      <c r="K59" s="159">
        <v>0</v>
      </c>
      <c r="L59" s="155">
        <v>1000</v>
      </c>
      <c r="M59" s="152"/>
      <c r="N59" s="159">
        <v>0</v>
      </c>
      <c r="O59" s="155">
        <v>1000</v>
      </c>
      <c r="P59" s="152"/>
      <c r="Q59" s="150"/>
      <c r="R59" s="150"/>
      <c r="S59" s="150"/>
      <c r="T59" s="150"/>
      <c r="U59" s="168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spans="1:36" ht="15.75" customHeight="1" x14ac:dyDescent="0.25">
      <c r="A60" s="150" t="str">
        <f>'common foods'!C102</f>
        <v>Fish fillets, fresh</v>
      </c>
      <c r="B60" s="151" t="str">
        <f>'common foods'!D102</f>
        <v>05079</v>
      </c>
      <c r="C60" s="151">
        <v>3</v>
      </c>
      <c r="D60" s="152">
        <v>100</v>
      </c>
      <c r="E60" s="159">
        <v>0</v>
      </c>
      <c r="F60" s="155">
        <v>1000</v>
      </c>
      <c r="G60" s="157"/>
      <c r="H60" s="159">
        <v>0</v>
      </c>
      <c r="I60" s="155">
        <v>1000</v>
      </c>
      <c r="J60" s="152"/>
      <c r="K60" s="159">
        <v>0</v>
      </c>
      <c r="L60" s="155">
        <v>1000</v>
      </c>
      <c r="M60" s="152"/>
      <c r="N60" s="159">
        <v>0</v>
      </c>
      <c r="O60" s="155">
        <v>1000</v>
      </c>
      <c r="P60" s="152"/>
      <c r="Q60" s="150"/>
      <c r="R60" s="150"/>
      <c r="S60" s="150"/>
      <c r="T60" s="150"/>
      <c r="U60" s="168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spans="1:36" ht="15.75" customHeight="1" x14ac:dyDescent="0.25">
      <c r="A61" s="150" t="str">
        <f>'common foods'!C118</f>
        <v>Tofu</v>
      </c>
      <c r="B61" s="151" t="str">
        <f>'common foods'!D118</f>
        <v>05105</v>
      </c>
      <c r="C61" s="151">
        <v>2</v>
      </c>
      <c r="D61" s="152">
        <v>150</v>
      </c>
      <c r="E61" s="159">
        <v>0</v>
      </c>
      <c r="F61" s="155">
        <v>1000</v>
      </c>
      <c r="G61" s="157"/>
      <c r="H61" s="159">
        <v>0</v>
      </c>
      <c r="I61" s="155">
        <v>1000</v>
      </c>
      <c r="J61" s="152"/>
      <c r="K61" s="159">
        <v>0</v>
      </c>
      <c r="L61" s="155">
        <v>1000</v>
      </c>
      <c r="M61" s="152"/>
      <c r="N61" s="159">
        <v>0</v>
      </c>
      <c r="O61" s="155">
        <v>1000</v>
      </c>
      <c r="P61" s="152"/>
      <c r="Q61" s="150"/>
      <c r="R61" s="150"/>
      <c r="S61" s="150"/>
      <c r="T61" s="150"/>
      <c r="U61" s="168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spans="1:36" ht="15.75" customHeight="1" x14ac:dyDescent="0.25">
      <c r="A62" s="169" t="str">
        <f>'common foods'!C117</f>
        <v>Middle Eastern Falafel Lisa</v>
      </c>
      <c r="B62" s="170" t="str">
        <f>'common foods'!D117</f>
        <v>05104</v>
      </c>
      <c r="C62" s="151">
        <v>2</v>
      </c>
      <c r="D62" s="152">
        <v>150</v>
      </c>
      <c r="E62" s="159">
        <v>0</v>
      </c>
      <c r="F62" s="155">
        <v>1000</v>
      </c>
      <c r="G62" s="157"/>
      <c r="H62" s="159">
        <v>0</v>
      </c>
      <c r="I62" s="155">
        <v>1000</v>
      </c>
      <c r="J62" s="152"/>
      <c r="K62" s="159">
        <v>0</v>
      </c>
      <c r="L62" s="155">
        <v>1000</v>
      </c>
      <c r="M62" s="152"/>
      <c r="N62" s="159">
        <v>0</v>
      </c>
      <c r="O62" s="155">
        <v>1000</v>
      </c>
      <c r="P62" s="152"/>
      <c r="Q62" s="150"/>
      <c r="R62" s="150"/>
      <c r="S62" s="150"/>
      <c r="T62" s="150"/>
      <c r="U62" s="168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spans="1:36" ht="15.75" customHeight="1" x14ac:dyDescent="0.25">
      <c r="A63" s="169" t="str">
        <f>'common foods'!C116</f>
        <v>Black Beans Canned</v>
      </c>
      <c r="B63" s="170" t="str">
        <f>'common foods'!D116</f>
        <v>05103</v>
      </c>
      <c r="C63" s="151">
        <v>3</v>
      </c>
      <c r="D63" s="152">
        <v>100</v>
      </c>
      <c r="E63" s="159">
        <v>0</v>
      </c>
      <c r="F63" s="155">
        <v>1000</v>
      </c>
      <c r="G63" s="157"/>
      <c r="H63" s="159">
        <v>0</v>
      </c>
      <c r="I63" s="155">
        <v>1000</v>
      </c>
      <c r="J63" s="152"/>
      <c r="K63" s="159">
        <v>0</v>
      </c>
      <c r="L63" s="155">
        <v>1000</v>
      </c>
      <c r="M63" s="152"/>
      <c r="N63" s="159">
        <v>0</v>
      </c>
      <c r="O63" s="155">
        <v>1000</v>
      </c>
      <c r="P63" s="152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spans="1:36" ht="15.75" customHeight="1" x14ac:dyDescent="0.25">
      <c r="A64" s="150" t="str">
        <f>'common foods'!C93</f>
        <v>Chicken breast fresh</v>
      </c>
      <c r="B64" s="151" t="str">
        <f>'common foods'!D93</f>
        <v>05069</v>
      </c>
      <c r="C64" s="151">
        <v>3</v>
      </c>
      <c r="D64" s="152">
        <v>100</v>
      </c>
      <c r="E64" s="159">
        <v>0</v>
      </c>
      <c r="F64" s="155">
        <v>1000</v>
      </c>
      <c r="G64" s="157"/>
      <c r="H64" s="159">
        <v>0</v>
      </c>
      <c r="I64" s="155">
        <v>1000</v>
      </c>
      <c r="J64" s="152"/>
      <c r="K64" s="159">
        <v>0</v>
      </c>
      <c r="L64" s="155">
        <v>1000</v>
      </c>
      <c r="M64" s="152"/>
      <c r="N64" s="159">
        <v>0</v>
      </c>
      <c r="O64" s="155">
        <v>1000</v>
      </c>
      <c r="P64" s="152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spans="1:36" ht="15.75" customHeight="1" x14ac:dyDescent="0.25">
      <c r="A65" s="150" t="str">
        <f>'common foods'!C114</f>
        <v>Pumpkin seeds</v>
      </c>
      <c r="B65" s="151" t="str">
        <f>'common foods'!D114</f>
        <v>05101</v>
      </c>
      <c r="C65" s="151">
        <v>1</v>
      </c>
      <c r="D65" s="152">
        <v>50</v>
      </c>
      <c r="E65" s="159">
        <v>0</v>
      </c>
      <c r="F65" s="155">
        <v>1000</v>
      </c>
      <c r="G65" s="157"/>
      <c r="H65" s="159">
        <v>0</v>
      </c>
      <c r="I65" s="155">
        <v>1000</v>
      </c>
      <c r="J65" s="152"/>
      <c r="K65" s="159">
        <v>0</v>
      </c>
      <c r="L65" s="155">
        <v>1000</v>
      </c>
      <c r="M65" s="152"/>
      <c r="N65" s="159">
        <v>0</v>
      </c>
      <c r="O65" s="155">
        <v>1000</v>
      </c>
      <c r="P65" s="152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spans="1:36" ht="15.75" customHeight="1" x14ac:dyDescent="0.25">
      <c r="A66" s="150" t="str">
        <f>'common foods'!C108</f>
        <v>Hummus dip</v>
      </c>
      <c r="B66" s="151" t="str">
        <f>'common foods'!D108</f>
        <v>05083</v>
      </c>
      <c r="C66" s="151">
        <v>1</v>
      </c>
      <c r="D66" s="152">
        <v>50</v>
      </c>
      <c r="E66" s="159">
        <v>0</v>
      </c>
      <c r="F66" s="155">
        <v>1000</v>
      </c>
      <c r="G66" s="157"/>
      <c r="H66" s="159">
        <v>0</v>
      </c>
      <c r="I66" s="155">
        <v>1000</v>
      </c>
      <c r="J66" s="152"/>
      <c r="K66" s="159">
        <v>0</v>
      </c>
      <c r="L66" s="155">
        <v>1000</v>
      </c>
      <c r="M66" s="152"/>
      <c r="N66" s="159">
        <v>0</v>
      </c>
      <c r="O66" s="155">
        <v>1000</v>
      </c>
      <c r="P66" s="152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spans="1:36" ht="15.75" customHeight="1" x14ac:dyDescent="0.25">
      <c r="A67" s="150" t="str">
        <f>'common foods'!C107</f>
        <v>Chickpeas, canned</v>
      </c>
      <c r="B67" s="151" t="str">
        <f>'common foods'!D107</f>
        <v>05092</v>
      </c>
      <c r="C67" s="151">
        <v>3</v>
      </c>
      <c r="D67" s="152">
        <v>150</v>
      </c>
      <c r="E67" s="159">
        <v>0</v>
      </c>
      <c r="F67" s="155">
        <v>1000</v>
      </c>
      <c r="G67" s="157"/>
      <c r="H67" s="159">
        <v>0</v>
      </c>
      <c r="I67" s="155">
        <v>1000</v>
      </c>
      <c r="J67" s="152"/>
      <c r="K67" s="159">
        <v>0</v>
      </c>
      <c r="L67" s="155">
        <v>1000</v>
      </c>
      <c r="M67" s="152"/>
      <c r="N67" s="159">
        <v>0</v>
      </c>
      <c r="O67" s="155">
        <v>1000</v>
      </c>
      <c r="P67" s="152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spans="1:36" ht="15.75" customHeight="1" x14ac:dyDescent="0.25">
      <c r="A68" s="150" t="str">
        <f>'common foods'!C105</f>
        <v>Almonds, plain</v>
      </c>
      <c r="B68" s="151" t="str">
        <f>'common foods'!D105</f>
        <v>05086</v>
      </c>
      <c r="C68" s="151">
        <v>3</v>
      </c>
      <c r="D68" s="152">
        <v>50</v>
      </c>
      <c r="E68" s="159">
        <v>0</v>
      </c>
      <c r="F68" s="155">
        <v>1000</v>
      </c>
      <c r="G68" s="157"/>
      <c r="H68" s="159">
        <v>0</v>
      </c>
      <c r="I68" s="155">
        <v>1000</v>
      </c>
      <c r="J68" s="152"/>
      <c r="K68" s="159">
        <v>0</v>
      </c>
      <c r="L68" s="155">
        <v>1000</v>
      </c>
      <c r="M68" s="152"/>
      <c r="N68" s="159">
        <v>0</v>
      </c>
      <c r="O68" s="155">
        <v>1000</v>
      </c>
      <c r="P68" s="152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spans="1:36" ht="15.75" customHeight="1" x14ac:dyDescent="0.25">
      <c r="A69" s="150" t="str">
        <f>'common foods'!C115</f>
        <v>Sunflower seeds</v>
      </c>
      <c r="B69" s="151" t="str">
        <f>'common foods'!D115</f>
        <v>05102</v>
      </c>
      <c r="C69" s="151">
        <v>1</v>
      </c>
      <c r="D69" s="152">
        <v>50</v>
      </c>
      <c r="E69" s="159">
        <v>0</v>
      </c>
      <c r="F69" s="155">
        <v>1000</v>
      </c>
      <c r="G69" s="157"/>
      <c r="H69" s="159">
        <v>0</v>
      </c>
      <c r="I69" s="155">
        <v>1000</v>
      </c>
      <c r="J69" s="152"/>
      <c r="K69" s="159">
        <v>0</v>
      </c>
      <c r="L69" s="155">
        <v>1000</v>
      </c>
      <c r="M69" s="152"/>
      <c r="N69" s="159">
        <v>0</v>
      </c>
      <c r="O69" s="155">
        <v>1000</v>
      </c>
      <c r="P69" s="152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</row>
    <row r="70" spans="1:36" ht="15.75" customHeight="1" x14ac:dyDescent="0.25">
      <c r="A70" s="150" t="str">
        <f>'common foods'!C86</f>
        <v>Eggs</v>
      </c>
      <c r="B70" s="151" t="str">
        <f>'common foods'!D86</f>
        <v>05064</v>
      </c>
      <c r="C70" s="151">
        <v>3</v>
      </c>
      <c r="D70" s="152">
        <v>50</v>
      </c>
      <c r="E70" s="159">
        <v>0</v>
      </c>
      <c r="F70" s="155">
        <v>1000</v>
      </c>
      <c r="G70" s="157"/>
      <c r="H70" s="159">
        <v>0</v>
      </c>
      <c r="I70" s="155">
        <v>1000</v>
      </c>
      <c r="J70" s="152"/>
      <c r="K70" s="159">
        <v>0</v>
      </c>
      <c r="L70" s="155">
        <v>1000</v>
      </c>
      <c r="M70" s="152"/>
      <c r="N70" s="159">
        <v>0</v>
      </c>
      <c r="O70" s="155">
        <v>1000</v>
      </c>
      <c r="P70" s="152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spans="1:36" ht="15.75" customHeight="1" x14ac:dyDescent="0.25">
      <c r="A71" s="169" t="str">
        <f>'common foods'!C111</f>
        <v>Lentils, canned in springwater</v>
      </c>
      <c r="B71" s="170" t="str">
        <f>'common foods'!D111</f>
        <v>05084</v>
      </c>
      <c r="C71" s="151">
        <v>3</v>
      </c>
      <c r="D71" s="152">
        <v>150</v>
      </c>
      <c r="E71" s="159">
        <v>0</v>
      </c>
      <c r="F71" s="155">
        <v>1000</v>
      </c>
      <c r="G71" s="157"/>
      <c r="H71" s="159">
        <v>0</v>
      </c>
      <c r="I71" s="155">
        <v>1000</v>
      </c>
      <c r="J71" s="152"/>
      <c r="K71" s="159">
        <v>0</v>
      </c>
      <c r="L71" s="155">
        <v>1000</v>
      </c>
      <c r="M71" s="152"/>
      <c r="N71" s="159">
        <v>0</v>
      </c>
      <c r="O71" s="155">
        <v>1000</v>
      </c>
      <c r="P71" s="152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spans="1:36" ht="15.75" customHeight="1" x14ac:dyDescent="0.25">
      <c r="A72" s="150" t="str">
        <f>'common foods'!C161</f>
        <v>Peanut butter, no added salt or sugar</v>
      </c>
      <c r="B72" s="151" t="str">
        <f>'common foods'!D161</f>
        <v>08110</v>
      </c>
      <c r="C72" s="151">
        <v>1</v>
      </c>
      <c r="D72" s="152">
        <v>50</v>
      </c>
      <c r="E72" s="159">
        <v>0</v>
      </c>
      <c r="F72" s="155">
        <v>1000</v>
      </c>
      <c r="G72" s="157"/>
      <c r="H72" s="159">
        <v>0</v>
      </c>
      <c r="I72" s="155">
        <v>1000</v>
      </c>
      <c r="J72" s="157"/>
      <c r="K72" s="159">
        <v>0</v>
      </c>
      <c r="L72" s="155">
        <v>1000</v>
      </c>
      <c r="M72" s="157"/>
      <c r="N72" s="159">
        <v>0</v>
      </c>
      <c r="O72" s="155">
        <v>1000</v>
      </c>
      <c r="P72" s="157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spans="1:36" ht="15.75" customHeight="1" x14ac:dyDescent="0.25">
      <c r="A73" s="172" t="str">
        <f>'common foods'!C122</f>
        <v>Red Kidney Beans, canned</v>
      </c>
      <c r="B73" s="151" t="str">
        <f>'common foods'!D122</f>
        <v>05109</v>
      </c>
      <c r="C73" s="151">
        <v>3</v>
      </c>
      <c r="D73" s="152">
        <v>150</v>
      </c>
      <c r="E73" s="159">
        <v>0</v>
      </c>
      <c r="F73" s="155">
        <v>1000</v>
      </c>
      <c r="G73" s="157"/>
      <c r="H73" s="159">
        <v>0</v>
      </c>
      <c r="I73" s="155">
        <v>1000</v>
      </c>
      <c r="J73" s="157"/>
      <c r="K73" s="159">
        <v>0</v>
      </c>
      <c r="L73" s="155">
        <v>1000</v>
      </c>
      <c r="M73" s="157"/>
      <c r="N73" s="159">
        <v>0</v>
      </c>
      <c r="O73" s="155">
        <v>1000</v>
      </c>
      <c r="P73" s="157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spans="1:36" ht="15.75" customHeight="1" x14ac:dyDescent="0.25">
      <c r="A74" s="172" t="str">
        <f>'common foods'!C104</f>
        <v>Peanuts, plain</v>
      </c>
      <c r="B74" s="151" t="str">
        <f>'common foods'!D104</f>
        <v>05085</v>
      </c>
      <c r="C74" s="151">
        <v>2</v>
      </c>
      <c r="D74" s="152">
        <v>50</v>
      </c>
      <c r="E74" s="159">
        <v>0</v>
      </c>
      <c r="F74" s="155">
        <v>1000</v>
      </c>
      <c r="G74" s="157"/>
      <c r="H74" s="159">
        <v>0</v>
      </c>
      <c r="I74" s="155">
        <v>1000</v>
      </c>
      <c r="J74" s="157"/>
      <c r="K74" s="159">
        <v>0</v>
      </c>
      <c r="L74" s="155">
        <v>1000</v>
      </c>
      <c r="M74" s="157"/>
      <c r="N74" s="159">
        <v>0</v>
      </c>
      <c r="O74" s="155">
        <v>1000</v>
      </c>
      <c r="P74" s="157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spans="1:36" ht="15.75" customHeight="1" x14ac:dyDescent="0.25">
      <c r="A75" s="166" t="s">
        <v>575</v>
      </c>
      <c r="B75" s="164"/>
      <c r="C75" s="164"/>
      <c r="D75" s="164"/>
      <c r="E75" s="155">
        <v>7</v>
      </c>
      <c r="F75" s="155">
        <v>15</v>
      </c>
      <c r="G75" s="157">
        <v>11</v>
      </c>
      <c r="H75" s="155">
        <v>7</v>
      </c>
      <c r="I75" s="155">
        <v>15</v>
      </c>
      <c r="J75" s="157">
        <v>11</v>
      </c>
      <c r="K75" s="155">
        <v>7</v>
      </c>
      <c r="L75" s="155">
        <v>15</v>
      </c>
      <c r="M75" s="157">
        <v>11</v>
      </c>
      <c r="N75" s="155">
        <v>7</v>
      </c>
      <c r="O75" s="155">
        <v>15</v>
      </c>
      <c r="P75" s="157">
        <v>11</v>
      </c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spans="1:36" ht="15.75" customHeight="1" x14ac:dyDescent="0.25">
      <c r="A76" s="166"/>
      <c r="B76" s="164"/>
      <c r="C76" s="164"/>
      <c r="D76" s="164"/>
      <c r="E76" s="154">
        <f>D77*E75</f>
        <v>70</v>
      </c>
      <c r="F76" s="154">
        <f>D77*F75</f>
        <v>150</v>
      </c>
      <c r="G76" s="154">
        <f>D77*G75</f>
        <v>110</v>
      </c>
      <c r="H76" s="154">
        <v>285</v>
      </c>
      <c r="I76" s="154">
        <f>I75*D77</f>
        <v>150</v>
      </c>
      <c r="J76" s="154">
        <f>D77*J75</f>
        <v>110</v>
      </c>
      <c r="K76" s="154">
        <f>D77*K75</f>
        <v>70</v>
      </c>
      <c r="L76" s="154">
        <f>D77*L75</f>
        <v>150</v>
      </c>
      <c r="M76" s="154">
        <f>D77*M75</f>
        <v>110</v>
      </c>
      <c r="N76" s="154">
        <f>D77*N75</f>
        <v>70</v>
      </c>
      <c r="O76" s="154">
        <f>D77*O75</f>
        <v>150</v>
      </c>
      <c r="P76" s="154">
        <f>D77*P75</f>
        <v>110</v>
      </c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spans="1:36" ht="15.75" customHeight="1" x14ac:dyDescent="0.25">
      <c r="A77" s="150" t="str">
        <f>'common foods'!C126</f>
        <v>Olive oil</v>
      </c>
      <c r="B77" s="151" t="str">
        <f>'common foods'!D126</f>
        <v>06090</v>
      </c>
      <c r="C77" s="151">
        <v>2</v>
      </c>
      <c r="D77" s="152">
        <v>10</v>
      </c>
      <c r="E77" s="159">
        <v>0</v>
      </c>
      <c r="F77" s="155">
        <v>1000</v>
      </c>
      <c r="G77" s="157"/>
      <c r="H77" s="159">
        <v>0</v>
      </c>
      <c r="I77" s="155">
        <v>1000</v>
      </c>
      <c r="J77" s="152"/>
      <c r="K77" s="159">
        <v>0</v>
      </c>
      <c r="L77" s="155">
        <v>1000</v>
      </c>
      <c r="M77" s="158"/>
      <c r="N77" s="159">
        <v>0</v>
      </c>
      <c r="O77" s="155">
        <v>1000</v>
      </c>
      <c r="P77" s="152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spans="1:36" ht="15.75" customHeight="1" x14ac:dyDescent="0.25">
      <c r="A78" s="150" t="str">
        <f>'common foods'!C127</f>
        <v>Canola oil</v>
      </c>
      <c r="B78" s="151" t="str">
        <f>'common foods'!D127</f>
        <v>06091</v>
      </c>
      <c r="C78" s="151">
        <v>2</v>
      </c>
      <c r="D78" s="152">
        <v>10</v>
      </c>
      <c r="E78" s="159">
        <v>0</v>
      </c>
      <c r="F78" s="155">
        <v>1000</v>
      </c>
      <c r="G78" s="157"/>
      <c r="H78" s="159">
        <v>0</v>
      </c>
      <c r="I78" s="155">
        <v>1000</v>
      </c>
      <c r="J78" s="152"/>
      <c r="K78" s="159">
        <v>0</v>
      </c>
      <c r="L78" s="155">
        <v>1000</v>
      </c>
      <c r="M78" s="158"/>
      <c r="N78" s="159">
        <v>0</v>
      </c>
      <c r="O78" s="155">
        <v>1000</v>
      </c>
      <c r="P78" s="152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spans="1:36" ht="15.75" customHeight="1" x14ac:dyDescent="0.25">
      <c r="A79" s="166" t="s">
        <v>594</v>
      </c>
      <c r="B79" s="164"/>
      <c r="C79" s="164"/>
      <c r="D79" s="164"/>
      <c r="E79" s="173">
        <v>0</v>
      </c>
      <c r="F79" s="173">
        <v>0</v>
      </c>
      <c r="G79" s="174">
        <v>0</v>
      </c>
      <c r="H79" s="173">
        <v>0</v>
      </c>
      <c r="I79" s="173">
        <v>0</v>
      </c>
      <c r="J79" s="174">
        <v>0</v>
      </c>
      <c r="K79" s="173">
        <v>0</v>
      </c>
      <c r="L79" s="173">
        <v>0</v>
      </c>
      <c r="M79" s="174">
        <v>0</v>
      </c>
      <c r="N79" s="173">
        <v>0</v>
      </c>
      <c r="O79" s="173">
        <v>0</v>
      </c>
      <c r="P79" s="174">
        <v>0</v>
      </c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</row>
    <row r="80" spans="1:36" ht="15.75" customHeight="1" x14ac:dyDescent="0.25">
      <c r="A80" s="166"/>
      <c r="B80" s="164"/>
      <c r="C80" s="164"/>
      <c r="D80" s="164"/>
      <c r="E80" s="154">
        <f>D81*E79</f>
        <v>0</v>
      </c>
      <c r="F80" s="154">
        <f>D81*F79</f>
        <v>0</v>
      </c>
      <c r="G80" s="154">
        <f>D81*G79</f>
        <v>0</v>
      </c>
      <c r="H80" s="154">
        <f>D81*H79</f>
        <v>0</v>
      </c>
      <c r="I80" s="154">
        <f>D81*I79</f>
        <v>0</v>
      </c>
      <c r="J80" s="154">
        <f>D81*J79</f>
        <v>0</v>
      </c>
      <c r="K80" s="154">
        <f>D81*K79</f>
        <v>0</v>
      </c>
      <c r="L80" s="154">
        <f>D81*L79</f>
        <v>0</v>
      </c>
      <c r="M80" s="154">
        <f>D81*M79</f>
        <v>0</v>
      </c>
      <c r="N80" s="154">
        <f>D81*N79</f>
        <v>0</v>
      </c>
      <c r="O80" s="154">
        <f>D81*O79</f>
        <v>0</v>
      </c>
      <c r="P80" s="154">
        <f>D81*P79</f>
        <v>0</v>
      </c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</row>
    <row r="81" spans="1:36" ht="15.75" customHeight="1" x14ac:dyDescent="0.25">
      <c r="A81" s="150" t="s">
        <v>294</v>
      </c>
      <c r="B81" s="151" t="s">
        <v>295</v>
      </c>
      <c r="C81" s="151">
        <v>0</v>
      </c>
      <c r="D81" s="152">
        <v>30</v>
      </c>
      <c r="E81" s="155">
        <v>0</v>
      </c>
      <c r="F81" s="155">
        <v>0</v>
      </c>
      <c r="G81" s="152"/>
      <c r="H81" s="155">
        <v>0</v>
      </c>
      <c r="I81" s="155">
        <v>0</v>
      </c>
      <c r="J81" s="152"/>
      <c r="K81" s="155">
        <v>0</v>
      </c>
      <c r="L81" s="155">
        <v>0</v>
      </c>
      <c r="M81" s="152"/>
      <c r="N81" s="155">
        <v>0</v>
      </c>
      <c r="O81" s="155">
        <v>0</v>
      </c>
      <c r="P81" s="151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</row>
    <row r="82" spans="1:36" ht="15.75" customHeight="1" x14ac:dyDescent="0.25">
      <c r="A82" s="150" t="str">
        <f>'common foods'!C138</f>
        <v>Coconut cream buns</v>
      </c>
      <c r="B82" s="151" t="s">
        <v>297</v>
      </c>
      <c r="C82" s="151">
        <v>0</v>
      </c>
      <c r="D82" s="152">
        <v>30</v>
      </c>
      <c r="E82" s="155">
        <v>0</v>
      </c>
      <c r="F82" s="155">
        <v>0</v>
      </c>
      <c r="G82" s="152"/>
      <c r="H82" s="155">
        <v>0</v>
      </c>
      <c r="I82" s="155">
        <v>0</v>
      </c>
      <c r="J82" s="152"/>
      <c r="K82" s="155">
        <v>0</v>
      </c>
      <c r="L82" s="155">
        <v>0</v>
      </c>
      <c r="M82" s="152"/>
      <c r="N82" s="155">
        <v>0</v>
      </c>
      <c r="O82" s="155">
        <v>0</v>
      </c>
      <c r="P82" s="151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</row>
    <row r="83" spans="1:36" ht="15.75" customHeight="1" x14ac:dyDescent="0.25">
      <c r="A83" s="150" t="s">
        <v>298</v>
      </c>
      <c r="B83" s="151" t="s">
        <v>299</v>
      </c>
      <c r="C83" s="151">
        <v>0</v>
      </c>
      <c r="D83" s="152">
        <v>65</v>
      </c>
      <c r="E83" s="155">
        <v>0</v>
      </c>
      <c r="F83" s="155">
        <v>0</v>
      </c>
      <c r="G83" s="152"/>
      <c r="H83" s="155">
        <v>0</v>
      </c>
      <c r="I83" s="155">
        <v>0</v>
      </c>
      <c r="J83" s="152"/>
      <c r="K83" s="155">
        <v>0</v>
      </c>
      <c r="L83" s="155">
        <v>0</v>
      </c>
      <c r="M83" s="152"/>
      <c r="N83" s="155">
        <v>0</v>
      </c>
      <c r="O83" s="155">
        <v>0</v>
      </c>
      <c r="P83" s="151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</row>
    <row r="84" spans="1:36" ht="15.75" customHeight="1" x14ac:dyDescent="0.25">
      <c r="A84" s="150" t="s">
        <v>292</v>
      </c>
      <c r="B84" s="151" t="s">
        <v>293</v>
      </c>
      <c r="C84" s="151">
        <v>0</v>
      </c>
      <c r="D84" s="152">
        <v>65</v>
      </c>
      <c r="E84" s="155">
        <v>0</v>
      </c>
      <c r="F84" s="155">
        <v>0</v>
      </c>
      <c r="G84" s="152"/>
      <c r="H84" s="155">
        <v>0</v>
      </c>
      <c r="I84" s="155">
        <v>0</v>
      </c>
      <c r="J84" s="152"/>
      <c r="K84" s="155">
        <v>0</v>
      </c>
      <c r="L84" s="155">
        <v>0</v>
      </c>
      <c r="M84" s="152"/>
      <c r="N84" s="155">
        <v>0</v>
      </c>
      <c r="O84" s="155">
        <v>0</v>
      </c>
      <c r="P84" s="151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</row>
    <row r="85" spans="1:36" ht="15.75" customHeight="1" x14ac:dyDescent="0.25">
      <c r="A85" s="150" t="s">
        <v>300</v>
      </c>
      <c r="B85" s="151" t="s">
        <v>301</v>
      </c>
      <c r="C85" s="151">
        <v>0</v>
      </c>
      <c r="D85" s="152">
        <v>50</v>
      </c>
      <c r="E85" s="155">
        <v>0</v>
      </c>
      <c r="F85" s="155">
        <v>0</v>
      </c>
      <c r="G85" s="152"/>
      <c r="H85" s="155">
        <v>0</v>
      </c>
      <c r="I85" s="155">
        <v>0</v>
      </c>
      <c r="J85" s="152"/>
      <c r="K85" s="155">
        <v>0</v>
      </c>
      <c r="L85" s="155">
        <v>0</v>
      </c>
      <c r="M85" s="152"/>
      <c r="N85" s="155">
        <v>0</v>
      </c>
      <c r="O85" s="155">
        <v>0</v>
      </c>
      <c r="P85" s="151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</row>
    <row r="86" spans="1:36" ht="15.75" customHeight="1" x14ac:dyDescent="0.25">
      <c r="A86" s="150" t="s">
        <v>302</v>
      </c>
      <c r="B86" s="151" t="s">
        <v>303</v>
      </c>
      <c r="C86" s="151">
        <v>0</v>
      </c>
      <c r="D86" s="152">
        <v>50</v>
      </c>
      <c r="E86" s="155">
        <v>0</v>
      </c>
      <c r="F86" s="155">
        <v>0</v>
      </c>
      <c r="G86" s="152"/>
      <c r="H86" s="155">
        <v>0</v>
      </c>
      <c r="I86" s="155">
        <v>0</v>
      </c>
      <c r="J86" s="152"/>
      <c r="K86" s="155">
        <v>0</v>
      </c>
      <c r="L86" s="155">
        <v>0</v>
      </c>
      <c r="M86" s="152"/>
      <c r="N86" s="155">
        <v>0</v>
      </c>
      <c r="O86" s="155">
        <v>0</v>
      </c>
      <c r="P86" s="151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</row>
    <row r="87" spans="1:36" ht="15.75" customHeight="1" x14ac:dyDescent="0.25">
      <c r="A87" s="150" t="s">
        <v>304</v>
      </c>
      <c r="B87" s="151" t="s">
        <v>305</v>
      </c>
      <c r="C87" s="151">
        <v>0</v>
      </c>
      <c r="D87" s="152">
        <v>100</v>
      </c>
      <c r="E87" s="155">
        <v>0</v>
      </c>
      <c r="F87" s="155">
        <v>0</v>
      </c>
      <c r="G87" s="152"/>
      <c r="H87" s="155">
        <v>0</v>
      </c>
      <c r="I87" s="155">
        <v>0</v>
      </c>
      <c r="J87" s="152"/>
      <c r="K87" s="155">
        <v>0</v>
      </c>
      <c r="L87" s="155">
        <v>0</v>
      </c>
      <c r="M87" s="152"/>
      <c r="N87" s="155">
        <v>0</v>
      </c>
      <c r="O87" s="155">
        <v>0</v>
      </c>
      <c r="P87" s="151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</row>
    <row r="88" spans="1:36" ht="15.75" customHeight="1" x14ac:dyDescent="0.25">
      <c r="A88" s="150" t="s">
        <v>306</v>
      </c>
      <c r="B88" s="151" t="s">
        <v>307</v>
      </c>
      <c r="C88" s="151">
        <v>0</v>
      </c>
      <c r="D88" s="152">
        <v>100</v>
      </c>
      <c r="E88" s="155">
        <v>0</v>
      </c>
      <c r="F88" s="155">
        <v>0</v>
      </c>
      <c r="G88" s="152"/>
      <c r="H88" s="155">
        <v>0</v>
      </c>
      <c r="I88" s="155">
        <v>0</v>
      </c>
      <c r="J88" s="152"/>
      <c r="K88" s="155">
        <v>0</v>
      </c>
      <c r="L88" s="155">
        <v>0</v>
      </c>
      <c r="M88" s="152"/>
      <c r="N88" s="155">
        <v>0</v>
      </c>
      <c r="O88" s="155">
        <v>0</v>
      </c>
      <c r="P88" s="151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</row>
    <row r="89" spans="1:36" ht="15.75" customHeight="1" x14ac:dyDescent="0.25">
      <c r="A89" s="150" t="str">
        <f>'common foods'!C145</f>
        <v>lamb mutton flaps</v>
      </c>
      <c r="B89" s="151" t="s">
        <v>311</v>
      </c>
      <c r="C89" s="151">
        <v>0</v>
      </c>
      <c r="D89" s="152">
        <v>100</v>
      </c>
      <c r="E89" s="155">
        <v>0</v>
      </c>
      <c r="F89" s="155">
        <v>0</v>
      </c>
      <c r="G89" s="152"/>
      <c r="H89" s="155">
        <v>0</v>
      </c>
      <c r="I89" s="155">
        <v>0</v>
      </c>
      <c r="J89" s="152"/>
      <c r="K89" s="155">
        <v>0</v>
      </c>
      <c r="L89" s="155">
        <v>0</v>
      </c>
      <c r="M89" s="152"/>
      <c r="N89" s="155">
        <v>0</v>
      </c>
      <c r="O89" s="155">
        <v>0</v>
      </c>
      <c r="P89" s="151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</row>
    <row r="90" spans="1:36" ht="15.75" customHeight="1" x14ac:dyDescent="0.25">
      <c r="A90" s="150" t="str">
        <f>'common foods'!C144</f>
        <v>corned beef regular</v>
      </c>
      <c r="B90" s="151" t="s">
        <v>309</v>
      </c>
      <c r="C90" s="151">
        <v>0</v>
      </c>
      <c r="D90" s="152">
        <v>100</v>
      </c>
      <c r="E90" s="155">
        <v>0</v>
      </c>
      <c r="F90" s="155">
        <v>0</v>
      </c>
      <c r="G90" s="152"/>
      <c r="H90" s="155">
        <v>0</v>
      </c>
      <c r="I90" s="155">
        <v>0</v>
      </c>
      <c r="J90" s="152"/>
      <c r="K90" s="155">
        <v>0</v>
      </c>
      <c r="L90" s="155">
        <v>0</v>
      </c>
      <c r="M90" s="152"/>
      <c r="N90" s="155">
        <v>0</v>
      </c>
      <c r="O90" s="155">
        <v>0</v>
      </c>
      <c r="P90" s="151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</row>
    <row r="91" spans="1:36" ht="15.75" customHeight="1" x14ac:dyDescent="0.25">
      <c r="A91" s="150" t="str">
        <f>'common foods'!C155</f>
        <v>Jam, strawberry</v>
      </c>
      <c r="B91" s="151" t="str">
        <f>'common foods'!D155</f>
        <v>08097</v>
      </c>
      <c r="C91" s="151">
        <v>0</v>
      </c>
      <c r="D91" s="152">
        <v>10</v>
      </c>
      <c r="E91" s="155">
        <v>0</v>
      </c>
      <c r="F91" s="155">
        <v>0</v>
      </c>
      <c r="G91" s="152"/>
      <c r="H91" s="155">
        <v>0</v>
      </c>
      <c r="I91" s="155">
        <v>0</v>
      </c>
      <c r="J91" s="152"/>
      <c r="K91" s="155">
        <v>0</v>
      </c>
      <c r="L91" s="155">
        <v>0</v>
      </c>
      <c r="M91" s="152"/>
      <c r="N91" s="155">
        <v>0</v>
      </c>
      <c r="O91" s="155">
        <v>0</v>
      </c>
      <c r="P91" s="151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</row>
    <row r="92" spans="1:36" ht="15.75" customHeight="1" x14ac:dyDescent="0.25">
      <c r="A92" s="150" t="s">
        <v>333</v>
      </c>
      <c r="B92" s="151" t="s">
        <v>334</v>
      </c>
      <c r="C92" s="151">
        <v>0</v>
      </c>
      <c r="D92" s="152">
        <v>125</v>
      </c>
      <c r="E92" s="155">
        <v>0</v>
      </c>
      <c r="F92" s="155">
        <v>0</v>
      </c>
      <c r="G92" s="152"/>
      <c r="H92" s="155">
        <v>0</v>
      </c>
      <c r="I92" s="155">
        <v>0</v>
      </c>
      <c r="J92" s="152"/>
      <c r="K92" s="155">
        <v>0</v>
      </c>
      <c r="L92" s="155">
        <v>0</v>
      </c>
      <c r="M92" s="152"/>
      <c r="N92" s="155">
        <v>0</v>
      </c>
      <c r="O92" s="155">
        <v>0</v>
      </c>
      <c r="P92" s="151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</row>
    <row r="93" spans="1:36" ht="15.75" customHeight="1" x14ac:dyDescent="0.25">
      <c r="A93" s="150" t="s">
        <v>335</v>
      </c>
      <c r="B93" s="151" t="s">
        <v>336</v>
      </c>
      <c r="C93" s="151">
        <v>0</v>
      </c>
      <c r="D93" s="152">
        <v>15</v>
      </c>
      <c r="E93" s="155">
        <v>0</v>
      </c>
      <c r="F93" s="155">
        <v>0</v>
      </c>
      <c r="G93" s="152"/>
      <c r="H93" s="155">
        <v>0</v>
      </c>
      <c r="I93" s="155">
        <v>0</v>
      </c>
      <c r="J93" s="152"/>
      <c r="K93" s="155">
        <v>0</v>
      </c>
      <c r="L93" s="155">
        <v>0</v>
      </c>
      <c r="M93" s="152"/>
      <c r="N93" s="155">
        <v>0</v>
      </c>
      <c r="O93" s="155">
        <v>0</v>
      </c>
      <c r="P93" s="151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</row>
    <row r="94" spans="1:36" ht="15.75" customHeight="1" x14ac:dyDescent="0.25">
      <c r="A94" s="150" t="s">
        <v>339</v>
      </c>
      <c r="B94" s="151" t="s">
        <v>340</v>
      </c>
      <c r="C94" s="151">
        <v>0</v>
      </c>
      <c r="D94" s="152">
        <v>5</v>
      </c>
      <c r="E94" s="155">
        <v>0</v>
      </c>
      <c r="F94" s="155">
        <v>0</v>
      </c>
      <c r="G94" s="152"/>
      <c r="H94" s="155">
        <v>0</v>
      </c>
      <c r="I94" s="155">
        <v>0</v>
      </c>
      <c r="J94" s="152"/>
      <c r="K94" s="155">
        <v>0</v>
      </c>
      <c r="L94" s="155">
        <v>0</v>
      </c>
      <c r="M94" s="152"/>
      <c r="N94" s="155">
        <v>0</v>
      </c>
      <c r="O94" s="155">
        <v>0</v>
      </c>
      <c r="P94" s="151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</row>
    <row r="95" spans="1:36" ht="15.75" customHeight="1" x14ac:dyDescent="0.25">
      <c r="A95" s="150" t="str">
        <f>'common foods'!C152</f>
        <v>Cocoa puffs</v>
      </c>
      <c r="B95" s="151" t="s">
        <v>325</v>
      </c>
      <c r="C95" s="151">
        <v>0</v>
      </c>
      <c r="D95" s="152">
        <v>65</v>
      </c>
      <c r="E95" s="155">
        <v>0</v>
      </c>
      <c r="F95" s="155">
        <v>0</v>
      </c>
      <c r="G95" s="152"/>
      <c r="H95" s="155">
        <v>0</v>
      </c>
      <c r="I95" s="155">
        <v>0</v>
      </c>
      <c r="J95" s="152"/>
      <c r="K95" s="155">
        <v>0</v>
      </c>
      <c r="L95" s="155">
        <v>0</v>
      </c>
      <c r="M95" s="152"/>
      <c r="N95" s="155">
        <v>0</v>
      </c>
      <c r="O95" s="155">
        <v>0</v>
      </c>
      <c r="P95" s="151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</row>
    <row r="96" spans="1:36" ht="15.75" customHeight="1" x14ac:dyDescent="0.25">
      <c r="A96" s="166" t="s">
        <v>341</v>
      </c>
      <c r="B96" s="164"/>
      <c r="C96" s="164"/>
      <c r="D96" s="164"/>
      <c r="E96" s="173">
        <v>0</v>
      </c>
      <c r="F96" s="173">
        <v>14</v>
      </c>
      <c r="G96" s="174">
        <v>7</v>
      </c>
      <c r="H96" s="173">
        <v>0</v>
      </c>
      <c r="I96" s="173">
        <v>14</v>
      </c>
      <c r="J96" s="174">
        <v>7</v>
      </c>
      <c r="K96" s="173">
        <v>0</v>
      </c>
      <c r="L96" s="173">
        <v>14</v>
      </c>
      <c r="M96" s="174">
        <v>7</v>
      </c>
      <c r="N96" s="173">
        <v>0</v>
      </c>
      <c r="O96" s="173">
        <v>14</v>
      </c>
      <c r="P96" s="174">
        <v>7</v>
      </c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</row>
    <row r="97" spans="1:36" ht="15.75" customHeight="1" x14ac:dyDescent="0.25">
      <c r="A97" s="166"/>
      <c r="B97" s="164"/>
      <c r="C97" s="164"/>
      <c r="D97" s="164"/>
      <c r="E97" s="154">
        <f>D98*E96</f>
        <v>0</v>
      </c>
      <c r="F97" s="154">
        <f>D98*F96</f>
        <v>210</v>
      </c>
      <c r="G97" s="154">
        <f>D98*G96</f>
        <v>105</v>
      </c>
      <c r="H97" s="154">
        <f>D98*H96</f>
        <v>0</v>
      </c>
      <c r="I97" s="154">
        <f>D98*I96</f>
        <v>210</v>
      </c>
      <c r="J97" s="154">
        <f>D98*J96</f>
        <v>105</v>
      </c>
      <c r="K97" s="154">
        <f>D98*K96</f>
        <v>0</v>
      </c>
      <c r="L97" s="154">
        <f>D98*L96</f>
        <v>210</v>
      </c>
      <c r="M97" s="154">
        <f>D98*M96</f>
        <v>105</v>
      </c>
      <c r="N97" s="154">
        <f>D98*N96</f>
        <v>0</v>
      </c>
      <c r="O97" s="154">
        <f>D98*O96</f>
        <v>210</v>
      </c>
      <c r="P97" s="154">
        <f>D98*P96</f>
        <v>105</v>
      </c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</row>
    <row r="98" spans="1:36" ht="15.75" customHeight="1" x14ac:dyDescent="0.25">
      <c r="A98" s="150" t="str">
        <f>'common foods'!C165</f>
        <v>marmite</v>
      </c>
      <c r="B98" s="151" t="str">
        <f>'common foods'!D165</f>
        <v>08108</v>
      </c>
      <c r="C98" s="151">
        <v>2</v>
      </c>
      <c r="D98" s="152">
        <v>15</v>
      </c>
      <c r="E98" s="155">
        <f>D98*0</f>
        <v>0</v>
      </c>
      <c r="F98" s="155">
        <f>D98*7</f>
        <v>105</v>
      </c>
      <c r="G98" s="152"/>
      <c r="H98" s="155">
        <f>G98*0</f>
        <v>0</v>
      </c>
      <c r="I98" s="155">
        <v>105</v>
      </c>
      <c r="J98" s="152"/>
      <c r="K98" s="155">
        <f>J98*0</f>
        <v>0</v>
      </c>
      <c r="L98" s="155">
        <v>105</v>
      </c>
      <c r="M98" s="152"/>
      <c r="N98" s="155">
        <f>M98*0</f>
        <v>0</v>
      </c>
      <c r="O98" s="155">
        <v>105</v>
      </c>
      <c r="P98" s="151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</row>
    <row r="99" spans="1:36" ht="15.75" customHeight="1" x14ac:dyDescent="0.25">
      <c r="A99" s="150" t="str">
        <f>'common foods'!C166</f>
        <v>Mild Salsa</v>
      </c>
      <c r="B99" s="151" t="str">
        <f>'common foods'!D166</f>
        <v>08109</v>
      </c>
      <c r="C99" s="151">
        <v>2</v>
      </c>
      <c r="D99" s="152">
        <v>15</v>
      </c>
      <c r="E99" s="155">
        <f>D99*0</f>
        <v>0</v>
      </c>
      <c r="F99" s="155">
        <f>D99*7</f>
        <v>105</v>
      </c>
      <c r="G99" s="152"/>
      <c r="H99" s="155">
        <f>G99*0</f>
        <v>0</v>
      </c>
      <c r="I99" s="155">
        <v>105</v>
      </c>
      <c r="J99" s="152"/>
      <c r="K99" s="155">
        <f>J99*0</f>
        <v>0</v>
      </c>
      <c r="L99" s="155">
        <v>105</v>
      </c>
      <c r="M99" s="152"/>
      <c r="N99" s="155">
        <f>M99*0</f>
        <v>0</v>
      </c>
      <c r="O99" s="155">
        <v>105</v>
      </c>
      <c r="P99" s="151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</row>
    <row r="100" spans="1:36" ht="15.75" customHeight="1" x14ac:dyDescent="0.25">
      <c r="A100" s="166" t="s">
        <v>356</v>
      </c>
      <c r="B100" s="164"/>
      <c r="C100" s="164"/>
      <c r="D100" s="164"/>
      <c r="E100" s="164">
        <v>0</v>
      </c>
      <c r="F100" s="164">
        <v>0</v>
      </c>
      <c r="G100" s="164">
        <v>0</v>
      </c>
      <c r="H100" s="164">
        <v>0</v>
      </c>
      <c r="I100" s="164">
        <v>0</v>
      </c>
      <c r="J100" s="164">
        <v>0</v>
      </c>
      <c r="K100" s="164">
        <v>0</v>
      </c>
      <c r="L100" s="164">
        <v>0</v>
      </c>
      <c r="M100" s="164">
        <v>0</v>
      </c>
      <c r="N100" s="164">
        <v>0</v>
      </c>
      <c r="O100" s="164">
        <v>0</v>
      </c>
      <c r="P100" s="164">
        <v>0</v>
      </c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</row>
    <row r="101" spans="1:36" ht="15.75" customHeight="1" x14ac:dyDescent="0.25">
      <c r="A101" s="166"/>
      <c r="B101" s="164"/>
      <c r="C101" s="164"/>
      <c r="D101" s="164"/>
      <c r="E101" s="154">
        <f>D102*E100</f>
        <v>0</v>
      </c>
      <c r="F101" s="154">
        <f>D102*F100</f>
        <v>0</v>
      </c>
      <c r="G101" s="154">
        <f>D102*G100</f>
        <v>0</v>
      </c>
      <c r="H101" s="154">
        <f>D102*H100</f>
        <v>0</v>
      </c>
      <c r="I101" s="154">
        <f>D102*I100</f>
        <v>0</v>
      </c>
      <c r="J101" s="154">
        <f>D102*J100</f>
        <v>0</v>
      </c>
      <c r="K101" s="154">
        <f>D102*K100</f>
        <v>0</v>
      </c>
      <c r="L101" s="154">
        <f>D102*L100</f>
        <v>0</v>
      </c>
      <c r="M101" s="154">
        <f>D102*M100</f>
        <v>0</v>
      </c>
      <c r="N101" s="154">
        <f>D102*N100</f>
        <v>0</v>
      </c>
      <c r="O101" s="154">
        <f>D102*O100</f>
        <v>0</v>
      </c>
      <c r="P101" s="154">
        <f>D102*P100</f>
        <v>0</v>
      </c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</row>
    <row r="102" spans="1:36" ht="15.75" customHeight="1" x14ac:dyDescent="0.25">
      <c r="A102" s="150" t="s">
        <v>357</v>
      </c>
      <c r="B102" s="151" t="s">
        <v>358</v>
      </c>
      <c r="C102" s="151">
        <v>0</v>
      </c>
      <c r="D102" s="151">
        <v>20</v>
      </c>
      <c r="E102" s="155">
        <v>0</v>
      </c>
      <c r="F102" s="155">
        <v>0</v>
      </c>
      <c r="G102" s="151"/>
      <c r="H102" s="155">
        <v>0</v>
      </c>
      <c r="I102" s="155">
        <v>0</v>
      </c>
      <c r="J102" s="151"/>
      <c r="K102" s="155">
        <v>0</v>
      </c>
      <c r="L102" s="155">
        <v>0</v>
      </c>
      <c r="M102" s="151"/>
      <c r="N102" s="155">
        <v>0</v>
      </c>
      <c r="O102" s="155">
        <v>0</v>
      </c>
      <c r="P102" s="151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</row>
    <row r="103" spans="1:36" ht="15.75" customHeight="1" x14ac:dyDescent="0.25">
      <c r="A103" s="150" t="s">
        <v>359</v>
      </c>
      <c r="B103" s="151" t="s">
        <v>360</v>
      </c>
      <c r="C103" s="151">
        <v>0</v>
      </c>
      <c r="D103" s="151">
        <v>250</v>
      </c>
      <c r="E103" s="155">
        <v>0</v>
      </c>
      <c r="F103" s="155">
        <v>0</v>
      </c>
      <c r="G103" s="151"/>
      <c r="H103" s="155">
        <v>0</v>
      </c>
      <c r="I103" s="155">
        <v>0</v>
      </c>
      <c r="J103" s="151"/>
      <c r="K103" s="155">
        <v>0</v>
      </c>
      <c r="L103" s="155">
        <v>0</v>
      </c>
      <c r="M103" s="151"/>
      <c r="N103" s="155">
        <v>0</v>
      </c>
      <c r="O103" s="155">
        <v>0</v>
      </c>
      <c r="P103" s="151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</row>
    <row r="104" spans="1:36" ht="15.75" customHeight="1" x14ac:dyDescent="0.25">
      <c r="A104" s="150" t="s">
        <v>361</v>
      </c>
      <c r="B104" s="151" t="s">
        <v>362</v>
      </c>
      <c r="C104" s="151">
        <v>0</v>
      </c>
      <c r="D104" s="151">
        <v>250</v>
      </c>
      <c r="E104" s="155">
        <v>0</v>
      </c>
      <c r="F104" s="155">
        <v>0</v>
      </c>
      <c r="G104" s="151"/>
      <c r="H104" s="155">
        <v>0</v>
      </c>
      <c r="I104" s="155">
        <v>0</v>
      </c>
      <c r="J104" s="151"/>
      <c r="K104" s="155">
        <v>0</v>
      </c>
      <c r="L104" s="155">
        <v>0</v>
      </c>
      <c r="M104" s="151"/>
      <c r="N104" s="155">
        <v>0</v>
      </c>
      <c r="O104" s="155">
        <v>0</v>
      </c>
      <c r="P104" s="151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</row>
    <row r="105" spans="1:36" ht="15.75" customHeight="1" x14ac:dyDescent="0.25">
      <c r="A105" s="150" t="s">
        <v>363</v>
      </c>
      <c r="B105" s="151" t="s">
        <v>364</v>
      </c>
      <c r="C105" s="151">
        <v>0</v>
      </c>
      <c r="D105" s="151">
        <v>250</v>
      </c>
      <c r="E105" s="155">
        <v>0</v>
      </c>
      <c r="F105" s="155">
        <v>0</v>
      </c>
      <c r="G105" s="151"/>
      <c r="H105" s="155">
        <v>0</v>
      </c>
      <c r="I105" s="155">
        <v>0</v>
      </c>
      <c r="J105" s="151"/>
      <c r="K105" s="155">
        <v>0</v>
      </c>
      <c r="L105" s="155">
        <v>0</v>
      </c>
      <c r="M105" s="151"/>
      <c r="N105" s="155">
        <v>0</v>
      </c>
      <c r="O105" s="155">
        <v>0</v>
      </c>
      <c r="P105" s="151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</row>
    <row r="106" spans="1:36" ht="15.75" customHeight="1" x14ac:dyDescent="0.25">
      <c r="A106" s="150" t="s">
        <v>365</v>
      </c>
      <c r="B106" s="151" t="s">
        <v>366</v>
      </c>
      <c r="C106" s="151">
        <v>0</v>
      </c>
      <c r="D106" s="151">
        <v>250</v>
      </c>
      <c r="E106" s="155">
        <v>0</v>
      </c>
      <c r="F106" s="155">
        <v>0</v>
      </c>
      <c r="G106" s="151"/>
      <c r="H106" s="155">
        <v>0</v>
      </c>
      <c r="I106" s="155">
        <v>0</v>
      </c>
      <c r="J106" s="151"/>
      <c r="K106" s="155">
        <v>0</v>
      </c>
      <c r="L106" s="155">
        <v>0</v>
      </c>
      <c r="M106" s="151"/>
      <c r="N106" s="155">
        <v>0</v>
      </c>
      <c r="O106" s="155">
        <v>0</v>
      </c>
      <c r="P106" s="151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</row>
    <row r="107" spans="1:36" ht="15.75" customHeight="1" x14ac:dyDescent="0.25">
      <c r="A107" s="150" t="str">
        <f>'common foods'!C172</f>
        <v>Soft drink Powder</v>
      </c>
      <c r="B107" s="151" t="s">
        <v>368</v>
      </c>
      <c r="C107" s="151">
        <v>0</v>
      </c>
      <c r="D107" s="151">
        <v>15</v>
      </c>
      <c r="E107" s="155">
        <v>0</v>
      </c>
      <c r="F107" s="155">
        <v>0</v>
      </c>
      <c r="G107" s="151"/>
      <c r="H107" s="155">
        <v>0</v>
      </c>
      <c r="I107" s="155">
        <v>0</v>
      </c>
      <c r="J107" s="151"/>
      <c r="K107" s="155">
        <v>0</v>
      </c>
      <c r="L107" s="155">
        <v>0</v>
      </c>
      <c r="M107" s="151"/>
      <c r="N107" s="155">
        <v>0</v>
      </c>
      <c r="O107" s="155">
        <v>0</v>
      </c>
      <c r="P107" s="151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</row>
    <row r="108" spans="1:36" ht="15.75" customHeight="1" x14ac:dyDescent="0.25">
      <c r="A108" s="150" t="s">
        <v>369</v>
      </c>
      <c r="B108" s="151" t="s">
        <v>370</v>
      </c>
      <c r="C108" s="151">
        <v>0</v>
      </c>
      <c r="D108" s="151">
        <v>250</v>
      </c>
      <c r="E108" s="155">
        <v>0</v>
      </c>
      <c r="F108" s="155">
        <v>0</v>
      </c>
      <c r="G108" s="151"/>
      <c r="H108" s="155"/>
      <c r="I108" s="155">
        <v>0</v>
      </c>
      <c r="J108" s="151"/>
      <c r="K108" s="155"/>
      <c r="L108" s="155">
        <v>0</v>
      </c>
      <c r="M108" s="151"/>
      <c r="N108" s="155"/>
      <c r="O108" s="155">
        <v>0</v>
      </c>
      <c r="P108" s="151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</row>
    <row r="109" spans="1:36" ht="15.75" customHeight="1" x14ac:dyDescent="0.25">
      <c r="A109" s="166" t="s">
        <v>578</v>
      </c>
      <c r="B109" s="164"/>
      <c r="C109" s="164"/>
      <c r="D109" s="164"/>
      <c r="E109" s="164">
        <v>0</v>
      </c>
      <c r="F109" s="164">
        <v>0</v>
      </c>
      <c r="G109" s="164">
        <v>0</v>
      </c>
      <c r="H109" s="164">
        <v>0</v>
      </c>
      <c r="I109" s="164">
        <v>0</v>
      </c>
      <c r="J109" s="164">
        <v>0</v>
      </c>
      <c r="K109" s="164">
        <v>0</v>
      </c>
      <c r="L109" s="164">
        <v>0</v>
      </c>
      <c r="M109" s="164">
        <v>0</v>
      </c>
      <c r="N109" s="164">
        <v>0</v>
      </c>
      <c r="O109" s="164">
        <v>0</v>
      </c>
      <c r="P109" s="164">
        <v>0</v>
      </c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</row>
    <row r="110" spans="1:36" ht="15.75" customHeight="1" x14ac:dyDescent="0.25">
      <c r="A110" s="166"/>
      <c r="B110" s="164"/>
      <c r="C110" s="164"/>
      <c r="D110" s="164"/>
      <c r="E110" s="154">
        <f>D111*E109</f>
        <v>0</v>
      </c>
      <c r="F110" s="154">
        <f>D111*F109</f>
        <v>0</v>
      </c>
      <c r="G110" s="154">
        <f>D111*G109</f>
        <v>0</v>
      </c>
      <c r="H110" s="154">
        <f>D111*H109</f>
        <v>0</v>
      </c>
      <c r="I110" s="154">
        <f>D111*I109</f>
        <v>0</v>
      </c>
      <c r="J110" s="154">
        <f>D111*J109</f>
        <v>0</v>
      </c>
      <c r="K110" s="154">
        <f>D111*K109</f>
        <v>0</v>
      </c>
      <c r="L110" s="154">
        <f>D111*L109</f>
        <v>0</v>
      </c>
      <c r="M110" s="154">
        <f>D111*M109</f>
        <v>0</v>
      </c>
      <c r="N110" s="154">
        <f>D111*N109</f>
        <v>0</v>
      </c>
      <c r="O110" s="154">
        <f>D111*O109</f>
        <v>0</v>
      </c>
      <c r="P110" s="154">
        <f>D111*P109</f>
        <v>0</v>
      </c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</row>
    <row r="111" spans="1:36" ht="15.75" x14ac:dyDescent="0.25">
      <c r="A111" s="150" t="s">
        <v>388</v>
      </c>
      <c r="B111" s="151">
        <v>10115</v>
      </c>
      <c r="C111" s="151">
        <v>0</v>
      </c>
      <c r="D111" s="151">
        <v>240</v>
      </c>
      <c r="E111" s="155">
        <v>0</v>
      </c>
      <c r="F111" s="155">
        <v>0</v>
      </c>
      <c r="G111" s="151"/>
      <c r="H111" s="155">
        <v>0</v>
      </c>
      <c r="I111" s="155">
        <v>0</v>
      </c>
      <c r="J111" s="151"/>
      <c r="K111" s="155">
        <v>0</v>
      </c>
      <c r="L111" s="155">
        <v>0</v>
      </c>
      <c r="M111" s="151"/>
      <c r="N111" s="155">
        <v>0</v>
      </c>
      <c r="O111" s="155">
        <v>0</v>
      </c>
      <c r="P111" s="151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</row>
    <row r="112" spans="1:36" ht="15.75" customHeight="1" x14ac:dyDescent="0.25">
      <c r="A112" s="150" t="s">
        <v>392</v>
      </c>
      <c r="B112" s="151">
        <v>10117</v>
      </c>
      <c r="C112" s="151">
        <v>0</v>
      </c>
      <c r="D112" s="151">
        <v>200</v>
      </c>
      <c r="E112" s="155">
        <v>0</v>
      </c>
      <c r="F112" s="155">
        <v>0</v>
      </c>
      <c r="G112" s="151"/>
      <c r="H112" s="155">
        <v>0</v>
      </c>
      <c r="I112" s="155">
        <v>0</v>
      </c>
      <c r="J112" s="151"/>
      <c r="K112" s="155">
        <v>0</v>
      </c>
      <c r="L112" s="155">
        <v>0</v>
      </c>
      <c r="M112" s="151"/>
      <c r="N112" s="155">
        <v>0</v>
      </c>
      <c r="O112" s="155">
        <v>0</v>
      </c>
      <c r="P112" s="151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</row>
    <row r="113" spans="1:36" ht="15.75" customHeight="1" x14ac:dyDescent="0.25">
      <c r="A113" s="150" t="s">
        <v>396</v>
      </c>
      <c r="B113" s="151">
        <v>10119</v>
      </c>
      <c r="C113" s="151">
        <v>0</v>
      </c>
      <c r="D113" s="151">
        <v>200</v>
      </c>
      <c r="E113" s="155">
        <v>0</v>
      </c>
      <c r="F113" s="155">
        <v>0</v>
      </c>
      <c r="G113" s="151"/>
      <c r="H113" s="155">
        <v>0</v>
      </c>
      <c r="I113" s="155">
        <v>0</v>
      </c>
      <c r="J113" s="151"/>
      <c r="K113" s="155">
        <v>0</v>
      </c>
      <c r="L113" s="155">
        <v>0</v>
      </c>
      <c r="M113" s="151"/>
      <c r="N113" s="155">
        <v>0</v>
      </c>
      <c r="O113" s="155">
        <v>0</v>
      </c>
      <c r="P113" s="151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</row>
    <row r="114" spans="1:36" ht="15.75" customHeight="1" x14ac:dyDescent="0.25">
      <c r="A114" s="166" t="s">
        <v>406</v>
      </c>
      <c r="B114" s="164"/>
      <c r="C114" s="164"/>
      <c r="D114" s="164"/>
      <c r="E114" s="164">
        <v>0</v>
      </c>
      <c r="F114" s="164">
        <v>0</v>
      </c>
      <c r="G114" s="164">
        <v>0</v>
      </c>
      <c r="H114" s="164">
        <v>0</v>
      </c>
      <c r="I114" s="164">
        <v>0</v>
      </c>
      <c r="J114" s="164">
        <v>0</v>
      </c>
      <c r="K114" s="164">
        <v>0</v>
      </c>
      <c r="L114" s="164">
        <v>0</v>
      </c>
      <c r="M114" s="164">
        <v>0</v>
      </c>
      <c r="N114" s="164">
        <v>0</v>
      </c>
      <c r="O114" s="164">
        <v>0</v>
      </c>
      <c r="P114" s="164">
        <v>0</v>
      </c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</row>
    <row r="115" spans="1:36" ht="15.75" customHeight="1" x14ac:dyDescent="0.25">
      <c r="A115" s="166"/>
      <c r="B115" s="164"/>
      <c r="C115" s="164"/>
      <c r="D115" s="164"/>
      <c r="E115" s="154">
        <f>D116*E114</f>
        <v>0</v>
      </c>
      <c r="F115" s="154">
        <f>D116*F114</f>
        <v>0</v>
      </c>
      <c r="G115" s="154">
        <f>D116*G114</f>
        <v>0</v>
      </c>
      <c r="H115" s="154">
        <f>D116*H114</f>
        <v>0</v>
      </c>
      <c r="I115" s="154">
        <f>D116*I114</f>
        <v>0</v>
      </c>
      <c r="J115" s="154">
        <f>D116*J114</f>
        <v>0</v>
      </c>
      <c r="K115" s="154">
        <f>D116*K114</f>
        <v>0</v>
      </c>
      <c r="L115" s="154">
        <f>D116*L114</f>
        <v>0</v>
      </c>
      <c r="M115" s="154">
        <f>D116*M114</f>
        <v>0</v>
      </c>
      <c r="N115" s="154">
        <f>D116*N114</f>
        <v>0</v>
      </c>
      <c r="O115" s="154">
        <f>D116*O114</f>
        <v>0</v>
      </c>
      <c r="P115" s="154">
        <f>D116*P114</f>
        <v>0</v>
      </c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</row>
    <row r="116" spans="1:36" ht="15.75" customHeight="1" x14ac:dyDescent="0.25">
      <c r="A116" s="150" t="s">
        <v>407</v>
      </c>
      <c r="B116" s="151" t="s">
        <v>408</v>
      </c>
      <c r="C116" s="151">
        <v>0</v>
      </c>
      <c r="D116" s="151">
        <v>100</v>
      </c>
      <c r="E116" s="155">
        <v>0</v>
      </c>
      <c r="F116" s="155">
        <v>0</v>
      </c>
      <c r="G116" s="151"/>
      <c r="H116" s="155">
        <v>0</v>
      </c>
      <c r="I116" s="155">
        <v>0</v>
      </c>
      <c r="J116" s="151"/>
      <c r="K116" s="155">
        <v>0</v>
      </c>
      <c r="L116" s="155">
        <v>0</v>
      </c>
      <c r="M116" s="175"/>
      <c r="N116" s="155">
        <v>0</v>
      </c>
      <c r="O116" s="155">
        <v>0</v>
      </c>
      <c r="P116" s="151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</row>
    <row r="117" spans="1:36" ht="15.75" customHeight="1" x14ac:dyDescent="0.25">
      <c r="A117" s="150" t="s">
        <v>409</v>
      </c>
      <c r="B117" s="151" t="s">
        <v>410</v>
      </c>
      <c r="C117" s="151">
        <v>0</v>
      </c>
      <c r="D117" s="151">
        <v>330</v>
      </c>
      <c r="E117" s="155">
        <v>0</v>
      </c>
      <c r="F117" s="155">
        <v>0</v>
      </c>
      <c r="G117" s="151"/>
      <c r="H117" s="155">
        <v>0</v>
      </c>
      <c r="I117" s="155">
        <v>0</v>
      </c>
      <c r="J117" s="151"/>
      <c r="K117" s="155">
        <v>0</v>
      </c>
      <c r="L117" s="155">
        <v>0</v>
      </c>
      <c r="M117" s="175"/>
      <c r="N117" s="155">
        <v>0</v>
      </c>
      <c r="O117" s="155">
        <v>0</v>
      </c>
      <c r="P117" s="151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</row>
    <row r="118" spans="1:36" ht="15.75" customHeight="1" x14ac:dyDescent="0.25">
      <c r="A118" s="166" t="s">
        <v>411</v>
      </c>
      <c r="B118" s="164"/>
      <c r="C118" s="164"/>
      <c r="D118" s="164"/>
      <c r="E118" s="164">
        <v>0</v>
      </c>
      <c r="F118" s="164">
        <v>0</v>
      </c>
      <c r="G118" s="164">
        <v>0</v>
      </c>
      <c r="H118" s="164">
        <v>0</v>
      </c>
      <c r="I118" s="164">
        <v>0</v>
      </c>
      <c r="J118" s="164">
        <v>0</v>
      </c>
      <c r="K118" s="164">
        <v>0</v>
      </c>
      <c r="L118" s="164">
        <v>0</v>
      </c>
      <c r="M118" s="164">
        <v>0</v>
      </c>
      <c r="N118" s="164">
        <v>0</v>
      </c>
      <c r="O118" s="164">
        <v>0</v>
      </c>
      <c r="P118" s="164">
        <v>0</v>
      </c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</row>
    <row r="119" spans="1:36" ht="15.75" customHeight="1" x14ac:dyDescent="0.25">
      <c r="A119" s="166"/>
      <c r="B119" s="164"/>
      <c r="C119" s="164"/>
      <c r="D119" s="164"/>
      <c r="E119" s="154">
        <v>0</v>
      </c>
      <c r="F119" s="154">
        <v>0</v>
      </c>
      <c r="G119" s="154">
        <v>0</v>
      </c>
      <c r="H119" s="154">
        <v>0</v>
      </c>
      <c r="I119" s="154">
        <v>0</v>
      </c>
      <c r="J119" s="154">
        <v>0</v>
      </c>
      <c r="K119" s="154">
        <v>0</v>
      </c>
      <c r="L119" s="154">
        <v>0</v>
      </c>
      <c r="M119" s="154">
        <v>0</v>
      </c>
      <c r="N119" s="154">
        <v>0</v>
      </c>
      <c r="O119" s="154">
        <v>0</v>
      </c>
      <c r="P119" s="154">
        <v>0</v>
      </c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</row>
    <row r="120" spans="1:36" s="1" customFormat="1" ht="15.75" x14ac:dyDescent="0.25">
      <c r="A120" s="1" t="s">
        <v>412</v>
      </c>
      <c r="B120" s="2">
        <v>12001</v>
      </c>
      <c r="C120" s="2">
        <v>0</v>
      </c>
      <c r="D120" s="12">
        <v>0</v>
      </c>
      <c r="E120" s="2">
        <v>0</v>
      </c>
      <c r="F120" s="12">
        <v>0</v>
      </c>
      <c r="G120" s="2">
        <v>0</v>
      </c>
      <c r="H120" s="2">
        <v>0</v>
      </c>
      <c r="I120" s="12">
        <v>0</v>
      </c>
      <c r="J120" s="2">
        <v>0</v>
      </c>
      <c r="K120" s="2">
        <v>0</v>
      </c>
      <c r="L120" s="12">
        <v>0</v>
      </c>
      <c r="M120" s="2">
        <v>0</v>
      </c>
      <c r="N120" s="2">
        <v>0</v>
      </c>
      <c r="O120" s="12">
        <v>0</v>
      </c>
      <c r="P120" s="12">
        <v>0</v>
      </c>
    </row>
    <row r="121" spans="1:36" ht="15.75" customHeight="1" x14ac:dyDescent="0.25"/>
    <row r="122" spans="1:36" ht="15.75" customHeight="1" x14ac:dyDescent="0.25"/>
    <row r="123" spans="1:36" ht="15.75" customHeight="1" x14ac:dyDescent="0.25"/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AMK993"/>
  <sheetViews>
    <sheetView tabSelected="1" zoomScale="60" zoomScaleNormal="60" workbookViewId="0">
      <selection activeCell="E19" sqref="E19"/>
    </sheetView>
  </sheetViews>
  <sheetFormatPr defaultRowHeight="15" x14ac:dyDescent="0.25"/>
  <cols>
    <col min="1" max="1" width="34.7109375" style="146" customWidth="1"/>
    <col min="2" max="2" width="31.7109375" style="146" customWidth="1"/>
    <col min="3" max="3" width="16" style="146" customWidth="1"/>
    <col min="4" max="4" width="14.42578125" style="146" customWidth="1"/>
    <col min="5" max="5" width="18" style="146" customWidth="1"/>
    <col min="6" max="6" width="19" style="146" customWidth="1"/>
    <col min="7" max="7" width="18.140625" style="146" customWidth="1"/>
    <col min="8" max="8" width="16.140625" style="146" customWidth="1"/>
    <col min="9" max="9" width="19" style="146" customWidth="1"/>
    <col min="10" max="10" width="16.85546875" style="146" customWidth="1"/>
    <col min="11" max="11" width="16.42578125" style="146" customWidth="1"/>
    <col min="12" max="12" width="15.85546875" style="146" customWidth="1"/>
    <col min="13" max="13" width="15" style="146" customWidth="1"/>
    <col min="14" max="14" width="16" style="146" customWidth="1"/>
    <col min="15" max="15" width="19.7109375" style="146" customWidth="1"/>
    <col min="16" max="16" width="17.28515625" style="146" customWidth="1"/>
    <col min="17" max="17" width="10.85546875" style="146" customWidth="1"/>
    <col min="18" max="18" width="11.28515625" style="146" customWidth="1"/>
    <col min="19" max="36" width="10.85546875" style="146" customWidth="1"/>
    <col min="37" max="1025" width="14.42578125" style="146" customWidth="1"/>
  </cols>
  <sheetData>
    <row r="1" spans="1:36" ht="15.75" customHeight="1" x14ac:dyDescent="0.25">
      <c r="A1" s="147"/>
      <c r="B1" s="148"/>
      <c r="C1" s="148"/>
      <c r="D1" s="148"/>
      <c r="E1" s="148"/>
      <c r="F1" s="148" t="s">
        <v>595</v>
      </c>
      <c r="G1" s="148"/>
      <c r="H1" s="148" t="s">
        <v>592</v>
      </c>
      <c r="I1" s="148"/>
      <c r="J1" s="148"/>
      <c r="K1" s="148"/>
      <c r="L1" s="148"/>
      <c r="M1" s="148"/>
      <c r="N1" s="148"/>
      <c r="O1" s="148"/>
      <c r="P1" s="148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</row>
    <row r="2" spans="1:36" ht="15.75" customHeight="1" x14ac:dyDescent="0.25">
      <c r="A2" s="176" t="s">
        <v>557</v>
      </c>
      <c r="B2" s="151"/>
      <c r="C2" s="151"/>
      <c r="D2" s="152"/>
      <c r="E2" s="222" t="s">
        <v>558</v>
      </c>
      <c r="F2" s="222"/>
      <c r="G2" s="222"/>
      <c r="H2" s="222" t="s">
        <v>559</v>
      </c>
      <c r="I2" s="222"/>
      <c r="J2" s="222"/>
      <c r="K2" s="222" t="s">
        <v>560</v>
      </c>
      <c r="L2" s="222"/>
      <c r="M2" s="222"/>
      <c r="N2" s="222" t="s">
        <v>561</v>
      </c>
      <c r="O2" s="222"/>
      <c r="P2" s="222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</row>
    <row r="3" spans="1:36" ht="15.75" customHeight="1" x14ac:dyDescent="0.25">
      <c r="A3" s="177" t="s">
        <v>2</v>
      </c>
      <c r="B3" s="178" t="s">
        <v>3</v>
      </c>
      <c r="C3" s="179" t="s">
        <v>562</v>
      </c>
      <c r="D3" s="180" t="s">
        <v>563</v>
      </c>
      <c r="E3" s="179" t="s">
        <v>564</v>
      </c>
      <c r="F3" s="179" t="s">
        <v>565</v>
      </c>
      <c r="G3" s="180" t="s">
        <v>596</v>
      </c>
      <c r="H3" s="179" t="s">
        <v>564</v>
      </c>
      <c r="I3" s="179" t="s">
        <v>565</v>
      </c>
      <c r="J3" s="180" t="s">
        <v>596</v>
      </c>
      <c r="K3" s="179" t="s">
        <v>564</v>
      </c>
      <c r="L3" s="179" t="s">
        <v>565</v>
      </c>
      <c r="M3" s="180" t="s">
        <v>596</v>
      </c>
      <c r="N3" s="179" t="s">
        <v>564</v>
      </c>
      <c r="O3" s="179" t="s">
        <v>565</v>
      </c>
      <c r="P3" s="180" t="s">
        <v>596</v>
      </c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</row>
    <row r="4" spans="1:36" ht="15.75" customHeight="1" x14ac:dyDescent="0.25">
      <c r="A4" s="150"/>
      <c r="B4" s="151"/>
      <c r="C4" s="151"/>
      <c r="D4" s="152"/>
      <c r="E4" s="151"/>
      <c r="F4" s="151"/>
      <c r="G4" s="152" t="s">
        <v>567</v>
      </c>
      <c r="H4" s="151"/>
      <c r="I4" s="151"/>
      <c r="J4" s="152" t="s">
        <v>567</v>
      </c>
      <c r="K4" s="151"/>
      <c r="L4" s="151"/>
      <c r="M4" s="152" t="s">
        <v>567</v>
      </c>
      <c r="N4" s="151"/>
      <c r="O4" s="151"/>
      <c r="P4" s="152" t="s">
        <v>567</v>
      </c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</row>
    <row r="5" spans="1:36" ht="15.75" customHeight="1" x14ac:dyDescent="0.25">
      <c r="A5" s="153" t="s">
        <v>568</v>
      </c>
      <c r="B5" s="154"/>
      <c r="C5" s="154"/>
      <c r="D5" s="152"/>
      <c r="E5" s="155">
        <v>12</v>
      </c>
      <c r="F5" s="155">
        <v>23</v>
      </c>
      <c r="G5" s="154">
        <v>17.5</v>
      </c>
      <c r="H5" s="155">
        <v>12</v>
      </c>
      <c r="I5" s="155">
        <v>23</v>
      </c>
      <c r="J5" s="154"/>
      <c r="K5" s="155">
        <v>12</v>
      </c>
      <c r="L5" s="155">
        <v>23</v>
      </c>
      <c r="M5" s="154">
        <v>17.5</v>
      </c>
      <c r="N5" s="155">
        <v>12</v>
      </c>
      <c r="O5" s="155">
        <v>23</v>
      </c>
      <c r="P5" s="154">
        <v>17.5</v>
      </c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spans="1:36" ht="15.75" customHeight="1" x14ac:dyDescent="0.25">
      <c r="A6" s="153" t="s">
        <v>569</v>
      </c>
      <c r="B6" s="154"/>
      <c r="C6" s="154"/>
      <c r="D6" s="152"/>
      <c r="E6" s="154">
        <f>D7*E5</f>
        <v>1440</v>
      </c>
      <c r="F6" s="154">
        <f>D7*F5</f>
        <v>2760</v>
      </c>
      <c r="G6" s="154">
        <f>D7*G5</f>
        <v>2100</v>
      </c>
      <c r="H6" s="154">
        <f>D7*H5</f>
        <v>1440</v>
      </c>
      <c r="I6" s="154">
        <f>D7*I5</f>
        <v>2760</v>
      </c>
      <c r="J6" s="154">
        <f>D7*J5</f>
        <v>0</v>
      </c>
      <c r="K6" s="154">
        <f>D7*K5</f>
        <v>1440</v>
      </c>
      <c r="L6" s="154">
        <f>D7*L5</f>
        <v>2760</v>
      </c>
      <c r="M6" s="154">
        <f>D7*M5</f>
        <v>2100</v>
      </c>
      <c r="N6" s="154">
        <f>D7*N5</f>
        <v>1440</v>
      </c>
      <c r="O6" s="154">
        <f>D7*O5</f>
        <v>2760</v>
      </c>
      <c r="P6" s="154">
        <f>D7*P5</f>
        <v>2100</v>
      </c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spans="1:36" ht="15.75" customHeight="1" x14ac:dyDescent="0.25">
      <c r="A7" s="150" t="str">
        <f>'common foods'!C5</f>
        <v>Kiwifruit, fresh</v>
      </c>
      <c r="B7" s="151" t="str">
        <f>'common foods'!D5</f>
        <v>01004</v>
      </c>
      <c r="C7" s="151">
        <v>2</v>
      </c>
      <c r="D7" s="156">
        <v>120</v>
      </c>
      <c r="E7" s="155">
        <v>0</v>
      </c>
      <c r="F7" s="155">
        <v>1000</v>
      </c>
      <c r="G7" s="157"/>
      <c r="H7" s="155">
        <v>0</v>
      </c>
      <c r="I7" s="155">
        <v>1000</v>
      </c>
      <c r="J7" s="152"/>
      <c r="K7" s="155">
        <v>0</v>
      </c>
      <c r="L7" s="155">
        <v>1000</v>
      </c>
      <c r="M7" s="158"/>
      <c r="N7" s="155">
        <v>0</v>
      </c>
      <c r="O7" s="155">
        <v>1000</v>
      </c>
      <c r="P7" s="158" t="s">
        <v>593</v>
      </c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spans="1:36" ht="15.75" customHeight="1" x14ac:dyDescent="0.25">
      <c r="A8" s="150" t="str">
        <f>'common foods'!C3</f>
        <v>Bananas, fresh</v>
      </c>
      <c r="B8" s="151" t="str">
        <f>'common foods'!D3</f>
        <v>01002</v>
      </c>
      <c r="C8" s="151">
        <v>1</v>
      </c>
      <c r="D8" s="156">
        <v>120</v>
      </c>
      <c r="E8" s="155">
        <v>0</v>
      </c>
      <c r="F8" s="155">
        <v>1000</v>
      </c>
      <c r="G8" s="152"/>
      <c r="H8" s="155">
        <v>0</v>
      </c>
      <c r="I8" s="155">
        <v>1000</v>
      </c>
      <c r="J8" s="152"/>
      <c r="K8" s="155">
        <v>0</v>
      </c>
      <c r="L8" s="155">
        <v>1000</v>
      </c>
      <c r="M8" s="158"/>
      <c r="N8" s="155">
        <v>0</v>
      </c>
      <c r="O8" s="155">
        <v>1000</v>
      </c>
      <c r="P8" s="158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spans="1:36" ht="15.75" customHeight="1" x14ac:dyDescent="0.25">
      <c r="A9" s="150" t="str">
        <f>'common foods'!C2</f>
        <v>Apples, fresh</v>
      </c>
      <c r="B9" s="151" t="str">
        <f>'common foods'!D2</f>
        <v>01001</v>
      </c>
      <c r="C9" s="151">
        <v>1</v>
      </c>
      <c r="D9" s="156">
        <v>120</v>
      </c>
      <c r="E9" s="155">
        <v>0</v>
      </c>
      <c r="F9" s="155">
        <v>1000</v>
      </c>
      <c r="G9" s="152"/>
      <c r="H9" s="155">
        <v>0</v>
      </c>
      <c r="I9" s="155">
        <v>1000</v>
      </c>
      <c r="J9" s="152"/>
      <c r="K9" s="155">
        <v>0</v>
      </c>
      <c r="L9" s="155">
        <v>1000</v>
      </c>
      <c r="M9" s="158"/>
      <c r="N9" s="155">
        <v>0</v>
      </c>
      <c r="O9" s="155">
        <v>1000</v>
      </c>
      <c r="P9" s="158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spans="1:36" ht="15.75" customHeight="1" x14ac:dyDescent="0.25">
      <c r="A10" s="150" t="str">
        <f>'common foods'!C13</f>
        <v>Peaches, canned no added sugar</v>
      </c>
      <c r="B10" s="151" t="str">
        <f>'common foods'!D13</f>
        <v>01012</v>
      </c>
      <c r="C10" s="151">
        <v>2</v>
      </c>
      <c r="D10" s="156">
        <v>120</v>
      </c>
      <c r="E10" s="155">
        <v>0</v>
      </c>
      <c r="F10" s="155">
        <v>1000</v>
      </c>
      <c r="G10" s="152"/>
      <c r="H10" s="155">
        <v>0</v>
      </c>
      <c r="I10" s="155">
        <v>1000</v>
      </c>
      <c r="J10" s="152"/>
      <c r="K10" s="155">
        <v>0</v>
      </c>
      <c r="L10" s="155">
        <v>1000</v>
      </c>
      <c r="M10" s="158"/>
      <c r="N10" s="155">
        <v>0</v>
      </c>
      <c r="O10" s="155">
        <v>1000</v>
      </c>
      <c r="P10" s="158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spans="1:36" ht="15.75" customHeight="1" x14ac:dyDescent="0.25">
      <c r="A11" s="150" t="str">
        <f>'common foods'!C6</f>
        <v>Mandarins, fresh</v>
      </c>
      <c r="B11" s="151" t="str">
        <f>'common foods'!D6</f>
        <v>01005</v>
      </c>
      <c r="C11" s="151">
        <v>3</v>
      </c>
      <c r="D11" s="156">
        <v>120</v>
      </c>
      <c r="E11" s="155">
        <v>0</v>
      </c>
      <c r="F11" s="155">
        <v>1000</v>
      </c>
      <c r="G11" s="152"/>
      <c r="H11" s="155">
        <v>0</v>
      </c>
      <c r="I11" s="155">
        <v>1000</v>
      </c>
      <c r="J11" s="152"/>
      <c r="K11" s="155">
        <v>0</v>
      </c>
      <c r="L11" s="155">
        <v>1000</v>
      </c>
      <c r="M11" s="158"/>
      <c r="N11" s="155">
        <v>0</v>
      </c>
      <c r="O11" s="155">
        <v>1000</v>
      </c>
      <c r="P11" s="158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spans="1:36" ht="15.75" customHeight="1" x14ac:dyDescent="0.25">
      <c r="A12" s="150" t="str">
        <f>'common foods'!C8</f>
        <v>Oranges, fresh</v>
      </c>
      <c r="B12" s="151" t="str">
        <f>'common foods'!D8</f>
        <v>01007</v>
      </c>
      <c r="C12" s="151">
        <v>1</v>
      </c>
      <c r="D12" s="156">
        <v>120</v>
      </c>
      <c r="E12" s="155">
        <v>0</v>
      </c>
      <c r="F12" s="155">
        <v>1000</v>
      </c>
      <c r="G12" s="152"/>
      <c r="H12" s="155">
        <v>0</v>
      </c>
      <c r="I12" s="155">
        <v>1000</v>
      </c>
      <c r="J12" s="152"/>
      <c r="K12" s="155">
        <v>0</v>
      </c>
      <c r="L12" s="155">
        <v>1000</v>
      </c>
      <c r="M12" s="158"/>
      <c r="N12" s="155">
        <v>0</v>
      </c>
      <c r="O12" s="155">
        <v>1000</v>
      </c>
      <c r="P12" s="158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spans="1:36" ht="15.75" customHeight="1" x14ac:dyDescent="0.25">
      <c r="A13" s="150" t="str">
        <f>'common foods'!C9</f>
        <v>Pears, fresh</v>
      </c>
      <c r="B13" s="151" t="str">
        <f>'common foods'!D9</f>
        <v>01008</v>
      </c>
      <c r="C13" s="151">
        <v>2</v>
      </c>
      <c r="D13" s="156">
        <v>120</v>
      </c>
      <c r="E13" s="155">
        <v>0</v>
      </c>
      <c r="F13" s="155">
        <v>1000</v>
      </c>
      <c r="G13" s="152"/>
      <c r="H13" s="155">
        <v>0</v>
      </c>
      <c r="I13" s="155">
        <v>1000</v>
      </c>
      <c r="J13" s="152"/>
      <c r="K13" s="155">
        <v>0</v>
      </c>
      <c r="L13" s="155">
        <v>1000</v>
      </c>
      <c r="M13" s="158"/>
      <c r="N13" s="155">
        <v>0</v>
      </c>
      <c r="O13" s="155">
        <v>1000</v>
      </c>
      <c r="P13" s="158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spans="1:36" ht="15.75" customHeight="1" x14ac:dyDescent="0.25">
      <c r="A14" s="153" t="s">
        <v>570</v>
      </c>
      <c r="B14" s="154"/>
      <c r="C14" s="154"/>
      <c r="D14" s="152"/>
      <c r="E14" s="155">
        <v>28</v>
      </c>
      <c r="F14" s="155">
        <v>56</v>
      </c>
      <c r="G14" s="154">
        <v>42</v>
      </c>
      <c r="H14" s="155">
        <v>28</v>
      </c>
      <c r="I14" s="155">
        <v>56</v>
      </c>
      <c r="J14" s="154">
        <v>42</v>
      </c>
      <c r="K14" s="155">
        <v>28</v>
      </c>
      <c r="L14" s="155">
        <v>56</v>
      </c>
      <c r="M14" s="154">
        <v>42</v>
      </c>
      <c r="N14" s="155">
        <v>28</v>
      </c>
      <c r="O14" s="155">
        <v>56</v>
      </c>
      <c r="P14" s="154">
        <v>42</v>
      </c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spans="1:36" ht="15.75" customHeight="1" x14ac:dyDescent="0.25">
      <c r="A15" s="153" t="s">
        <v>569</v>
      </c>
      <c r="B15" s="154"/>
      <c r="C15" s="154"/>
      <c r="D15" s="152"/>
      <c r="E15" s="154">
        <f>D16*E14</f>
        <v>2100</v>
      </c>
      <c r="F15" s="154">
        <f>D16*F14</f>
        <v>4200</v>
      </c>
      <c r="G15" s="154">
        <f>D16*G14</f>
        <v>3150</v>
      </c>
      <c r="H15" s="154">
        <f>D16*H14</f>
        <v>2100</v>
      </c>
      <c r="I15" s="154">
        <f>D16*I14</f>
        <v>4200</v>
      </c>
      <c r="J15" s="154">
        <f>D16*J14</f>
        <v>3150</v>
      </c>
      <c r="K15" s="154">
        <f>D16*K14</f>
        <v>2100</v>
      </c>
      <c r="L15" s="154">
        <f>D16*L14</f>
        <v>4200</v>
      </c>
      <c r="M15" s="154">
        <f>D16*M14</f>
        <v>3150</v>
      </c>
      <c r="N15" s="154">
        <f>D16*N14</f>
        <v>2100</v>
      </c>
      <c r="O15" s="154">
        <f>D16*O14</f>
        <v>4200</v>
      </c>
      <c r="P15" s="154">
        <f>D16*P14</f>
        <v>3150</v>
      </c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spans="1:36" ht="15.75" customHeight="1" x14ac:dyDescent="0.25">
      <c r="A16" s="150" t="str">
        <f>'common foods'!C34</f>
        <v>Tomatoes, canned, low salt</v>
      </c>
      <c r="B16" s="151" t="str">
        <f>'common foods'!D34</f>
        <v>02040</v>
      </c>
      <c r="C16" s="151">
        <v>2</v>
      </c>
      <c r="D16" s="152">
        <v>75</v>
      </c>
      <c r="E16" s="155">
        <v>0</v>
      </c>
      <c r="F16" s="155">
        <v>1000</v>
      </c>
      <c r="G16" s="157"/>
      <c r="H16" s="155">
        <v>0</v>
      </c>
      <c r="I16" s="155">
        <v>1000</v>
      </c>
      <c r="J16" s="158"/>
      <c r="K16" s="155">
        <v>0</v>
      </c>
      <c r="L16" s="155">
        <v>1000</v>
      </c>
      <c r="M16" s="158"/>
      <c r="N16" s="155">
        <v>0</v>
      </c>
      <c r="O16" s="155">
        <v>1000</v>
      </c>
      <c r="P16" s="158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spans="1:36" ht="15.75" customHeight="1" x14ac:dyDescent="0.25">
      <c r="A17" s="150" t="str">
        <f>'common foods'!C31</f>
        <v>Tomatoes, fresh</v>
      </c>
      <c r="B17" s="151" t="str">
        <f>'common foods'!D31</f>
        <v>02030</v>
      </c>
      <c r="C17" s="151">
        <v>3</v>
      </c>
      <c r="D17" s="152">
        <v>75</v>
      </c>
      <c r="E17" s="155">
        <v>0</v>
      </c>
      <c r="F17" s="155">
        <v>1000</v>
      </c>
      <c r="G17" s="152"/>
      <c r="H17" s="155">
        <v>0</v>
      </c>
      <c r="I17" s="155">
        <v>1000</v>
      </c>
      <c r="J17" s="158"/>
      <c r="K17" s="155">
        <v>0</v>
      </c>
      <c r="L17" s="155">
        <v>1000</v>
      </c>
      <c r="M17" s="158"/>
      <c r="N17" s="155">
        <v>0</v>
      </c>
      <c r="O17" s="155">
        <v>1000</v>
      </c>
      <c r="P17" s="158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spans="1:36" ht="15.75" customHeight="1" x14ac:dyDescent="0.25">
      <c r="A18" s="150" t="str">
        <f>'common foods'!C24</f>
        <v>Cucumber, fresh</v>
      </c>
      <c r="B18" s="151" t="str">
        <f>'common foods'!D24</f>
        <v>02019</v>
      </c>
      <c r="C18" s="151">
        <v>2</v>
      </c>
      <c r="D18" s="152">
        <v>75</v>
      </c>
      <c r="E18" s="155">
        <v>0</v>
      </c>
      <c r="F18" s="155">
        <v>1000</v>
      </c>
      <c r="G18" s="152"/>
      <c r="H18" s="155">
        <v>0</v>
      </c>
      <c r="I18" s="155">
        <v>1000</v>
      </c>
      <c r="J18" s="158"/>
      <c r="K18" s="155">
        <v>0</v>
      </c>
      <c r="L18" s="155">
        <v>1000</v>
      </c>
      <c r="M18" s="158"/>
      <c r="N18" s="155">
        <v>0</v>
      </c>
      <c r="O18" s="155">
        <v>1000</v>
      </c>
      <c r="P18" s="158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spans="1:36" ht="15.75" customHeight="1" x14ac:dyDescent="0.25">
      <c r="A19" s="150" t="str">
        <f>'common foods'!C44</f>
        <v>Stir Fry Vegetables, frozen</v>
      </c>
      <c r="B19" s="151" t="str">
        <f>'common foods'!D44</f>
        <v>02047</v>
      </c>
      <c r="C19" s="151">
        <v>1</v>
      </c>
      <c r="D19" s="152">
        <v>75</v>
      </c>
      <c r="E19" s="155">
        <v>0</v>
      </c>
      <c r="F19" s="155">
        <v>1000</v>
      </c>
      <c r="G19" s="152"/>
      <c r="H19" s="155">
        <v>0</v>
      </c>
      <c r="I19" s="155">
        <v>1000</v>
      </c>
      <c r="J19" s="158"/>
      <c r="K19" s="155">
        <v>0</v>
      </c>
      <c r="L19" s="155">
        <v>1000</v>
      </c>
      <c r="M19" s="158"/>
      <c r="N19" s="155">
        <v>0</v>
      </c>
      <c r="O19" s="155">
        <v>1000</v>
      </c>
      <c r="P19" s="158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spans="1:36" ht="15.75" customHeight="1" x14ac:dyDescent="0.25">
      <c r="A20" s="150" t="str">
        <f>'common foods'!C21</f>
        <v>Cauliflower, fresh</v>
      </c>
      <c r="B20" s="151" t="str">
        <f>'common foods'!D21</f>
        <v>02016</v>
      </c>
      <c r="C20" s="151">
        <v>2</v>
      </c>
      <c r="D20" s="152">
        <v>75</v>
      </c>
      <c r="E20" s="155">
        <v>0</v>
      </c>
      <c r="F20" s="155">
        <v>1000</v>
      </c>
      <c r="G20" s="152"/>
      <c r="H20" s="155">
        <v>0</v>
      </c>
      <c r="I20" s="155">
        <v>1000</v>
      </c>
      <c r="J20" s="158"/>
      <c r="K20" s="155">
        <v>0</v>
      </c>
      <c r="L20" s="155">
        <v>1000</v>
      </c>
      <c r="M20" s="158"/>
      <c r="N20" s="155">
        <v>0</v>
      </c>
      <c r="O20" s="155">
        <v>1000</v>
      </c>
      <c r="P20" s="158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spans="1:36" ht="15.75" customHeight="1" x14ac:dyDescent="0.25">
      <c r="A21" s="150" t="str">
        <f>'common foods'!C16</f>
        <v>Avocados, fresh</v>
      </c>
      <c r="B21" s="151" t="str">
        <f>'common foods'!D16</f>
        <v>02011</v>
      </c>
      <c r="C21" s="151">
        <v>1</v>
      </c>
      <c r="D21" s="152">
        <v>75</v>
      </c>
      <c r="E21" s="155">
        <v>0</v>
      </c>
      <c r="F21" s="155">
        <v>1000</v>
      </c>
      <c r="G21" s="152"/>
      <c r="H21" s="155">
        <v>0</v>
      </c>
      <c r="I21" s="155">
        <v>1000</v>
      </c>
      <c r="J21" s="152"/>
      <c r="K21" s="155">
        <v>0</v>
      </c>
      <c r="L21" s="155">
        <v>1000</v>
      </c>
      <c r="M21" s="152"/>
      <c r="N21" s="155">
        <v>0</v>
      </c>
      <c r="O21" s="155">
        <v>1000</v>
      </c>
      <c r="P21" s="152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spans="1:36" ht="15.75" customHeight="1" x14ac:dyDescent="0.25">
      <c r="A22" s="150" t="str">
        <f>'common foods'!C23</f>
        <v>Courgettes, fresh</v>
      </c>
      <c r="B22" s="151" t="str">
        <f>'common foods'!D23</f>
        <v>02018</v>
      </c>
      <c r="C22" s="151">
        <v>3</v>
      </c>
      <c r="D22" s="152">
        <v>75</v>
      </c>
      <c r="E22" s="155">
        <v>0</v>
      </c>
      <c r="F22" s="155">
        <v>1000</v>
      </c>
      <c r="G22" s="152"/>
      <c r="H22" s="155">
        <v>0</v>
      </c>
      <c r="I22" s="155">
        <v>1000</v>
      </c>
      <c r="J22" s="158"/>
      <c r="K22" s="155">
        <v>0</v>
      </c>
      <c r="L22" s="155">
        <v>1000</v>
      </c>
      <c r="M22" s="152"/>
      <c r="N22" s="155">
        <v>0</v>
      </c>
      <c r="O22" s="155">
        <v>1000</v>
      </c>
      <c r="P22" s="152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spans="1:36" ht="15.75" customHeight="1" x14ac:dyDescent="0.25">
      <c r="A23" s="150" t="str">
        <f>'common foods'!C25</f>
        <v>Lettuce, fresh</v>
      </c>
      <c r="B23" s="151" t="str">
        <f>'common foods'!D25</f>
        <v>02021</v>
      </c>
      <c r="C23" s="151">
        <v>1</v>
      </c>
      <c r="D23" s="152">
        <v>75</v>
      </c>
      <c r="E23" s="155">
        <v>0</v>
      </c>
      <c r="F23" s="155">
        <v>1000</v>
      </c>
      <c r="G23" s="152"/>
      <c r="H23" s="155">
        <v>0</v>
      </c>
      <c r="I23" s="155">
        <v>1000</v>
      </c>
      <c r="J23" s="158"/>
      <c r="K23" s="155">
        <v>0</v>
      </c>
      <c r="L23" s="155">
        <v>1000</v>
      </c>
      <c r="M23" s="152"/>
      <c r="N23" s="155">
        <v>0</v>
      </c>
      <c r="O23" s="155">
        <v>1000</v>
      </c>
      <c r="P23" s="152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spans="1:36" ht="15.75" customHeight="1" x14ac:dyDescent="0.25">
      <c r="A24" s="150" t="str">
        <f>'common foods'!C27</f>
        <v>Mushrooms, fresh</v>
      </c>
      <c r="B24" s="151" t="str">
        <f>'common foods'!D27</f>
        <v>02023</v>
      </c>
      <c r="C24" s="151">
        <v>2</v>
      </c>
      <c r="D24" s="152">
        <v>75</v>
      </c>
      <c r="E24" s="155">
        <v>0</v>
      </c>
      <c r="F24" s="155">
        <v>1000</v>
      </c>
      <c r="G24" s="152"/>
      <c r="H24" s="155">
        <v>0</v>
      </c>
      <c r="I24" s="155">
        <v>1000</v>
      </c>
      <c r="J24" s="152"/>
      <c r="K24" s="155">
        <v>0</v>
      </c>
      <c r="L24" s="155">
        <v>1000</v>
      </c>
      <c r="M24" s="152"/>
      <c r="N24" s="155">
        <v>0</v>
      </c>
      <c r="O24" s="155">
        <v>1000</v>
      </c>
      <c r="P24" s="152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spans="1:36" ht="15.75" customHeight="1" x14ac:dyDescent="0.25">
      <c r="A25" s="150" t="s">
        <v>102</v>
      </c>
      <c r="B25" s="151" t="str">
        <f>'common foods'!D45</f>
        <v>02050</v>
      </c>
      <c r="C25" s="151">
        <v>2</v>
      </c>
      <c r="D25" s="152">
        <v>75</v>
      </c>
      <c r="E25" s="155">
        <v>0</v>
      </c>
      <c r="F25" s="155">
        <v>1000</v>
      </c>
      <c r="G25" s="152"/>
      <c r="H25" s="155">
        <v>0</v>
      </c>
      <c r="I25" s="155">
        <v>1000</v>
      </c>
      <c r="J25" s="158"/>
      <c r="K25" s="155">
        <v>0</v>
      </c>
      <c r="L25" s="155">
        <v>1000</v>
      </c>
      <c r="M25" s="158"/>
      <c r="N25" s="155">
        <v>0</v>
      </c>
      <c r="O25" s="155">
        <v>1000</v>
      </c>
      <c r="P25" s="158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spans="1:36" ht="15.75" customHeight="1" x14ac:dyDescent="0.25">
      <c r="A26" s="150" t="str">
        <f>'common foods'!C18</f>
        <v>Cabbage, fresh</v>
      </c>
      <c r="B26" s="151" t="str">
        <f>'common foods'!D18</f>
        <v>02013</v>
      </c>
      <c r="C26" s="151">
        <v>1</v>
      </c>
      <c r="D26" s="152">
        <v>75</v>
      </c>
      <c r="E26" s="155">
        <v>0</v>
      </c>
      <c r="F26" s="155">
        <v>1000</v>
      </c>
      <c r="G26" s="152"/>
      <c r="H26" s="155">
        <v>0</v>
      </c>
      <c r="I26" s="155">
        <v>1000</v>
      </c>
      <c r="J26" s="158"/>
      <c r="K26" s="155">
        <v>0</v>
      </c>
      <c r="L26" s="155">
        <v>1000</v>
      </c>
      <c r="M26" s="158"/>
      <c r="N26" s="155">
        <v>0</v>
      </c>
      <c r="O26" s="155">
        <v>1000</v>
      </c>
      <c r="P26" s="158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spans="1:36" ht="15.75" customHeight="1" x14ac:dyDescent="0.25">
      <c r="A27" s="150" t="str">
        <f>'common foods'!C19</f>
        <v>Capsicums, fresh</v>
      </c>
      <c r="B27" s="151" t="str">
        <f>'common foods'!D19</f>
        <v>02014</v>
      </c>
      <c r="C27" s="151">
        <v>3</v>
      </c>
      <c r="D27" s="152">
        <v>75</v>
      </c>
      <c r="E27" s="155">
        <v>0</v>
      </c>
      <c r="F27" s="155">
        <v>1000</v>
      </c>
      <c r="G27" s="152"/>
      <c r="H27" s="155">
        <v>0</v>
      </c>
      <c r="I27" s="155">
        <v>1000</v>
      </c>
      <c r="J27" s="158"/>
      <c r="K27" s="155">
        <v>0</v>
      </c>
      <c r="L27" s="155">
        <v>1000</v>
      </c>
      <c r="M27" s="158"/>
      <c r="N27" s="155">
        <v>0</v>
      </c>
      <c r="O27" s="155">
        <v>1000</v>
      </c>
      <c r="P27" s="158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spans="1:36" ht="15.75" customHeight="1" x14ac:dyDescent="0.25">
      <c r="A28" s="150" t="str">
        <f>'common foods'!C28</f>
        <v>Onions, fresh</v>
      </c>
      <c r="B28" s="151" t="str">
        <f>'common foods'!D28</f>
        <v>02024</v>
      </c>
      <c r="C28" s="151">
        <v>2</v>
      </c>
      <c r="D28" s="152">
        <v>75</v>
      </c>
      <c r="E28" s="155">
        <v>0</v>
      </c>
      <c r="F28" s="155">
        <v>1000</v>
      </c>
      <c r="G28" s="152"/>
      <c r="H28" s="155">
        <v>0</v>
      </c>
      <c r="I28" s="155">
        <v>1000</v>
      </c>
      <c r="J28" s="158"/>
      <c r="K28" s="155">
        <v>0</v>
      </c>
      <c r="L28" s="155">
        <v>1000</v>
      </c>
      <c r="M28" s="158"/>
      <c r="N28" s="155">
        <v>0</v>
      </c>
      <c r="O28" s="155">
        <v>1000</v>
      </c>
      <c r="P28" s="158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spans="1:36" ht="15.75" customHeight="1" x14ac:dyDescent="0.25">
      <c r="A29" s="153" t="s">
        <v>571</v>
      </c>
      <c r="B29" s="160"/>
      <c r="C29" s="154"/>
      <c r="D29" s="152"/>
      <c r="E29" s="155">
        <v>3</v>
      </c>
      <c r="F29" s="155">
        <v>5</v>
      </c>
      <c r="G29" s="154">
        <v>4</v>
      </c>
      <c r="H29" s="155">
        <v>3</v>
      </c>
      <c r="I29" s="155">
        <v>5</v>
      </c>
      <c r="J29" s="154">
        <v>4</v>
      </c>
      <c r="K29" s="155">
        <v>3</v>
      </c>
      <c r="L29" s="155">
        <v>5</v>
      </c>
      <c r="M29" s="154">
        <v>4</v>
      </c>
      <c r="N29" s="155">
        <v>3</v>
      </c>
      <c r="O29" s="155">
        <v>5</v>
      </c>
      <c r="P29" s="154">
        <v>4</v>
      </c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spans="1:36" ht="15.75" customHeight="1" x14ac:dyDescent="0.25">
      <c r="A30" s="153" t="s">
        <v>569</v>
      </c>
      <c r="B30" s="160"/>
      <c r="C30" s="154"/>
      <c r="D30" s="152"/>
      <c r="E30" s="154">
        <f>D31*E29</f>
        <v>405</v>
      </c>
      <c r="F30" s="154">
        <f>D31*F29</f>
        <v>675</v>
      </c>
      <c r="G30" s="154">
        <f>D31*G29</f>
        <v>540</v>
      </c>
      <c r="H30" s="154">
        <v>405</v>
      </c>
      <c r="I30" s="154">
        <v>675</v>
      </c>
      <c r="J30" s="154">
        <f>D31*J29</f>
        <v>540</v>
      </c>
      <c r="K30" s="154">
        <v>405</v>
      </c>
      <c r="L30" s="154">
        <v>675</v>
      </c>
      <c r="M30" s="154">
        <f>D31*M29</f>
        <v>540</v>
      </c>
      <c r="N30" s="154">
        <v>405</v>
      </c>
      <c r="O30" s="154">
        <v>675</v>
      </c>
      <c r="P30" s="154">
        <f>D31*P29</f>
        <v>540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spans="1:36" ht="15.75" customHeight="1" x14ac:dyDescent="0.25">
      <c r="A31" s="150" t="str">
        <f>'common foods'!C35</f>
        <v>Kumara, fresh</v>
      </c>
      <c r="B31" s="151" t="str">
        <f>'common foods'!D35</f>
        <v>02032</v>
      </c>
      <c r="C31" s="151">
        <v>2</v>
      </c>
      <c r="D31" s="152">
        <v>135</v>
      </c>
      <c r="E31" s="155">
        <v>0</v>
      </c>
      <c r="F31" s="155">
        <v>1000</v>
      </c>
      <c r="G31" s="157"/>
      <c r="H31" s="155">
        <v>0</v>
      </c>
      <c r="I31" s="155">
        <v>1000</v>
      </c>
      <c r="J31" s="152"/>
      <c r="K31" s="155">
        <v>0</v>
      </c>
      <c r="L31" s="155">
        <v>1000</v>
      </c>
      <c r="M31" s="152"/>
      <c r="N31" s="155">
        <v>0</v>
      </c>
      <c r="O31" s="155">
        <v>1000</v>
      </c>
      <c r="P31" s="152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spans="1:36" ht="15.75" customHeight="1" x14ac:dyDescent="0.25">
      <c r="A32" s="150" t="str">
        <f>'common foods'!C36</f>
        <v>Potatoes, fresh</v>
      </c>
      <c r="B32" s="151" t="str">
        <f>'common foods'!D36</f>
        <v>02033</v>
      </c>
      <c r="C32" s="151">
        <v>2</v>
      </c>
      <c r="D32" s="152">
        <v>135</v>
      </c>
      <c r="E32" s="155">
        <v>0</v>
      </c>
      <c r="F32" s="155">
        <v>1000</v>
      </c>
      <c r="G32" s="152"/>
      <c r="H32" s="155">
        <v>0</v>
      </c>
      <c r="I32" s="155">
        <v>1000</v>
      </c>
      <c r="J32" s="152"/>
      <c r="K32" s="155">
        <v>0</v>
      </c>
      <c r="L32" s="155">
        <v>1000</v>
      </c>
      <c r="M32" s="152"/>
      <c r="N32" s="155">
        <v>0</v>
      </c>
      <c r="O32" s="155">
        <v>1000</v>
      </c>
      <c r="P32" s="152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spans="1:36" ht="15.75" customHeight="1" x14ac:dyDescent="0.25">
      <c r="A33" s="150" t="str">
        <f>'common foods'!C37</f>
        <v>Pumpkin, fresh</v>
      </c>
      <c r="B33" s="151" t="str">
        <f>'common foods'!D37</f>
        <v>02035</v>
      </c>
      <c r="C33" s="151">
        <v>3</v>
      </c>
      <c r="D33" s="152">
        <v>135</v>
      </c>
      <c r="E33" s="155">
        <v>0</v>
      </c>
      <c r="F33" s="155">
        <v>1000</v>
      </c>
      <c r="G33" s="152"/>
      <c r="H33" s="155">
        <v>0</v>
      </c>
      <c r="I33" s="155">
        <v>1000</v>
      </c>
      <c r="J33" s="152"/>
      <c r="K33" s="155">
        <v>0</v>
      </c>
      <c r="L33" s="155">
        <v>1000</v>
      </c>
      <c r="M33" s="152"/>
      <c r="N33" s="155">
        <v>0</v>
      </c>
      <c r="O33" s="155">
        <v>1000</v>
      </c>
      <c r="P33" s="152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spans="1:36" ht="15.75" customHeight="1" x14ac:dyDescent="0.25">
      <c r="A34" s="150" t="str">
        <f>'common foods'!C20</f>
        <v>Carrots, fresh</v>
      </c>
      <c r="B34" s="151" t="str">
        <f>'common foods'!D20</f>
        <v>02015</v>
      </c>
      <c r="C34" s="151">
        <v>3</v>
      </c>
      <c r="D34" s="152">
        <v>135</v>
      </c>
      <c r="E34" s="155">
        <v>0</v>
      </c>
      <c r="F34" s="155">
        <v>1000</v>
      </c>
      <c r="G34" s="152"/>
      <c r="H34" s="155">
        <v>0</v>
      </c>
      <c r="I34" s="155">
        <v>1000</v>
      </c>
      <c r="J34" s="152"/>
      <c r="K34" s="155">
        <v>0</v>
      </c>
      <c r="L34" s="155">
        <v>1000</v>
      </c>
      <c r="M34" s="152"/>
      <c r="N34" s="155">
        <v>0</v>
      </c>
      <c r="O34" s="155">
        <v>1000</v>
      </c>
      <c r="P34" s="152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spans="1:36" ht="15.75" customHeight="1" x14ac:dyDescent="0.25">
      <c r="A35" s="153" t="s">
        <v>572</v>
      </c>
      <c r="B35" s="160"/>
      <c r="C35" s="154"/>
      <c r="D35" s="152"/>
      <c r="E35" s="155">
        <v>25</v>
      </c>
      <c r="F35" s="155">
        <v>33</v>
      </c>
      <c r="G35" s="154">
        <v>29</v>
      </c>
      <c r="H35" s="155">
        <v>25</v>
      </c>
      <c r="I35" s="155">
        <v>33</v>
      </c>
      <c r="J35" s="154">
        <v>29</v>
      </c>
      <c r="K35" s="159">
        <f>H35*0.8333</f>
        <v>20.8325</v>
      </c>
      <c r="L35" s="155">
        <v>33</v>
      </c>
      <c r="M35" s="154">
        <v>29</v>
      </c>
      <c r="N35" s="155">
        <v>17</v>
      </c>
      <c r="O35" s="155">
        <f>L35/1.5</f>
        <v>22</v>
      </c>
      <c r="P35" s="154">
        <v>19</v>
      </c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spans="1:36" ht="15.75" customHeight="1" x14ac:dyDescent="0.25">
      <c r="A36" s="153" t="s">
        <v>569</v>
      </c>
      <c r="B36" s="160"/>
      <c r="C36" s="154"/>
      <c r="D36" s="152"/>
      <c r="E36" s="154">
        <f>D37*E35</f>
        <v>1625</v>
      </c>
      <c r="F36" s="154">
        <f>D37*F35</f>
        <v>2145</v>
      </c>
      <c r="G36" s="154">
        <f>D37*G35</f>
        <v>1885</v>
      </c>
      <c r="H36" s="154">
        <v>1601.6</v>
      </c>
      <c r="I36" s="154">
        <v>2329.6</v>
      </c>
      <c r="J36" s="154">
        <f>D37*J35</f>
        <v>1885</v>
      </c>
      <c r="K36" s="154">
        <f>D37*K35</f>
        <v>1354.1125</v>
      </c>
      <c r="L36" s="154">
        <f>D37*L35</f>
        <v>2145</v>
      </c>
      <c r="M36" s="154">
        <f>D37*M35</f>
        <v>1885</v>
      </c>
      <c r="N36" s="154">
        <f>D37*N35</f>
        <v>1105</v>
      </c>
      <c r="O36" s="154">
        <f>D37*O35</f>
        <v>1430</v>
      </c>
      <c r="P36" s="154">
        <f>D37*P35</f>
        <v>1235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spans="1:36" ht="15.75" customHeight="1" x14ac:dyDescent="0.25">
      <c r="A37" s="150" t="str">
        <f>'common foods'!C54</f>
        <v>Weetbix</v>
      </c>
      <c r="B37" s="151" t="str">
        <f>'common foods'!D54</f>
        <v>03048</v>
      </c>
      <c r="C37" s="151">
        <v>2</v>
      </c>
      <c r="D37" s="152">
        <v>65</v>
      </c>
      <c r="E37" s="155">
        <v>0</v>
      </c>
      <c r="F37" s="155">
        <v>1000</v>
      </c>
      <c r="G37" s="152"/>
      <c r="H37" s="155">
        <v>0</v>
      </c>
      <c r="I37" s="155">
        <v>1000</v>
      </c>
      <c r="J37" s="161"/>
      <c r="K37" s="155">
        <v>0</v>
      </c>
      <c r="L37" s="155">
        <v>1000</v>
      </c>
      <c r="M37" s="161"/>
      <c r="N37" s="155">
        <v>0</v>
      </c>
      <c r="O37" s="155">
        <v>1000</v>
      </c>
      <c r="P37" s="161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spans="1:36" ht="15.75" customHeight="1" x14ac:dyDescent="0.25">
      <c r="A38" s="150" t="str">
        <f>'common foods'!C49</f>
        <v>Bread, multigrain</v>
      </c>
      <c r="B38" s="151" t="str">
        <f>'common foods'!D49</f>
        <v>03038</v>
      </c>
      <c r="C38" s="151">
        <v>1</v>
      </c>
      <c r="D38" s="152">
        <v>65</v>
      </c>
      <c r="E38" s="155">
        <v>0</v>
      </c>
      <c r="F38" s="155">
        <v>1000</v>
      </c>
      <c r="G38" s="152"/>
      <c r="H38" s="155">
        <v>0</v>
      </c>
      <c r="I38" s="155">
        <v>1000</v>
      </c>
      <c r="J38" s="152"/>
      <c r="K38" s="155">
        <v>0</v>
      </c>
      <c r="L38" s="155">
        <v>1000</v>
      </c>
      <c r="M38" s="152"/>
      <c r="N38" s="155">
        <v>0</v>
      </c>
      <c r="O38" s="155">
        <v>1000</v>
      </c>
      <c r="P38" s="152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spans="1:36" ht="15.75" customHeight="1" x14ac:dyDescent="0.25">
      <c r="A39" s="150" t="str">
        <f>'common foods'!C57</f>
        <v>Pasta wholemeal</v>
      </c>
      <c r="B39" s="151" t="str">
        <f>'common foods'!D57</f>
        <v>03052</v>
      </c>
      <c r="C39" s="151">
        <v>1</v>
      </c>
      <c r="D39" s="152">
        <v>65</v>
      </c>
      <c r="E39" s="155">
        <v>0</v>
      </c>
      <c r="F39" s="155">
        <v>1000</v>
      </c>
      <c r="G39" s="152"/>
      <c r="H39" s="155">
        <v>0</v>
      </c>
      <c r="I39" s="155">
        <v>1000</v>
      </c>
      <c r="J39" s="152"/>
      <c r="K39" s="155">
        <v>0</v>
      </c>
      <c r="L39" s="155">
        <v>1000</v>
      </c>
      <c r="M39" s="152"/>
      <c r="N39" s="155">
        <v>0</v>
      </c>
      <c r="O39" s="155">
        <v>1000</v>
      </c>
      <c r="P39" s="152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spans="1:36" ht="15.75" customHeight="1" x14ac:dyDescent="0.25">
      <c r="A40" s="150" t="str">
        <f>'common foods'!C58</f>
        <v>Couscous, wholemeal wheat</v>
      </c>
      <c r="B40" s="151" t="str">
        <f>'common foods'!D58</f>
        <v>03089</v>
      </c>
      <c r="C40" s="151">
        <v>1</v>
      </c>
      <c r="D40" s="152">
        <v>65</v>
      </c>
      <c r="E40" s="155">
        <v>0</v>
      </c>
      <c r="F40" s="155">
        <v>1000</v>
      </c>
      <c r="G40" s="152"/>
      <c r="H40" s="155">
        <v>0</v>
      </c>
      <c r="I40" s="155">
        <v>1000</v>
      </c>
      <c r="J40" s="152"/>
      <c r="K40" s="155">
        <v>0</v>
      </c>
      <c r="L40" s="155">
        <v>1000</v>
      </c>
      <c r="M40" s="152"/>
      <c r="N40" s="155">
        <v>0</v>
      </c>
      <c r="O40" s="155">
        <v>1000</v>
      </c>
      <c r="P40" s="152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spans="1:36" ht="15.75" customHeight="1" x14ac:dyDescent="0.25">
      <c r="A41" s="150" t="str">
        <f>'common foods'!C48</f>
        <v>Bread, wheatmeal</v>
      </c>
      <c r="B41" s="151" t="str">
        <f>'common foods'!D48</f>
        <v>03037</v>
      </c>
      <c r="C41" s="151">
        <v>2</v>
      </c>
      <c r="D41" s="152">
        <v>65</v>
      </c>
      <c r="E41" s="155">
        <v>0</v>
      </c>
      <c r="F41" s="155">
        <v>1000</v>
      </c>
      <c r="G41" s="152"/>
      <c r="H41" s="155">
        <v>0</v>
      </c>
      <c r="I41" s="155">
        <v>1000</v>
      </c>
      <c r="J41" s="152"/>
      <c r="K41" s="155">
        <v>0</v>
      </c>
      <c r="L41" s="155">
        <v>1000</v>
      </c>
      <c r="M41" s="152"/>
      <c r="N41" s="155">
        <v>0</v>
      </c>
      <c r="O41" s="155">
        <v>1000</v>
      </c>
      <c r="P41" s="152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spans="1:36" ht="15.75" customHeight="1" x14ac:dyDescent="0.25">
      <c r="A42" s="150" t="str">
        <f>'common foods'!C55</f>
        <v>Rolled oats</v>
      </c>
      <c r="B42" s="151" t="str">
        <f>'common foods'!D55</f>
        <v>03049</v>
      </c>
      <c r="C42" s="151">
        <v>1</v>
      </c>
      <c r="D42" s="152">
        <v>65</v>
      </c>
      <c r="E42" s="155">
        <v>0</v>
      </c>
      <c r="F42" s="155">
        <v>1000</v>
      </c>
      <c r="G42" s="152"/>
      <c r="H42" s="155">
        <v>0</v>
      </c>
      <c r="I42" s="155">
        <v>1000</v>
      </c>
      <c r="J42" s="152"/>
      <c r="K42" s="155">
        <v>0</v>
      </c>
      <c r="L42" s="155">
        <v>1000</v>
      </c>
      <c r="M42" s="152"/>
      <c r="N42" s="155">
        <v>0</v>
      </c>
      <c r="O42" s="155">
        <v>1000</v>
      </c>
      <c r="P42" s="152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spans="1:36" ht="15.75" customHeight="1" x14ac:dyDescent="0.25">
      <c r="A43" s="150" t="str">
        <f>'common foods'!C66</f>
        <v>Rye Crispbread</v>
      </c>
      <c r="B43" s="151" t="str">
        <f>'common foods'!D66</f>
        <v>03073</v>
      </c>
      <c r="C43" s="151">
        <v>2</v>
      </c>
      <c r="D43" s="152">
        <v>65</v>
      </c>
      <c r="E43" s="155">
        <v>0</v>
      </c>
      <c r="F43" s="155">
        <v>1000</v>
      </c>
      <c r="G43" s="152"/>
      <c r="H43" s="155">
        <v>0</v>
      </c>
      <c r="I43" s="155">
        <v>1000</v>
      </c>
      <c r="J43" s="152"/>
      <c r="K43" s="155">
        <v>0</v>
      </c>
      <c r="L43" s="155">
        <v>1000</v>
      </c>
      <c r="M43" s="152"/>
      <c r="N43" s="155">
        <v>0</v>
      </c>
      <c r="O43" s="155">
        <v>1000</v>
      </c>
      <c r="P43" s="152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spans="1:36" ht="15.75" customHeight="1" x14ac:dyDescent="0.25">
      <c r="A44" s="162" t="str">
        <f>'common foods'!C67</f>
        <v>Mixed grain crackers</v>
      </c>
      <c r="B44" s="151" t="str">
        <f>'common foods'!D67</f>
        <v>03074</v>
      </c>
      <c r="C44" s="151">
        <v>3</v>
      </c>
      <c r="D44" s="152">
        <v>65</v>
      </c>
      <c r="E44" s="155">
        <v>0</v>
      </c>
      <c r="F44" s="155">
        <v>1000</v>
      </c>
      <c r="G44" s="152"/>
      <c r="H44" s="155">
        <v>0</v>
      </c>
      <c r="I44" s="155">
        <v>1000</v>
      </c>
      <c r="J44" s="152"/>
      <c r="K44" s="155">
        <v>0</v>
      </c>
      <c r="L44" s="155">
        <v>1000</v>
      </c>
      <c r="M44" s="152"/>
      <c r="N44" s="155">
        <v>0</v>
      </c>
      <c r="O44" s="155">
        <v>1000</v>
      </c>
      <c r="P44" s="152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spans="1:36" ht="15.75" customHeight="1" x14ac:dyDescent="0.25">
      <c r="A45" s="162" t="str">
        <f>'common foods'!C70</f>
        <v>Pita bread, wholemeal</v>
      </c>
      <c r="B45" s="151" t="str">
        <f>'common foods'!D70</f>
        <v>03071</v>
      </c>
      <c r="C45" s="151">
        <v>2</v>
      </c>
      <c r="D45" s="152">
        <v>65</v>
      </c>
      <c r="E45" s="155">
        <v>0</v>
      </c>
      <c r="F45" s="155">
        <v>1000</v>
      </c>
      <c r="G45" s="152"/>
      <c r="H45" s="155">
        <v>0</v>
      </c>
      <c r="I45" s="155">
        <v>1000</v>
      </c>
      <c r="J45" s="152"/>
      <c r="K45" s="155">
        <v>0</v>
      </c>
      <c r="L45" s="155">
        <v>1000</v>
      </c>
      <c r="M45" s="152"/>
      <c r="N45" s="155">
        <v>0</v>
      </c>
      <c r="O45" s="155">
        <v>1000</v>
      </c>
      <c r="P45" s="152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spans="1:36" ht="15.75" customHeight="1" x14ac:dyDescent="0.25">
      <c r="A46" s="150" t="str">
        <f>'common foods'!C64</f>
        <v>Muesli, toasted</v>
      </c>
      <c r="B46" s="151" t="str">
        <f>'common foods'!D64</f>
        <v>03065</v>
      </c>
      <c r="C46" s="151">
        <v>3</v>
      </c>
      <c r="D46" s="152">
        <v>65</v>
      </c>
      <c r="E46" s="155">
        <v>0</v>
      </c>
      <c r="F46" s="155">
        <v>1000</v>
      </c>
      <c r="G46" s="152"/>
      <c r="H46" s="155">
        <v>0</v>
      </c>
      <c r="I46" s="155">
        <v>1000</v>
      </c>
      <c r="J46" s="152"/>
      <c r="K46" s="155">
        <v>0</v>
      </c>
      <c r="L46" s="155">
        <v>1000</v>
      </c>
      <c r="M46" s="152"/>
      <c r="N46" s="155">
        <v>0</v>
      </c>
      <c r="O46" s="155">
        <v>1000</v>
      </c>
      <c r="P46" s="152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spans="1:36" ht="15.75" customHeight="1" x14ac:dyDescent="0.25">
      <c r="A47" s="150" t="str">
        <f>'common foods'!C60</f>
        <v>Rice, brown</v>
      </c>
      <c r="B47" s="151" t="str">
        <f>'common foods'!D60</f>
        <v>03055</v>
      </c>
      <c r="C47" s="151">
        <v>1</v>
      </c>
      <c r="D47" s="152">
        <v>65</v>
      </c>
      <c r="E47" s="155">
        <v>0</v>
      </c>
      <c r="F47" s="155">
        <v>1000</v>
      </c>
      <c r="G47" s="152"/>
      <c r="H47" s="155">
        <v>0</v>
      </c>
      <c r="I47" s="155">
        <v>1000</v>
      </c>
      <c r="J47" s="152"/>
      <c r="K47" s="155">
        <v>0</v>
      </c>
      <c r="L47" s="155">
        <v>1000</v>
      </c>
      <c r="M47" s="152"/>
      <c r="N47" s="155">
        <v>0</v>
      </c>
      <c r="O47" s="155">
        <v>1000</v>
      </c>
      <c r="P47" s="152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spans="1:36" ht="15.75" customHeight="1" x14ac:dyDescent="0.25">
      <c r="A48" s="150" t="str">
        <f>'common foods'!C68</f>
        <v>Corn Chips</v>
      </c>
      <c r="B48" s="151" t="str">
        <f>'common foods'!D68</f>
        <v>03069</v>
      </c>
      <c r="C48" s="151">
        <v>2</v>
      </c>
      <c r="D48" s="152">
        <v>65</v>
      </c>
      <c r="E48" s="155">
        <v>0</v>
      </c>
      <c r="F48" s="155">
        <v>1000</v>
      </c>
      <c r="G48" s="152"/>
      <c r="H48" s="155">
        <v>0</v>
      </c>
      <c r="I48" s="155">
        <v>1000</v>
      </c>
      <c r="J48" s="152"/>
      <c r="K48" s="155">
        <v>0</v>
      </c>
      <c r="L48" s="155">
        <v>1000</v>
      </c>
      <c r="M48" s="152"/>
      <c r="N48" s="155">
        <v>0</v>
      </c>
      <c r="O48" s="155">
        <v>1000</v>
      </c>
      <c r="P48" s="152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spans="1:36" ht="15.75" customHeight="1" x14ac:dyDescent="0.25">
      <c r="A49" s="150" t="s">
        <v>151</v>
      </c>
      <c r="B49" s="151" t="s">
        <v>152</v>
      </c>
      <c r="C49" s="151">
        <v>3</v>
      </c>
      <c r="D49" s="152">
        <v>65</v>
      </c>
      <c r="E49" s="155">
        <v>0</v>
      </c>
      <c r="F49" s="155">
        <v>1000</v>
      </c>
      <c r="G49" s="152"/>
      <c r="H49" s="155">
        <v>0</v>
      </c>
      <c r="I49" s="155">
        <v>1000</v>
      </c>
      <c r="J49" s="152"/>
      <c r="K49" s="155">
        <v>0</v>
      </c>
      <c r="L49" s="155">
        <v>1000</v>
      </c>
      <c r="M49" s="152"/>
      <c r="N49" s="155">
        <v>0</v>
      </c>
      <c r="O49" s="155">
        <v>1000</v>
      </c>
      <c r="P49" s="152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spans="1:36" ht="15.75" customHeight="1" x14ac:dyDescent="0.25">
      <c r="A50" s="150" t="str">
        <f>'common foods'!C71</f>
        <v>Spaghetti Pasta, wholemeal</v>
      </c>
      <c r="B50" s="151" t="str">
        <f>'common foods'!D71</f>
        <v>03072</v>
      </c>
      <c r="C50" s="151">
        <v>2</v>
      </c>
      <c r="D50" s="152">
        <v>65</v>
      </c>
      <c r="E50" s="155">
        <v>0</v>
      </c>
      <c r="F50" s="155">
        <v>1000</v>
      </c>
      <c r="G50" s="152"/>
      <c r="H50" s="155">
        <v>0</v>
      </c>
      <c r="I50" s="155">
        <v>1000</v>
      </c>
      <c r="J50" s="152"/>
      <c r="K50" s="155">
        <v>0</v>
      </c>
      <c r="L50" s="155">
        <v>1000</v>
      </c>
      <c r="M50" s="152"/>
      <c r="N50" s="155">
        <v>0</v>
      </c>
      <c r="O50" s="155">
        <v>1000</v>
      </c>
      <c r="P50" s="152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spans="1:36" ht="15.75" customHeight="1" x14ac:dyDescent="0.25">
      <c r="A51" s="153" t="s">
        <v>573</v>
      </c>
      <c r="B51" s="154"/>
      <c r="C51" s="154"/>
      <c r="D51" s="154"/>
      <c r="E51" s="154">
        <v>9</v>
      </c>
      <c r="F51" s="154">
        <v>18</v>
      </c>
      <c r="G51" s="154">
        <v>13.5</v>
      </c>
      <c r="H51" s="154">
        <v>9</v>
      </c>
      <c r="I51" s="154">
        <v>18</v>
      </c>
      <c r="J51" s="154">
        <v>13.5</v>
      </c>
      <c r="K51" s="181">
        <f>H51*1.333</f>
        <v>11.997</v>
      </c>
      <c r="L51" s="181">
        <f>I51*1.2</f>
        <v>21.599999999999998</v>
      </c>
      <c r="M51" s="154">
        <v>17</v>
      </c>
      <c r="N51" s="154">
        <v>9</v>
      </c>
      <c r="O51" s="154">
        <v>18</v>
      </c>
      <c r="P51" s="154">
        <v>13.5</v>
      </c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spans="1:36" ht="15.75" customHeight="1" x14ac:dyDescent="0.25">
      <c r="A52" s="153" t="s">
        <v>569</v>
      </c>
      <c r="B52" s="154"/>
      <c r="C52" s="154"/>
      <c r="D52" s="164"/>
      <c r="E52" s="154">
        <f>D53*7</f>
        <v>1890</v>
      </c>
      <c r="F52" s="154">
        <f>D53*14</f>
        <v>3780</v>
      </c>
      <c r="G52" s="154">
        <f>D53*10.5</f>
        <v>2835</v>
      </c>
      <c r="H52" s="154">
        <f>D53*7</f>
        <v>1890</v>
      </c>
      <c r="I52" s="154">
        <f>D53*14</f>
        <v>3780</v>
      </c>
      <c r="J52" s="154">
        <f>D53*10.5</f>
        <v>2835</v>
      </c>
      <c r="K52" s="154">
        <f>D53*7</f>
        <v>1890</v>
      </c>
      <c r="L52" s="154">
        <f>D53*14</f>
        <v>3780</v>
      </c>
      <c r="M52" s="154">
        <f>D53*10.5</f>
        <v>2835</v>
      </c>
      <c r="N52" s="154">
        <f>D53*7</f>
        <v>1890</v>
      </c>
      <c r="O52" s="154">
        <f>D53*14</f>
        <v>3780</v>
      </c>
      <c r="P52" s="154">
        <f>D53*10.5</f>
        <v>2835</v>
      </c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spans="1:36" ht="15.75" customHeight="1" x14ac:dyDescent="0.25">
      <c r="A53" s="150" t="s">
        <v>175</v>
      </c>
      <c r="B53" s="151" t="s">
        <v>176</v>
      </c>
      <c r="C53" s="151">
        <v>1</v>
      </c>
      <c r="D53" s="152">
        <v>270</v>
      </c>
      <c r="E53" s="155">
        <v>0</v>
      </c>
      <c r="F53" s="155">
        <v>1000</v>
      </c>
      <c r="G53" s="152"/>
      <c r="H53" s="155">
        <v>0</v>
      </c>
      <c r="I53" s="155">
        <v>1000</v>
      </c>
      <c r="J53" s="152"/>
      <c r="K53" s="155">
        <v>0</v>
      </c>
      <c r="L53" s="155">
        <v>1000</v>
      </c>
      <c r="M53" s="152"/>
      <c r="N53" s="155">
        <v>0</v>
      </c>
      <c r="O53" s="155">
        <v>1000</v>
      </c>
      <c r="P53" s="152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spans="1:36" ht="15.75" customHeight="1" x14ac:dyDescent="0.25">
      <c r="A54" s="150" t="s">
        <v>177</v>
      </c>
      <c r="B54" s="151" t="s">
        <v>178</v>
      </c>
      <c r="C54" s="151">
        <v>1</v>
      </c>
      <c r="D54" s="152">
        <v>150</v>
      </c>
      <c r="E54" s="155">
        <v>0</v>
      </c>
      <c r="F54" s="155">
        <v>1000</v>
      </c>
      <c r="G54" s="152"/>
      <c r="H54" s="155">
        <v>0</v>
      </c>
      <c r="I54" s="155">
        <v>1000</v>
      </c>
      <c r="J54" s="152"/>
      <c r="K54" s="155">
        <v>0</v>
      </c>
      <c r="L54" s="155">
        <v>1000</v>
      </c>
      <c r="M54" s="152"/>
      <c r="N54" s="155">
        <v>0</v>
      </c>
      <c r="O54" s="155">
        <v>1000</v>
      </c>
      <c r="P54" s="152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spans="1:36" ht="15.75" customHeight="1" x14ac:dyDescent="0.25">
      <c r="A55" s="150" t="s">
        <v>179</v>
      </c>
      <c r="B55" s="151" t="s">
        <v>180</v>
      </c>
      <c r="C55" s="151">
        <v>1</v>
      </c>
      <c r="D55" s="152">
        <v>150</v>
      </c>
      <c r="E55" s="155">
        <v>0</v>
      </c>
      <c r="F55" s="155">
        <v>1000</v>
      </c>
      <c r="G55" s="152"/>
      <c r="H55" s="155">
        <v>0</v>
      </c>
      <c r="I55" s="155">
        <v>1000</v>
      </c>
      <c r="J55" s="152"/>
      <c r="K55" s="155">
        <v>0</v>
      </c>
      <c r="L55" s="155">
        <v>1000</v>
      </c>
      <c r="M55" s="152"/>
      <c r="N55" s="155">
        <v>0</v>
      </c>
      <c r="O55" s="155">
        <v>1000</v>
      </c>
      <c r="P55" s="152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spans="1:36" ht="15.75" customHeight="1" x14ac:dyDescent="0.25">
      <c r="A56" s="150" t="s">
        <v>181</v>
      </c>
      <c r="B56" s="151" t="s">
        <v>182</v>
      </c>
      <c r="C56" s="151">
        <v>1</v>
      </c>
      <c r="D56" s="152">
        <v>270</v>
      </c>
      <c r="E56" s="155">
        <v>0</v>
      </c>
      <c r="F56" s="155">
        <v>1000</v>
      </c>
      <c r="G56" s="152"/>
      <c r="H56" s="155">
        <v>0</v>
      </c>
      <c r="I56" s="155">
        <v>1000</v>
      </c>
      <c r="J56" s="152"/>
      <c r="K56" s="155">
        <v>0</v>
      </c>
      <c r="L56" s="155">
        <v>1000</v>
      </c>
      <c r="M56" s="152"/>
      <c r="N56" s="155">
        <v>0</v>
      </c>
      <c r="O56" s="155">
        <v>1000</v>
      </c>
      <c r="P56" s="152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spans="1:36" ht="15.75" customHeight="1" x14ac:dyDescent="0.25">
      <c r="A57" s="150" t="s">
        <v>183</v>
      </c>
      <c r="B57" s="151" t="s">
        <v>184</v>
      </c>
      <c r="C57" s="151">
        <v>2</v>
      </c>
      <c r="D57" s="152">
        <v>40</v>
      </c>
      <c r="E57" s="155">
        <v>0</v>
      </c>
      <c r="F57" s="155">
        <v>1000</v>
      </c>
      <c r="G57" s="152"/>
      <c r="H57" s="155">
        <v>0</v>
      </c>
      <c r="I57" s="155">
        <v>1000</v>
      </c>
      <c r="J57" s="152"/>
      <c r="K57" s="155">
        <v>0</v>
      </c>
      <c r="L57" s="155">
        <v>1000</v>
      </c>
      <c r="M57" s="152"/>
      <c r="N57" s="155">
        <v>0</v>
      </c>
      <c r="O57" s="155">
        <v>1000</v>
      </c>
      <c r="P57" s="152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spans="1:36" ht="15.75" customHeight="1" x14ac:dyDescent="0.25">
      <c r="A58" s="150" t="s">
        <v>185</v>
      </c>
      <c r="B58" s="151" t="s">
        <v>186</v>
      </c>
      <c r="C58" s="151">
        <v>2</v>
      </c>
      <c r="D58" s="152">
        <v>40</v>
      </c>
      <c r="E58" s="155">
        <v>0</v>
      </c>
      <c r="F58" s="155">
        <v>1000</v>
      </c>
      <c r="G58" s="152"/>
      <c r="H58" s="155">
        <v>0</v>
      </c>
      <c r="I58" s="155">
        <v>1000</v>
      </c>
      <c r="J58" s="152"/>
      <c r="K58" s="155">
        <v>0</v>
      </c>
      <c r="L58" s="155">
        <v>1000</v>
      </c>
      <c r="M58" s="152"/>
      <c r="N58" s="155">
        <v>0</v>
      </c>
      <c r="O58" s="155">
        <v>1000</v>
      </c>
      <c r="P58" s="152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spans="1:36" ht="15.75" customHeight="1" x14ac:dyDescent="0.25">
      <c r="A59" s="166" t="s">
        <v>187</v>
      </c>
      <c r="B59" s="164"/>
      <c r="C59" s="164"/>
      <c r="D59" s="164"/>
      <c r="E59" s="164">
        <v>24</v>
      </c>
      <c r="F59" s="164">
        <v>49</v>
      </c>
      <c r="G59" s="164">
        <v>36.5</v>
      </c>
      <c r="H59" s="164">
        <v>24</v>
      </c>
      <c r="I59" s="164">
        <v>49</v>
      </c>
      <c r="J59" s="164">
        <v>36.5</v>
      </c>
      <c r="K59" s="164">
        <v>24</v>
      </c>
      <c r="L59" s="164">
        <v>49</v>
      </c>
      <c r="M59" s="164">
        <v>36.5</v>
      </c>
      <c r="N59" s="164">
        <v>12</v>
      </c>
      <c r="O59" s="164">
        <f>N59*3</f>
        <v>36</v>
      </c>
      <c r="P59" s="164">
        <v>24</v>
      </c>
      <c r="Q59" s="150"/>
      <c r="R59" s="165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spans="1:36" ht="15.75" customHeight="1" x14ac:dyDescent="0.25">
      <c r="A60" s="167"/>
      <c r="B60" s="154"/>
      <c r="C60" s="154"/>
      <c r="D60" s="154"/>
      <c r="E60" s="154">
        <f>E59*100</f>
        <v>2400</v>
      </c>
      <c r="F60" s="154">
        <f>F59*100</f>
        <v>4900</v>
      </c>
      <c r="G60" s="154">
        <f>G59*100</f>
        <v>3650</v>
      </c>
      <c r="H60" s="154">
        <f>H59*100</f>
        <v>2400</v>
      </c>
      <c r="I60" s="154">
        <v>5600</v>
      </c>
      <c r="J60" s="154">
        <f t="shared" ref="J60:P60" si="0">J59*100</f>
        <v>3650</v>
      </c>
      <c r="K60" s="154">
        <f t="shared" si="0"/>
        <v>2400</v>
      </c>
      <c r="L60" s="154">
        <f t="shared" si="0"/>
        <v>4900</v>
      </c>
      <c r="M60" s="154">
        <f t="shared" si="0"/>
        <v>3650</v>
      </c>
      <c r="N60" s="154">
        <f t="shared" si="0"/>
        <v>1200</v>
      </c>
      <c r="O60" s="154">
        <f t="shared" si="0"/>
        <v>3600</v>
      </c>
      <c r="P60" s="154">
        <f t="shared" si="0"/>
        <v>2400</v>
      </c>
      <c r="Q60" s="150"/>
      <c r="R60" s="165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spans="1:36" ht="15.75" customHeight="1" x14ac:dyDescent="0.25">
      <c r="A61" s="169" t="str">
        <f>'common foods'!C110</f>
        <v>Baked Beans 50% less sugar</v>
      </c>
      <c r="B61" s="170" t="str">
        <f>'common foods'!D110</f>
        <v>05088</v>
      </c>
      <c r="C61" s="151">
        <v>2</v>
      </c>
      <c r="D61" s="152">
        <v>135</v>
      </c>
      <c r="E61" s="155">
        <v>0</v>
      </c>
      <c r="F61" s="155">
        <v>1000</v>
      </c>
      <c r="G61" s="157"/>
      <c r="H61" s="155">
        <v>0</v>
      </c>
      <c r="I61" s="155">
        <v>1000</v>
      </c>
      <c r="J61" s="152"/>
      <c r="K61" s="155">
        <v>0</v>
      </c>
      <c r="L61" s="155">
        <v>1000</v>
      </c>
      <c r="M61" s="152"/>
      <c r="N61" s="155">
        <v>0</v>
      </c>
      <c r="O61" s="155">
        <v>1000</v>
      </c>
      <c r="P61" s="152"/>
      <c r="Q61" s="150"/>
      <c r="R61" s="150"/>
      <c r="S61" s="150"/>
      <c r="T61" s="150"/>
      <c r="U61" s="168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spans="1:36" ht="15.75" customHeight="1" x14ac:dyDescent="0.25">
      <c r="A62" s="150" t="str">
        <f>'common foods'!C118</f>
        <v>Tofu</v>
      </c>
      <c r="B62" s="151" t="str">
        <f>'common foods'!D118</f>
        <v>05105</v>
      </c>
      <c r="C62" s="151">
        <v>2</v>
      </c>
      <c r="D62" s="152">
        <v>150</v>
      </c>
      <c r="E62" s="155">
        <v>0</v>
      </c>
      <c r="F62" s="155">
        <v>1000</v>
      </c>
      <c r="G62" s="157"/>
      <c r="H62" s="155">
        <v>0</v>
      </c>
      <c r="I62" s="155">
        <v>1000</v>
      </c>
      <c r="J62" s="152"/>
      <c r="K62" s="155">
        <v>0</v>
      </c>
      <c r="L62" s="155">
        <v>1000</v>
      </c>
      <c r="M62" s="152"/>
      <c r="N62" s="155">
        <v>0</v>
      </c>
      <c r="O62" s="155">
        <v>1000</v>
      </c>
      <c r="P62" s="152"/>
      <c r="Q62" s="150"/>
      <c r="R62" s="150"/>
      <c r="S62" s="150"/>
      <c r="T62" s="150"/>
      <c r="U62" s="168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spans="1:36" ht="15.75" customHeight="1" x14ac:dyDescent="0.25">
      <c r="A63" s="169" t="str">
        <f>'common foods'!C117</f>
        <v>Middle Eastern Falafel Lisa</v>
      </c>
      <c r="B63" s="170" t="str">
        <f>'common foods'!D117</f>
        <v>05104</v>
      </c>
      <c r="C63" s="151">
        <v>2</v>
      </c>
      <c r="D63" s="152">
        <v>150</v>
      </c>
      <c r="E63" s="155">
        <v>0</v>
      </c>
      <c r="F63" s="155">
        <v>1000</v>
      </c>
      <c r="G63" s="157"/>
      <c r="H63" s="155">
        <v>0</v>
      </c>
      <c r="I63" s="155">
        <v>1000</v>
      </c>
      <c r="J63" s="152"/>
      <c r="K63" s="155">
        <v>0</v>
      </c>
      <c r="L63" s="155">
        <v>1000</v>
      </c>
      <c r="M63" s="152"/>
      <c r="N63" s="155">
        <v>0</v>
      </c>
      <c r="O63" s="155">
        <v>1000</v>
      </c>
      <c r="P63" s="152"/>
      <c r="Q63" s="150"/>
      <c r="R63" s="150"/>
      <c r="S63" s="150"/>
      <c r="T63" s="150"/>
      <c r="U63" s="168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spans="1:36" ht="15.75" customHeight="1" x14ac:dyDescent="0.25">
      <c r="A64" s="169" t="str">
        <f>'common foods'!C116</f>
        <v>Black Beans Canned</v>
      </c>
      <c r="B64" s="170" t="str">
        <f>'common foods'!D116</f>
        <v>05103</v>
      </c>
      <c r="C64" s="151">
        <v>2</v>
      </c>
      <c r="D64" s="152">
        <v>150</v>
      </c>
      <c r="E64" s="155">
        <v>0</v>
      </c>
      <c r="F64" s="155">
        <v>1000</v>
      </c>
      <c r="G64" s="157"/>
      <c r="H64" s="155">
        <v>0</v>
      </c>
      <c r="I64" s="155">
        <v>1000</v>
      </c>
      <c r="J64" s="152"/>
      <c r="K64" s="155">
        <v>0</v>
      </c>
      <c r="L64" s="155">
        <v>1000</v>
      </c>
      <c r="M64" s="152"/>
      <c r="N64" s="155">
        <v>0</v>
      </c>
      <c r="O64" s="155">
        <v>1000</v>
      </c>
      <c r="P64" s="152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spans="1:36" ht="15.75" customHeight="1" x14ac:dyDescent="0.25">
      <c r="A65" s="150" t="str">
        <f>'common foods'!C114</f>
        <v>Pumpkin seeds</v>
      </c>
      <c r="B65" s="151" t="str">
        <f>'common foods'!D114</f>
        <v>05101</v>
      </c>
      <c r="C65" s="151">
        <v>1</v>
      </c>
      <c r="D65" s="152">
        <v>50</v>
      </c>
      <c r="E65" s="155">
        <v>0</v>
      </c>
      <c r="F65" s="155">
        <v>1000</v>
      </c>
      <c r="G65" s="157"/>
      <c r="H65" s="155">
        <v>0</v>
      </c>
      <c r="I65" s="155">
        <v>1000</v>
      </c>
      <c r="J65" s="152"/>
      <c r="K65" s="155">
        <v>0</v>
      </c>
      <c r="L65" s="155">
        <v>1000</v>
      </c>
      <c r="M65" s="152"/>
      <c r="N65" s="155">
        <v>0</v>
      </c>
      <c r="O65" s="155">
        <v>1000</v>
      </c>
      <c r="P65" s="152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spans="1:36" ht="15.75" customHeight="1" x14ac:dyDescent="0.25">
      <c r="A66" s="150" t="str">
        <f>'common foods'!C108</f>
        <v>Hummus dip</v>
      </c>
      <c r="B66" s="151" t="str">
        <f>'common foods'!D108</f>
        <v>05083</v>
      </c>
      <c r="C66" s="151">
        <v>1</v>
      </c>
      <c r="D66" s="152">
        <v>100</v>
      </c>
      <c r="E66" s="155">
        <v>0</v>
      </c>
      <c r="F66" s="155">
        <v>1000</v>
      </c>
      <c r="G66" s="157"/>
      <c r="H66" s="155">
        <v>0</v>
      </c>
      <c r="I66" s="155">
        <v>1000</v>
      </c>
      <c r="J66" s="152"/>
      <c r="K66" s="155">
        <v>0</v>
      </c>
      <c r="L66" s="155">
        <v>1000</v>
      </c>
      <c r="M66" s="152"/>
      <c r="N66" s="155">
        <v>0</v>
      </c>
      <c r="O66" s="155">
        <v>1000</v>
      </c>
      <c r="P66" s="152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spans="1:36" ht="15.75" customHeight="1" x14ac:dyDescent="0.25">
      <c r="A67" s="150" t="str">
        <f>'common foods'!C107</f>
        <v>Chickpeas, canned</v>
      </c>
      <c r="B67" s="151" t="str">
        <f>'common foods'!D107</f>
        <v>05092</v>
      </c>
      <c r="C67" s="151">
        <v>2</v>
      </c>
      <c r="D67" s="152">
        <v>150</v>
      </c>
      <c r="E67" s="155">
        <v>0</v>
      </c>
      <c r="F67" s="155">
        <v>1000</v>
      </c>
      <c r="G67" s="157"/>
      <c r="H67" s="155">
        <v>0</v>
      </c>
      <c r="I67" s="155">
        <v>1000</v>
      </c>
      <c r="J67" s="152"/>
      <c r="K67" s="155">
        <v>0</v>
      </c>
      <c r="L67" s="155">
        <v>1000</v>
      </c>
      <c r="M67" s="152"/>
      <c r="N67" s="155">
        <v>0</v>
      </c>
      <c r="O67" s="155">
        <v>1000</v>
      </c>
      <c r="P67" s="152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spans="1:36" ht="15.75" customHeight="1" x14ac:dyDescent="0.25">
      <c r="A68" s="150" t="str">
        <f>'common foods'!C105</f>
        <v>Almonds, plain</v>
      </c>
      <c r="B68" s="151" t="str">
        <f>'common foods'!D105</f>
        <v>05086</v>
      </c>
      <c r="C68" s="151">
        <v>2</v>
      </c>
      <c r="D68" s="152">
        <v>50</v>
      </c>
      <c r="E68" s="155">
        <v>0</v>
      </c>
      <c r="F68" s="155">
        <v>1000</v>
      </c>
      <c r="G68" s="157"/>
      <c r="H68" s="155">
        <v>0</v>
      </c>
      <c r="I68" s="155">
        <v>1000</v>
      </c>
      <c r="J68" s="152"/>
      <c r="K68" s="155">
        <v>0</v>
      </c>
      <c r="L68" s="155">
        <v>1000</v>
      </c>
      <c r="M68" s="152"/>
      <c r="N68" s="155">
        <v>0</v>
      </c>
      <c r="O68" s="155">
        <v>1000</v>
      </c>
      <c r="P68" s="152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spans="1:36" ht="15.75" customHeight="1" x14ac:dyDescent="0.25">
      <c r="A69" s="150" t="str">
        <f>'common foods'!C115</f>
        <v>Sunflower seeds</v>
      </c>
      <c r="B69" s="151" t="str">
        <f>'common foods'!D115</f>
        <v>05102</v>
      </c>
      <c r="C69" s="151">
        <v>1</v>
      </c>
      <c r="D69" s="152">
        <v>50</v>
      </c>
      <c r="E69" s="155">
        <v>0</v>
      </c>
      <c r="F69" s="155">
        <v>1000</v>
      </c>
      <c r="G69" s="157"/>
      <c r="H69" s="155">
        <v>0</v>
      </c>
      <c r="I69" s="155">
        <v>1000</v>
      </c>
      <c r="J69" s="152"/>
      <c r="K69" s="155">
        <v>0</v>
      </c>
      <c r="L69" s="155">
        <v>1000</v>
      </c>
      <c r="M69" s="152"/>
      <c r="N69" s="155">
        <v>0</v>
      </c>
      <c r="O69" s="155">
        <v>1000</v>
      </c>
      <c r="P69" s="152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</row>
    <row r="70" spans="1:36" ht="15.75" customHeight="1" x14ac:dyDescent="0.25">
      <c r="A70" s="169" t="str">
        <f>'common foods'!C111</f>
        <v>Lentils, canned in springwater</v>
      </c>
      <c r="B70" s="170" t="str">
        <f>'common foods'!D111</f>
        <v>05084</v>
      </c>
      <c r="C70" s="151">
        <v>2</v>
      </c>
      <c r="D70" s="152">
        <v>150</v>
      </c>
      <c r="E70" s="155">
        <v>0</v>
      </c>
      <c r="F70" s="155">
        <v>1000</v>
      </c>
      <c r="G70" s="157"/>
      <c r="H70" s="155">
        <v>0</v>
      </c>
      <c r="I70" s="155">
        <v>1000</v>
      </c>
      <c r="J70" s="152"/>
      <c r="K70" s="155">
        <v>0</v>
      </c>
      <c r="L70" s="155">
        <v>1000</v>
      </c>
      <c r="M70" s="152"/>
      <c r="N70" s="155">
        <v>0</v>
      </c>
      <c r="O70" s="155">
        <v>1000</v>
      </c>
      <c r="P70" s="152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spans="1:36" ht="15.75" customHeight="1" x14ac:dyDescent="0.25">
      <c r="A71" s="150" t="str">
        <f>'common foods'!C161</f>
        <v>Peanut butter, no added salt or sugar</v>
      </c>
      <c r="B71" s="151" t="str">
        <f>'common foods'!D161</f>
        <v>08110</v>
      </c>
      <c r="C71" s="151">
        <v>2</v>
      </c>
      <c r="D71" s="152">
        <v>50</v>
      </c>
      <c r="E71" s="155">
        <v>0</v>
      </c>
      <c r="F71" s="155">
        <v>1000</v>
      </c>
      <c r="G71" s="157"/>
      <c r="H71" s="155">
        <v>0</v>
      </c>
      <c r="I71" s="155">
        <v>1000</v>
      </c>
      <c r="J71" s="157"/>
      <c r="K71" s="155">
        <v>0</v>
      </c>
      <c r="L71" s="155">
        <v>1000</v>
      </c>
      <c r="M71" s="157"/>
      <c r="N71" s="155">
        <v>0</v>
      </c>
      <c r="O71" s="155">
        <v>1000</v>
      </c>
      <c r="P71" s="157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spans="1:36" ht="15.75" customHeight="1" x14ac:dyDescent="0.25">
      <c r="A72" s="150" t="str">
        <f>'common foods'!C122</f>
        <v>Red Kidney Beans, canned</v>
      </c>
      <c r="B72" s="151" t="str">
        <f>'common foods'!D122</f>
        <v>05109</v>
      </c>
      <c r="C72" s="151">
        <v>2</v>
      </c>
      <c r="D72" s="152">
        <v>150</v>
      </c>
      <c r="E72" s="155">
        <v>0</v>
      </c>
      <c r="F72" s="155">
        <v>1000</v>
      </c>
      <c r="G72" s="157"/>
      <c r="H72" s="155">
        <v>0</v>
      </c>
      <c r="I72" s="155">
        <v>1000</v>
      </c>
      <c r="J72" s="157"/>
      <c r="K72" s="155">
        <v>0</v>
      </c>
      <c r="L72" s="155">
        <v>1000</v>
      </c>
      <c r="M72" s="157"/>
      <c r="N72" s="155">
        <v>0</v>
      </c>
      <c r="O72" s="155">
        <v>1000</v>
      </c>
      <c r="P72" s="157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spans="1:36" ht="15.75" customHeight="1" x14ac:dyDescent="0.25">
      <c r="A73" s="150" t="str">
        <f>'common foods'!C104</f>
        <v>Peanuts, plain</v>
      </c>
      <c r="B73" s="151" t="str">
        <f>'common foods'!D104</f>
        <v>05085</v>
      </c>
      <c r="C73" s="151">
        <v>2</v>
      </c>
      <c r="D73" s="152">
        <v>50</v>
      </c>
      <c r="E73" s="155">
        <v>0</v>
      </c>
      <c r="F73" s="155">
        <v>1000</v>
      </c>
      <c r="G73" s="157"/>
      <c r="H73" s="155">
        <v>0</v>
      </c>
      <c r="I73" s="155">
        <v>1000</v>
      </c>
      <c r="J73" s="157"/>
      <c r="K73" s="155">
        <v>0</v>
      </c>
      <c r="L73" s="155">
        <v>1000</v>
      </c>
      <c r="M73" s="157"/>
      <c r="N73" s="155">
        <v>0</v>
      </c>
      <c r="O73" s="155">
        <v>1000</v>
      </c>
      <c r="P73" s="157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spans="1:36" ht="15.75" customHeight="1" x14ac:dyDescent="0.25">
      <c r="A74" s="150" t="s">
        <v>255</v>
      </c>
      <c r="B74" s="151" t="str">
        <f>'common foods'!D119</f>
        <v>05106</v>
      </c>
      <c r="C74" s="151">
        <v>2</v>
      </c>
      <c r="D74" s="152">
        <v>100</v>
      </c>
      <c r="E74" s="155">
        <v>0</v>
      </c>
      <c r="F74" s="155">
        <v>1000</v>
      </c>
      <c r="G74" s="157"/>
      <c r="H74" s="155">
        <v>0</v>
      </c>
      <c r="I74" s="155">
        <v>1000</v>
      </c>
      <c r="J74" s="157"/>
      <c r="K74" s="155">
        <v>0</v>
      </c>
      <c r="L74" s="155">
        <v>1000</v>
      </c>
      <c r="M74" s="157"/>
      <c r="N74" s="155">
        <v>0</v>
      </c>
      <c r="O74" s="155">
        <v>1000</v>
      </c>
      <c r="P74" s="157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spans="1:36" ht="15.75" customHeight="1" x14ac:dyDescent="0.25">
      <c r="A75" s="150" t="s">
        <v>257</v>
      </c>
      <c r="B75" s="151" t="str">
        <f>'common foods'!D120</f>
        <v>05107</v>
      </c>
      <c r="C75" s="151">
        <v>2</v>
      </c>
      <c r="D75" s="152">
        <v>50</v>
      </c>
      <c r="E75" s="155">
        <v>0</v>
      </c>
      <c r="F75" s="155">
        <v>1000</v>
      </c>
      <c r="G75" s="157"/>
      <c r="H75" s="155">
        <v>0</v>
      </c>
      <c r="I75" s="155">
        <v>1000</v>
      </c>
      <c r="J75" s="157"/>
      <c r="K75" s="155">
        <v>0</v>
      </c>
      <c r="L75" s="155">
        <v>1000</v>
      </c>
      <c r="M75" s="157"/>
      <c r="N75" s="155">
        <v>0</v>
      </c>
      <c r="O75" s="155">
        <v>1000</v>
      </c>
      <c r="P75" s="157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spans="1:36" ht="15.75" customHeight="1" x14ac:dyDescent="0.25">
      <c r="A76" s="150" t="s">
        <v>259</v>
      </c>
      <c r="B76" s="151" t="str">
        <f>'common foods'!D121</f>
        <v>05108</v>
      </c>
      <c r="C76" s="151">
        <v>2</v>
      </c>
      <c r="D76" s="152">
        <v>50</v>
      </c>
      <c r="E76" s="155">
        <v>0</v>
      </c>
      <c r="F76" s="155">
        <v>1000</v>
      </c>
      <c r="G76" s="157"/>
      <c r="H76" s="155">
        <v>0</v>
      </c>
      <c r="I76" s="155">
        <v>1000</v>
      </c>
      <c r="J76" s="157"/>
      <c r="K76" s="155">
        <v>0</v>
      </c>
      <c r="L76" s="155">
        <v>1000</v>
      </c>
      <c r="M76" s="157"/>
      <c r="N76" s="155">
        <v>0</v>
      </c>
      <c r="O76" s="155">
        <v>1000</v>
      </c>
      <c r="P76" s="157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spans="1:36" ht="15.75" customHeight="1" x14ac:dyDescent="0.25">
      <c r="A77" s="150" t="s">
        <v>263</v>
      </c>
      <c r="B77" s="151" t="str">
        <f>'common foods'!D123</f>
        <v>05110</v>
      </c>
      <c r="C77" s="151">
        <v>2</v>
      </c>
      <c r="D77" s="152">
        <v>150</v>
      </c>
      <c r="E77" s="155">
        <v>0</v>
      </c>
      <c r="F77" s="155">
        <v>1000</v>
      </c>
      <c r="G77" s="157"/>
      <c r="H77" s="155">
        <v>0</v>
      </c>
      <c r="I77" s="155">
        <v>1000</v>
      </c>
      <c r="J77" s="157"/>
      <c r="K77" s="155">
        <v>0</v>
      </c>
      <c r="L77" s="155">
        <v>1000</v>
      </c>
      <c r="M77" s="157"/>
      <c r="N77" s="155">
        <v>0</v>
      </c>
      <c r="O77" s="155">
        <v>1000</v>
      </c>
      <c r="P77" s="157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spans="1:36" ht="15.75" customHeight="1" x14ac:dyDescent="0.25">
      <c r="A78" s="166" t="s">
        <v>575</v>
      </c>
      <c r="B78" s="164"/>
      <c r="C78" s="164"/>
      <c r="D78" s="164"/>
      <c r="E78" s="155">
        <v>7</v>
      </c>
      <c r="F78" s="155">
        <v>15</v>
      </c>
      <c r="G78" s="157">
        <v>11</v>
      </c>
      <c r="H78" s="155">
        <v>7</v>
      </c>
      <c r="I78" s="155">
        <v>15</v>
      </c>
      <c r="J78" s="157">
        <v>11</v>
      </c>
      <c r="K78" s="155">
        <v>7</v>
      </c>
      <c r="L78" s="155">
        <v>15</v>
      </c>
      <c r="M78" s="157">
        <v>11</v>
      </c>
      <c r="N78" s="155">
        <v>7</v>
      </c>
      <c r="O78" s="155">
        <v>15</v>
      </c>
      <c r="P78" s="157">
        <v>11</v>
      </c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spans="1:36" ht="15.75" customHeight="1" x14ac:dyDescent="0.25">
      <c r="A79" s="166"/>
      <c r="B79" s="164"/>
      <c r="C79" s="164"/>
      <c r="D79" s="164"/>
      <c r="E79" s="154">
        <f>D80*E78</f>
        <v>70</v>
      </c>
      <c r="F79" s="154">
        <f>D80*F78</f>
        <v>150</v>
      </c>
      <c r="G79" s="154">
        <f>D80*G78</f>
        <v>110</v>
      </c>
      <c r="H79" s="154">
        <v>285</v>
      </c>
      <c r="I79" s="154">
        <v>645</v>
      </c>
      <c r="J79" s="154">
        <f>D80*J78</f>
        <v>110</v>
      </c>
      <c r="K79" s="154">
        <f>D80*K78</f>
        <v>70</v>
      </c>
      <c r="L79" s="154">
        <f>D80*L78</f>
        <v>150</v>
      </c>
      <c r="M79" s="154">
        <f>D80*M78</f>
        <v>110</v>
      </c>
      <c r="N79" s="154">
        <f>D80*N78</f>
        <v>70</v>
      </c>
      <c r="O79" s="154">
        <f>D80*O78</f>
        <v>150</v>
      </c>
      <c r="P79" s="154">
        <f>D80*P78</f>
        <v>110</v>
      </c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</row>
    <row r="80" spans="1:36" ht="15.75" customHeight="1" x14ac:dyDescent="0.25">
      <c r="A80" s="150" t="str">
        <f>'common foods'!C126</f>
        <v>Olive oil</v>
      </c>
      <c r="B80" s="151" t="str">
        <f>'common foods'!D126</f>
        <v>06090</v>
      </c>
      <c r="C80" s="151">
        <v>1</v>
      </c>
      <c r="D80" s="152">
        <v>10</v>
      </c>
      <c r="E80" s="155">
        <v>0</v>
      </c>
      <c r="F80" s="155">
        <v>1000</v>
      </c>
      <c r="G80" s="157"/>
      <c r="H80" s="155">
        <v>0</v>
      </c>
      <c r="I80" s="155">
        <v>1000</v>
      </c>
      <c r="J80" s="152"/>
      <c r="K80" s="155">
        <v>0</v>
      </c>
      <c r="L80" s="155">
        <v>1000</v>
      </c>
      <c r="M80" s="158"/>
      <c r="N80" s="155">
        <v>0</v>
      </c>
      <c r="O80" s="155">
        <v>1000</v>
      </c>
      <c r="P80" s="152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</row>
    <row r="81" spans="1:36" ht="15.75" customHeight="1" x14ac:dyDescent="0.25">
      <c r="A81" s="150" t="str">
        <f>'common foods'!C127</f>
        <v>Canola oil</v>
      </c>
      <c r="B81" s="151" t="str">
        <f>'common foods'!D127</f>
        <v>06091</v>
      </c>
      <c r="C81" s="151">
        <v>1</v>
      </c>
      <c r="D81" s="152">
        <v>10</v>
      </c>
      <c r="E81" s="155">
        <v>0</v>
      </c>
      <c r="F81" s="155">
        <v>1000</v>
      </c>
      <c r="G81" s="157"/>
      <c r="H81" s="155">
        <v>0</v>
      </c>
      <c r="I81" s="155">
        <v>1000</v>
      </c>
      <c r="J81" s="152"/>
      <c r="K81" s="155">
        <v>0</v>
      </c>
      <c r="L81" s="155">
        <v>1000</v>
      </c>
      <c r="M81" s="158"/>
      <c r="N81" s="155">
        <v>0</v>
      </c>
      <c r="O81" s="155">
        <v>1000</v>
      </c>
      <c r="P81" s="152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</row>
    <row r="82" spans="1:36" ht="15.75" customHeight="1" x14ac:dyDescent="0.25">
      <c r="A82" s="166" t="s">
        <v>594</v>
      </c>
      <c r="B82" s="164"/>
      <c r="C82" s="164"/>
      <c r="D82" s="164"/>
      <c r="E82" s="173">
        <v>0</v>
      </c>
      <c r="F82" s="173">
        <v>0</v>
      </c>
      <c r="G82" s="174">
        <v>0</v>
      </c>
      <c r="H82" s="173">
        <v>0</v>
      </c>
      <c r="I82" s="173">
        <v>0</v>
      </c>
      <c r="J82" s="174">
        <v>0</v>
      </c>
      <c r="K82" s="173">
        <v>0</v>
      </c>
      <c r="L82" s="173">
        <v>0</v>
      </c>
      <c r="M82" s="174">
        <v>0</v>
      </c>
      <c r="N82" s="173">
        <v>0</v>
      </c>
      <c r="O82" s="173">
        <v>0</v>
      </c>
      <c r="P82" s="174">
        <v>0</v>
      </c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</row>
    <row r="83" spans="1:36" ht="15.75" customHeight="1" x14ac:dyDescent="0.25">
      <c r="A83" s="166"/>
      <c r="B83" s="164"/>
      <c r="C83" s="164"/>
      <c r="D83" s="164"/>
      <c r="E83" s="154">
        <f>D84*E82</f>
        <v>0</v>
      </c>
      <c r="F83" s="154">
        <f>D84*F82</f>
        <v>0</v>
      </c>
      <c r="G83" s="154">
        <f>D84*G82</f>
        <v>0</v>
      </c>
      <c r="H83" s="154">
        <f>D84*H82</f>
        <v>0</v>
      </c>
      <c r="I83" s="154">
        <f>D84*I82</f>
        <v>0</v>
      </c>
      <c r="J83" s="154">
        <f>D84*J82</f>
        <v>0</v>
      </c>
      <c r="K83" s="154">
        <f>D84*K82</f>
        <v>0</v>
      </c>
      <c r="L83" s="154">
        <f>D84*L82</f>
        <v>0</v>
      </c>
      <c r="M83" s="154">
        <f>D84*M82</f>
        <v>0</v>
      </c>
      <c r="N83" s="154">
        <f>D84*N82</f>
        <v>0</v>
      </c>
      <c r="O83" s="154">
        <f>D84*O82</f>
        <v>0</v>
      </c>
      <c r="P83" s="154">
        <f>D84*P82</f>
        <v>0</v>
      </c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</row>
    <row r="84" spans="1:36" ht="15.75" customHeight="1" x14ac:dyDescent="0.25">
      <c r="A84" s="150" t="s">
        <v>294</v>
      </c>
      <c r="B84" s="151" t="s">
        <v>295</v>
      </c>
      <c r="C84" s="151">
        <v>0</v>
      </c>
      <c r="D84" s="152">
        <v>30</v>
      </c>
      <c r="E84" s="155">
        <v>0</v>
      </c>
      <c r="F84" s="155">
        <v>0</v>
      </c>
      <c r="G84" s="152"/>
      <c r="H84" s="155">
        <v>0</v>
      </c>
      <c r="I84" s="155">
        <v>0</v>
      </c>
      <c r="J84" s="152"/>
      <c r="K84" s="155">
        <v>0</v>
      </c>
      <c r="L84" s="155">
        <v>0</v>
      </c>
      <c r="M84" s="152"/>
      <c r="N84" s="155">
        <v>0</v>
      </c>
      <c r="O84" s="155">
        <v>0</v>
      </c>
      <c r="P84" s="151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</row>
    <row r="85" spans="1:36" ht="15.75" customHeight="1" x14ac:dyDescent="0.25">
      <c r="A85" s="150" t="str">
        <f>'common foods'!C138</f>
        <v>Coconut cream buns</v>
      </c>
      <c r="B85" s="151" t="s">
        <v>297</v>
      </c>
      <c r="C85" s="151">
        <v>0</v>
      </c>
      <c r="D85" s="152">
        <v>30</v>
      </c>
      <c r="E85" s="155">
        <v>0</v>
      </c>
      <c r="F85" s="155">
        <v>0</v>
      </c>
      <c r="G85" s="152"/>
      <c r="H85" s="155">
        <v>0</v>
      </c>
      <c r="I85" s="155">
        <v>0</v>
      </c>
      <c r="J85" s="152"/>
      <c r="K85" s="155">
        <v>0</v>
      </c>
      <c r="L85" s="155">
        <v>0</v>
      </c>
      <c r="M85" s="152"/>
      <c r="N85" s="155">
        <v>0</v>
      </c>
      <c r="O85" s="155">
        <v>0</v>
      </c>
      <c r="P85" s="151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</row>
    <row r="86" spans="1:36" ht="15.75" customHeight="1" x14ac:dyDescent="0.25">
      <c r="A86" s="150" t="s">
        <v>298</v>
      </c>
      <c r="B86" s="151" t="s">
        <v>299</v>
      </c>
      <c r="C86" s="151">
        <v>0</v>
      </c>
      <c r="D86" s="152">
        <v>65</v>
      </c>
      <c r="E86" s="155">
        <v>0</v>
      </c>
      <c r="F86" s="155">
        <v>0</v>
      </c>
      <c r="G86" s="152"/>
      <c r="H86" s="155">
        <v>0</v>
      </c>
      <c r="I86" s="155">
        <v>0</v>
      </c>
      <c r="J86" s="152"/>
      <c r="K86" s="155">
        <v>0</v>
      </c>
      <c r="L86" s="155">
        <v>0</v>
      </c>
      <c r="M86" s="152"/>
      <c r="N86" s="155">
        <v>0</v>
      </c>
      <c r="O86" s="155">
        <v>0</v>
      </c>
      <c r="P86" s="151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</row>
    <row r="87" spans="1:36" ht="15.75" customHeight="1" x14ac:dyDescent="0.25">
      <c r="A87" s="150" t="s">
        <v>292</v>
      </c>
      <c r="B87" s="151" t="s">
        <v>293</v>
      </c>
      <c r="C87" s="151">
        <v>0</v>
      </c>
      <c r="D87" s="152">
        <v>65</v>
      </c>
      <c r="E87" s="155">
        <v>0</v>
      </c>
      <c r="F87" s="155">
        <v>0</v>
      </c>
      <c r="G87" s="152"/>
      <c r="H87" s="155">
        <v>0</v>
      </c>
      <c r="I87" s="155">
        <v>0</v>
      </c>
      <c r="J87" s="152"/>
      <c r="K87" s="155">
        <v>0</v>
      </c>
      <c r="L87" s="155">
        <v>0</v>
      </c>
      <c r="M87" s="152"/>
      <c r="N87" s="155">
        <v>0</v>
      </c>
      <c r="O87" s="155">
        <v>0</v>
      </c>
      <c r="P87" s="151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</row>
    <row r="88" spans="1:36" ht="15.75" customHeight="1" x14ac:dyDescent="0.25">
      <c r="A88" s="150" t="s">
        <v>300</v>
      </c>
      <c r="B88" s="151" t="s">
        <v>301</v>
      </c>
      <c r="C88" s="151">
        <v>0</v>
      </c>
      <c r="D88" s="152">
        <v>50</v>
      </c>
      <c r="E88" s="155">
        <v>0</v>
      </c>
      <c r="F88" s="155">
        <v>0</v>
      </c>
      <c r="G88" s="152"/>
      <c r="H88" s="155">
        <v>0</v>
      </c>
      <c r="I88" s="155">
        <v>0</v>
      </c>
      <c r="J88" s="152"/>
      <c r="K88" s="155">
        <v>0</v>
      </c>
      <c r="L88" s="155">
        <v>0</v>
      </c>
      <c r="M88" s="152"/>
      <c r="N88" s="155">
        <v>0</v>
      </c>
      <c r="O88" s="155">
        <v>0</v>
      </c>
      <c r="P88" s="151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</row>
    <row r="89" spans="1:36" ht="15.75" customHeight="1" x14ac:dyDescent="0.25">
      <c r="A89" s="150" t="s">
        <v>302</v>
      </c>
      <c r="B89" s="151" t="s">
        <v>303</v>
      </c>
      <c r="C89" s="151">
        <v>0</v>
      </c>
      <c r="D89" s="152">
        <v>50</v>
      </c>
      <c r="E89" s="155">
        <v>0</v>
      </c>
      <c r="F89" s="155">
        <v>0</v>
      </c>
      <c r="G89" s="152"/>
      <c r="H89" s="155">
        <v>0</v>
      </c>
      <c r="I89" s="155">
        <v>0</v>
      </c>
      <c r="J89" s="152"/>
      <c r="K89" s="155">
        <v>0</v>
      </c>
      <c r="L89" s="155">
        <v>0</v>
      </c>
      <c r="M89" s="152"/>
      <c r="N89" s="155">
        <v>0</v>
      </c>
      <c r="O89" s="155">
        <v>0</v>
      </c>
      <c r="P89" s="151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</row>
    <row r="90" spans="1:36" ht="15.75" customHeight="1" x14ac:dyDescent="0.25">
      <c r="A90" s="150" t="s">
        <v>304</v>
      </c>
      <c r="B90" s="151" t="s">
        <v>305</v>
      </c>
      <c r="C90" s="151">
        <v>0</v>
      </c>
      <c r="D90" s="152">
        <v>100</v>
      </c>
      <c r="E90" s="155">
        <v>0</v>
      </c>
      <c r="F90" s="155">
        <v>0</v>
      </c>
      <c r="G90" s="152"/>
      <c r="H90" s="155">
        <v>0</v>
      </c>
      <c r="I90" s="155">
        <v>0</v>
      </c>
      <c r="J90" s="152"/>
      <c r="K90" s="155">
        <v>0</v>
      </c>
      <c r="L90" s="155">
        <v>0</v>
      </c>
      <c r="M90" s="152"/>
      <c r="N90" s="155">
        <v>0</v>
      </c>
      <c r="O90" s="155">
        <v>0</v>
      </c>
      <c r="P90" s="151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</row>
    <row r="91" spans="1:36" ht="15.75" customHeight="1" x14ac:dyDescent="0.25">
      <c r="A91" s="150" t="s">
        <v>306</v>
      </c>
      <c r="B91" s="151" t="s">
        <v>307</v>
      </c>
      <c r="C91" s="151">
        <v>0</v>
      </c>
      <c r="D91" s="152">
        <v>100</v>
      </c>
      <c r="E91" s="155">
        <v>0</v>
      </c>
      <c r="F91" s="155">
        <v>0</v>
      </c>
      <c r="G91" s="152"/>
      <c r="H91" s="155">
        <v>0</v>
      </c>
      <c r="I91" s="155">
        <v>0</v>
      </c>
      <c r="J91" s="152"/>
      <c r="K91" s="155">
        <v>0</v>
      </c>
      <c r="L91" s="155">
        <v>0</v>
      </c>
      <c r="M91" s="152"/>
      <c r="N91" s="155">
        <v>0</v>
      </c>
      <c r="O91" s="155">
        <v>0</v>
      </c>
      <c r="P91" s="151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</row>
    <row r="92" spans="1:36" ht="15.75" customHeight="1" x14ac:dyDescent="0.25">
      <c r="A92" s="150" t="str">
        <f>'common foods'!C145</f>
        <v>lamb mutton flaps</v>
      </c>
      <c r="B92" s="151" t="s">
        <v>311</v>
      </c>
      <c r="C92" s="151">
        <v>0</v>
      </c>
      <c r="D92" s="152">
        <v>100</v>
      </c>
      <c r="E92" s="155">
        <v>0</v>
      </c>
      <c r="F92" s="155">
        <v>0</v>
      </c>
      <c r="G92" s="152"/>
      <c r="H92" s="155">
        <v>0</v>
      </c>
      <c r="I92" s="155">
        <v>0</v>
      </c>
      <c r="J92" s="152"/>
      <c r="K92" s="155">
        <v>0</v>
      </c>
      <c r="L92" s="155">
        <v>0</v>
      </c>
      <c r="M92" s="152"/>
      <c r="N92" s="155">
        <v>0</v>
      </c>
      <c r="O92" s="155">
        <v>0</v>
      </c>
      <c r="P92" s="151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</row>
    <row r="93" spans="1:36" ht="15.75" customHeight="1" x14ac:dyDescent="0.25">
      <c r="A93" s="150" t="str">
        <f>'common foods'!C144</f>
        <v>corned beef regular</v>
      </c>
      <c r="B93" s="151" t="s">
        <v>309</v>
      </c>
      <c r="C93" s="151">
        <v>0</v>
      </c>
      <c r="D93" s="152">
        <v>100</v>
      </c>
      <c r="E93" s="155">
        <v>0</v>
      </c>
      <c r="F93" s="155">
        <v>0</v>
      </c>
      <c r="G93" s="152"/>
      <c r="H93" s="155">
        <v>0</v>
      </c>
      <c r="I93" s="155">
        <v>0</v>
      </c>
      <c r="J93" s="152"/>
      <c r="K93" s="155">
        <v>0</v>
      </c>
      <c r="L93" s="155">
        <v>0</v>
      </c>
      <c r="M93" s="152"/>
      <c r="N93" s="155">
        <v>0</v>
      </c>
      <c r="O93" s="155">
        <v>0</v>
      </c>
      <c r="P93" s="151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</row>
    <row r="94" spans="1:36" ht="15.75" customHeight="1" x14ac:dyDescent="0.25">
      <c r="A94" s="150" t="str">
        <f>'common foods'!C155</f>
        <v>Jam, strawberry</v>
      </c>
      <c r="B94" s="151" t="s">
        <v>332</v>
      </c>
      <c r="C94" s="151">
        <v>0</v>
      </c>
      <c r="D94" s="152">
        <v>10</v>
      </c>
      <c r="E94" s="155">
        <v>0</v>
      </c>
      <c r="F94" s="155">
        <v>0</v>
      </c>
      <c r="G94" s="152"/>
      <c r="H94" s="155">
        <v>0</v>
      </c>
      <c r="I94" s="155">
        <v>0</v>
      </c>
      <c r="J94" s="152"/>
      <c r="K94" s="155">
        <v>0</v>
      </c>
      <c r="L94" s="155">
        <v>0</v>
      </c>
      <c r="M94" s="152"/>
      <c r="N94" s="155">
        <v>0</v>
      </c>
      <c r="O94" s="155">
        <v>0</v>
      </c>
      <c r="P94" s="151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</row>
    <row r="95" spans="1:36" ht="15.75" customHeight="1" x14ac:dyDescent="0.25">
      <c r="A95" s="150" t="s">
        <v>333</v>
      </c>
      <c r="B95" s="151" t="s">
        <v>334</v>
      </c>
      <c r="C95" s="151">
        <v>0</v>
      </c>
      <c r="D95" s="152">
        <v>125</v>
      </c>
      <c r="E95" s="155">
        <v>0</v>
      </c>
      <c r="F95" s="155">
        <v>0</v>
      </c>
      <c r="G95" s="152"/>
      <c r="H95" s="155">
        <v>0</v>
      </c>
      <c r="I95" s="155">
        <v>0</v>
      </c>
      <c r="J95" s="152"/>
      <c r="K95" s="155">
        <v>0</v>
      </c>
      <c r="L95" s="155">
        <v>0</v>
      </c>
      <c r="M95" s="152"/>
      <c r="N95" s="155">
        <v>0</v>
      </c>
      <c r="O95" s="155">
        <v>0</v>
      </c>
      <c r="P95" s="151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</row>
    <row r="96" spans="1:36" ht="15.75" customHeight="1" x14ac:dyDescent="0.25">
      <c r="A96" s="150" t="s">
        <v>335</v>
      </c>
      <c r="B96" s="151" t="s">
        <v>336</v>
      </c>
      <c r="C96" s="151">
        <v>0</v>
      </c>
      <c r="D96" s="152">
        <v>15</v>
      </c>
      <c r="E96" s="155">
        <v>0</v>
      </c>
      <c r="F96" s="155">
        <v>0</v>
      </c>
      <c r="G96" s="152"/>
      <c r="H96" s="155">
        <v>0</v>
      </c>
      <c r="I96" s="155">
        <v>0</v>
      </c>
      <c r="J96" s="152"/>
      <c r="K96" s="155">
        <v>0</v>
      </c>
      <c r="L96" s="155">
        <v>0</v>
      </c>
      <c r="M96" s="152"/>
      <c r="N96" s="155">
        <v>0</v>
      </c>
      <c r="O96" s="155">
        <v>0</v>
      </c>
      <c r="P96" s="151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</row>
    <row r="97" spans="1:36" ht="15.75" customHeight="1" x14ac:dyDescent="0.25">
      <c r="A97" s="150" t="s">
        <v>339</v>
      </c>
      <c r="B97" s="151" t="s">
        <v>340</v>
      </c>
      <c r="C97" s="151">
        <v>0</v>
      </c>
      <c r="D97" s="152">
        <v>5</v>
      </c>
      <c r="E97" s="155">
        <v>0</v>
      </c>
      <c r="F97" s="155">
        <v>0</v>
      </c>
      <c r="G97" s="152"/>
      <c r="H97" s="155">
        <v>0</v>
      </c>
      <c r="I97" s="155">
        <v>0</v>
      </c>
      <c r="J97" s="152"/>
      <c r="K97" s="155">
        <v>0</v>
      </c>
      <c r="L97" s="155">
        <v>0</v>
      </c>
      <c r="M97" s="152"/>
      <c r="N97" s="155">
        <v>0</v>
      </c>
      <c r="O97" s="155">
        <v>0</v>
      </c>
      <c r="P97" s="151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</row>
    <row r="98" spans="1:36" ht="15.75" customHeight="1" x14ac:dyDescent="0.25">
      <c r="A98" s="150" t="str">
        <f>'common foods'!C152</f>
        <v>Cocoa puffs</v>
      </c>
      <c r="B98" s="151" t="s">
        <v>325</v>
      </c>
      <c r="C98" s="151">
        <v>0</v>
      </c>
      <c r="D98" s="152">
        <v>65</v>
      </c>
      <c r="E98" s="155">
        <v>0</v>
      </c>
      <c r="F98" s="155">
        <v>0</v>
      </c>
      <c r="G98" s="152"/>
      <c r="H98" s="155">
        <v>0</v>
      </c>
      <c r="I98" s="155">
        <v>0</v>
      </c>
      <c r="J98" s="152"/>
      <c r="K98" s="155">
        <v>0</v>
      </c>
      <c r="L98" s="155">
        <v>0</v>
      </c>
      <c r="M98" s="152"/>
      <c r="N98" s="155">
        <v>0</v>
      </c>
      <c r="O98" s="155">
        <v>0</v>
      </c>
      <c r="P98" s="151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</row>
    <row r="99" spans="1:36" ht="15.75" customHeight="1" x14ac:dyDescent="0.25">
      <c r="A99" s="166" t="s">
        <v>341</v>
      </c>
      <c r="B99" s="164"/>
      <c r="C99" s="164"/>
      <c r="D99" s="164"/>
      <c r="E99" s="173">
        <v>4</v>
      </c>
      <c r="F99" s="173">
        <v>12</v>
      </c>
      <c r="G99" s="174">
        <v>8</v>
      </c>
      <c r="H99" s="173">
        <v>4</v>
      </c>
      <c r="I99" s="173">
        <v>12</v>
      </c>
      <c r="J99" s="174">
        <v>8</v>
      </c>
      <c r="K99" s="173">
        <v>4</v>
      </c>
      <c r="L99" s="173">
        <v>12</v>
      </c>
      <c r="M99" s="174">
        <v>8</v>
      </c>
      <c r="N99" s="173">
        <v>4</v>
      </c>
      <c r="O99" s="173">
        <v>12</v>
      </c>
      <c r="P99" s="174">
        <v>8</v>
      </c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</row>
    <row r="100" spans="1:36" ht="15.75" customHeight="1" x14ac:dyDescent="0.25">
      <c r="A100" s="166"/>
      <c r="B100" s="164"/>
      <c r="C100" s="164"/>
      <c r="D100" s="164"/>
      <c r="E100" s="154">
        <f>D101*E99</f>
        <v>60</v>
      </c>
      <c r="F100" s="154">
        <f>D101*F99</f>
        <v>180</v>
      </c>
      <c r="G100" s="154">
        <f>D101*G99</f>
        <v>120</v>
      </c>
      <c r="H100" s="154">
        <f>D101*H99</f>
        <v>60</v>
      </c>
      <c r="I100" s="154">
        <f>D101*I99</f>
        <v>180</v>
      </c>
      <c r="J100" s="154">
        <f>D101*J99</f>
        <v>120</v>
      </c>
      <c r="K100" s="154">
        <f>D101*K99</f>
        <v>60</v>
      </c>
      <c r="L100" s="154">
        <f>D101*L99</f>
        <v>180</v>
      </c>
      <c r="M100" s="154">
        <f>D101*M99</f>
        <v>120</v>
      </c>
      <c r="N100" s="154">
        <f>D101*N99</f>
        <v>60</v>
      </c>
      <c r="O100" s="154">
        <f>D101*O99</f>
        <v>180</v>
      </c>
      <c r="P100" s="154">
        <f>D101*P99</f>
        <v>120</v>
      </c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</row>
    <row r="101" spans="1:36" ht="15.75" customHeight="1" x14ac:dyDescent="0.25">
      <c r="A101" s="150" t="str">
        <f>'common foods'!C165</f>
        <v>marmite</v>
      </c>
      <c r="B101" s="151" t="str">
        <f>'common foods'!D165</f>
        <v>08108</v>
      </c>
      <c r="C101" s="151">
        <v>2</v>
      </c>
      <c r="D101" s="152">
        <v>15</v>
      </c>
      <c r="E101" s="155">
        <v>0</v>
      </c>
      <c r="F101" s="155">
        <v>1000</v>
      </c>
      <c r="G101" s="152"/>
      <c r="H101" s="155">
        <v>0</v>
      </c>
      <c r="I101" s="155">
        <v>1000</v>
      </c>
      <c r="J101" s="152"/>
      <c r="K101" s="155">
        <v>0</v>
      </c>
      <c r="L101" s="155">
        <v>1000</v>
      </c>
      <c r="M101" s="152"/>
      <c r="N101" s="155">
        <v>0</v>
      </c>
      <c r="O101" s="155">
        <v>1000</v>
      </c>
      <c r="P101" s="151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</row>
    <row r="102" spans="1:36" ht="15.75" customHeight="1" x14ac:dyDescent="0.25">
      <c r="A102" s="150" t="str">
        <f>'common foods'!C166</f>
        <v>Mild Salsa</v>
      </c>
      <c r="B102" s="151" t="str">
        <f>'common foods'!D166</f>
        <v>08109</v>
      </c>
      <c r="C102" s="151">
        <v>2</v>
      </c>
      <c r="D102" s="152">
        <v>15</v>
      </c>
      <c r="E102" s="155">
        <v>0</v>
      </c>
      <c r="F102" s="155">
        <v>1000</v>
      </c>
      <c r="G102" s="152"/>
      <c r="H102" s="155">
        <v>0</v>
      </c>
      <c r="I102" s="155">
        <v>1000</v>
      </c>
      <c r="J102" s="152"/>
      <c r="K102" s="155">
        <v>0</v>
      </c>
      <c r="L102" s="155">
        <v>1000</v>
      </c>
      <c r="M102" s="152"/>
      <c r="N102" s="155">
        <v>0</v>
      </c>
      <c r="O102" s="155">
        <v>1000</v>
      </c>
      <c r="P102" s="151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</row>
    <row r="103" spans="1:36" ht="15.75" customHeight="1" x14ac:dyDescent="0.25">
      <c r="A103" s="166" t="s">
        <v>356</v>
      </c>
      <c r="B103" s="164"/>
      <c r="C103" s="164"/>
      <c r="D103" s="164"/>
      <c r="E103" s="164">
        <v>0</v>
      </c>
      <c r="F103" s="164">
        <v>0</v>
      </c>
      <c r="G103" s="164">
        <v>0</v>
      </c>
      <c r="H103" s="164">
        <v>0</v>
      </c>
      <c r="I103" s="164">
        <v>0</v>
      </c>
      <c r="J103" s="164">
        <v>0</v>
      </c>
      <c r="K103" s="164">
        <v>0</v>
      </c>
      <c r="L103" s="164">
        <v>0</v>
      </c>
      <c r="M103" s="164">
        <v>0</v>
      </c>
      <c r="N103" s="164">
        <v>0</v>
      </c>
      <c r="O103" s="164">
        <v>0</v>
      </c>
      <c r="P103" s="164">
        <v>0</v>
      </c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</row>
    <row r="104" spans="1:36" ht="15.75" customHeight="1" x14ac:dyDescent="0.25">
      <c r="A104" s="166"/>
      <c r="B104" s="164"/>
      <c r="C104" s="164"/>
      <c r="D104" s="164"/>
      <c r="E104" s="154">
        <f>D105*E103</f>
        <v>0</v>
      </c>
      <c r="F104" s="154">
        <f>D105*F103</f>
        <v>0</v>
      </c>
      <c r="G104" s="154">
        <f>D105*G103</f>
        <v>0</v>
      </c>
      <c r="H104" s="154">
        <f>D105*H103</f>
        <v>0</v>
      </c>
      <c r="I104" s="154">
        <f>D105*I103</f>
        <v>0</v>
      </c>
      <c r="J104" s="154">
        <f>D105*J103</f>
        <v>0</v>
      </c>
      <c r="K104" s="154">
        <f>D105*K103</f>
        <v>0</v>
      </c>
      <c r="L104" s="154">
        <f>D105*L103</f>
        <v>0</v>
      </c>
      <c r="M104" s="154">
        <f>D105*M103</f>
        <v>0</v>
      </c>
      <c r="N104" s="154">
        <f>D105*N103</f>
        <v>0</v>
      </c>
      <c r="O104" s="154">
        <f>D105*O103</f>
        <v>0</v>
      </c>
      <c r="P104" s="154">
        <f>D105*P103</f>
        <v>0</v>
      </c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</row>
    <row r="105" spans="1:36" ht="15.75" customHeight="1" x14ac:dyDescent="0.25">
      <c r="A105" s="150" t="s">
        <v>357</v>
      </c>
      <c r="B105" s="151" t="s">
        <v>358</v>
      </c>
      <c r="C105" s="151">
        <v>0</v>
      </c>
      <c r="D105" s="151">
        <v>20</v>
      </c>
      <c r="E105" s="155">
        <v>0</v>
      </c>
      <c r="F105" s="155">
        <v>0</v>
      </c>
      <c r="G105" s="151"/>
      <c r="H105" s="155">
        <v>0</v>
      </c>
      <c r="I105" s="155">
        <v>0</v>
      </c>
      <c r="J105" s="151"/>
      <c r="K105" s="155">
        <v>0</v>
      </c>
      <c r="L105" s="155">
        <v>0</v>
      </c>
      <c r="M105" s="151"/>
      <c r="N105" s="155">
        <v>0</v>
      </c>
      <c r="O105" s="155">
        <v>0</v>
      </c>
      <c r="P105" s="151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</row>
    <row r="106" spans="1:36" ht="15.75" customHeight="1" x14ac:dyDescent="0.25">
      <c r="A106" s="150" t="s">
        <v>359</v>
      </c>
      <c r="B106" s="151" t="s">
        <v>360</v>
      </c>
      <c r="C106" s="151">
        <v>0</v>
      </c>
      <c r="D106" s="151">
        <v>250</v>
      </c>
      <c r="E106" s="155">
        <v>0</v>
      </c>
      <c r="F106" s="155">
        <v>0</v>
      </c>
      <c r="G106" s="151"/>
      <c r="H106" s="155">
        <v>0</v>
      </c>
      <c r="I106" s="155">
        <v>0</v>
      </c>
      <c r="J106" s="151"/>
      <c r="K106" s="155">
        <v>0</v>
      </c>
      <c r="L106" s="155">
        <v>0</v>
      </c>
      <c r="M106" s="151"/>
      <c r="N106" s="155">
        <v>0</v>
      </c>
      <c r="O106" s="155">
        <v>0</v>
      </c>
      <c r="P106" s="151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</row>
    <row r="107" spans="1:36" ht="15.75" customHeight="1" x14ac:dyDescent="0.25">
      <c r="A107" s="150" t="s">
        <v>361</v>
      </c>
      <c r="B107" s="151" t="s">
        <v>362</v>
      </c>
      <c r="C107" s="151">
        <v>0</v>
      </c>
      <c r="D107" s="151">
        <v>250</v>
      </c>
      <c r="E107" s="155">
        <v>0</v>
      </c>
      <c r="F107" s="155">
        <v>0</v>
      </c>
      <c r="G107" s="151"/>
      <c r="H107" s="155">
        <v>0</v>
      </c>
      <c r="I107" s="155">
        <v>0</v>
      </c>
      <c r="J107" s="151"/>
      <c r="K107" s="155">
        <v>0</v>
      </c>
      <c r="L107" s="155">
        <v>0</v>
      </c>
      <c r="M107" s="151"/>
      <c r="N107" s="155">
        <v>0</v>
      </c>
      <c r="O107" s="155">
        <v>0</v>
      </c>
      <c r="P107" s="151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</row>
    <row r="108" spans="1:36" ht="15.75" customHeight="1" x14ac:dyDescent="0.25">
      <c r="A108" s="150" t="s">
        <v>363</v>
      </c>
      <c r="B108" s="151" t="s">
        <v>364</v>
      </c>
      <c r="C108" s="151">
        <v>0</v>
      </c>
      <c r="D108" s="151">
        <v>250</v>
      </c>
      <c r="E108" s="155">
        <v>0</v>
      </c>
      <c r="F108" s="155">
        <v>0</v>
      </c>
      <c r="G108" s="151"/>
      <c r="H108" s="155">
        <v>0</v>
      </c>
      <c r="I108" s="155">
        <v>0</v>
      </c>
      <c r="J108" s="151"/>
      <c r="K108" s="155">
        <v>0</v>
      </c>
      <c r="L108" s="155">
        <v>0</v>
      </c>
      <c r="M108" s="151"/>
      <c r="N108" s="155">
        <v>0</v>
      </c>
      <c r="O108" s="155">
        <v>0</v>
      </c>
      <c r="P108" s="151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</row>
    <row r="109" spans="1:36" ht="15.75" customHeight="1" x14ac:dyDescent="0.25">
      <c r="A109" s="150" t="s">
        <v>365</v>
      </c>
      <c r="B109" s="151" t="s">
        <v>366</v>
      </c>
      <c r="C109" s="151">
        <v>0</v>
      </c>
      <c r="D109" s="151">
        <v>250</v>
      </c>
      <c r="E109" s="155">
        <v>0</v>
      </c>
      <c r="F109" s="155">
        <v>0</v>
      </c>
      <c r="G109" s="151"/>
      <c r="H109" s="155">
        <v>0</v>
      </c>
      <c r="I109" s="155">
        <v>0</v>
      </c>
      <c r="J109" s="151"/>
      <c r="K109" s="155">
        <v>0</v>
      </c>
      <c r="L109" s="155">
        <v>0</v>
      </c>
      <c r="M109" s="151"/>
      <c r="N109" s="155">
        <v>0</v>
      </c>
      <c r="O109" s="155">
        <v>0</v>
      </c>
      <c r="P109" s="151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</row>
    <row r="110" spans="1:36" ht="15.75" customHeight="1" x14ac:dyDescent="0.25">
      <c r="A110" s="150" t="str">
        <f>'common foods'!C172</f>
        <v>Soft drink Powder</v>
      </c>
      <c r="B110" s="151" t="s">
        <v>368</v>
      </c>
      <c r="C110" s="151">
        <v>0</v>
      </c>
      <c r="D110" s="151">
        <v>15</v>
      </c>
      <c r="E110" s="155">
        <v>0</v>
      </c>
      <c r="F110" s="155">
        <v>0</v>
      </c>
      <c r="G110" s="151"/>
      <c r="H110" s="155">
        <v>0</v>
      </c>
      <c r="I110" s="155">
        <v>0</v>
      </c>
      <c r="J110" s="151"/>
      <c r="K110" s="155">
        <v>0</v>
      </c>
      <c r="L110" s="155">
        <v>0</v>
      </c>
      <c r="M110" s="151"/>
      <c r="N110" s="155">
        <v>0</v>
      </c>
      <c r="O110" s="155">
        <v>0</v>
      </c>
      <c r="P110" s="151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</row>
    <row r="111" spans="1:36" ht="15.75" customHeight="1" x14ac:dyDescent="0.25">
      <c r="A111" s="150" t="s">
        <v>369</v>
      </c>
      <c r="B111" s="151" t="s">
        <v>370</v>
      </c>
      <c r="C111" s="151">
        <v>0</v>
      </c>
      <c r="D111" s="151">
        <v>250</v>
      </c>
      <c r="E111" s="155">
        <v>0</v>
      </c>
      <c r="F111" s="155">
        <v>0</v>
      </c>
      <c r="G111" s="151"/>
      <c r="H111" s="155"/>
      <c r="I111" s="155">
        <v>0</v>
      </c>
      <c r="J111" s="151"/>
      <c r="K111" s="155"/>
      <c r="L111" s="155">
        <v>0</v>
      </c>
      <c r="M111" s="151"/>
      <c r="N111" s="155"/>
      <c r="O111" s="155">
        <v>0</v>
      </c>
      <c r="P111" s="151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</row>
    <row r="112" spans="1:36" ht="15.75" customHeight="1" x14ac:dyDescent="0.25">
      <c r="A112" s="166" t="s">
        <v>578</v>
      </c>
      <c r="B112" s="164"/>
      <c r="C112" s="164"/>
      <c r="D112" s="164"/>
      <c r="E112" s="164">
        <v>0</v>
      </c>
      <c r="F112" s="164">
        <v>0</v>
      </c>
      <c r="G112" s="164">
        <v>0</v>
      </c>
      <c r="H112" s="164">
        <v>0</v>
      </c>
      <c r="I112" s="164">
        <v>0</v>
      </c>
      <c r="J112" s="164">
        <v>0</v>
      </c>
      <c r="K112" s="164">
        <v>0</v>
      </c>
      <c r="L112" s="164">
        <v>0</v>
      </c>
      <c r="M112" s="164">
        <v>0</v>
      </c>
      <c r="N112" s="164">
        <v>0</v>
      </c>
      <c r="O112" s="164">
        <v>0</v>
      </c>
      <c r="P112" s="164">
        <v>0</v>
      </c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</row>
    <row r="113" spans="1:36" ht="15.75" customHeight="1" x14ac:dyDescent="0.25">
      <c r="A113" s="166"/>
      <c r="B113" s="164"/>
      <c r="C113" s="164"/>
      <c r="D113" s="164"/>
      <c r="E113" s="154">
        <f>D114*E112</f>
        <v>0</v>
      </c>
      <c r="F113" s="154">
        <f>D114*F112</f>
        <v>0</v>
      </c>
      <c r="G113" s="154">
        <f>D114*G112</f>
        <v>0</v>
      </c>
      <c r="H113" s="154">
        <f>D114*H112</f>
        <v>0</v>
      </c>
      <c r="I113" s="154">
        <f>D114*I112</f>
        <v>0</v>
      </c>
      <c r="J113" s="154">
        <f>D114*J112</f>
        <v>0</v>
      </c>
      <c r="K113" s="154">
        <f>D114*K112</f>
        <v>0</v>
      </c>
      <c r="L113" s="154">
        <f>D114*L112</f>
        <v>0</v>
      </c>
      <c r="M113" s="154">
        <f>D114*M112</f>
        <v>0</v>
      </c>
      <c r="N113" s="154">
        <f>D114*N112</f>
        <v>0</v>
      </c>
      <c r="O113" s="154">
        <f>D114*O112</f>
        <v>0</v>
      </c>
      <c r="P113" s="154">
        <f>D114*P112</f>
        <v>0</v>
      </c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</row>
    <row r="114" spans="1:36" ht="15.75" x14ac:dyDescent="0.25">
      <c r="A114" s="150" t="s">
        <v>388</v>
      </c>
      <c r="B114" s="151">
        <v>10115</v>
      </c>
      <c r="C114" s="151">
        <v>0</v>
      </c>
      <c r="D114" s="151">
        <v>240</v>
      </c>
      <c r="E114" s="155">
        <v>0</v>
      </c>
      <c r="F114" s="155">
        <v>0</v>
      </c>
      <c r="G114" s="151"/>
      <c r="H114" s="155">
        <v>0</v>
      </c>
      <c r="I114" s="155">
        <v>0</v>
      </c>
      <c r="J114" s="151"/>
      <c r="K114" s="155">
        <v>0</v>
      </c>
      <c r="L114" s="155">
        <v>0</v>
      </c>
      <c r="M114" s="151"/>
      <c r="N114" s="155">
        <v>0</v>
      </c>
      <c r="O114" s="155">
        <v>0</v>
      </c>
      <c r="P114" s="151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</row>
    <row r="115" spans="1:36" ht="15.75" customHeight="1" x14ac:dyDescent="0.25">
      <c r="A115" s="150" t="s">
        <v>392</v>
      </c>
      <c r="B115" s="151">
        <v>10117</v>
      </c>
      <c r="C115" s="151">
        <v>0</v>
      </c>
      <c r="D115" s="151">
        <v>200</v>
      </c>
      <c r="E115" s="155">
        <v>0</v>
      </c>
      <c r="F115" s="155">
        <v>0</v>
      </c>
      <c r="G115" s="151"/>
      <c r="H115" s="155">
        <v>0</v>
      </c>
      <c r="I115" s="155">
        <v>0</v>
      </c>
      <c r="J115" s="151"/>
      <c r="K115" s="155">
        <v>0</v>
      </c>
      <c r="L115" s="155">
        <v>0</v>
      </c>
      <c r="M115" s="151"/>
      <c r="N115" s="155">
        <v>0</v>
      </c>
      <c r="O115" s="155">
        <v>0</v>
      </c>
      <c r="P115" s="151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</row>
    <row r="116" spans="1:36" ht="15.75" customHeight="1" x14ac:dyDescent="0.25">
      <c r="A116" s="150" t="s">
        <v>396</v>
      </c>
      <c r="B116" s="151">
        <v>10119</v>
      </c>
      <c r="C116" s="151">
        <v>0</v>
      </c>
      <c r="D116" s="151">
        <v>200</v>
      </c>
      <c r="E116" s="155">
        <v>0</v>
      </c>
      <c r="F116" s="155">
        <v>0</v>
      </c>
      <c r="G116" s="151"/>
      <c r="H116" s="155">
        <v>0</v>
      </c>
      <c r="I116" s="155">
        <v>0</v>
      </c>
      <c r="J116" s="151"/>
      <c r="K116" s="155">
        <v>0</v>
      </c>
      <c r="L116" s="155">
        <v>0</v>
      </c>
      <c r="M116" s="151"/>
      <c r="N116" s="155">
        <v>0</v>
      </c>
      <c r="O116" s="155">
        <v>0</v>
      </c>
      <c r="P116" s="151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</row>
    <row r="117" spans="1:36" ht="15.75" customHeight="1" x14ac:dyDescent="0.25">
      <c r="A117" s="166" t="s">
        <v>406</v>
      </c>
      <c r="B117" s="164"/>
      <c r="C117" s="164"/>
      <c r="D117" s="164"/>
      <c r="E117" s="164">
        <v>0</v>
      </c>
      <c r="F117" s="164">
        <v>0</v>
      </c>
      <c r="G117" s="164">
        <v>0</v>
      </c>
      <c r="H117" s="164">
        <v>0</v>
      </c>
      <c r="I117" s="164">
        <v>0</v>
      </c>
      <c r="J117" s="164">
        <v>0</v>
      </c>
      <c r="K117" s="164">
        <v>0</v>
      </c>
      <c r="L117" s="164">
        <v>0</v>
      </c>
      <c r="M117" s="164">
        <v>0</v>
      </c>
      <c r="N117" s="164">
        <v>0</v>
      </c>
      <c r="O117" s="164">
        <v>0</v>
      </c>
      <c r="P117" s="164">
        <v>0</v>
      </c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</row>
    <row r="118" spans="1:36" ht="15.75" customHeight="1" x14ac:dyDescent="0.25">
      <c r="A118" s="166"/>
      <c r="B118" s="164"/>
      <c r="C118" s="164"/>
      <c r="D118" s="164"/>
      <c r="E118" s="154">
        <f>D119*E117</f>
        <v>0</v>
      </c>
      <c r="F118" s="154">
        <f>D119*F117</f>
        <v>0</v>
      </c>
      <c r="G118" s="154">
        <f>D119*G117</f>
        <v>0</v>
      </c>
      <c r="H118" s="154">
        <f>D119*H117</f>
        <v>0</v>
      </c>
      <c r="I118" s="154">
        <f>D119*I117</f>
        <v>0</v>
      </c>
      <c r="J118" s="154">
        <f>D119*J117</f>
        <v>0</v>
      </c>
      <c r="K118" s="154">
        <f>D119*K117</f>
        <v>0</v>
      </c>
      <c r="L118" s="154">
        <f>D119*L117</f>
        <v>0</v>
      </c>
      <c r="M118" s="154">
        <f>D119*M117</f>
        <v>0</v>
      </c>
      <c r="N118" s="154">
        <f>D119*N117</f>
        <v>0</v>
      </c>
      <c r="O118" s="154">
        <f>D119*O117</f>
        <v>0</v>
      </c>
      <c r="P118" s="154">
        <f>D119*P117</f>
        <v>0</v>
      </c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</row>
    <row r="119" spans="1:36" ht="15.75" customHeight="1" x14ac:dyDescent="0.25">
      <c r="A119" s="150" t="s">
        <v>407</v>
      </c>
      <c r="B119" s="151" t="s">
        <v>408</v>
      </c>
      <c r="C119" s="151">
        <v>0</v>
      </c>
      <c r="D119" s="151">
        <v>100</v>
      </c>
      <c r="E119" s="155">
        <v>0</v>
      </c>
      <c r="F119" s="155">
        <v>0</v>
      </c>
      <c r="G119" s="151"/>
      <c r="H119" s="155">
        <v>0</v>
      </c>
      <c r="I119" s="155">
        <v>0</v>
      </c>
      <c r="J119" s="151"/>
      <c r="K119" s="155">
        <v>0</v>
      </c>
      <c r="L119" s="155">
        <v>0</v>
      </c>
      <c r="M119" s="175"/>
      <c r="N119" s="155">
        <v>0</v>
      </c>
      <c r="O119" s="155">
        <v>0</v>
      </c>
      <c r="P119" s="151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</row>
    <row r="120" spans="1:36" ht="15.75" x14ac:dyDescent="0.25">
      <c r="A120" s="150" t="s">
        <v>409</v>
      </c>
      <c r="B120" s="151" t="s">
        <v>410</v>
      </c>
      <c r="C120" s="151">
        <v>0</v>
      </c>
      <c r="D120" s="151">
        <v>330</v>
      </c>
      <c r="E120" s="155">
        <v>0</v>
      </c>
      <c r="F120" s="155">
        <v>0</v>
      </c>
      <c r="G120" s="151"/>
      <c r="H120" s="155">
        <v>0</v>
      </c>
      <c r="I120" s="155">
        <v>0</v>
      </c>
      <c r="J120" s="151"/>
      <c r="K120" s="155">
        <v>0</v>
      </c>
      <c r="L120" s="155">
        <v>0</v>
      </c>
      <c r="M120" s="175"/>
      <c r="N120" s="155">
        <v>0</v>
      </c>
      <c r="O120" s="155">
        <v>0</v>
      </c>
      <c r="P120" s="151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</row>
    <row r="121" spans="1:36" ht="15.75" customHeight="1" x14ac:dyDescent="0.25">
      <c r="A121" s="166" t="s">
        <v>411</v>
      </c>
      <c r="B121" s="164"/>
      <c r="C121" s="164"/>
      <c r="D121" s="164"/>
      <c r="E121" s="164">
        <v>7</v>
      </c>
      <c r="F121" s="164">
        <v>7</v>
      </c>
      <c r="G121" s="164">
        <v>7</v>
      </c>
      <c r="H121" s="164">
        <v>7</v>
      </c>
      <c r="I121" s="164">
        <v>7</v>
      </c>
      <c r="J121" s="164">
        <v>7</v>
      </c>
      <c r="K121" s="164">
        <v>7</v>
      </c>
      <c r="L121" s="164">
        <v>7</v>
      </c>
      <c r="M121" s="164">
        <v>7</v>
      </c>
      <c r="N121" s="164">
        <v>7</v>
      </c>
      <c r="O121" s="164">
        <v>7</v>
      </c>
      <c r="P121" s="164">
        <v>7</v>
      </c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</row>
    <row r="122" spans="1:36" ht="15.75" customHeight="1" x14ac:dyDescent="0.25">
      <c r="A122" s="166"/>
      <c r="B122" s="164"/>
      <c r="C122" s="164"/>
      <c r="D122" s="164"/>
      <c r="E122" s="154">
        <v>7</v>
      </c>
      <c r="F122" s="154">
        <v>7</v>
      </c>
      <c r="G122" s="154">
        <v>7</v>
      </c>
      <c r="H122" s="154">
        <v>7</v>
      </c>
      <c r="I122" s="154">
        <v>7</v>
      </c>
      <c r="J122" s="154">
        <v>7</v>
      </c>
      <c r="K122" s="154">
        <v>7</v>
      </c>
      <c r="L122" s="154">
        <v>7</v>
      </c>
      <c r="M122" s="154">
        <v>7</v>
      </c>
      <c r="N122" s="154">
        <v>7</v>
      </c>
      <c r="O122" s="154">
        <v>7</v>
      </c>
      <c r="P122" s="154">
        <v>7</v>
      </c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</row>
    <row r="123" spans="1:36" s="1" customFormat="1" ht="15.75" x14ac:dyDescent="0.25">
      <c r="A123" s="1" t="s">
        <v>412</v>
      </c>
      <c r="B123" s="2">
        <v>12001</v>
      </c>
      <c r="C123" s="2">
        <v>1</v>
      </c>
      <c r="D123" s="12">
        <v>1</v>
      </c>
      <c r="E123" s="2">
        <v>7</v>
      </c>
      <c r="F123" s="159">
        <v>7</v>
      </c>
      <c r="G123" s="2">
        <v>7</v>
      </c>
      <c r="H123" s="2">
        <v>7</v>
      </c>
      <c r="I123" s="12">
        <v>7</v>
      </c>
      <c r="J123" s="2">
        <v>7</v>
      </c>
      <c r="K123" s="2">
        <v>7</v>
      </c>
      <c r="L123" s="12">
        <v>7</v>
      </c>
      <c r="M123" s="2">
        <v>7</v>
      </c>
      <c r="N123" s="2">
        <v>7</v>
      </c>
      <c r="O123" s="12">
        <v>7</v>
      </c>
      <c r="P123" s="12">
        <v>7</v>
      </c>
    </row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V579"/>
  <sheetViews>
    <sheetView topLeftCell="I536" zoomScaleNormal="100" workbookViewId="0">
      <selection activeCell="M550" sqref="M550"/>
    </sheetView>
  </sheetViews>
  <sheetFormatPr defaultRowHeight="15" x14ac:dyDescent="0.25"/>
  <cols>
    <col min="1" max="1" width="14.140625" customWidth="1"/>
    <col min="2" max="2" width="10.140625" customWidth="1"/>
    <col min="3" max="4" width="8.5703125" customWidth="1"/>
    <col min="5" max="5" width="9.140625" style="182" customWidth="1"/>
    <col min="6" max="6" width="8.5703125" customWidth="1"/>
    <col min="7" max="7" width="12.140625" customWidth="1"/>
    <col min="8" max="8" width="13.7109375" customWidth="1"/>
    <col min="9" max="9" width="16.85546875" customWidth="1"/>
    <col min="10" max="11" width="13" customWidth="1"/>
    <col min="12" max="12" width="26" customWidth="1"/>
    <col min="13" max="13" width="26.42578125" style="183" customWidth="1"/>
    <col min="14" max="14" width="18.42578125" customWidth="1"/>
    <col min="15" max="15" width="11" customWidth="1"/>
    <col min="16" max="17" width="8.5703125" customWidth="1"/>
    <col min="18" max="18" width="9.140625" style="184" customWidth="1"/>
    <col min="19" max="19" width="12.85546875" style="184" customWidth="1"/>
    <col min="20" max="20" width="11.28515625" style="184" customWidth="1"/>
    <col min="21" max="1025" width="8.5703125" customWidth="1"/>
  </cols>
  <sheetData>
    <row r="1" spans="1:21" s="117" customFormat="1" ht="13.5" customHeight="1" x14ac:dyDescent="0.25">
      <c r="A1" s="185" t="s">
        <v>597</v>
      </c>
      <c r="B1" s="185" t="s">
        <v>598</v>
      </c>
      <c r="C1" s="186" t="s">
        <v>599</v>
      </c>
      <c r="D1" s="187" t="s">
        <v>600</v>
      </c>
      <c r="E1" s="188" t="s">
        <v>601</v>
      </c>
      <c r="F1" s="187" t="s">
        <v>602</v>
      </c>
      <c r="G1" s="187" t="s">
        <v>603</v>
      </c>
      <c r="H1" s="187" t="s">
        <v>604</v>
      </c>
      <c r="I1" s="188" t="s">
        <v>605</v>
      </c>
      <c r="J1" s="138" t="s">
        <v>606</v>
      </c>
      <c r="K1" s="189" t="s">
        <v>0</v>
      </c>
      <c r="L1" s="189" t="s">
        <v>2</v>
      </c>
      <c r="M1" s="190" t="s">
        <v>3</v>
      </c>
      <c r="N1" s="187" t="s">
        <v>607</v>
      </c>
      <c r="O1" s="187" t="s">
        <v>608</v>
      </c>
      <c r="P1" s="191" t="s">
        <v>609</v>
      </c>
      <c r="Q1" s="192" t="s">
        <v>610</v>
      </c>
      <c r="R1" s="193" t="s">
        <v>611</v>
      </c>
      <c r="S1" s="194" t="s">
        <v>612</v>
      </c>
      <c r="T1" s="195" t="s">
        <v>613</v>
      </c>
      <c r="U1" s="118"/>
    </row>
    <row r="2" spans="1:21" s="123" customFormat="1" x14ac:dyDescent="0.25">
      <c r="A2" s="117" t="s">
        <v>614</v>
      </c>
      <c r="B2" s="117" t="s">
        <v>615</v>
      </c>
      <c r="C2" s="123" t="s">
        <v>616</v>
      </c>
      <c r="D2" s="123" t="s">
        <v>617</v>
      </c>
      <c r="E2" s="182">
        <v>211019</v>
      </c>
      <c r="F2" s="123" t="s">
        <v>618</v>
      </c>
      <c r="G2" s="123" t="s">
        <v>619</v>
      </c>
      <c r="H2" s="118" t="s">
        <v>620</v>
      </c>
      <c r="I2" s="123" t="s">
        <v>621</v>
      </c>
      <c r="J2" s="123" t="s">
        <v>622</v>
      </c>
      <c r="K2" s="123" t="s">
        <v>623</v>
      </c>
      <c r="L2" s="196" t="str">
        <f>'common foods'!C54</f>
        <v>Weetbix</v>
      </c>
      <c r="M2" s="183" t="s">
        <v>122</v>
      </c>
      <c r="N2" s="123" t="s">
        <v>624</v>
      </c>
      <c r="O2" s="123" t="s">
        <v>625</v>
      </c>
      <c r="P2" s="123">
        <v>1200</v>
      </c>
      <c r="Q2" s="123" t="s">
        <v>626</v>
      </c>
      <c r="R2" s="184">
        <v>6.79</v>
      </c>
      <c r="S2" s="184">
        <v>0.56999999999999995</v>
      </c>
      <c r="T2" s="184">
        <f t="shared" ref="T2:T10" si="0">S2*1</f>
        <v>0.56999999999999995</v>
      </c>
      <c r="U2" s="197"/>
    </row>
    <row r="3" spans="1:21" s="123" customFormat="1" x14ac:dyDescent="0.25">
      <c r="A3" s="117" t="s">
        <v>614</v>
      </c>
      <c r="B3" s="117" t="s">
        <v>615</v>
      </c>
      <c r="C3" s="123" t="s">
        <v>616</v>
      </c>
      <c r="D3" s="123" t="s">
        <v>617</v>
      </c>
      <c r="E3" s="182">
        <v>211019</v>
      </c>
      <c r="F3" s="123" t="s">
        <v>618</v>
      </c>
      <c r="G3" s="123" t="s">
        <v>619</v>
      </c>
      <c r="H3" s="118" t="s">
        <v>620</v>
      </c>
      <c r="I3" s="123" t="s">
        <v>627</v>
      </c>
      <c r="J3" s="123" t="s">
        <v>622</v>
      </c>
      <c r="K3" s="123" t="s">
        <v>623</v>
      </c>
      <c r="L3" s="196" t="str">
        <f>'common foods'!C54</f>
        <v>Weetbix</v>
      </c>
      <c r="M3" s="183" t="s">
        <v>122</v>
      </c>
      <c r="N3" s="123" t="s">
        <v>624</v>
      </c>
      <c r="O3" s="123" t="s">
        <v>625</v>
      </c>
      <c r="P3" s="123">
        <v>750</v>
      </c>
      <c r="Q3" s="123" t="s">
        <v>626</v>
      </c>
      <c r="R3" s="184">
        <v>4.29</v>
      </c>
      <c r="S3" s="184">
        <f>R3/7.5</f>
        <v>0.57199999999999995</v>
      </c>
      <c r="T3" s="184">
        <f t="shared" si="0"/>
        <v>0.57199999999999995</v>
      </c>
    </row>
    <row r="4" spans="1:21" s="123" customFormat="1" x14ac:dyDescent="0.25">
      <c r="A4" s="117" t="s">
        <v>614</v>
      </c>
      <c r="B4" s="117" t="s">
        <v>615</v>
      </c>
      <c r="C4" s="123" t="s">
        <v>616</v>
      </c>
      <c r="D4" s="123" t="s">
        <v>617</v>
      </c>
      <c r="E4" s="182">
        <v>211019</v>
      </c>
      <c r="F4" s="123" t="s">
        <v>618</v>
      </c>
      <c r="G4" s="123" t="s">
        <v>619</v>
      </c>
      <c r="H4" s="118" t="s">
        <v>620</v>
      </c>
      <c r="I4" s="123" t="s">
        <v>628</v>
      </c>
      <c r="J4" s="123" t="s">
        <v>622</v>
      </c>
      <c r="K4" s="123" t="s">
        <v>623</v>
      </c>
      <c r="L4" s="196" t="str">
        <f>'common foods'!C54</f>
        <v>Weetbix</v>
      </c>
      <c r="M4" s="183" t="s">
        <v>122</v>
      </c>
      <c r="N4" s="123" t="s">
        <v>624</v>
      </c>
      <c r="O4" s="123" t="s">
        <v>625</v>
      </c>
      <c r="P4" s="123">
        <v>1200</v>
      </c>
      <c r="Q4" s="123" t="s">
        <v>626</v>
      </c>
      <c r="R4" s="184">
        <v>7.6</v>
      </c>
      <c r="S4" s="197">
        <f>R4/12</f>
        <v>0.6333333333333333</v>
      </c>
      <c r="T4" s="184">
        <f t="shared" si="0"/>
        <v>0.6333333333333333</v>
      </c>
    </row>
    <row r="5" spans="1:21" x14ac:dyDescent="0.25">
      <c r="A5" s="117" t="s">
        <v>614</v>
      </c>
      <c r="B5" s="117" t="s">
        <v>615</v>
      </c>
      <c r="C5" t="s">
        <v>616</v>
      </c>
      <c r="D5" t="s">
        <v>617</v>
      </c>
      <c r="E5" s="182">
        <v>211019</v>
      </c>
      <c r="F5" t="s">
        <v>618</v>
      </c>
      <c r="G5" t="s">
        <v>619</v>
      </c>
      <c r="H5" s="118" t="s">
        <v>620</v>
      </c>
      <c r="I5" t="s">
        <v>621</v>
      </c>
      <c r="J5" t="s">
        <v>622</v>
      </c>
      <c r="K5" t="s">
        <v>629</v>
      </c>
      <c r="L5" s="196" t="str">
        <f>'common foods'!C77</f>
        <v>Yoghurt, natural, low-fat</v>
      </c>
      <c r="M5" s="183" t="str">
        <f>'common foods'!D77</f>
        <v>04062</v>
      </c>
      <c r="N5" t="s">
        <v>630</v>
      </c>
      <c r="O5" t="s">
        <v>625</v>
      </c>
      <c r="P5">
        <v>750</v>
      </c>
      <c r="Q5" t="s">
        <v>626</v>
      </c>
      <c r="R5" s="184">
        <v>2.89</v>
      </c>
      <c r="S5" s="184">
        <v>0.39</v>
      </c>
      <c r="T5" s="184">
        <f t="shared" si="0"/>
        <v>0.39</v>
      </c>
    </row>
    <row r="6" spans="1:21" x14ac:dyDescent="0.25">
      <c r="A6" s="117" t="s">
        <v>614</v>
      </c>
      <c r="B6" s="117" t="s">
        <v>615</v>
      </c>
      <c r="C6" t="s">
        <v>616</v>
      </c>
      <c r="D6" t="s">
        <v>617</v>
      </c>
      <c r="E6" s="182">
        <v>211019</v>
      </c>
      <c r="F6" t="s">
        <v>618</v>
      </c>
      <c r="G6" t="s">
        <v>619</v>
      </c>
      <c r="H6" s="118" t="s">
        <v>620</v>
      </c>
      <c r="I6" t="s">
        <v>627</v>
      </c>
      <c r="J6" t="s">
        <v>622</v>
      </c>
      <c r="K6" t="s">
        <v>629</v>
      </c>
      <c r="L6" s="196" t="str">
        <f>'common foods'!C77</f>
        <v>Yoghurt, natural, low-fat</v>
      </c>
      <c r="M6" s="183" t="s">
        <v>170</v>
      </c>
      <c r="N6" t="s">
        <v>630</v>
      </c>
      <c r="O6" t="s">
        <v>625</v>
      </c>
      <c r="P6">
        <v>750</v>
      </c>
      <c r="Q6" t="s">
        <v>626</v>
      </c>
      <c r="R6" s="184">
        <v>3.49</v>
      </c>
      <c r="S6" s="184">
        <v>0.47</v>
      </c>
      <c r="T6" s="184">
        <f t="shared" si="0"/>
        <v>0.47</v>
      </c>
      <c r="U6" s="184"/>
    </row>
    <row r="7" spans="1:21" x14ac:dyDescent="0.25">
      <c r="A7" s="117" t="s">
        <v>614</v>
      </c>
      <c r="B7" s="117" t="s">
        <v>615</v>
      </c>
      <c r="C7" t="s">
        <v>616</v>
      </c>
      <c r="D7" t="s">
        <v>617</v>
      </c>
      <c r="E7" s="182">
        <v>211019</v>
      </c>
      <c r="F7" t="s">
        <v>618</v>
      </c>
      <c r="G7" t="s">
        <v>619</v>
      </c>
      <c r="H7" s="118" t="s">
        <v>620</v>
      </c>
      <c r="I7" t="s">
        <v>628</v>
      </c>
      <c r="J7" t="s">
        <v>622</v>
      </c>
      <c r="K7" t="s">
        <v>629</v>
      </c>
      <c r="L7" s="196" t="str">
        <f>'common foods'!C77</f>
        <v>Yoghurt, natural, low-fat</v>
      </c>
      <c r="M7" s="183" t="s">
        <v>170</v>
      </c>
      <c r="N7" t="s">
        <v>630</v>
      </c>
      <c r="O7" t="s">
        <v>625</v>
      </c>
      <c r="P7">
        <v>750</v>
      </c>
      <c r="Q7" t="s">
        <v>626</v>
      </c>
      <c r="R7" s="184">
        <v>3</v>
      </c>
      <c r="S7" s="184">
        <v>0.4</v>
      </c>
      <c r="T7" s="184">
        <f t="shared" si="0"/>
        <v>0.4</v>
      </c>
    </row>
    <row r="8" spans="1:21" x14ac:dyDescent="0.25">
      <c r="A8" s="117" t="s">
        <v>614</v>
      </c>
      <c r="B8" s="117" t="s">
        <v>615</v>
      </c>
      <c r="C8" t="s">
        <v>616</v>
      </c>
      <c r="D8" t="s">
        <v>617</v>
      </c>
      <c r="E8" s="182">
        <v>211019</v>
      </c>
      <c r="F8" t="s">
        <v>618</v>
      </c>
      <c r="G8" t="s">
        <v>619</v>
      </c>
      <c r="H8" s="118" t="s">
        <v>620</v>
      </c>
      <c r="I8" t="s">
        <v>621</v>
      </c>
      <c r="J8" t="s">
        <v>622</v>
      </c>
      <c r="K8" t="s">
        <v>629</v>
      </c>
      <c r="L8" s="196" t="str">
        <f>'common foods'!C74</f>
        <v>Milk, trim</v>
      </c>
      <c r="M8" s="183" t="str">
        <f>'common foods'!D74</f>
        <v>04059</v>
      </c>
      <c r="N8" t="s">
        <v>631</v>
      </c>
      <c r="O8" t="s">
        <v>632</v>
      </c>
      <c r="P8">
        <v>2000</v>
      </c>
      <c r="Q8" t="s">
        <v>626</v>
      </c>
      <c r="R8" s="184">
        <v>3.41</v>
      </c>
      <c r="S8" s="184">
        <v>0.17100000000000001</v>
      </c>
      <c r="T8" s="184">
        <f t="shared" si="0"/>
        <v>0.17100000000000001</v>
      </c>
    </row>
    <row r="9" spans="1:21" x14ac:dyDescent="0.25">
      <c r="A9" s="117" t="s">
        <v>614</v>
      </c>
      <c r="B9" s="117" t="s">
        <v>615</v>
      </c>
      <c r="C9" t="s">
        <v>616</v>
      </c>
      <c r="D9" t="s">
        <v>617</v>
      </c>
      <c r="E9" s="182">
        <v>211019</v>
      </c>
      <c r="F9" t="s">
        <v>618</v>
      </c>
      <c r="G9" t="s">
        <v>619</v>
      </c>
      <c r="H9" s="118" t="s">
        <v>620</v>
      </c>
      <c r="I9" t="s">
        <v>627</v>
      </c>
      <c r="J9" t="s">
        <v>622</v>
      </c>
      <c r="K9" t="s">
        <v>629</v>
      </c>
      <c r="L9" s="196" t="str">
        <f>'common foods'!C74</f>
        <v>Milk, trim</v>
      </c>
      <c r="M9" s="183" t="s">
        <v>163</v>
      </c>
      <c r="N9" t="s">
        <v>631</v>
      </c>
      <c r="O9" t="s">
        <v>632</v>
      </c>
      <c r="P9">
        <v>2000</v>
      </c>
      <c r="Q9" t="s">
        <v>626</v>
      </c>
      <c r="R9" s="184">
        <v>3.46</v>
      </c>
      <c r="S9" s="184">
        <v>0.17299999999999999</v>
      </c>
      <c r="T9" s="184">
        <f t="shared" si="0"/>
        <v>0.17299999999999999</v>
      </c>
    </row>
    <row r="10" spans="1:21" x14ac:dyDescent="0.25">
      <c r="A10" s="117" t="s">
        <v>614</v>
      </c>
      <c r="B10" s="117" t="s">
        <v>615</v>
      </c>
      <c r="C10" t="s">
        <v>616</v>
      </c>
      <c r="D10" t="s">
        <v>617</v>
      </c>
      <c r="E10" s="182">
        <v>211019</v>
      </c>
      <c r="F10" t="s">
        <v>618</v>
      </c>
      <c r="G10" t="s">
        <v>619</v>
      </c>
      <c r="H10" s="118" t="s">
        <v>620</v>
      </c>
      <c r="I10" t="s">
        <v>628</v>
      </c>
      <c r="J10" t="s">
        <v>622</v>
      </c>
      <c r="K10" t="s">
        <v>629</v>
      </c>
      <c r="L10" s="196" t="str">
        <f>'common foods'!C74</f>
        <v>Milk, trim</v>
      </c>
      <c r="M10" s="183" t="s">
        <v>163</v>
      </c>
      <c r="N10" t="s">
        <v>628</v>
      </c>
      <c r="O10" t="s">
        <v>632</v>
      </c>
      <c r="P10">
        <v>2000</v>
      </c>
      <c r="Q10" t="s">
        <v>626</v>
      </c>
      <c r="R10" s="184">
        <v>3.46</v>
      </c>
      <c r="S10" s="184">
        <v>0.17299999999999999</v>
      </c>
      <c r="T10" s="184">
        <f t="shared" si="0"/>
        <v>0.17299999999999999</v>
      </c>
    </row>
    <row r="11" spans="1:21" x14ac:dyDescent="0.25">
      <c r="A11" s="117" t="s">
        <v>614</v>
      </c>
      <c r="B11" s="117" t="s">
        <v>615</v>
      </c>
      <c r="C11" t="s">
        <v>616</v>
      </c>
      <c r="D11" t="s">
        <v>617</v>
      </c>
      <c r="E11" s="182">
        <v>211019</v>
      </c>
      <c r="F11" t="s">
        <v>618</v>
      </c>
      <c r="G11" t="s">
        <v>619</v>
      </c>
      <c r="H11" s="118" t="s">
        <v>620</v>
      </c>
      <c r="I11" t="s">
        <v>621</v>
      </c>
      <c r="J11" t="s">
        <v>622</v>
      </c>
      <c r="K11" t="s">
        <v>633</v>
      </c>
      <c r="L11" s="196" t="str">
        <f>'common foods'!C5</f>
        <v>Kiwifruit, fresh</v>
      </c>
      <c r="M11" s="183" t="str">
        <f>'common foods'!D5</f>
        <v>01004</v>
      </c>
      <c r="N11" t="s">
        <v>619</v>
      </c>
      <c r="O11" t="s">
        <v>619</v>
      </c>
      <c r="P11">
        <v>1000</v>
      </c>
      <c r="Q11" t="s">
        <v>626</v>
      </c>
      <c r="R11" s="184">
        <v>3.99</v>
      </c>
      <c r="S11" s="184">
        <v>0.39900000000000002</v>
      </c>
      <c r="T11" s="184">
        <f>S11/0.75</f>
        <v>0.53200000000000003</v>
      </c>
    </row>
    <row r="12" spans="1:21" x14ac:dyDescent="0.25">
      <c r="A12" s="117" t="s">
        <v>614</v>
      </c>
      <c r="B12" s="117" t="s">
        <v>615</v>
      </c>
      <c r="C12" t="s">
        <v>616</v>
      </c>
      <c r="D12" t="s">
        <v>617</v>
      </c>
      <c r="E12" s="182">
        <v>211019</v>
      </c>
      <c r="F12" t="s">
        <v>618</v>
      </c>
      <c r="G12" t="s">
        <v>619</v>
      </c>
      <c r="H12" s="118" t="s">
        <v>620</v>
      </c>
      <c r="I12" t="s">
        <v>627</v>
      </c>
      <c r="J12" t="s">
        <v>622</v>
      </c>
      <c r="K12" t="s">
        <v>633</v>
      </c>
      <c r="L12" s="196" t="s">
        <v>18</v>
      </c>
      <c r="M12" s="183" t="s">
        <v>19</v>
      </c>
      <c r="N12" t="s">
        <v>631</v>
      </c>
      <c r="O12" t="s">
        <v>632</v>
      </c>
      <c r="P12">
        <v>1500</v>
      </c>
      <c r="Q12" t="s">
        <v>626</v>
      </c>
      <c r="R12" s="184">
        <v>3.99</v>
      </c>
      <c r="S12" s="184">
        <f>R12/15</f>
        <v>0.26600000000000001</v>
      </c>
      <c r="T12" s="184">
        <f>S12/0.75</f>
        <v>0.35466666666666669</v>
      </c>
    </row>
    <row r="13" spans="1:21" x14ac:dyDescent="0.25">
      <c r="A13" s="117" t="s">
        <v>614</v>
      </c>
      <c r="B13" s="117" t="s">
        <v>615</v>
      </c>
      <c r="C13" t="s">
        <v>616</v>
      </c>
      <c r="D13" t="s">
        <v>617</v>
      </c>
      <c r="E13" s="182">
        <v>211019</v>
      </c>
      <c r="F13" t="s">
        <v>618</v>
      </c>
      <c r="G13" t="s">
        <v>619</v>
      </c>
      <c r="H13" s="118" t="s">
        <v>620</v>
      </c>
      <c r="I13" t="s">
        <v>628</v>
      </c>
      <c r="J13" t="s">
        <v>622</v>
      </c>
      <c r="K13" t="s">
        <v>633</v>
      </c>
      <c r="L13" s="196" t="s">
        <v>18</v>
      </c>
      <c r="M13" s="183" t="s">
        <v>19</v>
      </c>
      <c r="N13" t="s">
        <v>634</v>
      </c>
      <c r="O13" t="s">
        <v>625</v>
      </c>
      <c r="P13">
        <v>680</v>
      </c>
      <c r="Q13" t="s">
        <v>626</v>
      </c>
      <c r="R13" s="184">
        <v>3.5</v>
      </c>
      <c r="S13" s="184">
        <f>R13/6.8</f>
        <v>0.51470588235294124</v>
      </c>
      <c r="T13" s="184">
        <f>S13/0.75</f>
        <v>0.68627450980392168</v>
      </c>
    </row>
    <row r="14" spans="1:21" x14ac:dyDescent="0.25">
      <c r="A14" s="117" t="s">
        <v>614</v>
      </c>
      <c r="B14" s="117" t="s">
        <v>615</v>
      </c>
      <c r="C14" t="s">
        <v>616</v>
      </c>
      <c r="D14" t="s">
        <v>617</v>
      </c>
      <c r="E14" s="182">
        <v>211019</v>
      </c>
      <c r="F14" t="s">
        <v>618</v>
      </c>
      <c r="G14" t="s">
        <v>619</v>
      </c>
      <c r="H14" s="118" t="s">
        <v>620</v>
      </c>
      <c r="I14" t="s">
        <v>621</v>
      </c>
      <c r="J14" t="s">
        <v>622</v>
      </c>
      <c r="K14" t="s">
        <v>635</v>
      </c>
      <c r="L14" s="196" t="str">
        <f>'common foods'!C114</f>
        <v>Pumpkin seeds</v>
      </c>
      <c r="M14" s="183" t="str">
        <f>'common foods'!D114</f>
        <v>05101</v>
      </c>
      <c r="N14" t="s">
        <v>631</v>
      </c>
      <c r="O14" t="s">
        <v>632</v>
      </c>
      <c r="P14">
        <v>300</v>
      </c>
      <c r="Q14" t="s">
        <v>626</v>
      </c>
      <c r="R14" s="184">
        <v>4.5</v>
      </c>
      <c r="S14" s="184">
        <v>1.5</v>
      </c>
      <c r="T14" s="198">
        <f t="shared" ref="T14:T19" si="1">S14*1</f>
        <v>1.5</v>
      </c>
    </row>
    <row r="15" spans="1:21" x14ac:dyDescent="0.25">
      <c r="A15" s="117" t="s">
        <v>614</v>
      </c>
      <c r="B15" s="117" t="s">
        <v>615</v>
      </c>
      <c r="C15" t="s">
        <v>616</v>
      </c>
      <c r="D15" t="s">
        <v>617</v>
      </c>
      <c r="E15" s="182">
        <v>211019</v>
      </c>
      <c r="F15" t="s">
        <v>618</v>
      </c>
      <c r="G15" t="s">
        <v>619</v>
      </c>
      <c r="H15" s="118" t="s">
        <v>620</v>
      </c>
      <c r="I15" t="s">
        <v>627</v>
      </c>
      <c r="J15" t="s">
        <v>622</v>
      </c>
      <c r="K15" t="s">
        <v>635</v>
      </c>
      <c r="L15" s="196" t="str">
        <f>'common foods'!C114</f>
        <v>Pumpkin seeds</v>
      </c>
      <c r="M15" s="183" t="str">
        <f>'common foods'!D114</f>
        <v>05101</v>
      </c>
      <c r="N15" t="s">
        <v>636</v>
      </c>
      <c r="O15" t="s">
        <v>632</v>
      </c>
      <c r="P15">
        <v>70</v>
      </c>
      <c r="Q15" t="s">
        <v>626</v>
      </c>
      <c r="R15" s="184">
        <v>1.49</v>
      </c>
      <c r="S15" s="184">
        <v>2.1</v>
      </c>
      <c r="T15" s="198">
        <f t="shared" si="1"/>
        <v>2.1</v>
      </c>
    </row>
    <row r="16" spans="1:21" x14ac:dyDescent="0.25">
      <c r="A16" s="117" t="s">
        <v>614</v>
      </c>
      <c r="B16" s="117" t="s">
        <v>615</v>
      </c>
      <c r="C16" t="s">
        <v>616</v>
      </c>
      <c r="D16" t="s">
        <v>617</v>
      </c>
      <c r="E16" s="182">
        <v>211019</v>
      </c>
      <c r="F16" t="s">
        <v>618</v>
      </c>
      <c r="G16" t="s">
        <v>619</v>
      </c>
      <c r="H16" s="118" t="s">
        <v>620</v>
      </c>
      <c r="I16" t="s">
        <v>628</v>
      </c>
      <c r="J16" t="s">
        <v>622</v>
      </c>
      <c r="K16" t="s">
        <v>635</v>
      </c>
      <c r="L16" s="196" t="str">
        <f>'common foods'!C114</f>
        <v>Pumpkin seeds</v>
      </c>
      <c r="M16" s="183" t="str">
        <f>'common foods'!D114</f>
        <v>05101</v>
      </c>
      <c r="N16" t="s">
        <v>637</v>
      </c>
      <c r="O16" t="s">
        <v>625</v>
      </c>
      <c r="P16">
        <v>375</v>
      </c>
      <c r="Q16" t="s">
        <v>626</v>
      </c>
      <c r="R16" s="184">
        <v>5</v>
      </c>
      <c r="S16" s="184">
        <v>1.33</v>
      </c>
      <c r="T16" s="198">
        <f t="shared" si="1"/>
        <v>1.33</v>
      </c>
    </row>
    <row r="17" spans="1:20" x14ac:dyDescent="0.25">
      <c r="A17" s="117" t="s">
        <v>614</v>
      </c>
      <c r="B17" s="117" t="s">
        <v>615</v>
      </c>
      <c r="C17" t="s">
        <v>616</v>
      </c>
      <c r="D17" t="s">
        <v>617</v>
      </c>
      <c r="E17" s="182">
        <v>211019</v>
      </c>
      <c r="F17" t="s">
        <v>618</v>
      </c>
      <c r="G17" t="s">
        <v>619</v>
      </c>
      <c r="H17" s="118" t="s">
        <v>620</v>
      </c>
      <c r="I17" t="s">
        <v>621</v>
      </c>
      <c r="J17" t="s">
        <v>622</v>
      </c>
      <c r="K17" t="s">
        <v>623</v>
      </c>
      <c r="L17" s="196" t="str">
        <f>'common foods'!C49</f>
        <v>Bread, multigrain</v>
      </c>
      <c r="M17" s="183" t="str">
        <f>'common foods'!D49</f>
        <v>03038</v>
      </c>
      <c r="N17" t="s">
        <v>638</v>
      </c>
      <c r="O17" t="s">
        <v>625</v>
      </c>
      <c r="P17">
        <v>700</v>
      </c>
      <c r="Q17" t="s">
        <v>626</v>
      </c>
      <c r="R17" s="184">
        <v>3.2</v>
      </c>
      <c r="S17" s="184">
        <v>0.46</v>
      </c>
      <c r="T17" s="184">
        <f t="shared" si="1"/>
        <v>0.46</v>
      </c>
    </row>
    <row r="18" spans="1:20" x14ac:dyDescent="0.25">
      <c r="A18" s="117" t="s">
        <v>614</v>
      </c>
      <c r="B18" s="117" t="s">
        <v>615</v>
      </c>
      <c r="C18" t="s">
        <v>616</v>
      </c>
      <c r="D18" t="s">
        <v>617</v>
      </c>
      <c r="E18" s="182">
        <v>211019</v>
      </c>
      <c r="F18" t="s">
        <v>618</v>
      </c>
      <c r="G18" t="s">
        <v>619</v>
      </c>
      <c r="H18" s="118" t="s">
        <v>620</v>
      </c>
      <c r="I18" t="s">
        <v>627</v>
      </c>
      <c r="J18" t="s">
        <v>622</v>
      </c>
      <c r="K18" t="s">
        <v>623</v>
      </c>
      <c r="L18" s="196" t="str">
        <f>'common foods'!C49</f>
        <v>Bread, multigrain</v>
      </c>
      <c r="M18" s="183" t="s">
        <v>112</v>
      </c>
      <c r="N18" t="s">
        <v>638</v>
      </c>
      <c r="O18" t="s">
        <v>625</v>
      </c>
      <c r="P18">
        <v>700</v>
      </c>
      <c r="Q18" t="s">
        <v>626</v>
      </c>
      <c r="R18" s="184">
        <v>3.19</v>
      </c>
      <c r="S18" s="184">
        <f>R18/7</f>
        <v>0.45571428571428568</v>
      </c>
      <c r="T18" s="184">
        <f t="shared" si="1"/>
        <v>0.45571428571428568</v>
      </c>
    </row>
    <row r="19" spans="1:20" x14ac:dyDescent="0.25">
      <c r="A19" s="117" t="s">
        <v>614</v>
      </c>
      <c r="B19" s="117" t="s">
        <v>615</v>
      </c>
      <c r="C19" t="s">
        <v>616</v>
      </c>
      <c r="D19" t="s">
        <v>617</v>
      </c>
      <c r="E19" s="182">
        <v>211019</v>
      </c>
      <c r="F19" t="s">
        <v>618</v>
      </c>
      <c r="G19" t="s">
        <v>619</v>
      </c>
      <c r="H19" s="118" t="s">
        <v>620</v>
      </c>
      <c r="I19" t="s">
        <v>628</v>
      </c>
      <c r="J19" t="s">
        <v>622</v>
      </c>
      <c r="K19" t="s">
        <v>623</v>
      </c>
      <c r="L19" s="196" t="str">
        <f>'common foods'!C49</f>
        <v>Bread, multigrain</v>
      </c>
      <c r="M19" s="183" t="s">
        <v>112</v>
      </c>
      <c r="N19" t="s">
        <v>638</v>
      </c>
      <c r="O19" t="s">
        <v>625</v>
      </c>
      <c r="P19">
        <v>700</v>
      </c>
      <c r="Q19" t="s">
        <v>626</v>
      </c>
      <c r="R19" s="184">
        <v>3.3</v>
      </c>
      <c r="S19" s="184">
        <v>0.47</v>
      </c>
      <c r="T19" s="184">
        <f t="shared" si="1"/>
        <v>0.47</v>
      </c>
    </row>
    <row r="20" spans="1:20" x14ac:dyDescent="0.25">
      <c r="A20" s="117" t="s">
        <v>614</v>
      </c>
      <c r="B20" s="117" t="s">
        <v>615</v>
      </c>
      <c r="C20" t="s">
        <v>616</v>
      </c>
      <c r="D20" t="s">
        <v>617</v>
      </c>
      <c r="E20" s="182">
        <v>211019</v>
      </c>
      <c r="F20" t="s">
        <v>618</v>
      </c>
      <c r="G20" t="s">
        <v>619</v>
      </c>
      <c r="H20" s="118" t="s">
        <v>620</v>
      </c>
      <c r="I20" t="s">
        <v>621</v>
      </c>
      <c r="J20" t="s">
        <v>622</v>
      </c>
      <c r="K20" t="s">
        <v>639</v>
      </c>
      <c r="L20" s="196" t="str">
        <f>'common foods'!C24</f>
        <v>Cucumber, fresh</v>
      </c>
      <c r="M20" s="183" t="str">
        <f>'common foods'!D24</f>
        <v>02019</v>
      </c>
      <c r="N20" t="s">
        <v>619</v>
      </c>
      <c r="O20" t="s">
        <v>619</v>
      </c>
      <c r="P20" s="199">
        <v>400</v>
      </c>
      <c r="Q20" t="s">
        <v>626</v>
      </c>
      <c r="R20" s="184">
        <v>1.99</v>
      </c>
      <c r="S20" s="184">
        <f>R20/4</f>
        <v>0.4975</v>
      </c>
      <c r="T20" s="184">
        <f>S20/0.97</f>
        <v>0.5128865979381444</v>
      </c>
    </row>
    <row r="21" spans="1:20" x14ac:dyDescent="0.25">
      <c r="A21" s="117" t="s">
        <v>614</v>
      </c>
      <c r="B21" s="117" t="s">
        <v>615</v>
      </c>
      <c r="C21" t="s">
        <v>616</v>
      </c>
      <c r="D21" t="s">
        <v>617</v>
      </c>
      <c r="E21" s="182">
        <v>211019</v>
      </c>
      <c r="F21" t="s">
        <v>618</v>
      </c>
      <c r="G21" t="s">
        <v>619</v>
      </c>
      <c r="H21" s="118" t="s">
        <v>620</v>
      </c>
      <c r="I21" t="s">
        <v>627</v>
      </c>
      <c r="J21" t="s">
        <v>622</v>
      </c>
      <c r="K21" t="s">
        <v>639</v>
      </c>
      <c r="L21" s="196" t="str">
        <f>'common foods'!C24</f>
        <v>Cucumber, fresh</v>
      </c>
      <c r="M21" s="183" t="s">
        <v>61</v>
      </c>
      <c r="N21" t="s">
        <v>619</v>
      </c>
      <c r="O21" t="s">
        <v>619</v>
      </c>
      <c r="P21" s="199">
        <v>400</v>
      </c>
      <c r="Q21" t="s">
        <v>626</v>
      </c>
      <c r="R21" s="184">
        <v>2.4900000000000002</v>
      </c>
      <c r="S21" s="184">
        <f>R21/4</f>
        <v>0.62250000000000005</v>
      </c>
      <c r="T21" s="184">
        <f>S21/0.97</f>
        <v>0.64175257731958768</v>
      </c>
    </row>
    <row r="22" spans="1:20" x14ac:dyDescent="0.25">
      <c r="A22" s="117" t="s">
        <v>614</v>
      </c>
      <c r="B22" s="117" t="s">
        <v>615</v>
      </c>
      <c r="C22" t="s">
        <v>616</v>
      </c>
      <c r="D22" t="s">
        <v>617</v>
      </c>
      <c r="E22" s="182">
        <v>211019</v>
      </c>
      <c r="F22" t="s">
        <v>618</v>
      </c>
      <c r="G22" t="s">
        <v>619</v>
      </c>
      <c r="H22" s="118" t="s">
        <v>620</v>
      </c>
      <c r="I22" t="s">
        <v>628</v>
      </c>
      <c r="J22" t="s">
        <v>622</v>
      </c>
      <c r="K22" t="s">
        <v>639</v>
      </c>
      <c r="L22" s="196" t="str">
        <f>'common foods'!C24</f>
        <v>Cucumber, fresh</v>
      </c>
      <c r="M22" s="183" t="s">
        <v>61</v>
      </c>
      <c r="N22" t="s">
        <v>619</v>
      </c>
      <c r="O22" t="s">
        <v>619</v>
      </c>
      <c r="P22" s="199">
        <v>400</v>
      </c>
      <c r="Q22" t="s">
        <v>626</v>
      </c>
      <c r="R22" s="184">
        <v>2</v>
      </c>
      <c r="S22" s="184">
        <f>R22/4</f>
        <v>0.5</v>
      </c>
      <c r="T22" s="184">
        <f>S22/0.97</f>
        <v>0.51546391752577325</v>
      </c>
    </row>
    <row r="23" spans="1:20" x14ac:dyDescent="0.25">
      <c r="A23" s="117" t="s">
        <v>614</v>
      </c>
      <c r="B23" s="117" t="s">
        <v>615</v>
      </c>
      <c r="C23" t="s">
        <v>616</v>
      </c>
      <c r="D23" t="s">
        <v>617</v>
      </c>
      <c r="E23" s="182">
        <v>211019</v>
      </c>
      <c r="F23" t="s">
        <v>618</v>
      </c>
      <c r="G23" t="s">
        <v>619</v>
      </c>
      <c r="H23" s="118" t="s">
        <v>620</v>
      </c>
      <c r="I23" t="s">
        <v>621</v>
      </c>
      <c r="J23" t="s">
        <v>622</v>
      </c>
      <c r="K23" t="s">
        <v>635</v>
      </c>
      <c r="L23" s="196" t="str">
        <f>'common foods'!C108</f>
        <v>Hummus dip</v>
      </c>
      <c r="M23" s="183" t="str">
        <f>'common foods'!D108</f>
        <v>05083</v>
      </c>
      <c r="N23" t="s">
        <v>640</v>
      </c>
      <c r="O23" t="s">
        <v>625</v>
      </c>
      <c r="P23">
        <v>1000</v>
      </c>
      <c r="Q23" t="s">
        <v>626</v>
      </c>
      <c r="R23" s="184">
        <v>7.2</v>
      </c>
      <c r="S23" s="184">
        <v>0.72</v>
      </c>
      <c r="T23" s="184">
        <f t="shared" ref="T23:T31" si="2">S23*1</f>
        <v>0.72</v>
      </c>
    </row>
    <row r="24" spans="1:20" x14ac:dyDescent="0.25">
      <c r="A24" s="117" t="s">
        <v>614</v>
      </c>
      <c r="B24" s="117" t="s">
        <v>615</v>
      </c>
      <c r="C24" t="s">
        <v>616</v>
      </c>
      <c r="D24" t="s">
        <v>617</v>
      </c>
      <c r="E24" s="182">
        <v>211019</v>
      </c>
      <c r="F24" t="s">
        <v>618</v>
      </c>
      <c r="G24" t="s">
        <v>619</v>
      </c>
      <c r="H24" s="118" t="s">
        <v>620</v>
      </c>
      <c r="I24" t="s">
        <v>627</v>
      </c>
      <c r="J24" t="s">
        <v>622</v>
      </c>
      <c r="K24" t="s">
        <v>635</v>
      </c>
      <c r="L24" s="196" t="str">
        <f>'common foods'!C108</f>
        <v>Hummus dip</v>
      </c>
      <c r="M24" s="183" t="s">
        <v>234</v>
      </c>
      <c r="N24" t="s">
        <v>640</v>
      </c>
      <c r="O24" t="s">
        <v>625</v>
      </c>
      <c r="P24">
        <v>1000</v>
      </c>
      <c r="Q24" t="s">
        <v>626</v>
      </c>
      <c r="R24" s="184">
        <v>9.2899999999999991</v>
      </c>
      <c r="S24" s="184">
        <v>0.93</v>
      </c>
      <c r="T24" s="184">
        <f t="shared" si="2"/>
        <v>0.93</v>
      </c>
    </row>
    <row r="25" spans="1:20" x14ac:dyDescent="0.25">
      <c r="A25" s="117" t="s">
        <v>614</v>
      </c>
      <c r="B25" s="117" t="s">
        <v>615</v>
      </c>
      <c r="C25" t="s">
        <v>616</v>
      </c>
      <c r="D25" t="s">
        <v>617</v>
      </c>
      <c r="E25" s="182">
        <v>211019</v>
      </c>
      <c r="F25" t="s">
        <v>618</v>
      </c>
      <c r="G25" t="s">
        <v>619</v>
      </c>
      <c r="H25" s="118" t="s">
        <v>620</v>
      </c>
      <c r="I25" t="s">
        <v>628</v>
      </c>
      <c r="J25" t="s">
        <v>622</v>
      </c>
      <c r="K25" t="s">
        <v>635</v>
      </c>
      <c r="L25" s="196" t="str">
        <f>'common foods'!C108</f>
        <v>Hummus dip</v>
      </c>
      <c r="M25" s="183" t="s">
        <v>234</v>
      </c>
      <c r="N25" t="s">
        <v>640</v>
      </c>
      <c r="O25" t="s">
        <v>625</v>
      </c>
      <c r="P25">
        <v>1000</v>
      </c>
      <c r="Q25" t="s">
        <v>626</v>
      </c>
      <c r="R25" s="184">
        <v>8.99</v>
      </c>
      <c r="S25" s="184">
        <v>0.9</v>
      </c>
      <c r="T25" s="184">
        <f t="shared" si="2"/>
        <v>0.9</v>
      </c>
    </row>
    <row r="26" spans="1:20" x14ac:dyDescent="0.25">
      <c r="A26" s="117" t="s">
        <v>614</v>
      </c>
      <c r="B26" s="117" t="s">
        <v>615</v>
      </c>
      <c r="C26" t="s">
        <v>616</v>
      </c>
      <c r="D26" t="s">
        <v>617</v>
      </c>
      <c r="E26" s="182">
        <v>211019</v>
      </c>
      <c r="F26" t="s">
        <v>618</v>
      </c>
      <c r="G26" t="s">
        <v>619</v>
      </c>
      <c r="H26" s="118" t="s">
        <v>620</v>
      </c>
      <c r="I26" t="s">
        <v>621</v>
      </c>
      <c r="J26" t="s">
        <v>622</v>
      </c>
      <c r="K26" t="s">
        <v>639</v>
      </c>
      <c r="L26" s="196" t="str">
        <f>'common foods'!C31</f>
        <v>Tomatoes, fresh</v>
      </c>
      <c r="M26" s="183" t="str">
        <f>'common foods'!D31</f>
        <v>02030</v>
      </c>
      <c r="N26" t="s">
        <v>619</v>
      </c>
      <c r="O26" t="s">
        <v>619</v>
      </c>
      <c r="P26">
        <v>1000</v>
      </c>
      <c r="Q26" t="s">
        <v>626</v>
      </c>
      <c r="R26" s="184">
        <v>5.99</v>
      </c>
      <c r="S26" s="184">
        <f t="shared" ref="S26:S31" si="3">R26/10</f>
        <v>0.59899999999999998</v>
      </c>
      <c r="T26" s="184">
        <f t="shared" si="2"/>
        <v>0.59899999999999998</v>
      </c>
    </row>
    <row r="27" spans="1:20" x14ac:dyDescent="0.25">
      <c r="A27" s="117" t="s">
        <v>614</v>
      </c>
      <c r="B27" s="117" t="s">
        <v>615</v>
      </c>
      <c r="C27" t="s">
        <v>616</v>
      </c>
      <c r="D27" t="s">
        <v>617</v>
      </c>
      <c r="E27" s="182">
        <v>211019</v>
      </c>
      <c r="F27" t="s">
        <v>618</v>
      </c>
      <c r="G27" t="s">
        <v>619</v>
      </c>
      <c r="H27" s="118" t="s">
        <v>620</v>
      </c>
      <c r="I27" t="s">
        <v>627</v>
      </c>
      <c r="J27" t="s">
        <v>622</v>
      </c>
      <c r="K27" t="s">
        <v>639</v>
      </c>
      <c r="L27" s="196" t="str">
        <f>'common foods'!C31</f>
        <v>Tomatoes, fresh</v>
      </c>
      <c r="M27" s="183" t="s">
        <v>75</v>
      </c>
      <c r="N27" t="s">
        <v>619</v>
      </c>
      <c r="O27" t="s">
        <v>619</v>
      </c>
      <c r="P27">
        <v>1000</v>
      </c>
      <c r="Q27" t="s">
        <v>626</v>
      </c>
      <c r="R27" s="184">
        <v>4.99</v>
      </c>
      <c r="S27" s="184">
        <f t="shared" si="3"/>
        <v>0.499</v>
      </c>
      <c r="T27" s="184">
        <f t="shared" si="2"/>
        <v>0.499</v>
      </c>
    </row>
    <row r="28" spans="1:20" x14ac:dyDescent="0.25">
      <c r="A28" s="117" t="s">
        <v>614</v>
      </c>
      <c r="B28" s="117" t="s">
        <v>615</v>
      </c>
      <c r="C28" t="s">
        <v>616</v>
      </c>
      <c r="D28" t="s">
        <v>617</v>
      </c>
      <c r="E28" s="182">
        <v>211019</v>
      </c>
      <c r="F28" t="s">
        <v>618</v>
      </c>
      <c r="G28" t="s">
        <v>619</v>
      </c>
      <c r="H28" s="118" t="s">
        <v>620</v>
      </c>
      <c r="I28" t="s">
        <v>628</v>
      </c>
      <c r="J28" t="s">
        <v>622</v>
      </c>
      <c r="K28" t="s">
        <v>639</v>
      </c>
      <c r="L28" s="196" t="str">
        <f>'common foods'!C31</f>
        <v>Tomatoes, fresh</v>
      </c>
      <c r="M28" s="183" t="s">
        <v>75</v>
      </c>
      <c r="N28" t="s">
        <v>619</v>
      </c>
      <c r="O28" t="s">
        <v>619</v>
      </c>
      <c r="P28">
        <v>1000</v>
      </c>
      <c r="Q28" t="s">
        <v>626</v>
      </c>
      <c r="R28" s="184">
        <v>6.49</v>
      </c>
      <c r="S28" s="184">
        <f t="shared" si="3"/>
        <v>0.64900000000000002</v>
      </c>
      <c r="T28" s="184">
        <f t="shared" si="2"/>
        <v>0.64900000000000002</v>
      </c>
    </row>
    <row r="29" spans="1:20" x14ac:dyDescent="0.25">
      <c r="A29" s="117" t="s">
        <v>614</v>
      </c>
      <c r="B29" s="117" t="s">
        <v>615</v>
      </c>
      <c r="C29" t="s">
        <v>616</v>
      </c>
      <c r="D29" t="s">
        <v>617</v>
      </c>
      <c r="E29" s="182">
        <v>211019</v>
      </c>
      <c r="F29" t="s">
        <v>618</v>
      </c>
      <c r="G29" t="s">
        <v>619</v>
      </c>
      <c r="H29" s="118" t="s">
        <v>620</v>
      </c>
      <c r="I29" t="s">
        <v>621</v>
      </c>
      <c r="J29" t="s">
        <v>622</v>
      </c>
      <c r="K29" t="s">
        <v>633</v>
      </c>
      <c r="L29" s="196" t="str">
        <f>'common foods'!C3</f>
        <v>Bananas, fresh</v>
      </c>
      <c r="M29" s="183" t="str">
        <f>'common foods'!D3</f>
        <v>01002</v>
      </c>
      <c r="N29" t="s">
        <v>619</v>
      </c>
      <c r="O29" t="s">
        <v>619</v>
      </c>
      <c r="P29">
        <v>1000</v>
      </c>
      <c r="Q29" t="s">
        <v>626</v>
      </c>
      <c r="R29" s="184">
        <v>2.29</v>
      </c>
      <c r="S29" s="184">
        <f t="shared" si="3"/>
        <v>0.22900000000000001</v>
      </c>
      <c r="T29" s="184">
        <f t="shared" si="2"/>
        <v>0.22900000000000001</v>
      </c>
    </row>
    <row r="30" spans="1:20" x14ac:dyDescent="0.25">
      <c r="A30" s="117" t="s">
        <v>614</v>
      </c>
      <c r="B30" s="117" t="s">
        <v>615</v>
      </c>
      <c r="C30" t="s">
        <v>616</v>
      </c>
      <c r="D30" t="s">
        <v>617</v>
      </c>
      <c r="E30" s="182">
        <v>211019</v>
      </c>
      <c r="F30" t="s">
        <v>618</v>
      </c>
      <c r="G30" t="s">
        <v>619</v>
      </c>
      <c r="H30" s="118" t="s">
        <v>620</v>
      </c>
      <c r="I30" t="s">
        <v>627</v>
      </c>
      <c r="J30" t="s">
        <v>622</v>
      </c>
      <c r="K30" t="s">
        <v>633</v>
      </c>
      <c r="L30" s="196" t="str">
        <f>'common foods'!C3</f>
        <v>Bananas, fresh</v>
      </c>
      <c r="M30" s="183" t="s">
        <v>15</v>
      </c>
      <c r="N30" t="s">
        <v>619</v>
      </c>
      <c r="O30" t="s">
        <v>619</v>
      </c>
      <c r="P30">
        <v>1000</v>
      </c>
      <c r="Q30" t="s">
        <v>626</v>
      </c>
      <c r="R30" s="184">
        <v>2.99</v>
      </c>
      <c r="S30" s="184">
        <f t="shared" si="3"/>
        <v>0.29900000000000004</v>
      </c>
      <c r="T30" s="184">
        <f t="shared" si="2"/>
        <v>0.29900000000000004</v>
      </c>
    </row>
    <row r="31" spans="1:20" x14ac:dyDescent="0.25">
      <c r="A31" s="117" t="s">
        <v>614</v>
      </c>
      <c r="B31" s="117" t="s">
        <v>615</v>
      </c>
      <c r="C31" t="s">
        <v>616</v>
      </c>
      <c r="D31" t="s">
        <v>617</v>
      </c>
      <c r="E31" s="182">
        <v>211019</v>
      </c>
      <c r="F31" t="s">
        <v>618</v>
      </c>
      <c r="G31" t="s">
        <v>619</v>
      </c>
      <c r="H31" s="118" t="s">
        <v>620</v>
      </c>
      <c r="I31" t="s">
        <v>628</v>
      </c>
      <c r="J31" t="s">
        <v>622</v>
      </c>
      <c r="K31" t="s">
        <v>633</v>
      </c>
      <c r="L31" s="196" t="str">
        <f>'common foods'!C3</f>
        <v>Bananas, fresh</v>
      </c>
      <c r="M31" s="183" t="s">
        <v>15</v>
      </c>
      <c r="N31" t="s">
        <v>619</v>
      </c>
      <c r="O31" t="s">
        <v>619</v>
      </c>
      <c r="P31">
        <v>1000</v>
      </c>
      <c r="Q31" t="s">
        <v>626</v>
      </c>
      <c r="R31" s="184">
        <v>2.99</v>
      </c>
      <c r="S31" s="184">
        <f t="shared" si="3"/>
        <v>0.29900000000000004</v>
      </c>
      <c r="T31" s="184">
        <f t="shared" si="2"/>
        <v>0.29900000000000004</v>
      </c>
    </row>
    <row r="32" spans="1:20" x14ac:dyDescent="0.25">
      <c r="A32" s="117" t="s">
        <v>614</v>
      </c>
      <c r="B32" s="117" t="s">
        <v>615</v>
      </c>
      <c r="C32" t="s">
        <v>616</v>
      </c>
      <c r="D32" t="s">
        <v>617</v>
      </c>
      <c r="E32" s="182">
        <v>211019</v>
      </c>
      <c r="F32" t="s">
        <v>618</v>
      </c>
      <c r="G32" t="s">
        <v>619</v>
      </c>
      <c r="H32" s="118" t="s">
        <v>620</v>
      </c>
      <c r="I32" t="s">
        <v>621</v>
      </c>
      <c r="J32" t="s">
        <v>622</v>
      </c>
      <c r="K32" t="s">
        <v>635</v>
      </c>
      <c r="L32" s="196" t="str">
        <f>'common foods'!C107</f>
        <v>Chickpeas, canned</v>
      </c>
      <c r="M32" s="183" t="str">
        <f>'common foods'!D107</f>
        <v>05092</v>
      </c>
      <c r="N32" t="s">
        <v>636</v>
      </c>
      <c r="O32" t="s">
        <v>632</v>
      </c>
      <c r="P32">
        <v>400</v>
      </c>
      <c r="Q32" t="s">
        <v>626</v>
      </c>
      <c r="R32" s="184">
        <v>0.99</v>
      </c>
      <c r="S32" s="184">
        <v>0.25</v>
      </c>
      <c r="T32" s="184">
        <f t="shared" ref="T32:T37" si="4">S32/0.6</f>
        <v>0.41666666666666669</v>
      </c>
    </row>
    <row r="33" spans="1:20" x14ac:dyDescent="0.25">
      <c r="A33" s="117" t="s">
        <v>614</v>
      </c>
      <c r="B33" s="117" t="s">
        <v>615</v>
      </c>
      <c r="C33" t="s">
        <v>616</v>
      </c>
      <c r="D33" t="s">
        <v>617</v>
      </c>
      <c r="E33" s="182">
        <v>211019</v>
      </c>
      <c r="F33" t="s">
        <v>618</v>
      </c>
      <c r="G33" t="s">
        <v>619</v>
      </c>
      <c r="H33" s="118" t="s">
        <v>620</v>
      </c>
      <c r="I33" t="s">
        <v>627</v>
      </c>
      <c r="J33" t="s">
        <v>622</v>
      </c>
      <c r="K33" t="s">
        <v>635</v>
      </c>
      <c r="L33" s="196" t="str">
        <f>'common foods'!C107</f>
        <v>Chickpeas, canned</v>
      </c>
      <c r="M33" s="183" t="s">
        <v>232</v>
      </c>
      <c r="N33" t="s">
        <v>463</v>
      </c>
      <c r="O33" t="s">
        <v>625</v>
      </c>
      <c r="P33">
        <v>400</v>
      </c>
      <c r="Q33" t="s">
        <v>626</v>
      </c>
      <c r="R33" s="184">
        <v>1.49</v>
      </c>
      <c r="S33" s="184">
        <v>0.37</v>
      </c>
      <c r="T33" s="184">
        <f t="shared" si="4"/>
        <v>0.6166666666666667</v>
      </c>
    </row>
    <row r="34" spans="1:20" x14ac:dyDescent="0.25">
      <c r="A34" s="117" t="s">
        <v>614</v>
      </c>
      <c r="B34" s="117" t="s">
        <v>615</v>
      </c>
      <c r="C34" t="s">
        <v>616</v>
      </c>
      <c r="D34" t="s">
        <v>617</v>
      </c>
      <c r="E34" s="182">
        <v>211019</v>
      </c>
      <c r="F34" t="s">
        <v>618</v>
      </c>
      <c r="G34" t="s">
        <v>619</v>
      </c>
      <c r="H34" s="118" t="s">
        <v>620</v>
      </c>
      <c r="I34" t="s">
        <v>628</v>
      </c>
      <c r="J34" t="s">
        <v>622</v>
      </c>
      <c r="K34" t="s">
        <v>635</v>
      </c>
      <c r="L34" s="196" t="str">
        <f>'common foods'!C107</f>
        <v>Chickpeas, canned</v>
      </c>
      <c r="M34" s="183" t="s">
        <v>232</v>
      </c>
      <c r="N34" t="s">
        <v>641</v>
      </c>
      <c r="O34" t="s">
        <v>632</v>
      </c>
      <c r="P34">
        <v>420</v>
      </c>
      <c r="Q34" t="s">
        <v>626</v>
      </c>
      <c r="R34" s="184">
        <v>1.2</v>
      </c>
      <c r="S34" s="184">
        <v>0.28999999999999998</v>
      </c>
      <c r="T34" s="184">
        <f t="shared" si="4"/>
        <v>0.48333333333333334</v>
      </c>
    </row>
    <row r="35" spans="1:20" x14ac:dyDescent="0.25">
      <c r="A35" s="117" t="s">
        <v>614</v>
      </c>
      <c r="B35" s="117" t="s">
        <v>615</v>
      </c>
      <c r="C35" t="s">
        <v>616</v>
      </c>
      <c r="D35" t="s">
        <v>617</v>
      </c>
      <c r="E35" s="182">
        <v>211019</v>
      </c>
      <c r="F35" t="s">
        <v>618</v>
      </c>
      <c r="G35" t="s">
        <v>619</v>
      </c>
      <c r="H35" s="118" t="s">
        <v>620</v>
      </c>
      <c r="I35" t="s">
        <v>621</v>
      </c>
      <c r="J35" t="s">
        <v>622</v>
      </c>
      <c r="K35" t="s">
        <v>639</v>
      </c>
      <c r="L35" s="196" t="str">
        <f>'common foods'!C34</f>
        <v>Tomatoes, canned, low salt</v>
      </c>
      <c r="M35" s="183" t="str">
        <f>'common foods'!D34</f>
        <v>02040</v>
      </c>
      <c r="N35" t="s">
        <v>463</v>
      </c>
      <c r="O35" t="s">
        <v>625</v>
      </c>
      <c r="P35">
        <v>400</v>
      </c>
      <c r="Q35" t="s">
        <v>626</v>
      </c>
      <c r="R35" s="184">
        <v>1.59</v>
      </c>
      <c r="S35" s="184">
        <v>0.4</v>
      </c>
      <c r="T35" s="184">
        <f t="shared" si="4"/>
        <v>0.66666666666666674</v>
      </c>
    </row>
    <row r="36" spans="1:20" x14ac:dyDescent="0.25">
      <c r="A36" s="117" t="s">
        <v>614</v>
      </c>
      <c r="B36" s="117" t="s">
        <v>615</v>
      </c>
      <c r="C36" t="s">
        <v>616</v>
      </c>
      <c r="D36" t="s">
        <v>617</v>
      </c>
      <c r="E36" s="182">
        <v>211019</v>
      </c>
      <c r="F36" t="s">
        <v>618</v>
      </c>
      <c r="G36" t="s">
        <v>619</v>
      </c>
      <c r="H36" s="118" t="s">
        <v>620</v>
      </c>
      <c r="I36" t="s">
        <v>627</v>
      </c>
      <c r="J36" t="s">
        <v>622</v>
      </c>
      <c r="K36" t="s">
        <v>639</v>
      </c>
      <c r="L36" s="196" t="str">
        <f>'common foods'!C34</f>
        <v>Tomatoes, canned, low salt</v>
      </c>
      <c r="M36" s="183" t="s">
        <v>81</v>
      </c>
      <c r="N36" t="s">
        <v>463</v>
      </c>
      <c r="O36" t="s">
        <v>625</v>
      </c>
      <c r="P36">
        <v>400</v>
      </c>
      <c r="Q36" t="s">
        <v>626</v>
      </c>
      <c r="R36" s="184">
        <v>2.29</v>
      </c>
      <c r="S36" s="184">
        <v>0.56999999999999995</v>
      </c>
      <c r="T36" s="184">
        <f t="shared" si="4"/>
        <v>0.95</v>
      </c>
    </row>
    <row r="37" spans="1:20" x14ac:dyDescent="0.25">
      <c r="A37" s="117" t="s">
        <v>614</v>
      </c>
      <c r="B37" s="117" t="s">
        <v>615</v>
      </c>
      <c r="C37" t="s">
        <v>616</v>
      </c>
      <c r="D37" t="s">
        <v>617</v>
      </c>
      <c r="E37" s="182">
        <v>211019</v>
      </c>
      <c r="F37" t="s">
        <v>618</v>
      </c>
      <c r="G37" t="s">
        <v>619</v>
      </c>
      <c r="H37" s="118" t="s">
        <v>620</v>
      </c>
      <c r="I37" t="s">
        <v>628</v>
      </c>
      <c r="J37" t="s">
        <v>622</v>
      </c>
      <c r="K37" t="s">
        <v>639</v>
      </c>
      <c r="L37" s="196" t="str">
        <f>'common foods'!C34</f>
        <v>Tomatoes, canned, low salt</v>
      </c>
      <c r="M37" s="183" t="s">
        <v>81</v>
      </c>
      <c r="N37" t="s">
        <v>463</v>
      </c>
      <c r="O37" t="s">
        <v>625</v>
      </c>
      <c r="P37">
        <v>400</v>
      </c>
      <c r="Q37" t="s">
        <v>626</v>
      </c>
      <c r="R37" s="184">
        <v>2</v>
      </c>
      <c r="S37" s="184">
        <v>0.5</v>
      </c>
      <c r="T37" s="184">
        <f t="shared" si="4"/>
        <v>0.83333333333333337</v>
      </c>
    </row>
    <row r="38" spans="1:20" x14ac:dyDescent="0.25">
      <c r="A38" s="117" t="s">
        <v>614</v>
      </c>
      <c r="B38" s="117" t="s">
        <v>615</v>
      </c>
      <c r="C38" t="s">
        <v>616</v>
      </c>
      <c r="D38" t="s">
        <v>617</v>
      </c>
      <c r="E38" s="182">
        <v>211019</v>
      </c>
      <c r="F38" t="s">
        <v>618</v>
      </c>
      <c r="G38" t="s">
        <v>619</v>
      </c>
      <c r="H38" s="118" t="s">
        <v>620</v>
      </c>
      <c r="I38" t="s">
        <v>621</v>
      </c>
      <c r="J38" t="s">
        <v>622</v>
      </c>
      <c r="K38" t="s">
        <v>639</v>
      </c>
      <c r="L38" s="196" t="s">
        <v>100</v>
      </c>
      <c r="M38" s="183" t="str">
        <f>'common foods'!D44</f>
        <v>02047</v>
      </c>
      <c r="N38" t="s">
        <v>636</v>
      </c>
      <c r="O38" t="s">
        <v>632</v>
      </c>
      <c r="P38">
        <v>1000</v>
      </c>
      <c r="Q38" t="s">
        <v>626</v>
      </c>
      <c r="R38" s="184">
        <v>3.49</v>
      </c>
      <c r="S38" s="184">
        <v>0.35</v>
      </c>
      <c r="T38" s="184">
        <f>S38*1</f>
        <v>0.35</v>
      </c>
    </row>
    <row r="39" spans="1:20" x14ac:dyDescent="0.25">
      <c r="A39" s="117" t="s">
        <v>614</v>
      </c>
      <c r="B39" s="117" t="s">
        <v>615</v>
      </c>
      <c r="C39" t="s">
        <v>616</v>
      </c>
      <c r="D39" t="s">
        <v>617</v>
      </c>
      <c r="E39" s="182">
        <v>211019</v>
      </c>
      <c r="F39" t="s">
        <v>618</v>
      </c>
      <c r="G39" t="s">
        <v>619</v>
      </c>
      <c r="H39" s="118" t="s">
        <v>620</v>
      </c>
      <c r="I39" t="s">
        <v>627</v>
      </c>
      <c r="J39" t="s">
        <v>622</v>
      </c>
      <c r="K39" t="s">
        <v>639</v>
      </c>
      <c r="L39" s="196" t="s">
        <v>100</v>
      </c>
      <c r="M39" s="183" t="s">
        <v>101</v>
      </c>
      <c r="N39" t="s">
        <v>642</v>
      </c>
      <c r="O39" t="s">
        <v>625</v>
      </c>
      <c r="P39">
        <v>1000</v>
      </c>
      <c r="Q39" t="s">
        <v>626</v>
      </c>
      <c r="R39" s="184">
        <v>3.99</v>
      </c>
      <c r="S39" s="184">
        <v>0.4</v>
      </c>
      <c r="T39" s="184">
        <f>S39*1</f>
        <v>0.4</v>
      </c>
    </row>
    <row r="40" spans="1:20" x14ac:dyDescent="0.25">
      <c r="A40" s="117" t="s">
        <v>614</v>
      </c>
      <c r="B40" s="117" t="s">
        <v>615</v>
      </c>
      <c r="C40" t="s">
        <v>616</v>
      </c>
      <c r="D40" t="s">
        <v>617</v>
      </c>
      <c r="E40" s="182">
        <v>211019</v>
      </c>
      <c r="F40" t="s">
        <v>618</v>
      </c>
      <c r="G40" t="s">
        <v>619</v>
      </c>
      <c r="H40" s="118" t="s">
        <v>620</v>
      </c>
      <c r="I40" t="s">
        <v>628</v>
      </c>
      <c r="J40" t="s">
        <v>622</v>
      </c>
      <c r="K40" t="s">
        <v>639</v>
      </c>
      <c r="L40" s="196" t="s">
        <v>100</v>
      </c>
      <c r="M40" s="183" t="s">
        <v>101</v>
      </c>
      <c r="N40" t="s">
        <v>641</v>
      </c>
      <c r="O40" t="s">
        <v>632</v>
      </c>
      <c r="P40">
        <v>1000</v>
      </c>
      <c r="Q40" t="s">
        <v>626</v>
      </c>
      <c r="R40" s="184">
        <v>3.5</v>
      </c>
      <c r="S40" s="184">
        <v>0.35</v>
      </c>
      <c r="T40" s="184">
        <f>S40*1</f>
        <v>0.35</v>
      </c>
    </row>
    <row r="41" spans="1:20" x14ac:dyDescent="0.25">
      <c r="A41" s="117" t="s">
        <v>614</v>
      </c>
      <c r="B41" s="117" t="s">
        <v>615</v>
      </c>
      <c r="C41" t="s">
        <v>616</v>
      </c>
      <c r="D41" t="s">
        <v>617</v>
      </c>
      <c r="E41" s="182">
        <v>211019</v>
      </c>
      <c r="F41" t="s">
        <v>618</v>
      </c>
      <c r="G41" t="s">
        <v>619</v>
      </c>
      <c r="H41" s="118" t="s">
        <v>620</v>
      </c>
      <c r="I41" t="s">
        <v>621</v>
      </c>
      <c r="J41" t="s">
        <v>622</v>
      </c>
      <c r="K41" t="s">
        <v>639</v>
      </c>
      <c r="L41" s="196" t="str">
        <f>'common foods'!C21</f>
        <v>Cauliflower, fresh</v>
      </c>
      <c r="M41" s="183" t="str">
        <f>'common foods'!D21</f>
        <v>02016</v>
      </c>
      <c r="N41" t="s">
        <v>619</v>
      </c>
      <c r="O41" t="s">
        <v>619</v>
      </c>
      <c r="P41">
        <v>1400</v>
      </c>
      <c r="Q41" t="s">
        <v>626</v>
      </c>
      <c r="R41" s="184">
        <v>2.99</v>
      </c>
      <c r="S41" s="184">
        <f>R41/14</f>
        <v>0.21357142857142858</v>
      </c>
      <c r="T41" s="184">
        <f>S41/0.54</f>
        <v>0.39550264550264547</v>
      </c>
    </row>
    <row r="42" spans="1:20" x14ac:dyDescent="0.25">
      <c r="A42" s="117" t="s">
        <v>614</v>
      </c>
      <c r="B42" s="117" t="s">
        <v>615</v>
      </c>
      <c r="C42" t="s">
        <v>616</v>
      </c>
      <c r="D42" t="s">
        <v>617</v>
      </c>
      <c r="E42" s="182">
        <v>211019</v>
      </c>
      <c r="F42" t="s">
        <v>618</v>
      </c>
      <c r="G42" t="s">
        <v>619</v>
      </c>
      <c r="H42" s="118" t="s">
        <v>620</v>
      </c>
      <c r="I42" t="s">
        <v>627</v>
      </c>
      <c r="J42" t="s">
        <v>622</v>
      </c>
      <c r="K42" t="s">
        <v>639</v>
      </c>
      <c r="L42" s="196" t="str">
        <f>'common foods'!C21</f>
        <v>Cauliflower, fresh</v>
      </c>
      <c r="M42" s="183" t="s">
        <v>55</v>
      </c>
      <c r="N42" t="s">
        <v>619</v>
      </c>
      <c r="O42" t="s">
        <v>619</v>
      </c>
      <c r="P42" s="200">
        <v>1400</v>
      </c>
      <c r="Q42" t="s">
        <v>626</v>
      </c>
      <c r="R42" s="184">
        <v>6.98</v>
      </c>
      <c r="S42" s="184">
        <f>R42/14</f>
        <v>0.49857142857142861</v>
      </c>
      <c r="T42" s="184">
        <f>S42/0.54</f>
        <v>0.92328042328042326</v>
      </c>
    </row>
    <row r="43" spans="1:20" x14ac:dyDescent="0.25">
      <c r="A43" s="117" t="s">
        <v>614</v>
      </c>
      <c r="B43" s="117" t="s">
        <v>615</v>
      </c>
      <c r="C43" t="s">
        <v>616</v>
      </c>
      <c r="D43" t="s">
        <v>617</v>
      </c>
      <c r="E43" s="182">
        <v>211019</v>
      </c>
      <c r="F43" t="s">
        <v>618</v>
      </c>
      <c r="G43" t="s">
        <v>619</v>
      </c>
      <c r="H43" s="118" t="s">
        <v>620</v>
      </c>
      <c r="I43" t="s">
        <v>628</v>
      </c>
      <c r="J43" t="s">
        <v>622</v>
      </c>
      <c r="K43" t="s">
        <v>639</v>
      </c>
      <c r="L43" s="196" t="str">
        <f>'common foods'!C21</f>
        <v>Cauliflower, fresh</v>
      </c>
      <c r="M43" s="183" t="s">
        <v>55</v>
      </c>
      <c r="N43" t="s">
        <v>619</v>
      </c>
      <c r="O43" t="s">
        <v>619</v>
      </c>
      <c r="P43" s="200">
        <v>1400</v>
      </c>
      <c r="Q43" t="s">
        <v>626</v>
      </c>
      <c r="R43" s="184">
        <v>2.5</v>
      </c>
      <c r="S43" s="184">
        <f>R43/14</f>
        <v>0.17857142857142858</v>
      </c>
      <c r="T43" s="184">
        <f>S43/0.54</f>
        <v>0.3306878306878307</v>
      </c>
    </row>
    <row r="44" spans="1:20" x14ac:dyDescent="0.25">
      <c r="A44" s="117" t="s">
        <v>614</v>
      </c>
      <c r="B44" s="117" t="s">
        <v>615</v>
      </c>
      <c r="C44" t="s">
        <v>616</v>
      </c>
      <c r="D44" t="s">
        <v>617</v>
      </c>
      <c r="E44" s="182">
        <v>211019</v>
      </c>
      <c r="F44" t="s">
        <v>618</v>
      </c>
      <c r="G44" t="s">
        <v>619</v>
      </c>
      <c r="H44" s="118" t="s">
        <v>620</v>
      </c>
      <c r="I44" t="s">
        <v>621</v>
      </c>
      <c r="J44" t="s">
        <v>622</v>
      </c>
      <c r="K44" t="s">
        <v>623</v>
      </c>
      <c r="L44" s="196" t="str">
        <f>'common foods'!C57</f>
        <v>Pasta wholemeal</v>
      </c>
      <c r="M44" s="183" t="str">
        <f>'common foods'!D57</f>
        <v>03052</v>
      </c>
      <c r="N44" t="s">
        <v>643</v>
      </c>
      <c r="O44" t="s">
        <v>625</v>
      </c>
      <c r="P44">
        <v>500</v>
      </c>
      <c r="Q44" t="s">
        <v>626</v>
      </c>
      <c r="R44" s="184">
        <v>2.19</v>
      </c>
      <c r="S44" s="184">
        <f>R44/5</f>
        <v>0.438</v>
      </c>
      <c r="T44" s="184">
        <f>S44/2.4</f>
        <v>0.1825</v>
      </c>
    </row>
    <row r="45" spans="1:20" x14ac:dyDescent="0.25">
      <c r="A45" s="117" t="s">
        <v>614</v>
      </c>
      <c r="B45" s="117" t="s">
        <v>615</v>
      </c>
      <c r="C45" t="s">
        <v>616</v>
      </c>
      <c r="D45" t="s">
        <v>617</v>
      </c>
      <c r="E45" s="182">
        <v>211019</v>
      </c>
      <c r="F45" t="s">
        <v>618</v>
      </c>
      <c r="G45" t="s">
        <v>619</v>
      </c>
      <c r="H45" s="118" t="s">
        <v>620</v>
      </c>
      <c r="I45" t="s">
        <v>627</v>
      </c>
      <c r="J45" t="s">
        <v>622</v>
      </c>
      <c r="K45" t="s">
        <v>623</v>
      </c>
      <c r="L45" s="196" t="str">
        <f>'common foods'!C57</f>
        <v>Pasta wholemeal</v>
      </c>
      <c r="M45" s="183" t="s">
        <v>128</v>
      </c>
      <c r="N45" t="s">
        <v>644</v>
      </c>
      <c r="O45" t="s">
        <v>625</v>
      </c>
      <c r="P45">
        <v>500</v>
      </c>
      <c r="Q45" t="s">
        <v>626</v>
      </c>
      <c r="R45" s="184">
        <v>1.79</v>
      </c>
      <c r="S45" s="184">
        <f>R45/5</f>
        <v>0.35799999999999998</v>
      </c>
      <c r="T45" s="184">
        <f>S45/2.4</f>
        <v>0.14916666666666667</v>
      </c>
    </row>
    <row r="46" spans="1:20" x14ac:dyDescent="0.25">
      <c r="A46" s="117" t="s">
        <v>614</v>
      </c>
      <c r="B46" s="117" t="s">
        <v>615</v>
      </c>
      <c r="C46" t="s">
        <v>616</v>
      </c>
      <c r="D46" t="s">
        <v>617</v>
      </c>
      <c r="E46" s="182">
        <v>211019</v>
      </c>
      <c r="F46" t="s">
        <v>618</v>
      </c>
      <c r="G46" t="s">
        <v>619</v>
      </c>
      <c r="H46" s="118" t="s">
        <v>620</v>
      </c>
      <c r="I46" t="s">
        <v>628</v>
      </c>
      <c r="J46" t="s">
        <v>622</v>
      </c>
      <c r="K46" t="s">
        <v>623</v>
      </c>
      <c r="L46" s="196" t="str">
        <f>'common foods'!C57</f>
        <v>Pasta wholemeal</v>
      </c>
      <c r="M46" s="183" t="s">
        <v>128</v>
      </c>
      <c r="N46" t="s">
        <v>644</v>
      </c>
      <c r="O46" t="s">
        <v>625</v>
      </c>
      <c r="P46">
        <v>500</v>
      </c>
      <c r="Q46" t="s">
        <v>626</v>
      </c>
      <c r="R46" s="184">
        <v>2</v>
      </c>
      <c r="S46" s="184">
        <f>R46/5</f>
        <v>0.4</v>
      </c>
      <c r="T46" s="184">
        <f>S46/2.4</f>
        <v>0.16666666666666669</v>
      </c>
    </row>
    <row r="47" spans="1:20" ht="30" x14ac:dyDescent="0.25">
      <c r="A47" s="117" t="s">
        <v>614</v>
      </c>
      <c r="B47" s="117" t="s">
        <v>615</v>
      </c>
      <c r="C47" t="s">
        <v>616</v>
      </c>
      <c r="D47" t="s">
        <v>617</v>
      </c>
      <c r="E47" s="182">
        <v>291019</v>
      </c>
      <c r="F47" t="s">
        <v>618</v>
      </c>
      <c r="G47" t="s">
        <v>619</v>
      </c>
      <c r="H47" s="118" t="s">
        <v>620</v>
      </c>
      <c r="I47" t="s">
        <v>621</v>
      </c>
      <c r="J47" t="s">
        <v>622</v>
      </c>
      <c r="K47" t="s">
        <v>623</v>
      </c>
      <c r="L47" s="196" t="str">
        <f>'common foods'!C58</f>
        <v>Couscous, wholemeal wheat</v>
      </c>
      <c r="M47" s="183" t="str">
        <f>'common foods'!D57</f>
        <v>03052</v>
      </c>
      <c r="N47" t="s">
        <v>643</v>
      </c>
      <c r="O47" t="s">
        <v>625</v>
      </c>
      <c r="P47">
        <v>500</v>
      </c>
      <c r="Q47" t="s">
        <v>626</v>
      </c>
      <c r="R47" s="184">
        <v>2.59</v>
      </c>
      <c r="S47" s="184">
        <v>0.52</v>
      </c>
      <c r="T47" s="184">
        <f>S47/2.4</f>
        <v>0.21666666666666667</v>
      </c>
    </row>
    <row r="48" spans="1:20" ht="30" x14ac:dyDescent="0.25">
      <c r="A48" s="117" t="s">
        <v>614</v>
      </c>
      <c r="B48" s="117" t="s">
        <v>615</v>
      </c>
      <c r="C48" t="s">
        <v>616</v>
      </c>
      <c r="D48" t="s">
        <v>617</v>
      </c>
      <c r="E48" s="182">
        <v>291019</v>
      </c>
      <c r="F48" t="s">
        <v>618</v>
      </c>
      <c r="G48" t="s">
        <v>619</v>
      </c>
      <c r="H48" s="118" t="s">
        <v>620</v>
      </c>
      <c r="I48" t="s">
        <v>627</v>
      </c>
      <c r="J48" t="s">
        <v>622</v>
      </c>
      <c r="K48" t="s">
        <v>623</v>
      </c>
      <c r="L48" s="196" t="str">
        <f>'common foods'!C58</f>
        <v>Couscous, wholemeal wheat</v>
      </c>
      <c r="M48" s="183" t="s">
        <v>128</v>
      </c>
      <c r="N48" t="s">
        <v>643</v>
      </c>
      <c r="O48" t="s">
        <v>625</v>
      </c>
      <c r="P48">
        <v>500</v>
      </c>
      <c r="R48" s="184">
        <v>2.4900000000000002</v>
      </c>
      <c r="S48" s="184">
        <v>0.5</v>
      </c>
      <c r="T48" s="184">
        <f>S48/2.4</f>
        <v>0.20833333333333334</v>
      </c>
    </row>
    <row r="49" spans="1:20" ht="30" x14ac:dyDescent="0.25">
      <c r="A49" s="117" t="s">
        <v>614</v>
      </c>
      <c r="B49" s="117" t="s">
        <v>615</v>
      </c>
      <c r="C49" t="s">
        <v>616</v>
      </c>
      <c r="D49" t="s">
        <v>617</v>
      </c>
      <c r="E49" s="182">
        <v>291019</v>
      </c>
      <c r="F49" t="s">
        <v>618</v>
      </c>
      <c r="G49" t="s">
        <v>619</v>
      </c>
      <c r="H49" s="118" t="s">
        <v>620</v>
      </c>
      <c r="I49" t="s">
        <v>628</v>
      </c>
      <c r="J49" t="s">
        <v>622</v>
      </c>
      <c r="K49" t="s">
        <v>623</v>
      </c>
      <c r="L49" s="196" t="str">
        <f>'common foods'!C58</f>
        <v>Couscous, wholemeal wheat</v>
      </c>
      <c r="M49" s="183" t="s">
        <v>128</v>
      </c>
      <c r="N49" t="s">
        <v>619</v>
      </c>
      <c r="O49" t="s">
        <v>619</v>
      </c>
      <c r="P49" t="s">
        <v>619</v>
      </c>
      <c r="Q49" t="s">
        <v>619</v>
      </c>
      <c r="R49" s="184" t="s">
        <v>619</v>
      </c>
      <c r="S49" s="184" t="s">
        <v>619</v>
      </c>
      <c r="T49" s="184" t="s">
        <v>619</v>
      </c>
    </row>
    <row r="50" spans="1:20" x14ac:dyDescent="0.25">
      <c r="A50" s="117" t="s">
        <v>614</v>
      </c>
      <c r="B50" s="117" t="s">
        <v>615</v>
      </c>
      <c r="C50" t="s">
        <v>616</v>
      </c>
      <c r="D50" t="s">
        <v>617</v>
      </c>
      <c r="E50" s="182">
        <v>211019</v>
      </c>
      <c r="F50" t="s">
        <v>618</v>
      </c>
      <c r="G50" t="s">
        <v>619</v>
      </c>
      <c r="H50" s="118" t="s">
        <v>620</v>
      </c>
      <c r="I50" t="s">
        <v>621</v>
      </c>
      <c r="J50" t="s">
        <v>622</v>
      </c>
      <c r="K50" t="s">
        <v>639</v>
      </c>
      <c r="L50" s="196" t="str">
        <f>'common foods'!C35</f>
        <v>Kumara, fresh</v>
      </c>
      <c r="M50" s="183" t="str">
        <f>'common foods'!D35</f>
        <v>02032</v>
      </c>
      <c r="N50" t="s">
        <v>619</v>
      </c>
      <c r="O50" t="s">
        <v>619</v>
      </c>
      <c r="P50">
        <v>1000</v>
      </c>
      <c r="Q50" t="s">
        <v>626</v>
      </c>
      <c r="R50" s="184">
        <v>2.99</v>
      </c>
      <c r="S50" s="184">
        <f t="shared" ref="S50:S55" si="5">R50/10</f>
        <v>0.29900000000000004</v>
      </c>
      <c r="T50" s="184">
        <f>S50/0.87</f>
        <v>0.34367816091954029</v>
      </c>
    </row>
    <row r="51" spans="1:20" x14ac:dyDescent="0.25">
      <c r="A51" s="117" t="s">
        <v>614</v>
      </c>
      <c r="B51" s="117" t="s">
        <v>615</v>
      </c>
      <c r="C51" t="s">
        <v>616</v>
      </c>
      <c r="D51" t="s">
        <v>617</v>
      </c>
      <c r="E51" s="182">
        <v>211019</v>
      </c>
      <c r="F51" t="s">
        <v>618</v>
      </c>
      <c r="G51" t="s">
        <v>619</v>
      </c>
      <c r="H51" s="118" t="s">
        <v>620</v>
      </c>
      <c r="I51" t="s">
        <v>627</v>
      </c>
      <c r="J51" t="s">
        <v>622</v>
      </c>
      <c r="K51" t="s">
        <v>639</v>
      </c>
      <c r="L51" s="196" t="str">
        <f>'common foods'!C35</f>
        <v>Kumara, fresh</v>
      </c>
      <c r="M51" s="183" t="s">
        <v>83</v>
      </c>
      <c r="N51" t="s">
        <v>619</v>
      </c>
      <c r="O51" t="s">
        <v>619</v>
      </c>
      <c r="P51">
        <v>1000</v>
      </c>
      <c r="Q51" t="s">
        <v>626</v>
      </c>
      <c r="R51" s="184">
        <v>4.99</v>
      </c>
      <c r="S51" s="184">
        <f t="shared" si="5"/>
        <v>0.499</v>
      </c>
      <c r="T51" s="184">
        <f>S51/0.87</f>
        <v>0.5735632183908046</v>
      </c>
    </row>
    <row r="52" spans="1:20" x14ac:dyDescent="0.25">
      <c r="A52" s="117" t="s">
        <v>614</v>
      </c>
      <c r="B52" s="117" t="s">
        <v>615</v>
      </c>
      <c r="C52" t="s">
        <v>616</v>
      </c>
      <c r="D52" t="s">
        <v>617</v>
      </c>
      <c r="E52" s="182">
        <v>211019</v>
      </c>
      <c r="F52" t="s">
        <v>618</v>
      </c>
      <c r="G52" t="s">
        <v>619</v>
      </c>
      <c r="H52" s="118" t="s">
        <v>620</v>
      </c>
      <c r="I52" t="s">
        <v>628</v>
      </c>
      <c r="J52" t="s">
        <v>622</v>
      </c>
      <c r="K52" t="s">
        <v>639</v>
      </c>
      <c r="L52" s="196" t="str">
        <f>'common foods'!C35</f>
        <v>Kumara, fresh</v>
      </c>
      <c r="M52" s="183" t="s">
        <v>83</v>
      </c>
      <c r="N52" t="s">
        <v>619</v>
      </c>
      <c r="O52" t="s">
        <v>619</v>
      </c>
      <c r="P52">
        <v>1000</v>
      </c>
      <c r="Q52" t="s">
        <v>626</v>
      </c>
      <c r="R52" s="184">
        <v>3</v>
      </c>
      <c r="S52" s="184">
        <f t="shared" si="5"/>
        <v>0.3</v>
      </c>
      <c r="T52" s="184">
        <f>S52/0.87</f>
        <v>0.34482758620689652</v>
      </c>
    </row>
    <row r="53" spans="1:20" x14ac:dyDescent="0.25">
      <c r="A53" s="117" t="s">
        <v>614</v>
      </c>
      <c r="B53" s="117" t="s">
        <v>615</v>
      </c>
      <c r="C53" t="s">
        <v>616</v>
      </c>
      <c r="D53" t="s">
        <v>617</v>
      </c>
      <c r="E53" s="182">
        <v>211019</v>
      </c>
      <c r="F53" t="s">
        <v>618</v>
      </c>
      <c r="G53" t="s">
        <v>619</v>
      </c>
      <c r="H53" s="118" t="s">
        <v>620</v>
      </c>
      <c r="I53" t="s">
        <v>621</v>
      </c>
      <c r="J53" t="s">
        <v>622</v>
      </c>
      <c r="K53" t="s">
        <v>633</v>
      </c>
      <c r="L53" s="196" t="str">
        <f>'common foods'!C2</f>
        <v>Apples, fresh</v>
      </c>
      <c r="M53" s="183" t="str">
        <f>'common foods'!D2</f>
        <v>01001</v>
      </c>
      <c r="N53" t="s">
        <v>619</v>
      </c>
      <c r="O53" t="s">
        <v>619</v>
      </c>
      <c r="P53">
        <v>1000</v>
      </c>
      <c r="Q53" t="s">
        <v>626</v>
      </c>
      <c r="R53" s="184">
        <v>2.99</v>
      </c>
      <c r="S53" s="184">
        <f t="shared" si="5"/>
        <v>0.29900000000000004</v>
      </c>
      <c r="T53" s="184">
        <f>S53/0.88</f>
        <v>0.33977272727272734</v>
      </c>
    </row>
    <row r="54" spans="1:20" x14ac:dyDescent="0.25">
      <c r="A54" s="117" t="s">
        <v>614</v>
      </c>
      <c r="B54" s="117" t="s">
        <v>615</v>
      </c>
      <c r="C54" t="s">
        <v>616</v>
      </c>
      <c r="D54" t="s">
        <v>617</v>
      </c>
      <c r="E54" s="182">
        <v>211019</v>
      </c>
      <c r="F54" t="s">
        <v>618</v>
      </c>
      <c r="G54" t="s">
        <v>619</v>
      </c>
      <c r="H54" s="118" t="s">
        <v>620</v>
      </c>
      <c r="I54" t="s">
        <v>627</v>
      </c>
      <c r="J54" t="s">
        <v>622</v>
      </c>
      <c r="K54" t="s">
        <v>633</v>
      </c>
      <c r="L54" s="196" t="str">
        <f>'common foods'!C2</f>
        <v>Apples, fresh</v>
      </c>
      <c r="M54" s="183" t="s">
        <v>10</v>
      </c>
      <c r="N54" t="s">
        <v>619</v>
      </c>
      <c r="O54" t="s">
        <v>619</v>
      </c>
      <c r="P54">
        <v>1000</v>
      </c>
      <c r="Q54" t="s">
        <v>626</v>
      </c>
      <c r="R54" s="184">
        <v>3.99</v>
      </c>
      <c r="S54" s="184">
        <f t="shared" si="5"/>
        <v>0.39900000000000002</v>
      </c>
      <c r="T54" s="184">
        <f>S54/0.88</f>
        <v>0.45340909090909093</v>
      </c>
    </row>
    <row r="55" spans="1:20" x14ac:dyDescent="0.25">
      <c r="A55" s="117" t="s">
        <v>614</v>
      </c>
      <c r="B55" s="117" t="s">
        <v>615</v>
      </c>
      <c r="C55" t="s">
        <v>616</v>
      </c>
      <c r="D55" t="s">
        <v>617</v>
      </c>
      <c r="E55" s="182">
        <v>211019</v>
      </c>
      <c r="F55" t="s">
        <v>618</v>
      </c>
      <c r="G55" t="s">
        <v>619</v>
      </c>
      <c r="H55" s="118" t="s">
        <v>620</v>
      </c>
      <c r="I55" t="s">
        <v>628</v>
      </c>
      <c r="J55" t="s">
        <v>622</v>
      </c>
      <c r="K55" t="s">
        <v>633</v>
      </c>
      <c r="L55" s="196" t="str">
        <f>'common foods'!C2</f>
        <v>Apples, fresh</v>
      </c>
      <c r="M55" s="183" t="s">
        <v>10</v>
      </c>
      <c r="N55" t="s">
        <v>619</v>
      </c>
      <c r="O55" t="s">
        <v>619</v>
      </c>
      <c r="P55">
        <v>1000</v>
      </c>
      <c r="Q55" t="s">
        <v>626</v>
      </c>
      <c r="R55" s="184">
        <v>2.5</v>
      </c>
      <c r="S55" s="184">
        <f t="shared" si="5"/>
        <v>0.25</v>
      </c>
      <c r="T55" s="184">
        <f>S55/0.88</f>
        <v>0.28409090909090912</v>
      </c>
    </row>
    <row r="56" spans="1:20" s="123" customFormat="1" x14ac:dyDescent="0.25">
      <c r="A56" s="117" t="s">
        <v>614</v>
      </c>
      <c r="B56" s="117" t="s">
        <v>615</v>
      </c>
      <c r="C56" s="123" t="s">
        <v>616</v>
      </c>
      <c r="D56" s="123" t="s">
        <v>617</v>
      </c>
      <c r="E56" s="182">
        <v>211019</v>
      </c>
      <c r="F56" s="123" t="s">
        <v>618</v>
      </c>
      <c r="G56" s="123" t="s">
        <v>619</v>
      </c>
      <c r="H56" s="118" t="s">
        <v>620</v>
      </c>
      <c r="I56" s="123" t="s">
        <v>621</v>
      </c>
      <c r="J56" s="123" t="s">
        <v>622</v>
      </c>
      <c r="K56" s="123" t="s">
        <v>635</v>
      </c>
      <c r="L56" s="196" t="str">
        <f>'common foods'!C105</f>
        <v>Almonds, plain</v>
      </c>
      <c r="M56" s="183" t="str">
        <f>'common foods'!D105</f>
        <v>05086</v>
      </c>
      <c r="N56" s="123" t="s">
        <v>631</v>
      </c>
      <c r="O56" s="123" t="s">
        <v>632</v>
      </c>
      <c r="P56" s="123">
        <v>750</v>
      </c>
      <c r="Q56" s="123" t="s">
        <v>626</v>
      </c>
      <c r="R56" s="184">
        <v>13.29</v>
      </c>
      <c r="S56" s="184">
        <f>R56/7.5</f>
        <v>1.7719999999999998</v>
      </c>
      <c r="T56" s="184">
        <f t="shared" ref="T56:T61" si="6">S56*1</f>
        <v>1.7719999999999998</v>
      </c>
    </row>
    <row r="57" spans="1:20" s="123" customFormat="1" x14ac:dyDescent="0.25">
      <c r="A57" s="117" t="s">
        <v>614</v>
      </c>
      <c r="B57" s="117" t="s">
        <v>615</v>
      </c>
      <c r="C57" s="123" t="s">
        <v>616</v>
      </c>
      <c r="D57" s="123" t="s">
        <v>617</v>
      </c>
      <c r="E57" s="182">
        <v>211019</v>
      </c>
      <c r="F57" s="123" t="s">
        <v>618</v>
      </c>
      <c r="G57" s="123" t="s">
        <v>619</v>
      </c>
      <c r="H57" s="118" t="s">
        <v>620</v>
      </c>
      <c r="I57" s="123" t="s">
        <v>627</v>
      </c>
      <c r="J57" s="123" t="s">
        <v>622</v>
      </c>
      <c r="K57" s="123" t="s">
        <v>635</v>
      </c>
      <c r="L57" s="196" t="str">
        <f>'common foods'!C105</f>
        <v>Almonds, plain</v>
      </c>
      <c r="M57" s="183" t="s">
        <v>227</v>
      </c>
      <c r="N57" s="123" t="s">
        <v>631</v>
      </c>
      <c r="O57" s="123" t="s">
        <v>632</v>
      </c>
      <c r="P57" s="123">
        <v>400</v>
      </c>
      <c r="Q57" s="123" t="s">
        <v>626</v>
      </c>
      <c r="R57" s="184">
        <v>7.79</v>
      </c>
      <c r="S57" s="184">
        <f>R57/4</f>
        <v>1.9475</v>
      </c>
      <c r="T57" s="184">
        <f t="shared" si="6"/>
        <v>1.9475</v>
      </c>
    </row>
    <row r="58" spans="1:20" s="123" customFormat="1" x14ac:dyDescent="0.25">
      <c r="A58" s="117" t="s">
        <v>614</v>
      </c>
      <c r="B58" s="117" t="s">
        <v>615</v>
      </c>
      <c r="C58" s="123" t="s">
        <v>616</v>
      </c>
      <c r="D58" s="123" t="s">
        <v>617</v>
      </c>
      <c r="E58" s="182">
        <v>211019</v>
      </c>
      <c r="F58" s="123" t="s">
        <v>618</v>
      </c>
      <c r="G58" s="123" t="s">
        <v>619</v>
      </c>
      <c r="H58" s="118" t="s">
        <v>620</v>
      </c>
      <c r="I58" s="123" t="s">
        <v>628</v>
      </c>
      <c r="J58" s="123" t="s">
        <v>622</v>
      </c>
      <c r="K58" s="123" t="s">
        <v>635</v>
      </c>
      <c r="L58" s="196" t="str">
        <f>'common foods'!C105</f>
        <v>Almonds, plain</v>
      </c>
      <c r="M58" s="183" t="s">
        <v>227</v>
      </c>
      <c r="N58" s="123" t="s">
        <v>628</v>
      </c>
      <c r="O58" s="123" t="s">
        <v>632</v>
      </c>
      <c r="P58" s="123">
        <v>600</v>
      </c>
      <c r="Q58" s="123" t="s">
        <v>626</v>
      </c>
      <c r="R58" s="184">
        <v>11</v>
      </c>
      <c r="S58" s="184">
        <f>R58/6</f>
        <v>1.8333333333333333</v>
      </c>
      <c r="T58" s="184">
        <f t="shared" si="6"/>
        <v>1.8333333333333333</v>
      </c>
    </row>
    <row r="59" spans="1:20" x14ac:dyDescent="0.25">
      <c r="A59" s="117" t="s">
        <v>614</v>
      </c>
      <c r="B59" s="117" t="s">
        <v>615</v>
      </c>
      <c r="C59" t="s">
        <v>616</v>
      </c>
      <c r="D59" t="s">
        <v>617</v>
      </c>
      <c r="E59" s="182">
        <v>231019</v>
      </c>
      <c r="F59" t="s">
        <v>618</v>
      </c>
      <c r="G59" t="s">
        <v>619</v>
      </c>
      <c r="H59" s="118" t="s">
        <v>620</v>
      </c>
      <c r="I59" t="s">
        <v>621</v>
      </c>
      <c r="J59" t="s">
        <v>622</v>
      </c>
      <c r="K59" t="s">
        <v>623</v>
      </c>
      <c r="L59" s="196" t="str">
        <f>'common foods'!C48</f>
        <v>Bread, wheatmeal</v>
      </c>
      <c r="M59" s="183" t="str">
        <f>'common foods'!D48</f>
        <v>03037</v>
      </c>
      <c r="N59" t="s">
        <v>645</v>
      </c>
      <c r="O59" t="s">
        <v>625</v>
      </c>
      <c r="P59">
        <v>700</v>
      </c>
      <c r="Q59" t="s">
        <v>626</v>
      </c>
      <c r="R59" s="184">
        <v>3.49</v>
      </c>
      <c r="S59" s="184">
        <f>R59/7</f>
        <v>0.49857142857142861</v>
      </c>
      <c r="T59" s="184">
        <f t="shared" si="6"/>
        <v>0.49857142857142861</v>
      </c>
    </row>
    <row r="60" spans="1:20" x14ac:dyDescent="0.25">
      <c r="A60" s="117" t="s">
        <v>614</v>
      </c>
      <c r="B60" s="117" t="s">
        <v>615</v>
      </c>
      <c r="C60" t="s">
        <v>616</v>
      </c>
      <c r="D60" t="s">
        <v>617</v>
      </c>
      <c r="E60" s="182">
        <v>231019</v>
      </c>
      <c r="F60" t="s">
        <v>618</v>
      </c>
      <c r="G60" t="s">
        <v>619</v>
      </c>
      <c r="H60" s="118" t="s">
        <v>620</v>
      </c>
      <c r="I60" t="s">
        <v>627</v>
      </c>
      <c r="J60" t="s">
        <v>622</v>
      </c>
      <c r="K60" t="s">
        <v>623</v>
      </c>
      <c r="L60" s="196" t="str">
        <f>'common foods'!C48</f>
        <v>Bread, wheatmeal</v>
      </c>
      <c r="M60" s="183" t="s">
        <v>110</v>
      </c>
      <c r="N60" t="s">
        <v>645</v>
      </c>
      <c r="O60" t="s">
        <v>625</v>
      </c>
      <c r="P60">
        <v>700</v>
      </c>
      <c r="Q60" t="s">
        <v>626</v>
      </c>
      <c r="R60" s="184">
        <v>3.29</v>
      </c>
      <c r="S60" s="184">
        <v>0.47</v>
      </c>
      <c r="T60" s="184">
        <f t="shared" si="6"/>
        <v>0.47</v>
      </c>
    </row>
    <row r="61" spans="1:20" x14ac:dyDescent="0.25">
      <c r="A61" s="117" t="s">
        <v>614</v>
      </c>
      <c r="B61" s="117" t="s">
        <v>615</v>
      </c>
      <c r="C61" t="s">
        <v>616</v>
      </c>
      <c r="D61" t="s">
        <v>617</v>
      </c>
      <c r="E61" s="182">
        <v>231019</v>
      </c>
      <c r="F61" t="s">
        <v>618</v>
      </c>
      <c r="G61" t="s">
        <v>619</v>
      </c>
      <c r="H61" s="118" t="s">
        <v>620</v>
      </c>
      <c r="I61" t="s">
        <v>628</v>
      </c>
      <c r="J61" t="s">
        <v>622</v>
      </c>
      <c r="K61" t="s">
        <v>623</v>
      </c>
      <c r="L61" s="196" t="str">
        <f>'common foods'!C48</f>
        <v>Bread, wheatmeal</v>
      </c>
      <c r="M61" s="183" t="s">
        <v>110</v>
      </c>
      <c r="N61" t="s">
        <v>645</v>
      </c>
      <c r="O61" t="s">
        <v>625</v>
      </c>
      <c r="P61">
        <v>700</v>
      </c>
      <c r="Q61" t="s">
        <v>626</v>
      </c>
      <c r="R61" s="184">
        <v>3</v>
      </c>
      <c r="S61" s="184">
        <v>0.43</v>
      </c>
      <c r="T61" s="184">
        <f t="shared" si="6"/>
        <v>0.43</v>
      </c>
    </row>
    <row r="62" spans="1:20" x14ac:dyDescent="0.25">
      <c r="A62" s="117" t="s">
        <v>614</v>
      </c>
      <c r="B62" s="117" t="s">
        <v>615</v>
      </c>
      <c r="C62" t="s">
        <v>616</v>
      </c>
      <c r="D62" t="s">
        <v>617</v>
      </c>
      <c r="E62" s="182">
        <v>231019</v>
      </c>
      <c r="F62" t="s">
        <v>618</v>
      </c>
      <c r="G62" t="s">
        <v>619</v>
      </c>
      <c r="H62" s="118" t="s">
        <v>620</v>
      </c>
      <c r="I62" t="s">
        <v>621</v>
      </c>
      <c r="J62" t="s">
        <v>622</v>
      </c>
      <c r="K62" t="s">
        <v>639</v>
      </c>
      <c r="L62" s="196" t="str">
        <f>'common foods'!C16</f>
        <v>Avocados, fresh</v>
      </c>
      <c r="M62" s="183" t="str">
        <f>'common foods'!D16</f>
        <v>02011</v>
      </c>
      <c r="N62" t="s">
        <v>619</v>
      </c>
      <c r="O62" t="s">
        <v>619</v>
      </c>
      <c r="P62">
        <v>200</v>
      </c>
      <c r="Q62" t="s">
        <v>626</v>
      </c>
      <c r="R62" s="184">
        <v>0.99</v>
      </c>
      <c r="S62" s="184">
        <f>R62/2</f>
        <v>0.495</v>
      </c>
      <c r="T62" s="184">
        <f>S62/0.7</f>
        <v>0.70714285714285718</v>
      </c>
    </row>
    <row r="63" spans="1:20" x14ac:dyDescent="0.25">
      <c r="A63" s="117" t="s">
        <v>614</v>
      </c>
      <c r="B63" s="117" t="s">
        <v>615</v>
      </c>
      <c r="C63" t="s">
        <v>616</v>
      </c>
      <c r="D63" t="s">
        <v>617</v>
      </c>
      <c r="E63" s="182">
        <v>231019</v>
      </c>
      <c r="F63" t="s">
        <v>618</v>
      </c>
      <c r="G63" t="s">
        <v>619</v>
      </c>
      <c r="H63" s="118" t="s">
        <v>620</v>
      </c>
      <c r="I63" t="s">
        <v>627</v>
      </c>
      <c r="J63" t="s">
        <v>622</v>
      </c>
      <c r="K63" t="s">
        <v>639</v>
      </c>
      <c r="L63" s="196" t="str">
        <f>'common foods'!C16</f>
        <v>Avocados, fresh</v>
      </c>
      <c r="M63" s="183" t="s">
        <v>45</v>
      </c>
      <c r="N63" t="s">
        <v>619</v>
      </c>
      <c r="O63" t="s">
        <v>619</v>
      </c>
      <c r="P63">
        <v>200</v>
      </c>
      <c r="Q63" t="s">
        <v>626</v>
      </c>
      <c r="R63" s="184">
        <v>1.99</v>
      </c>
      <c r="S63" s="184">
        <f>R63/2</f>
        <v>0.995</v>
      </c>
      <c r="T63" s="184">
        <f>S63/0.7</f>
        <v>1.4214285714285715</v>
      </c>
    </row>
    <row r="64" spans="1:20" x14ac:dyDescent="0.25">
      <c r="A64" s="117" t="s">
        <v>614</v>
      </c>
      <c r="B64" s="117" t="s">
        <v>615</v>
      </c>
      <c r="C64" t="s">
        <v>616</v>
      </c>
      <c r="D64" t="s">
        <v>617</v>
      </c>
      <c r="E64" s="182">
        <v>231019</v>
      </c>
      <c r="F64" t="s">
        <v>618</v>
      </c>
      <c r="G64" t="s">
        <v>619</v>
      </c>
      <c r="H64" s="118" t="s">
        <v>620</v>
      </c>
      <c r="I64" t="s">
        <v>628</v>
      </c>
      <c r="J64" t="s">
        <v>622</v>
      </c>
      <c r="K64" t="s">
        <v>639</v>
      </c>
      <c r="L64" s="196" t="str">
        <f>'common foods'!C16</f>
        <v>Avocados, fresh</v>
      </c>
      <c r="M64" s="183" t="s">
        <v>45</v>
      </c>
      <c r="N64" t="s">
        <v>628</v>
      </c>
      <c r="O64" t="s">
        <v>632</v>
      </c>
      <c r="P64">
        <v>200</v>
      </c>
      <c r="Q64" t="s">
        <v>626</v>
      </c>
      <c r="R64" s="184">
        <v>1.5</v>
      </c>
      <c r="S64" s="184">
        <f>R64/2</f>
        <v>0.75</v>
      </c>
      <c r="T64" s="184">
        <f>S64/0.7</f>
        <v>1.0714285714285714</v>
      </c>
    </row>
    <row r="65" spans="1:20" x14ac:dyDescent="0.25">
      <c r="A65" s="117" t="s">
        <v>614</v>
      </c>
      <c r="B65" s="117" t="s">
        <v>615</v>
      </c>
      <c r="C65" t="s">
        <v>616</v>
      </c>
      <c r="D65" t="s">
        <v>617</v>
      </c>
      <c r="E65" s="182">
        <v>231019</v>
      </c>
      <c r="F65" t="s">
        <v>618</v>
      </c>
      <c r="G65" t="s">
        <v>619</v>
      </c>
      <c r="H65" s="118" t="s">
        <v>620</v>
      </c>
      <c r="I65" t="s">
        <v>621</v>
      </c>
      <c r="J65" t="s">
        <v>622</v>
      </c>
      <c r="K65" t="s">
        <v>646</v>
      </c>
      <c r="L65" s="196" t="str">
        <f>'common foods'!C165</f>
        <v>marmite</v>
      </c>
      <c r="M65" s="183" t="str">
        <f>'common foods'!D165</f>
        <v>08108</v>
      </c>
      <c r="N65" t="s">
        <v>624</v>
      </c>
      <c r="O65" t="s">
        <v>625</v>
      </c>
      <c r="P65">
        <v>500</v>
      </c>
      <c r="Q65" t="s">
        <v>626</v>
      </c>
      <c r="R65" s="184">
        <v>5.99</v>
      </c>
      <c r="S65" s="184">
        <v>1.2</v>
      </c>
      <c r="T65" s="184">
        <f t="shared" ref="T65:T73" si="7">S65*1</f>
        <v>1.2</v>
      </c>
    </row>
    <row r="66" spans="1:20" x14ac:dyDescent="0.25">
      <c r="A66" s="117" t="s">
        <v>614</v>
      </c>
      <c r="B66" s="117" t="s">
        <v>615</v>
      </c>
      <c r="C66" t="s">
        <v>616</v>
      </c>
      <c r="D66" t="s">
        <v>617</v>
      </c>
      <c r="E66" s="182">
        <v>231019</v>
      </c>
      <c r="F66" t="s">
        <v>618</v>
      </c>
      <c r="G66" t="s">
        <v>619</v>
      </c>
      <c r="H66" s="118" t="s">
        <v>620</v>
      </c>
      <c r="I66" t="s">
        <v>627</v>
      </c>
      <c r="J66" t="s">
        <v>622</v>
      </c>
      <c r="K66" t="s">
        <v>646</v>
      </c>
      <c r="L66" s="196" t="str">
        <f>'common foods'!C165</f>
        <v>marmite</v>
      </c>
      <c r="M66" s="183" t="s">
        <v>353</v>
      </c>
      <c r="N66" t="s">
        <v>624</v>
      </c>
      <c r="O66" t="s">
        <v>625</v>
      </c>
      <c r="P66">
        <v>500</v>
      </c>
      <c r="Q66" t="s">
        <v>626</v>
      </c>
      <c r="R66" s="184">
        <v>6.19</v>
      </c>
      <c r="S66" s="184">
        <v>1.2</v>
      </c>
      <c r="T66" s="184">
        <f t="shared" si="7"/>
        <v>1.2</v>
      </c>
    </row>
    <row r="67" spans="1:20" x14ac:dyDescent="0.25">
      <c r="A67" s="117" t="s">
        <v>614</v>
      </c>
      <c r="B67" s="117" t="s">
        <v>615</v>
      </c>
      <c r="C67" t="s">
        <v>616</v>
      </c>
      <c r="D67" t="s">
        <v>617</v>
      </c>
      <c r="E67" s="182">
        <v>231019</v>
      </c>
      <c r="F67" t="s">
        <v>618</v>
      </c>
      <c r="G67" t="s">
        <v>619</v>
      </c>
      <c r="H67" s="118" t="s">
        <v>620</v>
      </c>
      <c r="I67" t="s">
        <v>628</v>
      </c>
      <c r="J67" t="s">
        <v>622</v>
      </c>
      <c r="K67" t="s">
        <v>646</v>
      </c>
      <c r="L67" s="196" t="str">
        <f>'common foods'!C165</f>
        <v>marmite</v>
      </c>
      <c r="M67" s="183" t="s">
        <v>353</v>
      </c>
      <c r="N67" t="s">
        <v>624</v>
      </c>
      <c r="O67" t="s">
        <v>625</v>
      </c>
      <c r="P67">
        <v>500</v>
      </c>
      <c r="Q67" t="s">
        <v>626</v>
      </c>
      <c r="R67" s="184">
        <v>7.29</v>
      </c>
      <c r="S67" s="184">
        <v>1.46</v>
      </c>
      <c r="T67" s="184">
        <f t="shared" si="7"/>
        <v>1.46</v>
      </c>
    </row>
    <row r="68" spans="1:20" x14ac:dyDescent="0.25">
      <c r="A68" s="117" t="s">
        <v>614</v>
      </c>
      <c r="B68" s="117" t="s">
        <v>615</v>
      </c>
      <c r="C68" t="s">
        <v>616</v>
      </c>
      <c r="D68" t="s">
        <v>617</v>
      </c>
      <c r="E68" s="182">
        <v>231019</v>
      </c>
      <c r="F68" t="s">
        <v>618</v>
      </c>
      <c r="G68" t="s">
        <v>619</v>
      </c>
      <c r="H68" s="118" t="s">
        <v>620</v>
      </c>
      <c r="I68" t="s">
        <v>621</v>
      </c>
      <c r="J68" t="s">
        <v>622</v>
      </c>
      <c r="K68" t="s">
        <v>635</v>
      </c>
      <c r="L68" s="196" t="str">
        <f>'common foods'!C115</f>
        <v>Sunflower seeds</v>
      </c>
      <c r="M68" s="183" t="str">
        <f>'common foods'!D115</f>
        <v>05102</v>
      </c>
      <c r="N68" t="s">
        <v>631</v>
      </c>
      <c r="O68" t="s">
        <v>632</v>
      </c>
      <c r="P68">
        <v>300</v>
      </c>
      <c r="Q68" t="s">
        <v>626</v>
      </c>
      <c r="R68" s="184">
        <v>2</v>
      </c>
      <c r="S68" s="184">
        <v>0.67</v>
      </c>
      <c r="T68" s="184">
        <f t="shared" si="7"/>
        <v>0.67</v>
      </c>
    </row>
    <row r="69" spans="1:20" x14ac:dyDescent="0.25">
      <c r="A69" s="117" t="s">
        <v>614</v>
      </c>
      <c r="B69" s="117" t="s">
        <v>615</v>
      </c>
      <c r="C69" t="s">
        <v>616</v>
      </c>
      <c r="D69" t="s">
        <v>617</v>
      </c>
      <c r="E69" s="182">
        <v>231019</v>
      </c>
      <c r="F69" t="s">
        <v>618</v>
      </c>
      <c r="G69" t="s">
        <v>619</v>
      </c>
      <c r="H69" s="118" t="s">
        <v>620</v>
      </c>
      <c r="I69" t="s">
        <v>627</v>
      </c>
      <c r="J69" t="s">
        <v>622</v>
      </c>
      <c r="K69" t="s">
        <v>635</v>
      </c>
      <c r="L69" s="196" t="str">
        <f>'common foods'!C115</f>
        <v>Sunflower seeds</v>
      </c>
      <c r="M69" s="183" t="str">
        <f>'common foods'!D115</f>
        <v>05102</v>
      </c>
      <c r="N69" t="s">
        <v>619</v>
      </c>
      <c r="O69" t="s">
        <v>619</v>
      </c>
      <c r="P69">
        <v>1000</v>
      </c>
      <c r="Q69" t="s">
        <v>626</v>
      </c>
      <c r="R69" s="184">
        <v>14.9</v>
      </c>
      <c r="S69" s="184">
        <v>1.49</v>
      </c>
      <c r="T69" s="184">
        <f t="shared" si="7"/>
        <v>1.49</v>
      </c>
    </row>
    <row r="70" spans="1:20" x14ac:dyDescent="0.25">
      <c r="A70" s="117" t="s">
        <v>614</v>
      </c>
      <c r="B70" s="117" t="s">
        <v>615</v>
      </c>
      <c r="C70" t="s">
        <v>616</v>
      </c>
      <c r="D70" t="s">
        <v>617</v>
      </c>
      <c r="E70" s="182">
        <v>231019</v>
      </c>
      <c r="F70" t="s">
        <v>618</v>
      </c>
      <c r="G70" t="s">
        <v>619</v>
      </c>
      <c r="H70" s="118" t="s">
        <v>620</v>
      </c>
      <c r="I70" t="s">
        <v>628</v>
      </c>
      <c r="J70" t="s">
        <v>622</v>
      </c>
      <c r="K70" t="s">
        <v>635</v>
      </c>
      <c r="L70" s="196" t="str">
        <f>'common foods'!C115</f>
        <v>Sunflower seeds</v>
      </c>
      <c r="M70" s="183" t="str">
        <f>'common foods'!D115</f>
        <v>05102</v>
      </c>
      <c r="N70" t="s">
        <v>628</v>
      </c>
      <c r="O70" t="s">
        <v>632</v>
      </c>
      <c r="P70">
        <v>300</v>
      </c>
      <c r="Q70" t="s">
        <v>626</v>
      </c>
      <c r="R70" s="184">
        <v>3</v>
      </c>
      <c r="S70" s="184">
        <f>R70/3</f>
        <v>1</v>
      </c>
      <c r="T70" s="184">
        <f t="shared" si="7"/>
        <v>1</v>
      </c>
    </row>
    <row r="71" spans="1:20" x14ac:dyDescent="0.25">
      <c r="A71" s="117" t="s">
        <v>614</v>
      </c>
      <c r="B71" s="117" t="s">
        <v>615</v>
      </c>
      <c r="C71" t="s">
        <v>616</v>
      </c>
      <c r="D71" t="s">
        <v>617</v>
      </c>
      <c r="E71" s="182">
        <v>231019</v>
      </c>
      <c r="F71" t="s">
        <v>618</v>
      </c>
      <c r="G71" t="s">
        <v>619</v>
      </c>
      <c r="H71" s="118" t="s">
        <v>620</v>
      </c>
      <c r="I71" t="s">
        <v>621</v>
      </c>
      <c r="J71" t="s">
        <v>622</v>
      </c>
      <c r="K71" t="s">
        <v>647</v>
      </c>
      <c r="L71" s="196" t="str">
        <f>'common foods'!C126</f>
        <v>Olive oil</v>
      </c>
      <c r="M71" s="183" t="str">
        <f>'common foods'!D126</f>
        <v>06090</v>
      </c>
      <c r="N71" t="s">
        <v>636</v>
      </c>
      <c r="O71" t="s">
        <v>632</v>
      </c>
      <c r="P71">
        <v>500</v>
      </c>
      <c r="Q71" t="s">
        <v>626</v>
      </c>
      <c r="R71" s="184">
        <v>4.79</v>
      </c>
      <c r="S71" s="184">
        <f>R71/5</f>
        <v>0.95799999999999996</v>
      </c>
      <c r="T71" s="184">
        <f t="shared" si="7"/>
        <v>0.95799999999999996</v>
      </c>
    </row>
    <row r="72" spans="1:20" x14ac:dyDescent="0.25">
      <c r="A72" s="117" t="s">
        <v>614</v>
      </c>
      <c r="B72" s="117" t="s">
        <v>615</v>
      </c>
      <c r="C72" t="s">
        <v>616</v>
      </c>
      <c r="D72" t="s">
        <v>617</v>
      </c>
      <c r="E72" s="182">
        <v>231019</v>
      </c>
      <c r="F72" t="s">
        <v>618</v>
      </c>
      <c r="G72" t="s">
        <v>619</v>
      </c>
      <c r="H72" s="118" t="s">
        <v>620</v>
      </c>
      <c r="I72" t="s">
        <v>627</v>
      </c>
      <c r="J72" t="s">
        <v>622</v>
      </c>
      <c r="K72" t="s">
        <v>647</v>
      </c>
      <c r="L72" s="196" t="str">
        <f>'common foods'!C126</f>
        <v>Olive oil</v>
      </c>
      <c r="M72" s="183" t="s">
        <v>271</v>
      </c>
      <c r="N72" t="s">
        <v>636</v>
      </c>
      <c r="O72" t="s">
        <v>632</v>
      </c>
      <c r="P72">
        <v>1000</v>
      </c>
      <c r="Q72" t="s">
        <v>626</v>
      </c>
      <c r="R72" s="184">
        <v>9.99</v>
      </c>
      <c r="S72" s="184">
        <f>R72/10</f>
        <v>0.999</v>
      </c>
      <c r="T72" s="184">
        <f t="shared" si="7"/>
        <v>0.999</v>
      </c>
    </row>
    <row r="73" spans="1:20" s="123" customFormat="1" x14ac:dyDescent="0.25">
      <c r="A73" s="117" t="s">
        <v>614</v>
      </c>
      <c r="B73" s="117" t="s">
        <v>615</v>
      </c>
      <c r="C73" s="123" t="s">
        <v>616</v>
      </c>
      <c r="D73" s="123" t="s">
        <v>617</v>
      </c>
      <c r="E73" s="182">
        <v>231019</v>
      </c>
      <c r="F73" s="123" t="s">
        <v>618</v>
      </c>
      <c r="G73" s="123" t="s">
        <v>619</v>
      </c>
      <c r="H73" s="118" t="s">
        <v>620</v>
      </c>
      <c r="I73" s="123" t="s">
        <v>628</v>
      </c>
      <c r="J73" s="123" t="s">
        <v>622</v>
      </c>
      <c r="K73" s="123" t="s">
        <v>647</v>
      </c>
      <c r="L73" s="196" t="str">
        <f>'common foods'!C126</f>
        <v>Olive oil</v>
      </c>
      <c r="M73" s="183" t="s">
        <v>271</v>
      </c>
      <c r="N73" s="123" t="s">
        <v>648</v>
      </c>
      <c r="O73" s="123" t="s">
        <v>632</v>
      </c>
      <c r="P73" s="123">
        <v>500</v>
      </c>
      <c r="Q73" s="123" t="s">
        <v>626</v>
      </c>
      <c r="R73" s="184">
        <v>5</v>
      </c>
      <c r="S73" s="184">
        <v>1</v>
      </c>
      <c r="T73" s="184">
        <f t="shared" si="7"/>
        <v>1</v>
      </c>
    </row>
    <row r="74" spans="1:20" x14ac:dyDescent="0.25">
      <c r="A74" s="117" t="s">
        <v>614</v>
      </c>
      <c r="B74" s="117" t="s">
        <v>615</v>
      </c>
      <c r="C74" t="s">
        <v>616</v>
      </c>
      <c r="D74" t="s">
        <v>617</v>
      </c>
      <c r="E74" s="182">
        <v>231019</v>
      </c>
      <c r="F74" t="s">
        <v>618</v>
      </c>
      <c r="G74" t="s">
        <v>619</v>
      </c>
      <c r="H74" s="118" t="s">
        <v>620</v>
      </c>
      <c r="I74" t="s">
        <v>621</v>
      </c>
      <c r="J74" t="s">
        <v>622</v>
      </c>
      <c r="K74" t="s">
        <v>623</v>
      </c>
      <c r="L74" s="196" t="str">
        <f>'common foods'!C55</f>
        <v>Rolled oats</v>
      </c>
      <c r="M74" s="183" t="str">
        <f>'common foods'!D55</f>
        <v>03049</v>
      </c>
      <c r="N74" t="s">
        <v>636</v>
      </c>
      <c r="O74" t="s">
        <v>632</v>
      </c>
      <c r="P74">
        <v>750</v>
      </c>
      <c r="Q74" t="s">
        <v>626</v>
      </c>
      <c r="R74" s="184">
        <v>1.99</v>
      </c>
      <c r="S74" s="184">
        <v>0.27</v>
      </c>
      <c r="T74" s="184">
        <f>S74/4.78</f>
        <v>5.6485355648535567E-2</v>
      </c>
    </row>
    <row r="75" spans="1:20" x14ac:dyDescent="0.25">
      <c r="A75" s="117" t="s">
        <v>614</v>
      </c>
      <c r="B75" s="117" t="s">
        <v>615</v>
      </c>
      <c r="C75" t="s">
        <v>616</v>
      </c>
      <c r="D75" t="s">
        <v>617</v>
      </c>
      <c r="E75" s="182">
        <v>231019</v>
      </c>
      <c r="F75" t="s">
        <v>618</v>
      </c>
      <c r="G75" t="s">
        <v>619</v>
      </c>
      <c r="H75" s="118" t="s">
        <v>620</v>
      </c>
      <c r="I75" t="s">
        <v>627</v>
      </c>
      <c r="J75" t="s">
        <v>622</v>
      </c>
      <c r="K75" t="s">
        <v>623</v>
      </c>
      <c r="L75" s="196" t="str">
        <f>'common foods'!C55</f>
        <v>Rolled oats</v>
      </c>
      <c r="M75" s="183" t="s">
        <v>124</v>
      </c>
      <c r="N75" t="s">
        <v>636</v>
      </c>
      <c r="O75" t="s">
        <v>632</v>
      </c>
      <c r="P75">
        <v>750</v>
      </c>
      <c r="Q75" t="s">
        <v>626</v>
      </c>
      <c r="R75" s="184">
        <v>2.29</v>
      </c>
      <c r="S75" s="184">
        <v>0.31</v>
      </c>
      <c r="T75" s="184">
        <f>S75/4.78</f>
        <v>6.4853556485355651E-2</v>
      </c>
    </row>
    <row r="76" spans="1:20" x14ac:dyDescent="0.25">
      <c r="A76" s="117" t="s">
        <v>614</v>
      </c>
      <c r="B76" s="117" t="s">
        <v>615</v>
      </c>
      <c r="C76" t="s">
        <v>616</v>
      </c>
      <c r="D76" t="s">
        <v>617</v>
      </c>
      <c r="E76" s="182">
        <v>231019</v>
      </c>
      <c r="F76" t="s">
        <v>618</v>
      </c>
      <c r="G76" t="s">
        <v>619</v>
      </c>
      <c r="H76" s="118" t="s">
        <v>620</v>
      </c>
      <c r="I76" t="s">
        <v>628</v>
      </c>
      <c r="J76" t="s">
        <v>622</v>
      </c>
      <c r="K76" t="s">
        <v>623</v>
      </c>
      <c r="L76" s="196" t="str">
        <f>'common foods'!C55</f>
        <v>Rolled oats</v>
      </c>
      <c r="M76" s="183" t="s">
        <v>124</v>
      </c>
      <c r="N76" t="s">
        <v>628</v>
      </c>
      <c r="O76" t="s">
        <v>632</v>
      </c>
      <c r="P76">
        <v>750</v>
      </c>
      <c r="Q76" t="s">
        <v>626</v>
      </c>
      <c r="R76" s="184">
        <v>2.2999999999999998</v>
      </c>
      <c r="S76" s="184">
        <v>0.31</v>
      </c>
      <c r="T76" s="184">
        <f>S76/4.78</f>
        <v>6.4853556485355651E-2</v>
      </c>
    </row>
    <row r="77" spans="1:20" ht="30" x14ac:dyDescent="0.25">
      <c r="A77" s="117" t="s">
        <v>614</v>
      </c>
      <c r="B77" s="117" t="s">
        <v>615</v>
      </c>
      <c r="C77" t="s">
        <v>616</v>
      </c>
      <c r="D77" t="s">
        <v>617</v>
      </c>
      <c r="E77" s="182">
        <v>231019</v>
      </c>
      <c r="F77" t="s">
        <v>618</v>
      </c>
      <c r="G77" t="s">
        <v>619</v>
      </c>
      <c r="H77" s="118" t="s">
        <v>620</v>
      </c>
      <c r="I77" t="s">
        <v>621</v>
      </c>
      <c r="J77" t="s">
        <v>622</v>
      </c>
      <c r="K77" t="s">
        <v>633</v>
      </c>
      <c r="L77" s="196" t="str">
        <f>'common foods'!C11</f>
        <v>Peaches, canned in clear juice</v>
      </c>
      <c r="M77" s="183" t="str">
        <f>'common foods'!D11</f>
        <v>01010</v>
      </c>
      <c r="N77" t="s">
        <v>636</v>
      </c>
      <c r="O77" t="s">
        <v>632</v>
      </c>
      <c r="P77">
        <v>410</v>
      </c>
      <c r="Q77" t="s">
        <v>626</v>
      </c>
      <c r="R77" s="184">
        <v>1.29</v>
      </c>
      <c r="S77" s="184">
        <v>0.31</v>
      </c>
      <c r="T77" s="184">
        <f>S77/0.6</f>
        <v>0.51666666666666672</v>
      </c>
    </row>
    <row r="78" spans="1:20" ht="30" x14ac:dyDescent="0.25">
      <c r="A78" s="117" t="s">
        <v>614</v>
      </c>
      <c r="B78" s="117" t="s">
        <v>615</v>
      </c>
      <c r="C78" t="s">
        <v>616</v>
      </c>
      <c r="D78" t="s">
        <v>617</v>
      </c>
      <c r="E78" s="182">
        <v>231019</v>
      </c>
      <c r="F78" t="s">
        <v>618</v>
      </c>
      <c r="G78" t="s">
        <v>619</v>
      </c>
      <c r="H78" s="118" t="s">
        <v>620</v>
      </c>
      <c r="I78" t="s">
        <v>627</v>
      </c>
      <c r="J78" t="s">
        <v>622</v>
      </c>
      <c r="K78" t="s">
        <v>633</v>
      </c>
      <c r="L78" s="196" t="str">
        <f>'common foods'!C11</f>
        <v>Peaches, canned in clear juice</v>
      </c>
      <c r="M78" s="183" t="str">
        <f>'common foods'!D11</f>
        <v>01010</v>
      </c>
      <c r="N78" t="s">
        <v>636</v>
      </c>
      <c r="O78" t="s">
        <v>632</v>
      </c>
      <c r="P78">
        <v>410</v>
      </c>
      <c r="Q78" t="s">
        <v>626</v>
      </c>
      <c r="R78" s="184">
        <v>1.3</v>
      </c>
      <c r="S78" s="184">
        <v>0.32</v>
      </c>
      <c r="T78" s="184">
        <f>S78/0.6</f>
        <v>0.53333333333333333</v>
      </c>
    </row>
    <row r="79" spans="1:20" ht="30" x14ac:dyDescent="0.25">
      <c r="A79" s="117" t="s">
        <v>614</v>
      </c>
      <c r="B79" s="117" t="s">
        <v>615</v>
      </c>
      <c r="C79" t="s">
        <v>616</v>
      </c>
      <c r="D79" t="s">
        <v>617</v>
      </c>
      <c r="E79" s="182">
        <v>231019</v>
      </c>
      <c r="F79" t="s">
        <v>618</v>
      </c>
      <c r="G79" t="s">
        <v>619</v>
      </c>
      <c r="H79" s="118" t="s">
        <v>620</v>
      </c>
      <c r="I79" t="s">
        <v>628</v>
      </c>
      <c r="J79" t="s">
        <v>622</v>
      </c>
      <c r="K79" t="s">
        <v>633</v>
      </c>
      <c r="L79" s="196" t="str">
        <f>'common foods'!C11</f>
        <v>Peaches, canned in clear juice</v>
      </c>
      <c r="M79" s="183" t="str">
        <f>'common foods'!D11</f>
        <v>01010</v>
      </c>
      <c r="N79" t="s">
        <v>641</v>
      </c>
      <c r="O79" t="s">
        <v>632</v>
      </c>
      <c r="P79">
        <v>820</v>
      </c>
      <c r="Q79" t="s">
        <v>626</v>
      </c>
      <c r="R79" s="184">
        <v>2.5</v>
      </c>
      <c r="S79" s="184">
        <v>0.3</v>
      </c>
      <c r="T79" s="184">
        <f>S79/0.6</f>
        <v>0.5</v>
      </c>
    </row>
    <row r="80" spans="1:20" x14ac:dyDescent="0.25">
      <c r="A80" s="117" t="s">
        <v>614</v>
      </c>
      <c r="B80" s="117" t="s">
        <v>615</v>
      </c>
      <c r="C80" t="s">
        <v>616</v>
      </c>
      <c r="D80" t="s">
        <v>617</v>
      </c>
      <c r="E80" s="182">
        <v>231019</v>
      </c>
      <c r="F80" t="s">
        <v>618</v>
      </c>
      <c r="G80" t="s">
        <v>619</v>
      </c>
      <c r="H80" s="118" t="s">
        <v>620</v>
      </c>
      <c r="I80" t="s">
        <v>621</v>
      </c>
      <c r="J80" t="s">
        <v>622</v>
      </c>
      <c r="K80" t="s">
        <v>635</v>
      </c>
      <c r="L80" s="196" t="str">
        <f>'common foods'!C86</f>
        <v>Eggs</v>
      </c>
      <c r="M80" s="183" t="str">
        <f>'common foods'!D86</f>
        <v>05064</v>
      </c>
      <c r="N80" t="s">
        <v>649</v>
      </c>
      <c r="O80" t="s">
        <v>625</v>
      </c>
      <c r="P80">
        <v>12</v>
      </c>
      <c r="Q80" t="s">
        <v>626</v>
      </c>
      <c r="R80" s="184">
        <v>5.49</v>
      </c>
      <c r="S80" s="184">
        <v>0.46</v>
      </c>
      <c r="T80" s="184">
        <f t="shared" ref="T80:T85" si="8">S80/0.85</f>
        <v>0.54117647058823537</v>
      </c>
    </row>
    <row r="81" spans="1:20" x14ac:dyDescent="0.25">
      <c r="A81" s="117" t="s">
        <v>614</v>
      </c>
      <c r="B81" s="117" t="s">
        <v>615</v>
      </c>
      <c r="C81" t="s">
        <v>616</v>
      </c>
      <c r="D81" t="s">
        <v>617</v>
      </c>
      <c r="E81" s="182">
        <v>231019</v>
      </c>
      <c r="F81" t="s">
        <v>618</v>
      </c>
      <c r="G81" t="s">
        <v>619</v>
      </c>
      <c r="H81" s="118" t="s">
        <v>620</v>
      </c>
      <c r="I81" t="s">
        <v>627</v>
      </c>
      <c r="J81" t="s">
        <v>622</v>
      </c>
      <c r="K81" t="s">
        <v>635</v>
      </c>
      <c r="L81" s="196" t="str">
        <f>'common foods'!C86</f>
        <v>Eggs</v>
      </c>
      <c r="M81" s="183" t="s">
        <v>189</v>
      </c>
      <c r="N81" t="s">
        <v>649</v>
      </c>
      <c r="O81" t="s">
        <v>625</v>
      </c>
      <c r="P81">
        <v>12</v>
      </c>
      <c r="Q81" t="s">
        <v>626</v>
      </c>
      <c r="R81" s="184">
        <v>6.69</v>
      </c>
      <c r="S81" s="184">
        <v>0.56000000000000005</v>
      </c>
      <c r="T81" s="184">
        <f t="shared" si="8"/>
        <v>0.65882352941176481</v>
      </c>
    </row>
    <row r="82" spans="1:20" x14ac:dyDescent="0.25">
      <c r="A82" s="117" t="s">
        <v>614</v>
      </c>
      <c r="B82" s="117" t="s">
        <v>615</v>
      </c>
      <c r="C82" t="s">
        <v>616</v>
      </c>
      <c r="D82" t="s">
        <v>617</v>
      </c>
      <c r="E82" s="182">
        <v>231019</v>
      </c>
      <c r="F82" t="s">
        <v>618</v>
      </c>
      <c r="G82" t="s">
        <v>619</v>
      </c>
      <c r="H82" s="118" t="s">
        <v>620</v>
      </c>
      <c r="I82" t="s">
        <v>628</v>
      </c>
      <c r="J82" t="s">
        <v>622</v>
      </c>
      <c r="K82" t="s">
        <v>635</v>
      </c>
      <c r="L82" s="196" t="str">
        <f>'common foods'!C86</f>
        <v>Eggs</v>
      </c>
      <c r="M82" s="183" t="s">
        <v>189</v>
      </c>
      <c r="N82" t="s">
        <v>650</v>
      </c>
      <c r="O82" t="s">
        <v>625</v>
      </c>
      <c r="P82">
        <v>18</v>
      </c>
      <c r="Q82" t="s">
        <v>626</v>
      </c>
      <c r="R82" s="184">
        <v>9.5</v>
      </c>
      <c r="S82" s="184">
        <v>0.53</v>
      </c>
      <c r="T82" s="184">
        <f t="shared" si="8"/>
        <v>0.62352941176470589</v>
      </c>
    </row>
    <row r="83" spans="1:20" x14ac:dyDescent="0.25">
      <c r="A83" s="117" t="s">
        <v>614</v>
      </c>
      <c r="B83" s="117" t="s">
        <v>615</v>
      </c>
      <c r="C83" t="s">
        <v>616</v>
      </c>
      <c r="D83" t="s">
        <v>617</v>
      </c>
      <c r="E83" s="182">
        <v>231019</v>
      </c>
      <c r="F83" t="s">
        <v>618</v>
      </c>
      <c r="G83" t="s">
        <v>619</v>
      </c>
      <c r="H83" s="118" t="s">
        <v>620</v>
      </c>
      <c r="I83" t="s">
        <v>621</v>
      </c>
      <c r="J83" t="s">
        <v>622</v>
      </c>
      <c r="K83" t="s">
        <v>635</v>
      </c>
      <c r="L83" s="196" t="str">
        <f>'common foods'!C86</f>
        <v>Eggs</v>
      </c>
      <c r="M83" s="183" t="s">
        <v>189</v>
      </c>
      <c r="N83" t="s">
        <v>651</v>
      </c>
      <c r="O83" t="s">
        <v>625</v>
      </c>
      <c r="P83">
        <v>20</v>
      </c>
      <c r="Q83" t="s">
        <v>626</v>
      </c>
      <c r="R83" s="184">
        <v>5.99</v>
      </c>
      <c r="S83" s="184">
        <v>0.3</v>
      </c>
      <c r="T83" s="184">
        <f t="shared" si="8"/>
        <v>0.35294117647058826</v>
      </c>
    </row>
    <row r="84" spans="1:20" x14ac:dyDescent="0.25">
      <c r="A84" s="117" t="s">
        <v>614</v>
      </c>
      <c r="B84" s="117" t="s">
        <v>615</v>
      </c>
      <c r="C84" t="s">
        <v>616</v>
      </c>
      <c r="D84" t="s">
        <v>617</v>
      </c>
      <c r="E84" s="182">
        <v>231019</v>
      </c>
      <c r="F84" t="s">
        <v>618</v>
      </c>
      <c r="G84" t="s">
        <v>619</v>
      </c>
      <c r="H84" s="118" t="s">
        <v>620</v>
      </c>
      <c r="I84" t="s">
        <v>627</v>
      </c>
      <c r="J84" t="s">
        <v>622</v>
      </c>
      <c r="K84" t="s">
        <v>635</v>
      </c>
      <c r="L84" s="196" t="str">
        <f>'common foods'!C86</f>
        <v>Eggs</v>
      </c>
      <c r="M84" s="183" t="s">
        <v>189</v>
      </c>
      <c r="N84" t="s">
        <v>652</v>
      </c>
      <c r="O84" t="s">
        <v>625</v>
      </c>
      <c r="P84">
        <v>30</v>
      </c>
      <c r="Q84" t="s">
        <v>626</v>
      </c>
      <c r="R84" s="184">
        <v>11.99</v>
      </c>
      <c r="S84" s="184">
        <v>0.4</v>
      </c>
      <c r="T84" s="184">
        <f t="shared" si="8"/>
        <v>0.4705882352941177</v>
      </c>
    </row>
    <row r="85" spans="1:20" x14ac:dyDescent="0.25">
      <c r="A85" s="117" t="s">
        <v>614</v>
      </c>
      <c r="B85" s="117" t="s">
        <v>615</v>
      </c>
      <c r="C85" t="s">
        <v>616</v>
      </c>
      <c r="D85" t="s">
        <v>617</v>
      </c>
      <c r="E85" s="182">
        <v>231019</v>
      </c>
      <c r="F85" t="s">
        <v>618</v>
      </c>
      <c r="G85" t="s">
        <v>619</v>
      </c>
      <c r="H85" s="118" t="s">
        <v>620</v>
      </c>
      <c r="I85" t="s">
        <v>628</v>
      </c>
      <c r="J85" t="s">
        <v>622</v>
      </c>
      <c r="K85" t="s">
        <v>635</v>
      </c>
      <c r="L85" s="196" t="str">
        <f>'common foods'!C86</f>
        <v>Eggs</v>
      </c>
      <c r="M85" s="183" t="s">
        <v>189</v>
      </c>
      <c r="N85" t="s">
        <v>653</v>
      </c>
      <c r="O85" t="s">
        <v>625</v>
      </c>
      <c r="P85">
        <v>18</v>
      </c>
      <c r="Q85" t="s">
        <v>626</v>
      </c>
      <c r="R85" s="184">
        <v>7</v>
      </c>
      <c r="S85" s="184">
        <v>0.39</v>
      </c>
      <c r="T85" s="184">
        <f t="shared" si="8"/>
        <v>0.45882352941176474</v>
      </c>
    </row>
    <row r="86" spans="1:20" x14ac:dyDescent="0.25">
      <c r="A86" s="117" t="s">
        <v>614</v>
      </c>
      <c r="B86" s="117" t="s">
        <v>615</v>
      </c>
      <c r="C86" t="s">
        <v>616</v>
      </c>
      <c r="D86" t="s">
        <v>617</v>
      </c>
      <c r="E86" s="182">
        <v>231019</v>
      </c>
      <c r="F86" t="s">
        <v>618</v>
      </c>
      <c r="G86" t="s">
        <v>619</v>
      </c>
      <c r="H86" s="118" t="s">
        <v>620</v>
      </c>
      <c r="I86" t="s">
        <v>621</v>
      </c>
      <c r="J86" t="s">
        <v>622</v>
      </c>
      <c r="K86" t="s">
        <v>639</v>
      </c>
      <c r="L86" s="196" t="str">
        <f>'common foods'!C25</f>
        <v>Lettuce, fresh</v>
      </c>
      <c r="M86" s="183" t="str">
        <f>'common foods'!D25</f>
        <v>02021</v>
      </c>
      <c r="N86" t="s">
        <v>619</v>
      </c>
      <c r="O86" t="s">
        <v>619</v>
      </c>
      <c r="P86" s="199">
        <v>850</v>
      </c>
      <c r="Q86" t="s">
        <v>626</v>
      </c>
      <c r="R86" s="184">
        <v>1.59</v>
      </c>
      <c r="S86" s="184">
        <f>R86/8.5</f>
        <v>0.18705882352941178</v>
      </c>
      <c r="T86" s="184">
        <f>S86*0.8</f>
        <v>0.14964705882352944</v>
      </c>
    </row>
    <row r="87" spans="1:20" x14ac:dyDescent="0.25">
      <c r="A87" s="117" t="s">
        <v>614</v>
      </c>
      <c r="B87" s="117" t="s">
        <v>615</v>
      </c>
      <c r="C87" t="s">
        <v>616</v>
      </c>
      <c r="D87" t="s">
        <v>617</v>
      </c>
      <c r="E87" s="182">
        <v>231019</v>
      </c>
      <c r="F87" t="s">
        <v>618</v>
      </c>
      <c r="G87" t="s">
        <v>619</v>
      </c>
      <c r="H87" s="118" t="s">
        <v>620</v>
      </c>
      <c r="I87" t="s">
        <v>627</v>
      </c>
      <c r="J87" t="s">
        <v>622</v>
      </c>
      <c r="K87" t="s">
        <v>639</v>
      </c>
      <c r="L87" s="196" t="str">
        <f>'common foods'!C25</f>
        <v>Lettuce, fresh</v>
      </c>
      <c r="M87" s="183" t="s">
        <v>63</v>
      </c>
      <c r="N87" t="s">
        <v>619</v>
      </c>
      <c r="O87" t="s">
        <v>619</v>
      </c>
      <c r="P87" s="199">
        <v>850</v>
      </c>
      <c r="Q87" t="s">
        <v>626</v>
      </c>
      <c r="R87" s="184">
        <v>1.49</v>
      </c>
      <c r="S87" s="184">
        <f>R87/8.5</f>
        <v>0.17529411764705882</v>
      </c>
      <c r="T87" s="184">
        <f>S87*0.8</f>
        <v>0.14023529411764707</v>
      </c>
    </row>
    <row r="88" spans="1:20" x14ac:dyDescent="0.25">
      <c r="A88" s="117" t="s">
        <v>614</v>
      </c>
      <c r="B88" s="117" t="s">
        <v>615</v>
      </c>
      <c r="C88" t="s">
        <v>616</v>
      </c>
      <c r="D88" t="s">
        <v>617</v>
      </c>
      <c r="E88" s="182">
        <v>231019</v>
      </c>
      <c r="F88" t="s">
        <v>618</v>
      </c>
      <c r="G88" t="s">
        <v>619</v>
      </c>
      <c r="H88" s="118" t="s">
        <v>620</v>
      </c>
      <c r="I88" t="s">
        <v>628</v>
      </c>
      <c r="J88" t="s">
        <v>622</v>
      </c>
      <c r="K88" t="s">
        <v>639</v>
      </c>
      <c r="L88" s="196" t="str">
        <f>'common foods'!C25</f>
        <v>Lettuce, fresh</v>
      </c>
      <c r="M88" s="183" t="s">
        <v>63</v>
      </c>
      <c r="N88" t="s">
        <v>619</v>
      </c>
      <c r="O88" t="s">
        <v>619</v>
      </c>
      <c r="P88" s="199">
        <v>850</v>
      </c>
      <c r="Q88" t="s">
        <v>626</v>
      </c>
      <c r="R88" s="184">
        <v>2</v>
      </c>
      <c r="S88" s="184">
        <f>R88/8.5</f>
        <v>0.23529411764705882</v>
      </c>
      <c r="T88" s="184">
        <f>S88*0.8</f>
        <v>0.18823529411764706</v>
      </c>
    </row>
    <row r="89" spans="1:20" ht="30" x14ac:dyDescent="0.25">
      <c r="A89" s="117" t="s">
        <v>614</v>
      </c>
      <c r="B89" s="117" t="s">
        <v>615</v>
      </c>
      <c r="C89" t="s">
        <v>616</v>
      </c>
      <c r="D89" t="s">
        <v>617</v>
      </c>
      <c r="E89" s="182">
        <v>231019</v>
      </c>
      <c r="F89" t="s">
        <v>618</v>
      </c>
      <c r="G89" t="s">
        <v>619</v>
      </c>
      <c r="H89" s="118" t="s">
        <v>620</v>
      </c>
      <c r="I89" t="s">
        <v>621</v>
      </c>
      <c r="J89" t="s">
        <v>622</v>
      </c>
      <c r="K89" t="s">
        <v>635</v>
      </c>
      <c r="L89" s="196" t="str">
        <f>'common foods'!C111</f>
        <v>Lentils, canned in springwater</v>
      </c>
      <c r="M89" s="183" t="str">
        <f>'common foods'!D111</f>
        <v>05084</v>
      </c>
      <c r="N89" t="s">
        <v>636</v>
      </c>
      <c r="O89" t="s">
        <v>632</v>
      </c>
      <c r="P89">
        <v>400</v>
      </c>
      <c r="Q89" t="s">
        <v>626</v>
      </c>
      <c r="R89" s="184">
        <v>0.99</v>
      </c>
      <c r="S89" s="184">
        <v>0.25</v>
      </c>
      <c r="T89" s="184">
        <f>S89/0.6</f>
        <v>0.41666666666666669</v>
      </c>
    </row>
    <row r="90" spans="1:20" ht="30" x14ac:dyDescent="0.25">
      <c r="A90" s="117" t="s">
        <v>614</v>
      </c>
      <c r="B90" s="117" t="s">
        <v>615</v>
      </c>
      <c r="C90" t="s">
        <v>616</v>
      </c>
      <c r="D90" t="s">
        <v>617</v>
      </c>
      <c r="E90" s="182">
        <v>231019</v>
      </c>
      <c r="F90" t="s">
        <v>618</v>
      </c>
      <c r="G90" t="s">
        <v>619</v>
      </c>
      <c r="H90" s="118" t="s">
        <v>620</v>
      </c>
      <c r="I90" t="s">
        <v>627</v>
      </c>
      <c r="J90" t="s">
        <v>622</v>
      </c>
      <c r="K90" t="s">
        <v>635</v>
      </c>
      <c r="L90" s="196" t="str">
        <f>'common foods'!C111</f>
        <v>Lentils, canned in springwater</v>
      </c>
      <c r="M90" s="183" t="s">
        <v>240</v>
      </c>
      <c r="N90" t="s">
        <v>636</v>
      </c>
      <c r="O90" t="s">
        <v>632</v>
      </c>
      <c r="P90">
        <v>400</v>
      </c>
      <c r="Q90" t="s">
        <v>626</v>
      </c>
      <c r="R90" s="184">
        <v>1.29</v>
      </c>
      <c r="S90" s="184">
        <v>0.32</v>
      </c>
      <c r="T90" s="184">
        <f>S90/0.6</f>
        <v>0.53333333333333333</v>
      </c>
    </row>
    <row r="91" spans="1:20" ht="30" x14ac:dyDescent="0.25">
      <c r="A91" s="117" t="s">
        <v>614</v>
      </c>
      <c r="B91" s="117" t="s">
        <v>615</v>
      </c>
      <c r="C91" t="s">
        <v>616</v>
      </c>
      <c r="D91" t="s">
        <v>617</v>
      </c>
      <c r="E91" s="182">
        <v>231019</v>
      </c>
      <c r="F91" t="s">
        <v>618</v>
      </c>
      <c r="G91" t="s">
        <v>619</v>
      </c>
      <c r="H91" s="118" t="s">
        <v>620</v>
      </c>
      <c r="I91" t="s">
        <v>628</v>
      </c>
      <c r="J91" t="s">
        <v>622</v>
      </c>
      <c r="K91" t="s">
        <v>635</v>
      </c>
      <c r="L91" s="196" t="str">
        <f>'common foods'!C111</f>
        <v>Lentils, canned in springwater</v>
      </c>
      <c r="M91" s="183" t="s">
        <v>240</v>
      </c>
      <c r="N91" t="s">
        <v>641</v>
      </c>
      <c r="O91" t="s">
        <v>632</v>
      </c>
      <c r="P91">
        <v>420</v>
      </c>
      <c r="Q91" t="s">
        <v>626</v>
      </c>
      <c r="R91" s="184">
        <v>1.2</v>
      </c>
      <c r="S91" s="184">
        <v>0.28999999999999998</v>
      </c>
      <c r="T91" s="184">
        <f>S91/0.6</f>
        <v>0.48333333333333334</v>
      </c>
    </row>
    <row r="92" spans="1:20" x14ac:dyDescent="0.25">
      <c r="A92" s="117" t="s">
        <v>614</v>
      </c>
      <c r="B92" s="117" t="s">
        <v>615</v>
      </c>
      <c r="C92" t="s">
        <v>616</v>
      </c>
      <c r="D92" t="s">
        <v>617</v>
      </c>
      <c r="E92" s="182">
        <v>231019</v>
      </c>
      <c r="F92" t="s">
        <v>618</v>
      </c>
      <c r="G92" t="s">
        <v>619</v>
      </c>
      <c r="H92" s="118" t="s">
        <v>620</v>
      </c>
      <c r="I92" t="s">
        <v>621</v>
      </c>
      <c r="J92" t="s">
        <v>622</v>
      </c>
      <c r="K92" t="s">
        <v>639</v>
      </c>
      <c r="L92" s="196" t="str">
        <f>'common foods'!C23</f>
        <v>Courgettes, fresh</v>
      </c>
      <c r="M92" s="183" t="str">
        <f>'common foods'!D23</f>
        <v>02018</v>
      </c>
      <c r="N92" t="s">
        <v>619</v>
      </c>
      <c r="O92" t="s">
        <v>619</v>
      </c>
      <c r="P92">
        <v>1000</v>
      </c>
      <c r="Q92" t="s">
        <v>626</v>
      </c>
      <c r="R92" s="184">
        <v>4.99</v>
      </c>
      <c r="S92" s="184">
        <f t="shared" ref="S92:S97" si="9">R92/10</f>
        <v>0.499</v>
      </c>
      <c r="T92" s="184">
        <f>S92*0.9</f>
        <v>0.4491</v>
      </c>
    </row>
    <row r="93" spans="1:20" x14ac:dyDescent="0.25">
      <c r="A93" s="117" t="s">
        <v>614</v>
      </c>
      <c r="B93" s="117" t="s">
        <v>615</v>
      </c>
      <c r="C93" t="s">
        <v>616</v>
      </c>
      <c r="D93" t="s">
        <v>617</v>
      </c>
      <c r="E93" s="182">
        <v>231019</v>
      </c>
      <c r="F93" t="s">
        <v>618</v>
      </c>
      <c r="G93" t="s">
        <v>619</v>
      </c>
      <c r="H93" s="118" t="s">
        <v>620</v>
      </c>
      <c r="I93" t="s">
        <v>627</v>
      </c>
      <c r="J93" t="s">
        <v>622</v>
      </c>
      <c r="K93" t="s">
        <v>639</v>
      </c>
      <c r="L93" s="196" t="str">
        <f>'common foods'!C23</f>
        <v>Courgettes, fresh</v>
      </c>
      <c r="M93" s="183" t="s">
        <v>59</v>
      </c>
      <c r="N93" t="s">
        <v>619</v>
      </c>
      <c r="O93" t="s">
        <v>619</v>
      </c>
      <c r="P93">
        <v>1000</v>
      </c>
      <c r="Q93" t="s">
        <v>626</v>
      </c>
      <c r="R93" s="184">
        <v>7.99</v>
      </c>
      <c r="S93" s="184">
        <f t="shared" si="9"/>
        <v>0.79900000000000004</v>
      </c>
      <c r="T93" s="184">
        <f>S93/0.9</f>
        <v>0.88777777777777778</v>
      </c>
    </row>
    <row r="94" spans="1:20" x14ac:dyDescent="0.25">
      <c r="A94" s="117" t="s">
        <v>614</v>
      </c>
      <c r="B94" s="117" t="s">
        <v>615</v>
      </c>
      <c r="C94" t="s">
        <v>616</v>
      </c>
      <c r="D94" t="s">
        <v>617</v>
      </c>
      <c r="E94" s="182">
        <v>231019</v>
      </c>
      <c r="F94" t="s">
        <v>618</v>
      </c>
      <c r="G94" t="s">
        <v>619</v>
      </c>
      <c r="H94" s="118" t="s">
        <v>620</v>
      </c>
      <c r="I94" t="s">
        <v>628</v>
      </c>
      <c r="J94" t="s">
        <v>622</v>
      </c>
      <c r="K94" t="s">
        <v>639</v>
      </c>
      <c r="L94" s="196" t="str">
        <f>'common foods'!C23</f>
        <v>Courgettes, fresh</v>
      </c>
      <c r="M94" s="183" t="s">
        <v>59</v>
      </c>
      <c r="N94" t="s">
        <v>619</v>
      </c>
      <c r="O94" t="s">
        <v>619</v>
      </c>
      <c r="P94">
        <v>1000</v>
      </c>
      <c r="Q94" t="s">
        <v>626</v>
      </c>
      <c r="R94" s="184">
        <v>5</v>
      </c>
      <c r="S94" s="184">
        <f t="shared" si="9"/>
        <v>0.5</v>
      </c>
      <c r="T94" s="184">
        <f>S94/0.9</f>
        <v>0.55555555555555558</v>
      </c>
    </row>
    <row r="95" spans="1:20" x14ac:dyDescent="0.25">
      <c r="A95" s="117" t="s">
        <v>614</v>
      </c>
      <c r="B95" s="117" t="s">
        <v>615</v>
      </c>
      <c r="C95" t="s">
        <v>616</v>
      </c>
      <c r="D95" t="s">
        <v>617</v>
      </c>
      <c r="E95" s="182">
        <v>231019</v>
      </c>
      <c r="F95" t="s">
        <v>618</v>
      </c>
      <c r="G95" t="s">
        <v>619</v>
      </c>
      <c r="H95" s="118" t="s">
        <v>620</v>
      </c>
      <c r="I95" t="s">
        <v>621</v>
      </c>
      <c r="J95" t="s">
        <v>622</v>
      </c>
      <c r="K95" t="s">
        <v>633</v>
      </c>
      <c r="L95" s="196" t="str">
        <f>'common foods'!C6</f>
        <v>Mandarins, fresh</v>
      </c>
      <c r="M95" s="183" t="str">
        <f>'common foods'!D6</f>
        <v>01005</v>
      </c>
      <c r="N95" t="s">
        <v>619</v>
      </c>
      <c r="O95" t="s">
        <v>619</v>
      </c>
      <c r="P95">
        <v>1000</v>
      </c>
      <c r="Q95" t="s">
        <v>626</v>
      </c>
      <c r="R95" s="184">
        <v>4.49</v>
      </c>
      <c r="S95" s="184">
        <f t="shared" si="9"/>
        <v>0.44900000000000001</v>
      </c>
      <c r="T95" s="184">
        <f>S95/0.72</f>
        <v>0.62361111111111112</v>
      </c>
    </row>
    <row r="96" spans="1:20" x14ac:dyDescent="0.25">
      <c r="A96" s="117" t="s">
        <v>614</v>
      </c>
      <c r="B96" s="117" t="s">
        <v>615</v>
      </c>
      <c r="C96" t="s">
        <v>616</v>
      </c>
      <c r="D96" t="s">
        <v>617</v>
      </c>
      <c r="E96" s="182">
        <v>231019</v>
      </c>
      <c r="F96" t="s">
        <v>618</v>
      </c>
      <c r="G96" t="s">
        <v>619</v>
      </c>
      <c r="H96" s="118" t="s">
        <v>620</v>
      </c>
      <c r="I96" t="s">
        <v>627</v>
      </c>
      <c r="J96" t="s">
        <v>622</v>
      </c>
      <c r="K96" t="s">
        <v>633</v>
      </c>
      <c r="L96" s="196" t="str">
        <f>'common foods'!C6</f>
        <v>Mandarins, fresh</v>
      </c>
      <c r="M96" s="183" t="s">
        <v>22</v>
      </c>
      <c r="N96" t="s">
        <v>619</v>
      </c>
      <c r="O96" t="s">
        <v>619</v>
      </c>
      <c r="P96">
        <v>1000</v>
      </c>
      <c r="Q96" t="s">
        <v>626</v>
      </c>
      <c r="R96" s="184">
        <v>4.99</v>
      </c>
      <c r="S96" s="184">
        <f t="shared" si="9"/>
        <v>0.499</v>
      </c>
      <c r="T96" s="184">
        <f>S96/0.72</f>
        <v>0.69305555555555554</v>
      </c>
    </row>
    <row r="97" spans="1:22" x14ac:dyDescent="0.25">
      <c r="A97" s="117" t="s">
        <v>614</v>
      </c>
      <c r="B97" s="117" t="s">
        <v>615</v>
      </c>
      <c r="C97" t="s">
        <v>616</v>
      </c>
      <c r="D97" t="s">
        <v>617</v>
      </c>
      <c r="E97" s="182">
        <v>231019</v>
      </c>
      <c r="F97" t="s">
        <v>618</v>
      </c>
      <c r="G97" t="s">
        <v>619</v>
      </c>
      <c r="H97" s="118" t="s">
        <v>620</v>
      </c>
      <c r="I97" t="s">
        <v>628</v>
      </c>
      <c r="J97" t="s">
        <v>622</v>
      </c>
      <c r="K97" t="s">
        <v>633</v>
      </c>
      <c r="L97" s="196" t="str">
        <f>'common foods'!C6</f>
        <v>Mandarins, fresh</v>
      </c>
      <c r="M97" s="183" t="s">
        <v>22</v>
      </c>
      <c r="N97" t="s">
        <v>628</v>
      </c>
      <c r="O97" t="s">
        <v>632</v>
      </c>
      <c r="P97">
        <v>1000</v>
      </c>
      <c r="Q97" t="s">
        <v>626</v>
      </c>
      <c r="R97" s="184">
        <v>3.5</v>
      </c>
      <c r="S97" s="184">
        <f t="shared" si="9"/>
        <v>0.35</v>
      </c>
      <c r="T97" s="184">
        <f>S97/0.72</f>
        <v>0.4861111111111111</v>
      </c>
    </row>
    <row r="98" spans="1:22" x14ac:dyDescent="0.25">
      <c r="A98" s="117" t="s">
        <v>614</v>
      </c>
      <c r="B98" s="117" t="s">
        <v>615</v>
      </c>
      <c r="C98" t="s">
        <v>616</v>
      </c>
      <c r="D98" t="s">
        <v>617</v>
      </c>
      <c r="E98" s="182">
        <v>301019</v>
      </c>
      <c r="F98" t="s">
        <v>618</v>
      </c>
      <c r="G98" t="s">
        <v>619</v>
      </c>
      <c r="H98" s="118" t="s">
        <v>620</v>
      </c>
      <c r="I98" t="s">
        <v>621</v>
      </c>
      <c r="J98" t="s">
        <v>622</v>
      </c>
      <c r="K98" t="s">
        <v>623</v>
      </c>
      <c r="L98" s="196" t="str">
        <f>'common foods'!C66</f>
        <v>Rye Crispbread</v>
      </c>
      <c r="M98" s="183" t="str">
        <f>'common foods'!D66</f>
        <v>03073</v>
      </c>
      <c r="N98" t="s">
        <v>654</v>
      </c>
      <c r="O98" t="s">
        <v>625</v>
      </c>
      <c r="P98">
        <v>250</v>
      </c>
      <c r="R98" s="184">
        <v>2.5</v>
      </c>
      <c r="S98" s="184">
        <f>R98/2.5</f>
        <v>1</v>
      </c>
      <c r="T98" s="184">
        <f t="shared" ref="T98:T106" si="10">S98/1</f>
        <v>1</v>
      </c>
    </row>
    <row r="99" spans="1:22" x14ac:dyDescent="0.25">
      <c r="A99" s="117" t="s">
        <v>614</v>
      </c>
      <c r="B99" s="117" t="s">
        <v>615</v>
      </c>
      <c r="C99" t="s">
        <v>616</v>
      </c>
      <c r="D99" t="s">
        <v>617</v>
      </c>
      <c r="E99" s="182">
        <v>301019</v>
      </c>
      <c r="F99" t="s">
        <v>618</v>
      </c>
      <c r="G99" t="s">
        <v>619</v>
      </c>
      <c r="H99" s="118" t="s">
        <v>620</v>
      </c>
      <c r="I99" t="s">
        <v>627</v>
      </c>
      <c r="J99" t="s">
        <v>622</v>
      </c>
      <c r="K99" t="s">
        <v>623</v>
      </c>
      <c r="L99" s="196" t="str">
        <f>'common foods'!C66</f>
        <v>Rye Crispbread</v>
      </c>
      <c r="M99" s="183" t="s">
        <v>323</v>
      </c>
      <c r="N99" t="s">
        <v>654</v>
      </c>
      <c r="O99" t="s">
        <v>625</v>
      </c>
      <c r="P99">
        <v>250</v>
      </c>
      <c r="R99" s="184">
        <v>3.49</v>
      </c>
      <c r="S99" s="184">
        <f>R99/2.5</f>
        <v>1.3960000000000001</v>
      </c>
      <c r="T99" s="184">
        <f t="shared" si="10"/>
        <v>1.3960000000000001</v>
      </c>
    </row>
    <row r="100" spans="1:22" x14ac:dyDescent="0.25">
      <c r="A100" s="117" t="s">
        <v>614</v>
      </c>
      <c r="B100" s="117" t="s">
        <v>615</v>
      </c>
      <c r="C100" t="s">
        <v>616</v>
      </c>
      <c r="D100" t="s">
        <v>617</v>
      </c>
      <c r="E100" s="182">
        <v>301019</v>
      </c>
      <c r="F100" t="s">
        <v>618</v>
      </c>
      <c r="G100" t="s">
        <v>619</v>
      </c>
      <c r="H100" s="118" t="s">
        <v>620</v>
      </c>
      <c r="I100" t="s">
        <v>628</v>
      </c>
      <c r="J100" t="s">
        <v>622</v>
      </c>
      <c r="K100" t="s">
        <v>623</v>
      </c>
      <c r="L100" s="196" t="str">
        <f>'common foods'!C66</f>
        <v>Rye Crispbread</v>
      </c>
      <c r="M100" s="183" t="s">
        <v>323</v>
      </c>
      <c r="N100" t="s">
        <v>654</v>
      </c>
      <c r="O100" t="s">
        <v>625</v>
      </c>
      <c r="P100">
        <v>250</v>
      </c>
      <c r="R100" s="184">
        <v>2.5</v>
      </c>
      <c r="S100" s="184">
        <f>R100/2.5</f>
        <v>1</v>
      </c>
      <c r="T100" s="184">
        <f t="shared" si="10"/>
        <v>1</v>
      </c>
    </row>
    <row r="101" spans="1:22" ht="30" x14ac:dyDescent="0.25">
      <c r="A101" s="117" t="s">
        <v>614</v>
      </c>
      <c r="B101" s="117" t="s">
        <v>615</v>
      </c>
      <c r="C101" t="s">
        <v>616</v>
      </c>
      <c r="D101" t="s">
        <v>617</v>
      </c>
      <c r="E101" s="182">
        <v>231019</v>
      </c>
      <c r="F101" t="s">
        <v>618</v>
      </c>
      <c r="G101" t="s">
        <v>619</v>
      </c>
      <c r="H101" s="118" t="s">
        <v>620</v>
      </c>
      <c r="I101" t="s">
        <v>621</v>
      </c>
      <c r="J101" t="s">
        <v>622</v>
      </c>
      <c r="K101" t="s">
        <v>646</v>
      </c>
      <c r="L101" s="196" t="str">
        <f>'common foods'!C161</f>
        <v>Peanut butter, no added salt or sugar</v>
      </c>
      <c r="M101" s="183" t="str">
        <f>'common foods'!D161</f>
        <v>08110</v>
      </c>
      <c r="N101" t="s">
        <v>636</v>
      </c>
      <c r="O101" t="s">
        <v>632</v>
      </c>
      <c r="P101">
        <v>375</v>
      </c>
      <c r="Q101" t="s">
        <v>626</v>
      </c>
      <c r="R101" s="184">
        <v>2.19</v>
      </c>
      <c r="S101" s="184">
        <v>0.57999999999999996</v>
      </c>
      <c r="T101" s="184">
        <f t="shared" si="10"/>
        <v>0.57999999999999996</v>
      </c>
    </row>
    <row r="102" spans="1:22" ht="30" x14ac:dyDescent="0.25">
      <c r="A102" s="117" t="s">
        <v>614</v>
      </c>
      <c r="B102" s="117" t="s">
        <v>615</v>
      </c>
      <c r="C102" t="s">
        <v>616</v>
      </c>
      <c r="D102" t="s">
        <v>617</v>
      </c>
      <c r="E102" s="182">
        <v>231019</v>
      </c>
      <c r="F102" t="s">
        <v>618</v>
      </c>
      <c r="G102" t="s">
        <v>619</v>
      </c>
      <c r="H102" s="118" t="s">
        <v>620</v>
      </c>
      <c r="I102" t="s">
        <v>627</v>
      </c>
      <c r="J102" t="s">
        <v>622</v>
      </c>
      <c r="K102" t="s">
        <v>646</v>
      </c>
      <c r="L102" s="196" t="str">
        <f>'common foods'!C161</f>
        <v>Peanut butter, no added salt or sugar</v>
      </c>
      <c r="M102" s="183" t="s">
        <v>345</v>
      </c>
      <c r="N102" t="s">
        <v>636</v>
      </c>
      <c r="O102" t="s">
        <v>632</v>
      </c>
      <c r="P102">
        <v>375</v>
      </c>
      <c r="Q102" t="s">
        <v>626</v>
      </c>
      <c r="R102" s="184">
        <v>2.19</v>
      </c>
      <c r="S102" s="184">
        <v>0.57999999999999996</v>
      </c>
      <c r="T102" s="184">
        <f t="shared" si="10"/>
        <v>0.57999999999999996</v>
      </c>
    </row>
    <row r="103" spans="1:22" ht="30" x14ac:dyDescent="0.25">
      <c r="A103" s="117" t="s">
        <v>614</v>
      </c>
      <c r="B103" s="117" t="s">
        <v>615</v>
      </c>
      <c r="C103" t="s">
        <v>616</v>
      </c>
      <c r="D103" t="s">
        <v>617</v>
      </c>
      <c r="E103" s="182">
        <v>231019</v>
      </c>
      <c r="F103" t="s">
        <v>618</v>
      </c>
      <c r="G103" t="s">
        <v>619</v>
      </c>
      <c r="H103" s="118" t="s">
        <v>620</v>
      </c>
      <c r="I103" t="s">
        <v>628</v>
      </c>
      <c r="J103" t="s">
        <v>622</v>
      </c>
      <c r="K103" t="s">
        <v>646</v>
      </c>
      <c r="L103" s="196" t="str">
        <f>'common foods'!C161</f>
        <v>Peanut butter, no added salt or sugar</v>
      </c>
      <c r="M103" s="183" t="s">
        <v>345</v>
      </c>
      <c r="N103" t="s">
        <v>655</v>
      </c>
      <c r="O103" t="s">
        <v>625</v>
      </c>
      <c r="P103">
        <v>375</v>
      </c>
      <c r="Q103" t="s">
        <v>626</v>
      </c>
      <c r="R103" s="184">
        <v>2.7</v>
      </c>
      <c r="S103" s="184">
        <v>0.72</v>
      </c>
      <c r="T103" s="184">
        <f t="shared" si="10"/>
        <v>0.72</v>
      </c>
    </row>
    <row r="104" spans="1:22" x14ac:dyDescent="0.25">
      <c r="A104" s="117" t="s">
        <v>614</v>
      </c>
      <c r="B104" s="117" t="s">
        <v>615</v>
      </c>
      <c r="C104" t="s">
        <v>616</v>
      </c>
      <c r="D104" t="s">
        <v>617</v>
      </c>
      <c r="E104" s="182">
        <v>231019</v>
      </c>
      <c r="F104" t="s">
        <v>618</v>
      </c>
      <c r="G104" t="s">
        <v>619</v>
      </c>
      <c r="H104" s="118" t="s">
        <v>620</v>
      </c>
      <c r="I104" t="s">
        <v>621</v>
      </c>
      <c r="J104" t="s">
        <v>622</v>
      </c>
      <c r="K104" t="s">
        <v>623</v>
      </c>
      <c r="L104" s="201" t="str">
        <f>'common foods'!C67</f>
        <v>Mixed grain crackers</v>
      </c>
      <c r="M104" s="183" t="str">
        <f>'common foods'!D67</f>
        <v>03074</v>
      </c>
      <c r="N104" t="s">
        <v>656</v>
      </c>
      <c r="O104" t="s">
        <v>625</v>
      </c>
      <c r="P104">
        <v>250</v>
      </c>
      <c r="Q104" t="s">
        <v>626</v>
      </c>
      <c r="R104" s="184">
        <v>3.29</v>
      </c>
      <c r="S104" s="184">
        <v>1.32</v>
      </c>
      <c r="T104" s="184">
        <f t="shared" si="10"/>
        <v>1.32</v>
      </c>
    </row>
    <row r="105" spans="1:22" x14ac:dyDescent="0.25">
      <c r="A105" s="117" t="s">
        <v>614</v>
      </c>
      <c r="B105" s="117" t="s">
        <v>615</v>
      </c>
      <c r="C105" t="s">
        <v>616</v>
      </c>
      <c r="D105" t="s">
        <v>617</v>
      </c>
      <c r="E105" s="182">
        <v>231019</v>
      </c>
      <c r="F105" t="s">
        <v>618</v>
      </c>
      <c r="G105" t="s">
        <v>619</v>
      </c>
      <c r="H105" s="118" t="s">
        <v>620</v>
      </c>
      <c r="I105" t="s">
        <v>627</v>
      </c>
      <c r="J105" t="s">
        <v>622</v>
      </c>
      <c r="K105" t="s">
        <v>623</v>
      </c>
      <c r="L105" s="201" t="str">
        <f>'common foods'!C67</f>
        <v>Mixed grain crackers</v>
      </c>
      <c r="M105" s="183" t="str">
        <f>'common foods'!D67</f>
        <v>03074</v>
      </c>
      <c r="N105" t="s">
        <v>656</v>
      </c>
      <c r="O105" t="s">
        <v>625</v>
      </c>
      <c r="P105">
        <v>250</v>
      </c>
      <c r="Q105" t="s">
        <v>626</v>
      </c>
      <c r="R105" s="184">
        <v>2.99</v>
      </c>
      <c r="S105" s="184">
        <f>R105/2.5</f>
        <v>1.1960000000000002</v>
      </c>
      <c r="T105" s="184">
        <f t="shared" si="10"/>
        <v>1.1960000000000002</v>
      </c>
    </row>
    <row r="106" spans="1:22" s="123" customFormat="1" x14ac:dyDescent="0.25">
      <c r="A106" s="117" t="s">
        <v>614</v>
      </c>
      <c r="B106" s="117" t="s">
        <v>615</v>
      </c>
      <c r="C106" s="123" t="s">
        <v>616</v>
      </c>
      <c r="D106" s="123" t="s">
        <v>617</v>
      </c>
      <c r="E106" s="182">
        <v>231019</v>
      </c>
      <c r="F106" s="123" t="s">
        <v>618</v>
      </c>
      <c r="G106" s="123" t="s">
        <v>619</v>
      </c>
      <c r="H106" s="118" t="s">
        <v>620</v>
      </c>
      <c r="I106" s="123" t="s">
        <v>628</v>
      </c>
      <c r="J106" s="123" t="s">
        <v>622</v>
      </c>
      <c r="K106" s="123" t="s">
        <v>623</v>
      </c>
      <c r="L106" s="201" t="str">
        <f>'common foods'!C67</f>
        <v>Mixed grain crackers</v>
      </c>
      <c r="M106" s="183" t="str">
        <f>'common foods'!D67</f>
        <v>03074</v>
      </c>
      <c r="N106" s="123" t="s">
        <v>656</v>
      </c>
      <c r="O106" s="123" t="s">
        <v>625</v>
      </c>
      <c r="P106" s="123">
        <v>250</v>
      </c>
      <c r="Q106" s="123" t="s">
        <v>626</v>
      </c>
      <c r="R106" s="184">
        <v>3.5</v>
      </c>
      <c r="S106" s="184">
        <f>R106/2.5</f>
        <v>1.4</v>
      </c>
      <c r="T106" s="184">
        <f t="shared" si="10"/>
        <v>1.4</v>
      </c>
    </row>
    <row r="107" spans="1:22" x14ac:dyDescent="0.25">
      <c r="A107" s="117" t="s">
        <v>614</v>
      </c>
      <c r="B107" s="117" t="s">
        <v>615</v>
      </c>
      <c r="C107" t="s">
        <v>616</v>
      </c>
      <c r="D107" t="s">
        <v>617</v>
      </c>
      <c r="E107" s="182">
        <v>231019</v>
      </c>
      <c r="F107" t="s">
        <v>618</v>
      </c>
      <c r="G107" t="s">
        <v>619</v>
      </c>
      <c r="H107" s="118" t="s">
        <v>620</v>
      </c>
      <c r="I107" t="s">
        <v>621</v>
      </c>
      <c r="J107" t="s">
        <v>622</v>
      </c>
      <c r="K107" s="123" t="s">
        <v>635</v>
      </c>
      <c r="L107" s="196" t="str">
        <f>'common foods'!C93</f>
        <v>Chicken breast fresh</v>
      </c>
      <c r="M107" s="183" t="str">
        <f>'common foods'!D93</f>
        <v>05069</v>
      </c>
      <c r="N107" t="s">
        <v>619</v>
      </c>
      <c r="O107" t="s">
        <v>619</v>
      </c>
      <c r="P107">
        <v>1000</v>
      </c>
      <c r="Q107" t="s">
        <v>626</v>
      </c>
      <c r="R107" s="184">
        <v>9.99</v>
      </c>
      <c r="S107" s="184">
        <v>1</v>
      </c>
      <c r="T107" s="184">
        <f>S107/0.75</f>
        <v>1.3333333333333333</v>
      </c>
    </row>
    <row r="108" spans="1:22" x14ac:dyDescent="0.25">
      <c r="A108" s="117" t="s">
        <v>614</v>
      </c>
      <c r="B108" s="117" t="s">
        <v>615</v>
      </c>
      <c r="C108" t="s">
        <v>616</v>
      </c>
      <c r="D108" t="s">
        <v>617</v>
      </c>
      <c r="E108" s="182">
        <v>231019</v>
      </c>
      <c r="F108" t="s">
        <v>618</v>
      </c>
      <c r="G108" t="s">
        <v>619</v>
      </c>
      <c r="H108" s="118" t="s">
        <v>620</v>
      </c>
      <c r="I108" t="s">
        <v>627</v>
      </c>
      <c r="J108" t="s">
        <v>622</v>
      </c>
      <c r="K108" s="123" t="s">
        <v>635</v>
      </c>
      <c r="L108" s="196" t="str">
        <f>'common foods'!C93</f>
        <v>Chicken breast fresh</v>
      </c>
      <c r="M108" s="183" t="s">
        <v>203</v>
      </c>
      <c r="N108" t="s">
        <v>619</v>
      </c>
      <c r="O108" t="s">
        <v>619</v>
      </c>
      <c r="P108">
        <v>1000</v>
      </c>
      <c r="Q108" t="s">
        <v>626</v>
      </c>
      <c r="R108" s="184">
        <v>16.989999999999998</v>
      </c>
      <c r="S108" s="184">
        <v>1.7</v>
      </c>
      <c r="T108" s="184">
        <f>S108/0.75</f>
        <v>2.2666666666666666</v>
      </c>
      <c r="U108" s="184"/>
      <c r="V108" s="197"/>
    </row>
    <row r="109" spans="1:22" x14ac:dyDescent="0.25">
      <c r="A109" s="117" t="s">
        <v>614</v>
      </c>
      <c r="B109" s="117" t="s">
        <v>615</v>
      </c>
      <c r="C109" t="s">
        <v>616</v>
      </c>
      <c r="D109" t="s">
        <v>617</v>
      </c>
      <c r="E109" s="182">
        <v>231019</v>
      </c>
      <c r="F109" t="s">
        <v>618</v>
      </c>
      <c r="G109" t="s">
        <v>619</v>
      </c>
      <c r="H109" s="118" t="s">
        <v>620</v>
      </c>
      <c r="I109" t="s">
        <v>628</v>
      </c>
      <c r="J109" t="s">
        <v>622</v>
      </c>
      <c r="K109" t="s">
        <v>635</v>
      </c>
      <c r="L109" s="196" t="str">
        <f>'common foods'!C93</f>
        <v>Chicken breast fresh</v>
      </c>
      <c r="M109" s="183" t="s">
        <v>203</v>
      </c>
      <c r="N109" t="s">
        <v>619</v>
      </c>
      <c r="O109" t="s">
        <v>619</v>
      </c>
      <c r="P109">
        <v>1000</v>
      </c>
      <c r="Q109" t="s">
        <v>626</v>
      </c>
      <c r="R109" s="184">
        <v>12.5</v>
      </c>
      <c r="S109" s="184">
        <f>R109/10</f>
        <v>1.25</v>
      </c>
      <c r="T109" s="184">
        <f>S109/0.75</f>
        <v>1.6666666666666667</v>
      </c>
    </row>
    <row r="110" spans="1:22" x14ac:dyDescent="0.25">
      <c r="A110" s="117" t="s">
        <v>614</v>
      </c>
      <c r="B110" s="117" t="s">
        <v>615</v>
      </c>
      <c r="C110" t="s">
        <v>616</v>
      </c>
      <c r="D110" t="s">
        <v>617</v>
      </c>
      <c r="E110" s="182">
        <v>231019</v>
      </c>
      <c r="F110" t="s">
        <v>618</v>
      </c>
      <c r="G110" t="s">
        <v>619</v>
      </c>
      <c r="H110" s="118" t="s">
        <v>620</v>
      </c>
      <c r="I110" t="s">
        <v>621</v>
      </c>
      <c r="J110" t="s">
        <v>622</v>
      </c>
      <c r="K110" t="s">
        <v>639</v>
      </c>
      <c r="L110" s="196" t="str">
        <f>'common foods'!C36</f>
        <v>Potatoes, fresh</v>
      </c>
      <c r="M110" s="183" t="str">
        <f>'common foods'!D36</f>
        <v>02033</v>
      </c>
      <c r="N110" t="s">
        <v>636</v>
      </c>
      <c r="O110" t="s">
        <v>632</v>
      </c>
      <c r="P110">
        <v>4000</v>
      </c>
      <c r="Q110" t="s">
        <v>626</v>
      </c>
      <c r="R110" s="184">
        <v>5.99</v>
      </c>
      <c r="S110" s="184">
        <f>R110/40</f>
        <v>0.14974999999999999</v>
      </c>
      <c r="T110" s="184">
        <f>S110/0.9</f>
        <v>0.16638888888888889</v>
      </c>
    </row>
    <row r="111" spans="1:22" x14ac:dyDescent="0.25">
      <c r="A111" s="117" t="s">
        <v>614</v>
      </c>
      <c r="B111" s="117" t="s">
        <v>615</v>
      </c>
      <c r="C111" t="s">
        <v>616</v>
      </c>
      <c r="D111" t="s">
        <v>617</v>
      </c>
      <c r="E111" s="182">
        <v>231019</v>
      </c>
      <c r="F111" t="s">
        <v>618</v>
      </c>
      <c r="G111" t="s">
        <v>619</v>
      </c>
      <c r="H111" s="118" t="s">
        <v>620</v>
      </c>
      <c r="I111" t="s">
        <v>627</v>
      </c>
      <c r="J111" t="s">
        <v>622</v>
      </c>
      <c r="K111" t="s">
        <v>639</v>
      </c>
      <c r="L111" s="196" t="str">
        <f>'common foods'!C36</f>
        <v>Potatoes, fresh</v>
      </c>
      <c r="M111" s="183" t="s">
        <v>85</v>
      </c>
      <c r="N111" t="s">
        <v>619</v>
      </c>
      <c r="O111" t="s">
        <v>619</v>
      </c>
      <c r="P111">
        <v>1000</v>
      </c>
      <c r="Q111" t="s">
        <v>626</v>
      </c>
      <c r="R111" s="184">
        <v>2.4900000000000002</v>
      </c>
      <c r="S111" s="184">
        <v>0.25</v>
      </c>
      <c r="T111" s="184">
        <f>S111/0.9</f>
        <v>0.27777777777777779</v>
      </c>
    </row>
    <row r="112" spans="1:22" x14ac:dyDescent="0.25">
      <c r="A112" s="117" t="s">
        <v>614</v>
      </c>
      <c r="B112" s="117" t="s">
        <v>615</v>
      </c>
      <c r="C112" t="s">
        <v>616</v>
      </c>
      <c r="D112" t="s">
        <v>617</v>
      </c>
      <c r="E112" s="182">
        <v>231019</v>
      </c>
      <c r="F112" t="s">
        <v>618</v>
      </c>
      <c r="G112" t="s">
        <v>619</v>
      </c>
      <c r="H112" s="118" t="s">
        <v>620</v>
      </c>
      <c r="I112" t="s">
        <v>628</v>
      </c>
      <c r="J112" t="s">
        <v>622</v>
      </c>
      <c r="K112" t="s">
        <v>639</v>
      </c>
      <c r="L112" s="196" t="str">
        <f>'common foods'!C36</f>
        <v>Potatoes, fresh</v>
      </c>
      <c r="M112" s="183" t="s">
        <v>85</v>
      </c>
      <c r="N112" t="s">
        <v>628</v>
      </c>
      <c r="O112" t="s">
        <v>632</v>
      </c>
      <c r="P112">
        <v>4000</v>
      </c>
      <c r="Q112" t="s">
        <v>626</v>
      </c>
      <c r="R112" s="184">
        <v>7</v>
      </c>
      <c r="S112" s="184">
        <f>R112/40</f>
        <v>0.17499999999999999</v>
      </c>
      <c r="T112" s="184">
        <f>S112/0.9</f>
        <v>0.19444444444444442</v>
      </c>
    </row>
    <row r="113" spans="1:20" x14ac:dyDescent="0.25">
      <c r="A113" s="117" t="s">
        <v>614</v>
      </c>
      <c r="B113" s="117" t="s">
        <v>615</v>
      </c>
      <c r="C113" t="s">
        <v>616</v>
      </c>
      <c r="D113" t="s">
        <v>617</v>
      </c>
      <c r="E113" s="182">
        <v>231019</v>
      </c>
      <c r="F113" t="s">
        <v>618</v>
      </c>
      <c r="G113" t="s">
        <v>619</v>
      </c>
      <c r="H113" s="118" t="s">
        <v>620</v>
      </c>
      <c r="I113" t="s">
        <v>621</v>
      </c>
      <c r="J113" t="s">
        <v>622</v>
      </c>
      <c r="K113" t="s">
        <v>639</v>
      </c>
      <c r="L113" s="196" t="str">
        <f>'common foods'!C27</f>
        <v>Mushrooms, fresh</v>
      </c>
      <c r="M113" s="183" t="str">
        <f>'common foods'!D27</f>
        <v>02023</v>
      </c>
      <c r="N113" t="s">
        <v>619</v>
      </c>
      <c r="O113" t="s">
        <v>619</v>
      </c>
      <c r="P113">
        <v>1000</v>
      </c>
      <c r="Q113" t="s">
        <v>626</v>
      </c>
      <c r="R113" s="184">
        <v>9.99</v>
      </c>
      <c r="S113" s="184">
        <f>R113/10</f>
        <v>0.999</v>
      </c>
      <c r="T113" s="184">
        <f>S113*1</f>
        <v>0.999</v>
      </c>
    </row>
    <row r="114" spans="1:20" x14ac:dyDescent="0.25">
      <c r="A114" s="117" t="s">
        <v>614</v>
      </c>
      <c r="B114" s="117" t="s">
        <v>615</v>
      </c>
      <c r="C114" t="s">
        <v>616</v>
      </c>
      <c r="D114" t="s">
        <v>617</v>
      </c>
      <c r="E114" s="182">
        <v>231019</v>
      </c>
      <c r="F114" t="s">
        <v>618</v>
      </c>
      <c r="G114" t="s">
        <v>619</v>
      </c>
      <c r="H114" s="118" t="s">
        <v>620</v>
      </c>
      <c r="I114" t="s">
        <v>627</v>
      </c>
      <c r="J114" t="s">
        <v>622</v>
      </c>
      <c r="K114" t="s">
        <v>639</v>
      </c>
      <c r="L114" s="196" t="str">
        <f>'common foods'!C27</f>
        <v>Mushrooms, fresh</v>
      </c>
      <c r="M114" s="183" t="s">
        <v>67</v>
      </c>
      <c r="N114" t="s">
        <v>619</v>
      </c>
      <c r="O114" t="s">
        <v>619</v>
      </c>
      <c r="P114">
        <v>1000</v>
      </c>
      <c r="Q114" t="s">
        <v>626</v>
      </c>
      <c r="R114" s="184">
        <v>12.99</v>
      </c>
      <c r="S114" s="184">
        <f>R114/10</f>
        <v>1.2989999999999999</v>
      </c>
      <c r="T114" s="184">
        <f>S114*1</f>
        <v>1.2989999999999999</v>
      </c>
    </row>
    <row r="115" spans="1:20" x14ac:dyDescent="0.25">
      <c r="A115" s="117" t="s">
        <v>614</v>
      </c>
      <c r="B115" s="117" t="s">
        <v>615</v>
      </c>
      <c r="C115" t="s">
        <v>616</v>
      </c>
      <c r="D115" t="s">
        <v>617</v>
      </c>
      <c r="E115" s="182">
        <v>231019</v>
      </c>
      <c r="F115" t="s">
        <v>618</v>
      </c>
      <c r="G115" t="s">
        <v>619</v>
      </c>
      <c r="H115" s="118" t="s">
        <v>620</v>
      </c>
      <c r="I115" t="s">
        <v>628</v>
      </c>
      <c r="J115" t="s">
        <v>622</v>
      </c>
      <c r="K115" t="s">
        <v>639</v>
      </c>
      <c r="L115" s="196" t="str">
        <f>'common foods'!C27</f>
        <v>Mushrooms, fresh</v>
      </c>
      <c r="M115" s="183" t="s">
        <v>67</v>
      </c>
      <c r="N115" t="s">
        <v>657</v>
      </c>
      <c r="O115" t="s">
        <v>625</v>
      </c>
      <c r="P115">
        <v>400</v>
      </c>
      <c r="Q115" t="s">
        <v>626</v>
      </c>
      <c r="R115" s="184">
        <v>4</v>
      </c>
      <c r="S115" s="184">
        <f>R115/4</f>
        <v>1</v>
      </c>
      <c r="T115" s="184">
        <f>S115*1</f>
        <v>1</v>
      </c>
    </row>
    <row r="116" spans="1:20" x14ac:dyDescent="0.25">
      <c r="A116" s="117" t="s">
        <v>614</v>
      </c>
      <c r="B116" s="117" t="s">
        <v>615</v>
      </c>
      <c r="C116" t="s">
        <v>616</v>
      </c>
      <c r="D116" t="s">
        <v>617</v>
      </c>
      <c r="E116" s="182">
        <v>231019</v>
      </c>
      <c r="F116" t="s">
        <v>618</v>
      </c>
      <c r="G116" t="s">
        <v>619</v>
      </c>
      <c r="H116" s="118" t="s">
        <v>620</v>
      </c>
      <c r="I116" t="s">
        <v>627</v>
      </c>
      <c r="J116" t="s">
        <v>622</v>
      </c>
      <c r="K116" t="s">
        <v>639</v>
      </c>
      <c r="L116" s="196" t="str">
        <f>'common foods'!C45</f>
        <v>Spinach, frozen</v>
      </c>
      <c r="M116" s="183" t="str">
        <f>'common foods'!D45</f>
        <v>02050</v>
      </c>
      <c r="N116" t="s">
        <v>658</v>
      </c>
      <c r="O116" t="s">
        <v>625</v>
      </c>
      <c r="P116" s="199">
        <v>500</v>
      </c>
      <c r="Q116" t="s">
        <v>626</v>
      </c>
      <c r="R116" s="184">
        <v>2.99</v>
      </c>
      <c r="S116" s="184">
        <f>R116/5</f>
        <v>0.59800000000000009</v>
      </c>
      <c r="T116" s="198">
        <f>S116/1</f>
        <v>0.59800000000000009</v>
      </c>
    </row>
    <row r="117" spans="1:20" x14ac:dyDescent="0.25">
      <c r="A117" s="117" t="s">
        <v>614</v>
      </c>
      <c r="B117" s="117" t="s">
        <v>615</v>
      </c>
      <c r="C117" t="s">
        <v>616</v>
      </c>
      <c r="D117" t="s">
        <v>617</v>
      </c>
      <c r="E117" s="182">
        <v>231019</v>
      </c>
      <c r="F117" t="s">
        <v>618</v>
      </c>
      <c r="G117" t="s">
        <v>619</v>
      </c>
      <c r="H117" s="118" t="s">
        <v>620</v>
      </c>
      <c r="I117" t="s">
        <v>627</v>
      </c>
      <c r="J117" t="s">
        <v>622</v>
      </c>
      <c r="K117" t="s">
        <v>639</v>
      </c>
      <c r="L117" s="196" t="s">
        <v>102</v>
      </c>
      <c r="M117" s="183" t="s">
        <v>103</v>
      </c>
      <c r="N117" t="s">
        <v>658</v>
      </c>
      <c r="O117" t="s">
        <v>625</v>
      </c>
      <c r="P117" s="199">
        <v>500</v>
      </c>
      <c r="Q117" t="s">
        <v>626</v>
      </c>
      <c r="R117" s="184">
        <v>2.99</v>
      </c>
      <c r="S117" s="184">
        <f>R117/5</f>
        <v>0.59800000000000009</v>
      </c>
      <c r="T117" s="198">
        <f>S117/1</f>
        <v>0.59800000000000009</v>
      </c>
    </row>
    <row r="118" spans="1:20" x14ac:dyDescent="0.25">
      <c r="A118" s="117" t="s">
        <v>614</v>
      </c>
      <c r="B118" s="117" t="s">
        <v>615</v>
      </c>
      <c r="C118" t="s">
        <v>616</v>
      </c>
      <c r="D118" t="s">
        <v>617</v>
      </c>
      <c r="E118" s="182">
        <v>231019</v>
      </c>
      <c r="F118" t="s">
        <v>618</v>
      </c>
      <c r="G118" t="s">
        <v>619</v>
      </c>
      <c r="H118" s="118" t="s">
        <v>620</v>
      </c>
      <c r="I118" t="s">
        <v>621</v>
      </c>
      <c r="J118" t="s">
        <v>622</v>
      </c>
      <c r="K118" t="s">
        <v>639</v>
      </c>
      <c r="L118" s="196" t="s">
        <v>102</v>
      </c>
      <c r="M118" s="183" t="s">
        <v>103</v>
      </c>
      <c r="N118" t="s">
        <v>659</v>
      </c>
      <c r="O118" t="s">
        <v>625</v>
      </c>
      <c r="P118" s="199">
        <v>1000</v>
      </c>
      <c r="Q118" t="s">
        <v>626</v>
      </c>
      <c r="R118" s="184">
        <v>4.6900000000000004</v>
      </c>
      <c r="S118" s="184">
        <f>R118/10</f>
        <v>0.46900000000000003</v>
      </c>
      <c r="T118" s="198">
        <f>S118/1</f>
        <v>0.46900000000000003</v>
      </c>
    </row>
    <row r="119" spans="1:20" x14ac:dyDescent="0.25">
      <c r="A119" s="117" t="s">
        <v>614</v>
      </c>
      <c r="B119" s="117" t="s">
        <v>615</v>
      </c>
      <c r="C119" t="s">
        <v>616</v>
      </c>
      <c r="D119" t="s">
        <v>617</v>
      </c>
      <c r="E119" s="182">
        <v>231019</v>
      </c>
      <c r="F119" t="s">
        <v>618</v>
      </c>
      <c r="G119" t="s">
        <v>619</v>
      </c>
      <c r="H119" s="118" t="s">
        <v>620</v>
      </c>
      <c r="I119" t="s">
        <v>621</v>
      </c>
      <c r="J119" t="s">
        <v>622</v>
      </c>
      <c r="K119" t="s">
        <v>635</v>
      </c>
      <c r="L119" s="196" t="str">
        <f>'common foods'!C116</f>
        <v>Black Beans Canned</v>
      </c>
      <c r="M119" s="183" t="str">
        <f>'common foods'!D116</f>
        <v>05103</v>
      </c>
      <c r="N119" t="s">
        <v>636</v>
      </c>
      <c r="O119" t="s">
        <v>632</v>
      </c>
      <c r="P119">
        <v>400</v>
      </c>
      <c r="Q119" t="s">
        <v>626</v>
      </c>
      <c r="R119" s="184">
        <v>0.99</v>
      </c>
      <c r="S119" s="184">
        <v>0.25</v>
      </c>
      <c r="T119" s="198">
        <f>S119/0.6</f>
        <v>0.41666666666666669</v>
      </c>
    </row>
    <row r="120" spans="1:20" x14ac:dyDescent="0.25">
      <c r="A120" s="117" t="s">
        <v>614</v>
      </c>
      <c r="B120" s="117" t="s">
        <v>615</v>
      </c>
      <c r="C120" t="s">
        <v>616</v>
      </c>
      <c r="D120" t="s">
        <v>617</v>
      </c>
      <c r="E120" s="182">
        <v>231019</v>
      </c>
      <c r="F120" t="s">
        <v>618</v>
      </c>
      <c r="G120" t="s">
        <v>619</v>
      </c>
      <c r="H120" s="118" t="s">
        <v>620</v>
      </c>
      <c r="I120" t="s">
        <v>627</v>
      </c>
      <c r="J120" t="s">
        <v>622</v>
      </c>
      <c r="K120" t="s">
        <v>635</v>
      </c>
      <c r="L120" s="196" t="str">
        <f>'common foods'!C116</f>
        <v>Black Beans Canned</v>
      </c>
      <c r="M120" s="183" t="str">
        <f>'common foods'!D116</f>
        <v>05103</v>
      </c>
      <c r="N120" t="s">
        <v>636</v>
      </c>
      <c r="O120" t="s">
        <v>632</v>
      </c>
      <c r="P120">
        <v>400</v>
      </c>
      <c r="Q120" t="s">
        <v>626</v>
      </c>
      <c r="R120" s="184">
        <v>1.29</v>
      </c>
      <c r="S120" s="184">
        <v>0.32</v>
      </c>
      <c r="T120" s="198">
        <f>S120/0.6</f>
        <v>0.53333333333333333</v>
      </c>
    </row>
    <row r="121" spans="1:20" x14ac:dyDescent="0.25">
      <c r="A121" s="117" t="s">
        <v>614</v>
      </c>
      <c r="B121" s="117" t="s">
        <v>615</v>
      </c>
      <c r="C121" t="s">
        <v>616</v>
      </c>
      <c r="D121" t="s">
        <v>617</v>
      </c>
      <c r="E121" s="182">
        <v>231019</v>
      </c>
      <c r="F121" t="s">
        <v>618</v>
      </c>
      <c r="G121" t="s">
        <v>619</v>
      </c>
      <c r="H121" s="118" t="s">
        <v>620</v>
      </c>
      <c r="I121" t="s">
        <v>628</v>
      </c>
      <c r="J121" t="s">
        <v>622</v>
      </c>
      <c r="K121" t="s">
        <v>635</v>
      </c>
      <c r="L121" s="196" t="str">
        <f>'common foods'!C116</f>
        <v>Black Beans Canned</v>
      </c>
      <c r="M121" s="183" t="str">
        <f>'common foods'!D116</f>
        <v>05103</v>
      </c>
      <c r="N121" t="s">
        <v>660</v>
      </c>
      <c r="O121" t="s">
        <v>625</v>
      </c>
      <c r="P121">
        <v>420</v>
      </c>
      <c r="Q121" t="s">
        <v>626</v>
      </c>
      <c r="R121" s="184">
        <v>1.5</v>
      </c>
      <c r="S121" s="184">
        <v>0.36</v>
      </c>
      <c r="T121" s="198">
        <f>S121/0.6</f>
        <v>0.6</v>
      </c>
    </row>
    <row r="122" spans="1:20" x14ac:dyDescent="0.25">
      <c r="A122" s="117" t="s">
        <v>614</v>
      </c>
      <c r="B122" s="117" t="s">
        <v>615</v>
      </c>
      <c r="C122" t="s">
        <v>616</v>
      </c>
      <c r="D122" t="s">
        <v>617</v>
      </c>
      <c r="E122" s="182">
        <v>301019</v>
      </c>
      <c r="F122" t="s">
        <v>618</v>
      </c>
      <c r="G122" t="s">
        <v>619</v>
      </c>
      <c r="H122" s="118" t="s">
        <v>620</v>
      </c>
      <c r="I122" t="s">
        <v>621</v>
      </c>
      <c r="J122" t="s">
        <v>622</v>
      </c>
      <c r="K122" t="str">
        <f>'common foods'!A161</f>
        <v>Sauces, dressings, spreads, sugars</v>
      </c>
      <c r="L122" s="196" t="str">
        <f>'common foods'!C166</f>
        <v>Mild Salsa</v>
      </c>
      <c r="M122" s="183" t="str">
        <f>'common foods'!D166</f>
        <v>08109</v>
      </c>
      <c r="N122" t="s">
        <v>661</v>
      </c>
      <c r="O122" t="s">
        <v>625</v>
      </c>
      <c r="P122">
        <v>300</v>
      </c>
      <c r="Q122" t="s">
        <v>626</v>
      </c>
      <c r="R122" s="184">
        <v>2.79</v>
      </c>
      <c r="S122" s="184">
        <f>R122/3</f>
        <v>0.93</v>
      </c>
      <c r="T122" s="198">
        <f>S122/1</f>
        <v>0.93</v>
      </c>
    </row>
    <row r="123" spans="1:20" x14ac:dyDescent="0.25">
      <c r="A123" s="117" t="s">
        <v>614</v>
      </c>
      <c r="B123" s="117" t="s">
        <v>615</v>
      </c>
      <c r="C123" t="s">
        <v>616</v>
      </c>
      <c r="D123" t="s">
        <v>617</v>
      </c>
      <c r="E123" s="182">
        <v>301019</v>
      </c>
      <c r="F123" t="s">
        <v>618</v>
      </c>
      <c r="G123" t="s">
        <v>619</v>
      </c>
      <c r="H123" s="118" t="s">
        <v>620</v>
      </c>
      <c r="I123" t="s">
        <v>627</v>
      </c>
      <c r="J123" t="s">
        <v>622</v>
      </c>
      <c r="K123" t="str">
        <f>'common foods'!A162</f>
        <v>Sauces, dressings, spreads, sugars</v>
      </c>
      <c r="L123" s="196" t="str">
        <f>'common foods'!C166</f>
        <v>Mild Salsa</v>
      </c>
      <c r="M123" s="183" t="s">
        <v>355</v>
      </c>
      <c r="N123" t="s">
        <v>661</v>
      </c>
      <c r="O123" t="s">
        <v>625</v>
      </c>
      <c r="P123">
        <v>300</v>
      </c>
      <c r="Q123" t="s">
        <v>626</v>
      </c>
      <c r="R123" s="184">
        <v>4.49</v>
      </c>
      <c r="S123" s="184">
        <f>R123/3</f>
        <v>1.4966666666666668</v>
      </c>
      <c r="T123" s="198">
        <f>S123/1</f>
        <v>1.4966666666666668</v>
      </c>
    </row>
    <row r="124" spans="1:20" x14ac:dyDescent="0.25">
      <c r="A124" s="117" t="s">
        <v>614</v>
      </c>
      <c r="B124" s="117" t="s">
        <v>615</v>
      </c>
      <c r="C124" t="s">
        <v>616</v>
      </c>
      <c r="D124" t="s">
        <v>617</v>
      </c>
      <c r="E124" s="182">
        <v>301019</v>
      </c>
      <c r="F124" t="s">
        <v>618</v>
      </c>
      <c r="G124" t="s">
        <v>619</v>
      </c>
      <c r="H124" s="118" t="s">
        <v>620</v>
      </c>
      <c r="I124" t="s">
        <v>628</v>
      </c>
      <c r="J124" t="s">
        <v>622</v>
      </c>
      <c r="K124" t="str">
        <f>'common foods'!A163</f>
        <v>Sauces, dressings, spreads, sugars</v>
      </c>
      <c r="L124" s="196" t="str">
        <f>'common foods'!C166</f>
        <v>Mild Salsa</v>
      </c>
      <c r="M124" s="183" t="s">
        <v>355</v>
      </c>
      <c r="N124" t="s">
        <v>661</v>
      </c>
      <c r="O124" t="s">
        <v>625</v>
      </c>
      <c r="P124">
        <v>300</v>
      </c>
      <c r="Q124" t="s">
        <v>626</v>
      </c>
      <c r="R124" s="184">
        <v>3.99</v>
      </c>
      <c r="S124" s="184">
        <f>R124/3</f>
        <v>1.33</v>
      </c>
      <c r="T124" s="198">
        <f>S124/1</f>
        <v>1.33</v>
      </c>
    </row>
    <row r="125" spans="1:20" x14ac:dyDescent="0.25">
      <c r="A125" s="117" t="s">
        <v>614</v>
      </c>
      <c r="B125" s="117" t="s">
        <v>615</v>
      </c>
      <c r="C125" t="s">
        <v>616</v>
      </c>
      <c r="D125" t="s">
        <v>617</v>
      </c>
      <c r="E125" s="182">
        <v>231019</v>
      </c>
      <c r="F125" t="s">
        <v>618</v>
      </c>
      <c r="G125" t="s">
        <v>619</v>
      </c>
      <c r="H125" s="118" t="s">
        <v>620</v>
      </c>
      <c r="I125" t="s">
        <v>621</v>
      </c>
      <c r="J125" t="s">
        <v>622</v>
      </c>
      <c r="K125" t="s">
        <v>633</v>
      </c>
      <c r="L125" s="196" t="str">
        <f>'common foods'!C8</f>
        <v>Oranges, fresh</v>
      </c>
      <c r="M125" s="183" t="str">
        <f>'common foods'!D8</f>
        <v>01007</v>
      </c>
      <c r="N125" t="s">
        <v>619</v>
      </c>
      <c r="O125" t="s">
        <v>619</v>
      </c>
      <c r="P125">
        <v>1000</v>
      </c>
      <c r="Q125" t="s">
        <v>626</v>
      </c>
      <c r="R125" s="184">
        <v>2.99</v>
      </c>
      <c r="S125" s="184">
        <v>0.3</v>
      </c>
      <c r="T125" s="184">
        <f>S125/0.64</f>
        <v>0.46875</v>
      </c>
    </row>
    <row r="126" spans="1:20" x14ac:dyDescent="0.25">
      <c r="A126" s="117" t="s">
        <v>614</v>
      </c>
      <c r="B126" s="117" t="s">
        <v>615</v>
      </c>
      <c r="C126" t="s">
        <v>616</v>
      </c>
      <c r="D126" t="s">
        <v>617</v>
      </c>
      <c r="E126" s="182">
        <v>231019</v>
      </c>
      <c r="F126" t="s">
        <v>618</v>
      </c>
      <c r="G126" t="s">
        <v>619</v>
      </c>
      <c r="H126" s="118" t="s">
        <v>620</v>
      </c>
      <c r="I126" t="s">
        <v>627</v>
      </c>
      <c r="J126" t="s">
        <v>622</v>
      </c>
      <c r="K126" t="s">
        <v>633</v>
      </c>
      <c r="L126" s="196" t="str">
        <f>'common foods'!C8</f>
        <v>Oranges, fresh</v>
      </c>
      <c r="M126" s="183" t="s">
        <v>27</v>
      </c>
      <c r="N126" t="s">
        <v>619</v>
      </c>
      <c r="O126" t="s">
        <v>619</v>
      </c>
      <c r="P126">
        <v>1000</v>
      </c>
      <c r="Q126" t="s">
        <v>626</v>
      </c>
      <c r="R126" s="184">
        <v>2.99</v>
      </c>
      <c r="S126" s="184">
        <v>0.3</v>
      </c>
      <c r="T126" s="184">
        <f>S126/0.64</f>
        <v>0.46875</v>
      </c>
    </row>
    <row r="127" spans="1:20" x14ac:dyDescent="0.25">
      <c r="A127" s="117" t="s">
        <v>614</v>
      </c>
      <c r="B127" s="117" t="s">
        <v>615</v>
      </c>
      <c r="C127" t="s">
        <v>616</v>
      </c>
      <c r="D127" t="s">
        <v>617</v>
      </c>
      <c r="E127" s="182">
        <v>231019</v>
      </c>
      <c r="F127" t="s">
        <v>618</v>
      </c>
      <c r="G127" t="s">
        <v>619</v>
      </c>
      <c r="H127" s="118" t="s">
        <v>620</v>
      </c>
      <c r="I127" t="s">
        <v>628</v>
      </c>
      <c r="J127" t="s">
        <v>622</v>
      </c>
      <c r="K127" t="s">
        <v>633</v>
      </c>
      <c r="L127" s="196" t="str">
        <f>'common foods'!C8</f>
        <v>Oranges, fresh</v>
      </c>
      <c r="M127" s="183" t="s">
        <v>27</v>
      </c>
      <c r="N127" t="s">
        <v>619</v>
      </c>
      <c r="O127" t="s">
        <v>619</v>
      </c>
      <c r="P127">
        <v>1000</v>
      </c>
      <c r="Q127" t="s">
        <v>626</v>
      </c>
      <c r="R127" s="184">
        <v>3</v>
      </c>
      <c r="S127" s="184">
        <f>R127/10</f>
        <v>0.3</v>
      </c>
      <c r="T127" s="184">
        <f>S127/0.64</f>
        <v>0.46875</v>
      </c>
    </row>
    <row r="128" spans="1:20" x14ac:dyDescent="0.25">
      <c r="A128" s="117" t="s">
        <v>614</v>
      </c>
      <c r="B128" s="117" t="s">
        <v>615</v>
      </c>
      <c r="C128" t="s">
        <v>616</v>
      </c>
      <c r="D128" t="s">
        <v>617</v>
      </c>
      <c r="E128" s="182">
        <v>231019</v>
      </c>
      <c r="F128" t="s">
        <v>618</v>
      </c>
      <c r="G128" t="s">
        <v>619</v>
      </c>
      <c r="H128" s="118" t="s">
        <v>620</v>
      </c>
      <c r="I128" t="s">
        <v>621</v>
      </c>
      <c r="J128" t="s">
        <v>622</v>
      </c>
      <c r="K128" t="s">
        <v>623</v>
      </c>
      <c r="L128" s="201" t="str">
        <f>'common foods'!C70</f>
        <v>Pita bread, wholemeal</v>
      </c>
      <c r="M128" s="183" t="str">
        <f>'common foods'!D70</f>
        <v>03071</v>
      </c>
      <c r="N128" t="s">
        <v>662</v>
      </c>
      <c r="O128" t="s">
        <v>625</v>
      </c>
      <c r="P128">
        <f>75*5</f>
        <v>375</v>
      </c>
      <c r="Q128" t="s">
        <v>626</v>
      </c>
      <c r="R128" s="184">
        <v>3.89</v>
      </c>
      <c r="S128" s="184">
        <f>R128/3.75</f>
        <v>1.0373333333333334</v>
      </c>
      <c r="T128" s="184">
        <f>S128*1</f>
        <v>1.0373333333333334</v>
      </c>
    </row>
    <row r="129" spans="1:20" x14ac:dyDescent="0.25">
      <c r="A129" s="117" t="s">
        <v>614</v>
      </c>
      <c r="B129" s="117" t="s">
        <v>615</v>
      </c>
      <c r="C129" t="s">
        <v>616</v>
      </c>
      <c r="D129" t="s">
        <v>617</v>
      </c>
      <c r="E129" s="182">
        <v>231019</v>
      </c>
      <c r="F129" t="s">
        <v>618</v>
      </c>
      <c r="G129" t="s">
        <v>619</v>
      </c>
      <c r="H129" s="118" t="s">
        <v>620</v>
      </c>
      <c r="I129" t="s">
        <v>627</v>
      </c>
      <c r="J129" t="s">
        <v>622</v>
      </c>
      <c r="K129" t="s">
        <v>623</v>
      </c>
      <c r="L129" s="201" t="str">
        <f>'common foods'!C70</f>
        <v>Pita bread, wholemeal</v>
      </c>
      <c r="M129" s="183" t="s">
        <v>154</v>
      </c>
      <c r="N129" t="s">
        <v>662</v>
      </c>
      <c r="O129" t="s">
        <v>625</v>
      </c>
      <c r="P129">
        <f>75*5</f>
        <v>375</v>
      </c>
      <c r="Q129" t="s">
        <v>626</v>
      </c>
      <c r="R129" s="184">
        <v>4.49</v>
      </c>
      <c r="S129" s="184">
        <f>R129/3.75</f>
        <v>1.1973333333333334</v>
      </c>
      <c r="T129" s="184">
        <f>S129*1</f>
        <v>1.1973333333333334</v>
      </c>
    </row>
    <row r="130" spans="1:20" x14ac:dyDescent="0.25">
      <c r="A130" s="117" t="s">
        <v>614</v>
      </c>
      <c r="B130" s="117" t="s">
        <v>615</v>
      </c>
      <c r="C130" t="s">
        <v>616</v>
      </c>
      <c r="D130" t="s">
        <v>617</v>
      </c>
      <c r="E130" s="182">
        <v>231019</v>
      </c>
      <c r="F130" t="s">
        <v>618</v>
      </c>
      <c r="G130" t="s">
        <v>619</v>
      </c>
      <c r="H130" s="118" t="s">
        <v>620</v>
      </c>
      <c r="I130" t="s">
        <v>628</v>
      </c>
      <c r="J130" t="s">
        <v>622</v>
      </c>
      <c r="K130" t="s">
        <v>623</v>
      </c>
      <c r="L130" s="201" t="str">
        <f>'common foods'!C70</f>
        <v>Pita bread, wholemeal</v>
      </c>
      <c r="M130" s="183" t="s">
        <v>154</v>
      </c>
      <c r="N130" t="s">
        <v>662</v>
      </c>
      <c r="O130" t="s">
        <v>625</v>
      </c>
      <c r="P130">
        <f>75*5</f>
        <v>375</v>
      </c>
      <c r="Q130" t="s">
        <v>626</v>
      </c>
      <c r="R130" s="184">
        <v>4.59</v>
      </c>
      <c r="S130" s="184">
        <f>R130/3.75</f>
        <v>1.224</v>
      </c>
      <c r="T130" s="184">
        <f>S130*1</f>
        <v>1.224</v>
      </c>
    </row>
    <row r="131" spans="1:20" x14ac:dyDescent="0.25">
      <c r="A131" s="117" t="s">
        <v>614</v>
      </c>
      <c r="B131" s="117" t="s">
        <v>615</v>
      </c>
      <c r="C131" t="s">
        <v>616</v>
      </c>
      <c r="D131" t="s">
        <v>617</v>
      </c>
      <c r="E131" s="182">
        <v>291019</v>
      </c>
      <c r="F131" t="s">
        <v>618</v>
      </c>
      <c r="G131" t="s">
        <v>619</v>
      </c>
      <c r="H131" s="118" t="s">
        <v>620</v>
      </c>
      <c r="I131" t="s">
        <v>621</v>
      </c>
      <c r="J131" t="s">
        <v>622</v>
      </c>
      <c r="K131" t="s">
        <v>635</v>
      </c>
      <c r="L131" s="196" t="str">
        <f>'common foods'!C117</f>
        <v>Middle Eastern Falafel Lisa</v>
      </c>
      <c r="M131" s="183" t="str">
        <f>'common foods'!D117</f>
        <v>05104</v>
      </c>
      <c r="N131" t="s">
        <v>663</v>
      </c>
      <c r="O131" t="s">
        <v>625</v>
      </c>
      <c r="P131">
        <v>400</v>
      </c>
      <c r="Q131" t="s">
        <v>626</v>
      </c>
      <c r="R131" s="184">
        <v>5.39</v>
      </c>
      <c r="S131" s="184">
        <f>R131/4</f>
        <v>1.3474999999999999</v>
      </c>
      <c r="T131" s="184">
        <f>S131/1</f>
        <v>1.3474999999999999</v>
      </c>
    </row>
    <row r="132" spans="1:20" x14ac:dyDescent="0.25">
      <c r="A132" s="117" t="s">
        <v>614</v>
      </c>
      <c r="B132" s="117" t="s">
        <v>615</v>
      </c>
      <c r="C132" t="s">
        <v>616</v>
      </c>
      <c r="D132" t="s">
        <v>617</v>
      </c>
      <c r="E132" s="182">
        <v>291019</v>
      </c>
      <c r="F132" t="s">
        <v>618</v>
      </c>
      <c r="G132" t="s">
        <v>619</v>
      </c>
      <c r="H132" s="118" t="s">
        <v>620</v>
      </c>
      <c r="I132" t="s">
        <v>627</v>
      </c>
      <c r="J132" t="s">
        <v>622</v>
      </c>
      <c r="K132" t="s">
        <v>635</v>
      </c>
      <c r="L132" s="196" t="str">
        <f>'common foods'!C117</f>
        <v>Middle Eastern Falafel Lisa</v>
      </c>
      <c r="M132" s="183" t="str">
        <f>'common foods'!D117</f>
        <v>05104</v>
      </c>
      <c r="N132" t="s">
        <v>663</v>
      </c>
      <c r="O132" t="s">
        <v>625</v>
      </c>
      <c r="P132">
        <v>400</v>
      </c>
      <c r="Q132" t="s">
        <v>626</v>
      </c>
      <c r="R132" s="184">
        <v>6.09</v>
      </c>
      <c r="S132" s="184">
        <f>R132/4</f>
        <v>1.5225</v>
      </c>
      <c r="T132" s="184">
        <f>S132/1</f>
        <v>1.5225</v>
      </c>
    </row>
    <row r="133" spans="1:20" x14ac:dyDescent="0.25">
      <c r="A133" s="117" t="s">
        <v>614</v>
      </c>
      <c r="B133" s="117" t="s">
        <v>615</v>
      </c>
      <c r="C133" t="s">
        <v>616</v>
      </c>
      <c r="D133" t="s">
        <v>617</v>
      </c>
      <c r="E133" s="182">
        <v>291019</v>
      </c>
      <c r="F133" t="s">
        <v>618</v>
      </c>
      <c r="G133" t="s">
        <v>619</v>
      </c>
      <c r="H133" s="118" t="s">
        <v>620</v>
      </c>
      <c r="I133" t="s">
        <v>628</v>
      </c>
      <c r="J133" t="s">
        <v>622</v>
      </c>
      <c r="K133" t="s">
        <v>635</v>
      </c>
      <c r="L133" s="196" t="str">
        <f>'common foods'!C117</f>
        <v>Middle Eastern Falafel Lisa</v>
      </c>
      <c r="M133" s="183" t="str">
        <f>'common foods'!D117</f>
        <v>05104</v>
      </c>
      <c r="N133" t="s">
        <v>663</v>
      </c>
      <c r="O133" t="s">
        <v>625</v>
      </c>
      <c r="P133">
        <v>400</v>
      </c>
      <c r="Q133" t="s">
        <v>626</v>
      </c>
      <c r="R133" s="184">
        <v>6.1</v>
      </c>
      <c r="S133" s="184">
        <f>R133/4</f>
        <v>1.5249999999999999</v>
      </c>
      <c r="T133" s="184">
        <f>S133/1</f>
        <v>1.5249999999999999</v>
      </c>
    </row>
    <row r="134" spans="1:20" x14ac:dyDescent="0.25">
      <c r="A134" s="117" t="s">
        <v>614</v>
      </c>
      <c r="B134" s="117" t="s">
        <v>615</v>
      </c>
      <c r="C134" t="s">
        <v>616</v>
      </c>
      <c r="D134" t="s">
        <v>617</v>
      </c>
      <c r="E134" s="182">
        <v>231019</v>
      </c>
      <c r="F134" t="s">
        <v>618</v>
      </c>
      <c r="G134" t="s">
        <v>619</v>
      </c>
      <c r="H134" s="118" t="s">
        <v>620</v>
      </c>
      <c r="I134" t="s">
        <v>621</v>
      </c>
      <c r="J134" t="s">
        <v>622</v>
      </c>
      <c r="K134" t="s">
        <v>635</v>
      </c>
      <c r="L134" s="196" t="str">
        <f>'common foods'!C118</f>
        <v>Tofu</v>
      </c>
      <c r="M134" s="183" t="str">
        <f>'common foods'!D118</f>
        <v>05105</v>
      </c>
      <c r="N134" t="s">
        <v>664</v>
      </c>
      <c r="O134" t="s">
        <v>625</v>
      </c>
      <c r="P134">
        <v>300</v>
      </c>
      <c r="Q134" t="s">
        <v>626</v>
      </c>
      <c r="R134" s="184">
        <v>2.29</v>
      </c>
      <c r="S134" s="184">
        <v>0.76</v>
      </c>
      <c r="T134" s="198">
        <f>S134*1</f>
        <v>0.76</v>
      </c>
    </row>
    <row r="135" spans="1:20" x14ac:dyDescent="0.25">
      <c r="A135" s="117" t="s">
        <v>614</v>
      </c>
      <c r="B135" s="117" t="s">
        <v>615</v>
      </c>
      <c r="C135" t="s">
        <v>616</v>
      </c>
      <c r="D135" t="s">
        <v>617</v>
      </c>
      <c r="E135" s="182">
        <v>231019</v>
      </c>
      <c r="F135" t="s">
        <v>618</v>
      </c>
      <c r="G135" t="s">
        <v>619</v>
      </c>
      <c r="H135" s="118" t="s">
        <v>620</v>
      </c>
      <c r="I135" t="s">
        <v>627</v>
      </c>
      <c r="J135" t="s">
        <v>622</v>
      </c>
      <c r="K135" t="s">
        <v>635</v>
      </c>
      <c r="L135" s="196" t="str">
        <f>'common foods'!C118</f>
        <v>Tofu</v>
      </c>
      <c r="M135" s="183" t="str">
        <f>'common foods'!D118</f>
        <v>05105</v>
      </c>
      <c r="N135" t="s">
        <v>665</v>
      </c>
      <c r="O135" t="s">
        <v>625</v>
      </c>
      <c r="P135">
        <v>297</v>
      </c>
      <c r="Q135" t="s">
        <v>626</v>
      </c>
      <c r="R135" s="184">
        <v>2.99</v>
      </c>
      <c r="S135" s="184">
        <v>1</v>
      </c>
      <c r="T135" s="198">
        <f>S135*1</f>
        <v>1</v>
      </c>
    </row>
    <row r="136" spans="1:20" x14ac:dyDescent="0.25">
      <c r="A136" s="117" t="s">
        <v>614</v>
      </c>
      <c r="B136" s="117" t="s">
        <v>615</v>
      </c>
      <c r="C136" t="s">
        <v>616</v>
      </c>
      <c r="D136" t="s">
        <v>617</v>
      </c>
      <c r="E136" s="182">
        <v>231019</v>
      </c>
      <c r="F136" t="s">
        <v>618</v>
      </c>
      <c r="G136" t="s">
        <v>619</v>
      </c>
      <c r="H136" s="118" t="s">
        <v>620</v>
      </c>
      <c r="I136" t="s">
        <v>628</v>
      </c>
      <c r="J136" t="s">
        <v>622</v>
      </c>
      <c r="K136" t="s">
        <v>635</v>
      </c>
      <c r="L136" s="196" t="str">
        <f>'common foods'!C118</f>
        <v>Tofu</v>
      </c>
      <c r="M136" s="183" t="str">
        <f>'common foods'!D118</f>
        <v>05105</v>
      </c>
      <c r="N136" t="s">
        <v>660</v>
      </c>
      <c r="O136" t="s">
        <v>632</v>
      </c>
      <c r="P136">
        <v>450</v>
      </c>
      <c r="Q136" t="s">
        <v>626</v>
      </c>
      <c r="R136" s="184">
        <v>4.9000000000000004</v>
      </c>
      <c r="S136" s="184">
        <v>1.0900000000000001</v>
      </c>
      <c r="T136" s="198">
        <f>S136*1</f>
        <v>1.0900000000000001</v>
      </c>
    </row>
    <row r="137" spans="1:20" x14ac:dyDescent="0.25">
      <c r="A137" s="117" t="s">
        <v>614</v>
      </c>
      <c r="B137" s="117" t="s">
        <v>615</v>
      </c>
      <c r="C137" t="s">
        <v>616</v>
      </c>
      <c r="D137" t="s">
        <v>617</v>
      </c>
      <c r="E137" s="182">
        <v>231019</v>
      </c>
      <c r="F137" t="s">
        <v>618</v>
      </c>
      <c r="G137" t="s">
        <v>619</v>
      </c>
      <c r="H137" s="118" t="s">
        <v>620</v>
      </c>
      <c r="I137" t="s">
        <v>621</v>
      </c>
      <c r="J137" t="s">
        <v>622</v>
      </c>
      <c r="K137" t="s">
        <v>639</v>
      </c>
      <c r="L137" s="196" t="str">
        <f>'common foods'!C18</f>
        <v>Cabbage, fresh</v>
      </c>
      <c r="M137" s="183" t="str">
        <f>'common foods'!D18</f>
        <v>02013</v>
      </c>
      <c r="N137" t="s">
        <v>619</v>
      </c>
      <c r="O137" t="s">
        <v>619</v>
      </c>
      <c r="P137">
        <v>1500</v>
      </c>
      <c r="Q137" t="s">
        <v>626</v>
      </c>
      <c r="R137" s="184">
        <v>2.99</v>
      </c>
      <c r="S137" s="184">
        <f>R137/15</f>
        <v>0.19933333333333333</v>
      </c>
      <c r="T137" s="184">
        <f>S137:S137/0.75</f>
        <v>0.26577777777777778</v>
      </c>
    </row>
    <row r="138" spans="1:20" x14ac:dyDescent="0.25">
      <c r="A138" s="117" t="s">
        <v>614</v>
      </c>
      <c r="B138" s="117" t="s">
        <v>615</v>
      </c>
      <c r="C138" t="s">
        <v>616</v>
      </c>
      <c r="D138" t="s">
        <v>617</v>
      </c>
      <c r="E138" s="182">
        <v>231019</v>
      </c>
      <c r="F138" t="s">
        <v>618</v>
      </c>
      <c r="G138" t="s">
        <v>619</v>
      </c>
      <c r="H138" s="118" t="s">
        <v>620</v>
      </c>
      <c r="I138" t="s">
        <v>627</v>
      </c>
      <c r="J138" t="s">
        <v>622</v>
      </c>
      <c r="K138" t="s">
        <v>639</v>
      </c>
      <c r="L138" s="196" t="str">
        <f>'common foods'!C18</f>
        <v>Cabbage, fresh</v>
      </c>
      <c r="M138" s="183" t="s">
        <v>49</v>
      </c>
      <c r="N138" t="s">
        <v>619</v>
      </c>
      <c r="O138" t="s">
        <v>619</v>
      </c>
      <c r="P138">
        <v>1500</v>
      </c>
      <c r="Q138" t="s">
        <v>626</v>
      </c>
      <c r="R138" s="184">
        <v>2.4900000000000002</v>
      </c>
      <c r="S138" s="184">
        <f>R138/15</f>
        <v>0.16600000000000001</v>
      </c>
      <c r="T138" s="184">
        <f>S138:S138/0.75</f>
        <v>0.22133333333333335</v>
      </c>
    </row>
    <row r="139" spans="1:20" x14ac:dyDescent="0.25">
      <c r="A139" s="117" t="s">
        <v>614</v>
      </c>
      <c r="B139" s="117" t="s">
        <v>615</v>
      </c>
      <c r="C139" t="s">
        <v>616</v>
      </c>
      <c r="D139" t="s">
        <v>617</v>
      </c>
      <c r="E139" s="182">
        <v>231019</v>
      </c>
      <c r="F139" t="s">
        <v>618</v>
      </c>
      <c r="G139" t="s">
        <v>619</v>
      </c>
      <c r="H139" s="118" t="s">
        <v>620</v>
      </c>
      <c r="I139" t="s">
        <v>628</v>
      </c>
      <c r="J139" t="s">
        <v>622</v>
      </c>
      <c r="K139" t="s">
        <v>639</v>
      </c>
      <c r="L139" s="196" t="str">
        <f>'common foods'!C18</f>
        <v>Cabbage, fresh</v>
      </c>
      <c r="M139" s="183" t="s">
        <v>49</v>
      </c>
      <c r="N139" t="s">
        <v>619</v>
      </c>
      <c r="O139" t="s">
        <v>619</v>
      </c>
      <c r="P139">
        <v>1500</v>
      </c>
      <c r="Q139" t="s">
        <v>626</v>
      </c>
      <c r="R139" s="184">
        <v>2</v>
      </c>
      <c r="S139" s="184">
        <f>R139/15</f>
        <v>0.13333333333333333</v>
      </c>
      <c r="T139" s="184">
        <f>S139:S139/0.75</f>
        <v>0.17777777777777778</v>
      </c>
    </row>
    <row r="140" spans="1:20" x14ac:dyDescent="0.25">
      <c r="A140" s="117" t="s">
        <v>614</v>
      </c>
      <c r="B140" s="117" t="s">
        <v>615</v>
      </c>
      <c r="C140" t="s">
        <v>616</v>
      </c>
      <c r="D140" t="s">
        <v>617</v>
      </c>
      <c r="E140" s="182">
        <v>231019</v>
      </c>
      <c r="F140" t="s">
        <v>618</v>
      </c>
      <c r="G140" t="s">
        <v>619</v>
      </c>
      <c r="H140" s="118" t="s">
        <v>620</v>
      </c>
      <c r="I140" t="s">
        <v>621</v>
      </c>
      <c r="J140" t="s">
        <v>622</v>
      </c>
      <c r="K140" t="s">
        <v>639</v>
      </c>
      <c r="L140" s="196" t="str">
        <f>'common foods'!C19</f>
        <v>Capsicums, fresh</v>
      </c>
      <c r="M140" s="183" t="str">
        <f>'common foods'!D19</f>
        <v>02014</v>
      </c>
      <c r="N140" t="s">
        <v>619</v>
      </c>
      <c r="O140" t="s">
        <v>619</v>
      </c>
      <c r="P140">
        <v>160</v>
      </c>
      <c r="Q140" t="s">
        <v>626</v>
      </c>
      <c r="R140" s="184">
        <v>1.49</v>
      </c>
      <c r="S140" s="184">
        <f>R140/1.6</f>
        <v>0.93124999999999991</v>
      </c>
      <c r="T140" s="184">
        <f>S140/0.88</f>
        <v>1.0582386363636362</v>
      </c>
    </row>
    <row r="141" spans="1:20" x14ac:dyDescent="0.25">
      <c r="A141" s="117" t="s">
        <v>614</v>
      </c>
      <c r="B141" s="117" t="s">
        <v>615</v>
      </c>
      <c r="C141" t="s">
        <v>616</v>
      </c>
      <c r="D141" t="s">
        <v>617</v>
      </c>
      <c r="E141" s="182">
        <v>231019</v>
      </c>
      <c r="F141" t="s">
        <v>618</v>
      </c>
      <c r="G141" t="s">
        <v>619</v>
      </c>
      <c r="H141" s="118" t="s">
        <v>620</v>
      </c>
      <c r="I141" t="s">
        <v>627</v>
      </c>
      <c r="J141" t="s">
        <v>622</v>
      </c>
      <c r="K141" t="s">
        <v>639</v>
      </c>
      <c r="L141" s="196" t="str">
        <f>'common foods'!C19</f>
        <v>Capsicums, fresh</v>
      </c>
      <c r="M141" s="183" t="s">
        <v>51</v>
      </c>
      <c r="N141" t="s">
        <v>619</v>
      </c>
      <c r="O141" t="s">
        <v>619</v>
      </c>
      <c r="P141">
        <v>160</v>
      </c>
      <c r="Q141" t="s">
        <v>626</v>
      </c>
      <c r="R141" s="184">
        <v>1.79</v>
      </c>
      <c r="S141" s="184">
        <f>R141/1.6</f>
        <v>1.1187499999999999</v>
      </c>
      <c r="T141" s="184">
        <f>S141/0.88</f>
        <v>1.2713068181818181</v>
      </c>
    </row>
    <row r="142" spans="1:20" x14ac:dyDescent="0.25">
      <c r="A142" s="117" t="s">
        <v>614</v>
      </c>
      <c r="B142" s="117" t="s">
        <v>615</v>
      </c>
      <c r="C142" t="s">
        <v>616</v>
      </c>
      <c r="D142" t="s">
        <v>617</v>
      </c>
      <c r="E142" s="182">
        <v>231019</v>
      </c>
      <c r="F142" t="s">
        <v>618</v>
      </c>
      <c r="G142" t="s">
        <v>619</v>
      </c>
      <c r="H142" s="118" t="s">
        <v>620</v>
      </c>
      <c r="I142" t="s">
        <v>628</v>
      </c>
      <c r="J142" t="s">
        <v>622</v>
      </c>
      <c r="K142" t="s">
        <v>639</v>
      </c>
      <c r="L142" s="196" t="str">
        <f>'common foods'!C19</f>
        <v>Capsicums, fresh</v>
      </c>
      <c r="M142" s="183" t="s">
        <v>51</v>
      </c>
      <c r="N142" t="s">
        <v>619</v>
      </c>
      <c r="O142" t="s">
        <v>619</v>
      </c>
      <c r="P142">
        <v>160</v>
      </c>
      <c r="Q142" t="s">
        <v>626</v>
      </c>
      <c r="R142" s="184">
        <v>1.8</v>
      </c>
      <c r="S142" s="184">
        <f>R142/1.6</f>
        <v>1.125</v>
      </c>
      <c r="T142" s="184">
        <f>S142/0.88</f>
        <v>1.2784090909090908</v>
      </c>
    </row>
    <row r="143" spans="1:20" x14ac:dyDescent="0.25">
      <c r="A143" s="117" t="s">
        <v>614</v>
      </c>
      <c r="B143" s="117" t="s">
        <v>615</v>
      </c>
      <c r="C143" t="s">
        <v>616</v>
      </c>
      <c r="D143" t="s">
        <v>617</v>
      </c>
      <c r="E143" s="182">
        <v>231019</v>
      </c>
      <c r="F143" t="s">
        <v>618</v>
      </c>
      <c r="G143" t="s">
        <v>619</v>
      </c>
      <c r="H143" s="118" t="s">
        <v>620</v>
      </c>
      <c r="I143" t="s">
        <v>621</v>
      </c>
      <c r="J143" t="s">
        <v>666</v>
      </c>
      <c r="K143" t="s">
        <v>639</v>
      </c>
      <c r="L143" s="196" t="str">
        <f>'common foods'!C37</f>
        <v>Pumpkin, fresh</v>
      </c>
      <c r="M143" s="183" t="str">
        <f>'common foods'!D37</f>
        <v>02035</v>
      </c>
      <c r="N143" t="s">
        <v>619</v>
      </c>
      <c r="O143" t="s">
        <v>619</v>
      </c>
      <c r="P143" s="123">
        <v>950</v>
      </c>
      <c r="Q143" t="s">
        <v>626</v>
      </c>
      <c r="R143" s="184">
        <v>1.99</v>
      </c>
      <c r="S143" s="184">
        <f>R143/9.5</f>
        <v>0.20947368421052631</v>
      </c>
      <c r="T143" s="184">
        <f>S143/0.72</f>
        <v>0.29093567251461988</v>
      </c>
    </row>
    <row r="144" spans="1:20" x14ac:dyDescent="0.25">
      <c r="A144" s="117" t="s">
        <v>614</v>
      </c>
      <c r="B144" s="117" t="s">
        <v>615</v>
      </c>
      <c r="C144" t="s">
        <v>616</v>
      </c>
      <c r="D144" t="s">
        <v>617</v>
      </c>
      <c r="E144" s="182">
        <v>231019</v>
      </c>
      <c r="F144" t="s">
        <v>618</v>
      </c>
      <c r="G144" t="s">
        <v>619</v>
      </c>
      <c r="H144" s="118" t="s">
        <v>620</v>
      </c>
      <c r="I144" t="s">
        <v>627</v>
      </c>
      <c r="J144" t="s">
        <v>622</v>
      </c>
      <c r="K144" t="s">
        <v>639</v>
      </c>
      <c r="L144" s="196" t="str">
        <f>'common foods'!C37</f>
        <v>Pumpkin, fresh</v>
      </c>
      <c r="M144" s="183" t="s">
        <v>87</v>
      </c>
      <c r="N144" t="s">
        <v>619</v>
      </c>
      <c r="O144" t="s">
        <v>619</v>
      </c>
      <c r="P144" s="202">
        <v>1000</v>
      </c>
      <c r="Q144" t="s">
        <v>626</v>
      </c>
      <c r="R144" s="184">
        <v>2.99</v>
      </c>
      <c r="S144" s="184">
        <f>R144/10</f>
        <v>0.29900000000000004</v>
      </c>
      <c r="T144" s="184">
        <f>S144/0.72</f>
        <v>0.41527777777777786</v>
      </c>
    </row>
    <row r="145" spans="1:20" x14ac:dyDescent="0.25">
      <c r="A145" s="117" t="s">
        <v>614</v>
      </c>
      <c r="B145" s="117" t="s">
        <v>615</v>
      </c>
      <c r="C145" t="s">
        <v>616</v>
      </c>
      <c r="D145" t="s">
        <v>617</v>
      </c>
      <c r="E145" s="182">
        <v>231019</v>
      </c>
      <c r="F145" t="s">
        <v>618</v>
      </c>
      <c r="G145" t="s">
        <v>619</v>
      </c>
      <c r="H145" s="118" t="s">
        <v>620</v>
      </c>
      <c r="I145" t="s">
        <v>628</v>
      </c>
      <c r="J145" t="s">
        <v>622</v>
      </c>
      <c r="K145" t="s">
        <v>639</v>
      </c>
      <c r="L145" s="196" t="str">
        <f>'common foods'!C37</f>
        <v>Pumpkin, fresh</v>
      </c>
      <c r="M145" s="183" t="s">
        <v>87</v>
      </c>
      <c r="N145" t="s">
        <v>619</v>
      </c>
      <c r="O145" t="s">
        <v>619</v>
      </c>
      <c r="P145" s="202">
        <v>1000</v>
      </c>
      <c r="Q145" t="s">
        <v>626</v>
      </c>
      <c r="R145" s="184">
        <v>3</v>
      </c>
      <c r="S145" s="184">
        <f>R145/10</f>
        <v>0.3</v>
      </c>
      <c r="T145" s="184">
        <f>S145/0.72</f>
        <v>0.41666666666666669</v>
      </c>
    </row>
    <row r="146" spans="1:20" x14ac:dyDescent="0.25">
      <c r="A146" s="117" t="s">
        <v>614</v>
      </c>
      <c r="B146" s="117" t="s">
        <v>615</v>
      </c>
      <c r="C146" t="s">
        <v>616</v>
      </c>
      <c r="D146" t="s">
        <v>617</v>
      </c>
      <c r="E146" s="182">
        <v>231019</v>
      </c>
      <c r="F146" t="s">
        <v>618</v>
      </c>
      <c r="G146" t="s">
        <v>619</v>
      </c>
      <c r="H146" s="118" t="s">
        <v>620</v>
      </c>
      <c r="I146" t="s">
        <v>621</v>
      </c>
      <c r="J146" t="s">
        <v>622</v>
      </c>
      <c r="K146" t="s">
        <v>629</v>
      </c>
      <c r="L146" s="196" t="str">
        <f>'common foods'!C73</f>
        <v>Cheese, Edam</v>
      </c>
      <c r="M146" s="183" t="str">
        <f>'common foods'!D72</f>
        <v>04057</v>
      </c>
      <c r="N146" t="s">
        <v>667</v>
      </c>
      <c r="O146" t="s">
        <v>625</v>
      </c>
      <c r="P146">
        <v>1000</v>
      </c>
      <c r="Q146" t="s">
        <v>626</v>
      </c>
      <c r="R146" s="184">
        <v>9.89</v>
      </c>
      <c r="S146" s="184">
        <v>0.99</v>
      </c>
      <c r="T146" s="184">
        <f t="shared" ref="T146:T154" si="11">S146*1</f>
        <v>0.99</v>
      </c>
    </row>
    <row r="147" spans="1:20" x14ac:dyDescent="0.25">
      <c r="A147" s="117" t="s">
        <v>614</v>
      </c>
      <c r="B147" s="117" t="s">
        <v>615</v>
      </c>
      <c r="C147" t="s">
        <v>616</v>
      </c>
      <c r="D147" t="s">
        <v>617</v>
      </c>
      <c r="E147" s="182">
        <v>231019</v>
      </c>
      <c r="F147" t="s">
        <v>618</v>
      </c>
      <c r="G147" t="s">
        <v>619</v>
      </c>
      <c r="H147" s="118" t="s">
        <v>620</v>
      </c>
      <c r="I147" t="s">
        <v>627</v>
      </c>
      <c r="J147" t="s">
        <v>622</v>
      </c>
      <c r="K147" t="s">
        <v>629</v>
      </c>
      <c r="L147" s="196" t="str">
        <f>'common foods'!C73</f>
        <v>Cheese, Edam</v>
      </c>
      <c r="M147" s="183" t="s">
        <v>159</v>
      </c>
      <c r="N147" t="s">
        <v>667</v>
      </c>
      <c r="O147" t="s">
        <v>625</v>
      </c>
      <c r="P147">
        <v>1000</v>
      </c>
      <c r="Q147" t="s">
        <v>626</v>
      </c>
      <c r="R147" s="184">
        <v>10.99</v>
      </c>
      <c r="S147" s="184">
        <v>1.1000000000000001</v>
      </c>
      <c r="T147" s="184">
        <f t="shared" si="11"/>
        <v>1.1000000000000001</v>
      </c>
    </row>
    <row r="148" spans="1:20" x14ac:dyDescent="0.25">
      <c r="A148" s="117" t="s">
        <v>614</v>
      </c>
      <c r="B148" s="117" t="s">
        <v>615</v>
      </c>
      <c r="C148" t="s">
        <v>616</v>
      </c>
      <c r="D148" t="s">
        <v>617</v>
      </c>
      <c r="E148" s="182">
        <v>231019</v>
      </c>
      <c r="F148" t="s">
        <v>618</v>
      </c>
      <c r="G148" t="s">
        <v>619</v>
      </c>
      <c r="H148" s="118" t="s">
        <v>620</v>
      </c>
      <c r="I148" t="s">
        <v>628</v>
      </c>
      <c r="J148" t="s">
        <v>622</v>
      </c>
      <c r="K148" t="s">
        <v>629</v>
      </c>
      <c r="L148" s="196" t="str">
        <f>'common foods'!C73</f>
        <v>Cheese, Edam</v>
      </c>
      <c r="M148" s="183" t="s">
        <v>159</v>
      </c>
      <c r="N148" t="s">
        <v>628</v>
      </c>
      <c r="O148" t="s">
        <v>632</v>
      </c>
      <c r="P148">
        <v>1000</v>
      </c>
      <c r="Q148" t="s">
        <v>626</v>
      </c>
      <c r="R148" s="184">
        <v>9</v>
      </c>
      <c r="S148" s="184">
        <f>R148/10</f>
        <v>0.9</v>
      </c>
      <c r="T148" s="184">
        <f t="shared" si="11"/>
        <v>0.9</v>
      </c>
    </row>
    <row r="149" spans="1:20" x14ac:dyDescent="0.25">
      <c r="A149" s="117" t="s">
        <v>614</v>
      </c>
      <c r="B149" s="117" t="s">
        <v>615</v>
      </c>
      <c r="C149" t="s">
        <v>616</v>
      </c>
      <c r="D149" t="s">
        <v>617</v>
      </c>
      <c r="E149" s="182">
        <v>231019</v>
      </c>
      <c r="F149" t="s">
        <v>618</v>
      </c>
      <c r="G149" t="s">
        <v>619</v>
      </c>
      <c r="H149" s="118" t="s">
        <v>620</v>
      </c>
      <c r="I149" t="s">
        <v>621</v>
      </c>
      <c r="J149" t="s">
        <v>622</v>
      </c>
      <c r="K149" t="s">
        <v>647</v>
      </c>
      <c r="L149" s="196" t="str">
        <f>'common foods'!C127</f>
        <v>Canola oil</v>
      </c>
      <c r="M149" s="183" t="str">
        <f>'common foods'!D127</f>
        <v>06091</v>
      </c>
      <c r="N149" t="s">
        <v>631</v>
      </c>
      <c r="O149" t="s">
        <v>632</v>
      </c>
      <c r="P149">
        <v>3000</v>
      </c>
      <c r="Q149" t="s">
        <v>626</v>
      </c>
      <c r="R149" s="184">
        <v>7.19</v>
      </c>
      <c r="S149" s="184">
        <f>R149/30</f>
        <v>0.23966666666666667</v>
      </c>
      <c r="T149" s="184">
        <f t="shared" si="11"/>
        <v>0.23966666666666667</v>
      </c>
    </row>
    <row r="150" spans="1:20" x14ac:dyDescent="0.25">
      <c r="A150" s="117" t="s">
        <v>614</v>
      </c>
      <c r="B150" s="117" t="s">
        <v>615</v>
      </c>
      <c r="C150" t="s">
        <v>616</v>
      </c>
      <c r="D150" t="s">
        <v>617</v>
      </c>
      <c r="E150" s="182">
        <v>231019</v>
      </c>
      <c r="F150" t="s">
        <v>618</v>
      </c>
      <c r="G150" t="s">
        <v>619</v>
      </c>
      <c r="H150" s="118" t="s">
        <v>620</v>
      </c>
      <c r="I150" t="s">
        <v>627</v>
      </c>
      <c r="J150" t="s">
        <v>622</v>
      </c>
      <c r="K150" t="s">
        <v>647</v>
      </c>
      <c r="L150" s="196" t="str">
        <f>'common foods'!C127</f>
        <v>Canola oil</v>
      </c>
      <c r="M150" s="183" t="s">
        <v>273</v>
      </c>
      <c r="N150" t="s">
        <v>628</v>
      </c>
      <c r="O150" t="s">
        <v>632</v>
      </c>
      <c r="P150">
        <v>2000</v>
      </c>
      <c r="Q150" t="s">
        <v>626</v>
      </c>
      <c r="R150" s="184">
        <v>5</v>
      </c>
      <c r="S150" s="184">
        <f>R150/20</f>
        <v>0.25</v>
      </c>
      <c r="T150" s="184">
        <f t="shared" si="11"/>
        <v>0.25</v>
      </c>
    </row>
    <row r="151" spans="1:20" x14ac:dyDescent="0.25">
      <c r="A151" s="117" t="s">
        <v>614</v>
      </c>
      <c r="B151" s="117" t="s">
        <v>615</v>
      </c>
      <c r="C151" t="s">
        <v>616</v>
      </c>
      <c r="D151" t="s">
        <v>617</v>
      </c>
      <c r="E151" s="182">
        <v>231019</v>
      </c>
      <c r="F151" t="s">
        <v>618</v>
      </c>
      <c r="G151" t="s">
        <v>619</v>
      </c>
      <c r="H151" s="118" t="s">
        <v>620</v>
      </c>
      <c r="I151" t="s">
        <v>628</v>
      </c>
      <c r="J151" t="s">
        <v>622</v>
      </c>
      <c r="K151" t="s">
        <v>647</v>
      </c>
      <c r="L151" s="196" t="str">
        <f>'common foods'!C127</f>
        <v>Canola oil</v>
      </c>
      <c r="M151" s="183" t="s">
        <v>273</v>
      </c>
      <c r="N151" t="s">
        <v>631</v>
      </c>
      <c r="O151" t="s">
        <v>632</v>
      </c>
      <c r="P151">
        <v>3000</v>
      </c>
      <c r="Q151" t="s">
        <v>626</v>
      </c>
      <c r="R151" s="184">
        <v>7.5</v>
      </c>
      <c r="S151" s="184">
        <f>R151/30</f>
        <v>0.25</v>
      </c>
      <c r="T151" s="184">
        <f t="shared" si="11"/>
        <v>0.25</v>
      </c>
    </row>
    <row r="152" spans="1:20" s="123" customFormat="1" x14ac:dyDescent="0.25">
      <c r="A152" s="117" t="s">
        <v>614</v>
      </c>
      <c r="B152" s="117" t="s">
        <v>615</v>
      </c>
      <c r="C152" s="123" t="s">
        <v>616</v>
      </c>
      <c r="D152" s="123" t="s">
        <v>617</v>
      </c>
      <c r="E152" s="182">
        <v>231019</v>
      </c>
      <c r="F152" s="123" t="s">
        <v>618</v>
      </c>
      <c r="G152" s="123" t="s">
        <v>619</v>
      </c>
      <c r="H152" s="118" t="s">
        <v>620</v>
      </c>
      <c r="I152" s="123" t="s">
        <v>621</v>
      </c>
      <c r="J152" s="123" t="s">
        <v>622</v>
      </c>
      <c r="K152" s="123" t="s">
        <v>623</v>
      </c>
      <c r="L152" s="201" t="str">
        <f>'common foods'!C64</f>
        <v>Muesli, toasted</v>
      </c>
      <c r="M152" s="183" t="str">
        <f>'common foods'!D53</f>
        <v>03047</v>
      </c>
      <c r="N152" s="123" t="s">
        <v>668</v>
      </c>
      <c r="O152" s="123" t="s">
        <v>625</v>
      </c>
      <c r="P152" s="123">
        <v>425</v>
      </c>
      <c r="Q152" s="123" t="s">
        <v>626</v>
      </c>
      <c r="R152" s="184">
        <v>3.99</v>
      </c>
      <c r="S152" s="184">
        <v>0.94</v>
      </c>
      <c r="T152" s="184">
        <f t="shared" si="11"/>
        <v>0.94</v>
      </c>
    </row>
    <row r="153" spans="1:20" s="123" customFormat="1" x14ac:dyDescent="0.25">
      <c r="A153" s="117" t="s">
        <v>614</v>
      </c>
      <c r="B153" s="117" t="s">
        <v>615</v>
      </c>
      <c r="C153" s="123" t="s">
        <v>616</v>
      </c>
      <c r="D153" s="123" t="s">
        <v>617</v>
      </c>
      <c r="E153" s="182">
        <v>231019</v>
      </c>
      <c r="F153" s="123" t="s">
        <v>618</v>
      </c>
      <c r="G153" s="123" t="s">
        <v>619</v>
      </c>
      <c r="H153" s="118" t="s">
        <v>620</v>
      </c>
      <c r="I153" s="123" t="s">
        <v>627</v>
      </c>
      <c r="J153" s="123" t="s">
        <v>622</v>
      </c>
      <c r="K153" s="123" t="s">
        <v>623</v>
      </c>
      <c r="L153" s="201" t="str">
        <f>'common foods'!C64</f>
        <v>Muesli, toasted</v>
      </c>
      <c r="M153" s="183" t="s">
        <v>120</v>
      </c>
      <c r="N153" s="123" t="s">
        <v>668</v>
      </c>
      <c r="O153" s="123" t="s">
        <v>625</v>
      </c>
      <c r="P153" s="123">
        <v>525</v>
      </c>
      <c r="Q153" s="123" t="s">
        <v>626</v>
      </c>
      <c r="R153" s="184">
        <v>4.79</v>
      </c>
      <c r="S153" s="184">
        <v>0.91</v>
      </c>
      <c r="T153" s="184">
        <f t="shared" si="11"/>
        <v>0.91</v>
      </c>
    </row>
    <row r="154" spans="1:20" s="123" customFormat="1" x14ac:dyDescent="0.25">
      <c r="A154" s="117" t="s">
        <v>614</v>
      </c>
      <c r="B154" s="117" t="s">
        <v>615</v>
      </c>
      <c r="C154" s="123" t="s">
        <v>616</v>
      </c>
      <c r="D154" s="123" t="s">
        <v>617</v>
      </c>
      <c r="E154" s="182">
        <v>231019</v>
      </c>
      <c r="F154" s="123" t="s">
        <v>618</v>
      </c>
      <c r="G154" s="123" t="s">
        <v>619</v>
      </c>
      <c r="H154" s="118" t="s">
        <v>620</v>
      </c>
      <c r="I154" s="123" t="s">
        <v>628</v>
      </c>
      <c r="J154" s="123" t="s">
        <v>622</v>
      </c>
      <c r="K154" s="123" t="s">
        <v>623</v>
      </c>
      <c r="L154" s="201" t="str">
        <f>'common foods'!C64</f>
        <v>Muesli, toasted</v>
      </c>
      <c r="M154" s="183" t="s">
        <v>120</v>
      </c>
      <c r="N154" s="123" t="s">
        <v>668</v>
      </c>
      <c r="O154" s="123" t="s">
        <v>625</v>
      </c>
      <c r="P154" s="123">
        <v>525</v>
      </c>
      <c r="Q154" s="123" t="s">
        <v>626</v>
      </c>
      <c r="R154" s="184">
        <v>4.79</v>
      </c>
      <c r="S154" s="184">
        <v>0.91</v>
      </c>
      <c r="T154" s="184">
        <f t="shared" si="11"/>
        <v>0.91</v>
      </c>
    </row>
    <row r="155" spans="1:20" x14ac:dyDescent="0.25">
      <c r="A155" s="117" t="s">
        <v>614</v>
      </c>
      <c r="B155" s="117" t="s">
        <v>615</v>
      </c>
      <c r="C155" t="s">
        <v>616</v>
      </c>
      <c r="D155" t="s">
        <v>617</v>
      </c>
      <c r="E155" s="182">
        <v>231019</v>
      </c>
      <c r="F155" t="s">
        <v>618</v>
      </c>
      <c r="G155" t="s">
        <v>619</v>
      </c>
      <c r="H155" s="118" t="s">
        <v>620</v>
      </c>
      <c r="I155" t="s">
        <v>621</v>
      </c>
      <c r="J155" t="s">
        <v>622</v>
      </c>
      <c r="K155" s="123" t="s">
        <v>623</v>
      </c>
      <c r="L155" s="196" t="str">
        <f>'common foods'!C60</f>
        <v>Rice, brown</v>
      </c>
      <c r="M155" s="183" t="str">
        <f>'common foods'!D60</f>
        <v>03055</v>
      </c>
      <c r="N155" t="s">
        <v>631</v>
      </c>
      <c r="O155" t="s">
        <v>632</v>
      </c>
      <c r="P155">
        <v>1000</v>
      </c>
      <c r="Q155" t="s">
        <v>626</v>
      </c>
      <c r="R155" s="184">
        <v>1.59</v>
      </c>
      <c r="S155" s="184">
        <v>0.16</v>
      </c>
      <c r="T155" s="184">
        <f>S155/2.4</f>
        <v>6.6666666666666666E-2</v>
      </c>
    </row>
    <row r="156" spans="1:20" x14ac:dyDescent="0.25">
      <c r="A156" s="117" t="s">
        <v>614</v>
      </c>
      <c r="B156" s="117" t="s">
        <v>615</v>
      </c>
      <c r="C156" t="s">
        <v>616</v>
      </c>
      <c r="D156" t="s">
        <v>617</v>
      </c>
      <c r="E156" s="182">
        <v>231019</v>
      </c>
      <c r="F156" t="s">
        <v>618</v>
      </c>
      <c r="G156" t="s">
        <v>619</v>
      </c>
      <c r="H156" s="118" t="s">
        <v>620</v>
      </c>
      <c r="I156" t="s">
        <v>627</v>
      </c>
      <c r="J156" t="s">
        <v>622</v>
      </c>
      <c r="K156" s="123" t="s">
        <v>623</v>
      </c>
      <c r="L156" s="196" t="str">
        <f>'common foods'!C60</f>
        <v>Rice, brown</v>
      </c>
      <c r="M156" s="183" t="s">
        <v>134</v>
      </c>
      <c r="N156" t="s">
        <v>631</v>
      </c>
      <c r="O156" t="s">
        <v>632</v>
      </c>
      <c r="P156">
        <v>1000</v>
      </c>
      <c r="Q156" t="s">
        <v>626</v>
      </c>
      <c r="R156" s="184">
        <v>1.79</v>
      </c>
      <c r="S156" s="184">
        <v>0.18</v>
      </c>
      <c r="T156" s="184">
        <f>S156/2.4</f>
        <v>7.4999999999999997E-2</v>
      </c>
    </row>
    <row r="157" spans="1:20" x14ac:dyDescent="0.25">
      <c r="A157" s="117" t="s">
        <v>614</v>
      </c>
      <c r="B157" s="117" t="s">
        <v>615</v>
      </c>
      <c r="C157" t="s">
        <v>616</v>
      </c>
      <c r="D157" t="s">
        <v>617</v>
      </c>
      <c r="E157" s="182">
        <v>231019</v>
      </c>
      <c r="F157" t="s">
        <v>618</v>
      </c>
      <c r="G157" t="s">
        <v>619</v>
      </c>
      <c r="H157" s="118" t="s">
        <v>620</v>
      </c>
      <c r="I157" t="s">
        <v>628</v>
      </c>
      <c r="J157" t="s">
        <v>622</v>
      </c>
      <c r="K157" s="123" t="s">
        <v>623</v>
      </c>
      <c r="L157" s="196" t="str">
        <f>'common foods'!C60</f>
        <v>Rice, brown</v>
      </c>
      <c r="M157" s="183" t="s">
        <v>134</v>
      </c>
      <c r="N157" t="s">
        <v>669</v>
      </c>
      <c r="O157" t="s">
        <v>625</v>
      </c>
      <c r="P157">
        <v>5000</v>
      </c>
      <c r="Q157" t="s">
        <v>626</v>
      </c>
      <c r="R157" s="184">
        <v>10</v>
      </c>
      <c r="S157" s="184">
        <v>0.2</v>
      </c>
      <c r="T157" s="184">
        <f>S157/2.4</f>
        <v>8.3333333333333343E-2</v>
      </c>
    </row>
    <row r="158" spans="1:20" ht="15.75" x14ac:dyDescent="0.25">
      <c r="A158" s="117" t="s">
        <v>614</v>
      </c>
      <c r="B158" s="117" t="s">
        <v>615</v>
      </c>
      <c r="C158" t="s">
        <v>616</v>
      </c>
      <c r="D158" t="s">
        <v>617</v>
      </c>
      <c r="E158" s="182">
        <v>231019</v>
      </c>
      <c r="F158" t="s">
        <v>618</v>
      </c>
      <c r="G158" t="s">
        <v>619</v>
      </c>
      <c r="H158" s="118" t="s">
        <v>620</v>
      </c>
      <c r="I158" t="s">
        <v>621</v>
      </c>
      <c r="J158" t="s">
        <v>622</v>
      </c>
      <c r="K158" s="123" t="s">
        <v>635</v>
      </c>
      <c r="L158" s="1" t="str">
        <f>'common foods'!C102</f>
        <v>Fish fillets, fresh</v>
      </c>
      <c r="M158" s="183" t="str">
        <f>'common foods'!D102</f>
        <v>05079</v>
      </c>
      <c r="N158" t="s">
        <v>619</v>
      </c>
      <c r="O158" t="s">
        <v>619</v>
      </c>
      <c r="P158">
        <v>1000</v>
      </c>
      <c r="Q158" t="s">
        <v>626</v>
      </c>
      <c r="R158" s="184">
        <v>22.79</v>
      </c>
      <c r="S158" s="184">
        <v>2.2799999999999998</v>
      </c>
      <c r="T158" s="184">
        <f>S158/0.85</f>
        <v>2.6823529411764704</v>
      </c>
    </row>
    <row r="159" spans="1:20" ht="15.75" x14ac:dyDescent="0.25">
      <c r="A159" s="117" t="s">
        <v>614</v>
      </c>
      <c r="B159" s="117" t="s">
        <v>615</v>
      </c>
      <c r="C159" t="s">
        <v>616</v>
      </c>
      <c r="D159" t="s">
        <v>617</v>
      </c>
      <c r="E159" s="182">
        <v>231019</v>
      </c>
      <c r="F159" t="s">
        <v>618</v>
      </c>
      <c r="G159" t="s">
        <v>619</v>
      </c>
      <c r="H159" s="118" t="s">
        <v>620</v>
      </c>
      <c r="I159" t="s">
        <v>627</v>
      </c>
      <c r="J159" t="s">
        <v>622</v>
      </c>
      <c r="K159" s="123" t="s">
        <v>635</v>
      </c>
      <c r="L159" s="1" t="s">
        <v>220</v>
      </c>
      <c r="M159" s="183" t="s">
        <v>221</v>
      </c>
      <c r="N159" t="s">
        <v>619</v>
      </c>
      <c r="O159" t="s">
        <v>619</v>
      </c>
      <c r="P159">
        <v>1000</v>
      </c>
      <c r="Q159" t="s">
        <v>626</v>
      </c>
      <c r="R159" s="184">
        <v>22.99</v>
      </c>
      <c r="S159" s="184">
        <v>2.2999999999999998</v>
      </c>
      <c r="T159" s="184">
        <f>S159/0.85</f>
        <v>2.7058823529411762</v>
      </c>
    </row>
    <row r="160" spans="1:20" ht="15.75" x14ac:dyDescent="0.25">
      <c r="A160" s="117" t="s">
        <v>614</v>
      </c>
      <c r="B160" s="117" t="s">
        <v>615</v>
      </c>
      <c r="C160" t="s">
        <v>616</v>
      </c>
      <c r="D160" t="s">
        <v>617</v>
      </c>
      <c r="E160" s="182">
        <v>231019</v>
      </c>
      <c r="F160" t="s">
        <v>618</v>
      </c>
      <c r="G160" t="s">
        <v>619</v>
      </c>
      <c r="H160" s="118" t="s">
        <v>620</v>
      </c>
      <c r="I160" t="s">
        <v>628</v>
      </c>
      <c r="J160" t="s">
        <v>622</v>
      </c>
      <c r="K160" s="123" t="s">
        <v>635</v>
      </c>
      <c r="L160" s="1" t="s">
        <v>220</v>
      </c>
      <c r="M160" s="183" t="s">
        <v>221</v>
      </c>
      <c r="N160" t="s">
        <v>619</v>
      </c>
      <c r="O160" t="s">
        <v>619</v>
      </c>
      <c r="P160">
        <v>1000</v>
      </c>
      <c r="Q160" t="s">
        <v>626</v>
      </c>
      <c r="R160" s="184">
        <v>28</v>
      </c>
      <c r="S160" s="184">
        <f>R160/10</f>
        <v>2.8</v>
      </c>
      <c r="T160" s="184">
        <f>S160/0.85</f>
        <v>3.2941176470588234</v>
      </c>
    </row>
    <row r="161" spans="1:20" x14ac:dyDescent="0.25">
      <c r="A161" s="117" t="s">
        <v>614</v>
      </c>
      <c r="B161" s="117" t="s">
        <v>615</v>
      </c>
      <c r="C161" t="s">
        <v>616</v>
      </c>
      <c r="D161" t="s">
        <v>617</v>
      </c>
      <c r="E161" s="182">
        <v>231019</v>
      </c>
      <c r="F161" t="s">
        <v>618</v>
      </c>
      <c r="G161" t="s">
        <v>619</v>
      </c>
      <c r="H161" s="118" t="s">
        <v>620</v>
      </c>
      <c r="I161" t="s">
        <v>621</v>
      </c>
      <c r="J161" t="s">
        <v>622</v>
      </c>
      <c r="K161" s="123" t="s">
        <v>635</v>
      </c>
      <c r="L161" s="201" t="str">
        <f>'common foods'!C110</f>
        <v>Baked Beans 50% less sugar</v>
      </c>
      <c r="M161" s="183" t="str">
        <f>'common foods'!D110</f>
        <v>05088</v>
      </c>
      <c r="N161" t="s">
        <v>463</v>
      </c>
      <c r="O161" t="s">
        <v>625</v>
      </c>
      <c r="P161">
        <v>420</v>
      </c>
      <c r="Q161" t="s">
        <v>626</v>
      </c>
      <c r="R161" s="184">
        <v>1.99</v>
      </c>
      <c r="S161" s="184">
        <f>R161/4.2</f>
        <v>0.47380952380952379</v>
      </c>
      <c r="T161" s="184">
        <f>S161*1</f>
        <v>0.47380952380952379</v>
      </c>
    </row>
    <row r="162" spans="1:20" x14ac:dyDescent="0.25">
      <c r="A162" s="117" t="s">
        <v>614</v>
      </c>
      <c r="B162" s="117" t="s">
        <v>615</v>
      </c>
      <c r="C162" t="s">
        <v>616</v>
      </c>
      <c r="D162" t="s">
        <v>617</v>
      </c>
      <c r="E162" s="182">
        <v>231019</v>
      </c>
      <c r="F162" t="s">
        <v>618</v>
      </c>
      <c r="G162" t="s">
        <v>619</v>
      </c>
      <c r="H162" s="118" t="s">
        <v>620</v>
      </c>
      <c r="I162" t="s">
        <v>627</v>
      </c>
      <c r="J162" t="s">
        <v>622</v>
      </c>
      <c r="K162" s="123" t="s">
        <v>635</v>
      </c>
      <c r="L162" s="201" t="str">
        <f>'common foods'!C110</f>
        <v>Baked Beans 50% less sugar</v>
      </c>
      <c r="M162" s="183" t="str">
        <f>'common foods'!D110</f>
        <v>05088</v>
      </c>
      <c r="N162" t="s">
        <v>463</v>
      </c>
      <c r="O162" t="s">
        <v>625</v>
      </c>
      <c r="P162">
        <v>420</v>
      </c>
      <c r="Q162" t="s">
        <v>626</v>
      </c>
      <c r="R162" s="184">
        <v>2.39</v>
      </c>
      <c r="S162" s="184">
        <f>R162/4.2</f>
        <v>0.56904761904761902</v>
      </c>
      <c r="T162" s="184">
        <f>S162*1</f>
        <v>0.56904761904761902</v>
      </c>
    </row>
    <row r="163" spans="1:20" x14ac:dyDescent="0.25">
      <c r="A163" s="117" t="s">
        <v>614</v>
      </c>
      <c r="B163" s="117" t="s">
        <v>615</v>
      </c>
      <c r="C163" t="s">
        <v>616</v>
      </c>
      <c r="D163" t="s">
        <v>617</v>
      </c>
      <c r="E163" s="182">
        <v>231019</v>
      </c>
      <c r="F163" t="s">
        <v>618</v>
      </c>
      <c r="G163" t="s">
        <v>619</v>
      </c>
      <c r="H163" s="118" t="s">
        <v>620</v>
      </c>
      <c r="I163" t="s">
        <v>628</v>
      </c>
      <c r="J163" t="s">
        <v>622</v>
      </c>
      <c r="K163" s="123" t="s">
        <v>635</v>
      </c>
      <c r="L163" s="201" t="str">
        <f>'common foods'!C110</f>
        <v>Baked Beans 50% less sugar</v>
      </c>
      <c r="M163" s="183" t="str">
        <f>'common foods'!D110</f>
        <v>05088</v>
      </c>
      <c r="N163" t="s">
        <v>463</v>
      </c>
      <c r="O163" t="s">
        <v>625</v>
      </c>
      <c r="P163">
        <v>420</v>
      </c>
      <c r="Q163" t="s">
        <v>626</v>
      </c>
      <c r="R163" s="184">
        <v>2.4</v>
      </c>
      <c r="S163" s="184">
        <f>R163/4.2</f>
        <v>0.5714285714285714</v>
      </c>
      <c r="T163" s="184">
        <f>S163*1</f>
        <v>0.5714285714285714</v>
      </c>
    </row>
    <row r="164" spans="1:20" x14ac:dyDescent="0.25">
      <c r="A164" s="117" t="s">
        <v>614</v>
      </c>
      <c r="B164" s="117" t="s">
        <v>615</v>
      </c>
      <c r="C164" t="s">
        <v>616</v>
      </c>
      <c r="D164" t="s">
        <v>617</v>
      </c>
      <c r="E164" s="182">
        <v>231019</v>
      </c>
      <c r="F164" t="s">
        <v>618</v>
      </c>
      <c r="G164" t="s">
        <v>619</v>
      </c>
      <c r="H164" s="118" t="s">
        <v>620</v>
      </c>
      <c r="I164" t="s">
        <v>621</v>
      </c>
      <c r="J164" t="s">
        <v>622</v>
      </c>
      <c r="K164" s="123" t="s">
        <v>635</v>
      </c>
      <c r="L164" s="196" t="str">
        <f>'common foods'!C97</f>
        <v>Lamb shoulder chops</v>
      </c>
      <c r="M164" s="183" t="str">
        <f>'common foods'!D97</f>
        <v>05073</v>
      </c>
      <c r="N164" t="s">
        <v>619</v>
      </c>
      <c r="O164" t="s">
        <v>619</v>
      </c>
      <c r="P164">
        <v>1000</v>
      </c>
      <c r="Q164" t="s">
        <v>626</v>
      </c>
      <c r="R164" s="184">
        <v>13.99</v>
      </c>
      <c r="S164" s="184">
        <v>1.4</v>
      </c>
      <c r="T164" s="184">
        <f>S164/0.6</f>
        <v>2.3333333333333335</v>
      </c>
    </row>
    <row r="165" spans="1:20" x14ac:dyDescent="0.25">
      <c r="A165" s="117" t="s">
        <v>614</v>
      </c>
      <c r="B165" s="117" t="s">
        <v>615</v>
      </c>
      <c r="C165" t="s">
        <v>616</v>
      </c>
      <c r="D165" t="s">
        <v>617</v>
      </c>
      <c r="E165" s="182">
        <v>231019</v>
      </c>
      <c r="F165" t="s">
        <v>618</v>
      </c>
      <c r="G165" t="s">
        <v>619</v>
      </c>
      <c r="H165" s="118" t="s">
        <v>620</v>
      </c>
      <c r="I165" t="s">
        <v>627</v>
      </c>
      <c r="J165" t="s">
        <v>622</v>
      </c>
      <c r="K165" s="123" t="s">
        <v>635</v>
      </c>
      <c r="L165" s="196" t="str">
        <f>'common foods'!C97</f>
        <v>Lamb shoulder chops</v>
      </c>
      <c r="M165" s="183" t="s">
        <v>211</v>
      </c>
      <c r="N165" t="s">
        <v>619</v>
      </c>
      <c r="O165" t="s">
        <v>619</v>
      </c>
      <c r="P165">
        <v>1000</v>
      </c>
      <c r="Q165" t="s">
        <v>626</v>
      </c>
      <c r="R165" s="184">
        <v>12.99</v>
      </c>
      <c r="S165" s="184">
        <v>1.3</v>
      </c>
      <c r="T165" s="184">
        <f>S165/0.6</f>
        <v>2.166666666666667</v>
      </c>
    </row>
    <row r="166" spans="1:20" x14ac:dyDescent="0.25">
      <c r="A166" s="117" t="s">
        <v>614</v>
      </c>
      <c r="B166" s="117" t="s">
        <v>615</v>
      </c>
      <c r="C166" t="s">
        <v>616</v>
      </c>
      <c r="D166" t="s">
        <v>617</v>
      </c>
      <c r="E166" s="182">
        <v>231019</v>
      </c>
      <c r="F166" t="s">
        <v>618</v>
      </c>
      <c r="G166" t="s">
        <v>619</v>
      </c>
      <c r="H166" s="118" t="s">
        <v>620</v>
      </c>
      <c r="I166" t="s">
        <v>628</v>
      </c>
      <c r="J166" t="s">
        <v>622</v>
      </c>
      <c r="K166" s="123" t="s">
        <v>635</v>
      </c>
      <c r="L166" s="196" t="str">
        <f>'common foods'!C97</f>
        <v>Lamb shoulder chops</v>
      </c>
      <c r="M166" s="183" t="s">
        <v>211</v>
      </c>
      <c r="N166" t="s">
        <v>619</v>
      </c>
      <c r="O166" t="s">
        <v>619</v>
      </c>
      <c r="P166">
        <v>1000</v>
      </c>
      <c r="Q166" t="s">
        <v>626</v>
      </c>
      <c r="R166" s="184">
        <v>17.5</v>
      </c>
      <c r="S166" s="184">
        <f>R166/10</f>
        <v>1.75</v>
      </c>
      <c r="T166" s="184">
        <f>S166/0.6</f>
        <v>2.916666666666667</v>
      </c>
    </row>
    <row r="167" spans="1:20" x14ac:dyDescent="0.25">
      <c r="A167" s="117" t="s">
        <v>614</v>
      </c>
      <c r="B167" s="117" t="s">
        <v>615</v>
      </c>
      <c r="C167" t="s">
        <v>616</v>
      </c>
      <c r="D167" t="s">
        <v>617</v>
      </c>
      <c r="E167" s="182">
        <v>231019</v>
      </c>
      <c r="F167" t="s">
        <v>618</v>
      </c>
      <c r="G167" t="s">
        <v>619</v>
      </c>
      <c r="H167" s="118" t="s">
        <v>620</v>
      </c>
      <c r="I167" t="s">
        <v>621</v>
      </c>
      <c r="J167" t="s">
        <v>622</v>
      </c>
      <c r="K167" s="123" t="s">
        <v>635</v>
      </c>
      <c r="L167" s="196" t="str">
        <f>'common foods'!C99</f>
        <v>Pork leg roast</v>
      </c>
      <c r="M167" s="183" t="str">
        <f>'common foods'!D99</f>
        <v>05074</v>
      </c>
      <c r="N167" t="s">
        <v>619</v>
      </c>
      <c r="O167" t="s">
        <v>619</v>
      </c>
      <c r="P167">
        <v>1000</v>
      </c>
      <c r="Q167" t="s">
        <v>626</v>
      </c>
      <c r="R167" s="184">
        <v>9.99</v>
      </c>
      <c r="S167" s="184">
        <v>1</v>
      </c>
      <c r="T167" s="184">
        <f>S167/0.66</f>
        <v>1.5151515151515151</v>
      </c>
    </row>
    <row r="168" spans="1:20" x14ac:dyDescent="0.25">
      <c r="A168" s="117" t="s">
        <v>614</v>
      </c>
      <c r="B168" s="117" t="s">
        <v>615</v>
      </c>
      <c r="C168" t="s">
        <v>616</v>
      </c>
      <c r="D168" t="s">
        <v>617</v>
      </c>
      <c r="E168" s="182">
        <v>231019</v>
      </c>
      <c r="F168" t="s">
        <v>618</v>
      </c>
      <c r="G168" t="s">
        <v>619</v>
      </c>
      <c r="H168" s="118" t="s">
        <v>620</v>
      </c>
      <c r="I168" t="s">
        <v>627</v>
      </c>
      <c r="J168" t="s">
        <v>622</v>
      </c>
      <c r="K168" s="123" t="s">
        <v>635</v>
      </c>
      <c r="L168" s="196" t="str">
        <f>'common foods'!C99</f>
        <v>Pork leg roast</v>
      </c>
      <c r="M168" s="183" t="s">
        <v>215</v>
      </c>
      <c r="N168" t="s">
        <v>619</v>
      </c>
      <c r="O168" t="s">
        <v>619</v>
      </c>
      <c r="P168">
        <v>1000</v>
      </c>
      <c r="Q168" t="s">
        <v>626</v>
      </c>
      <c r="R168" s="184">
        <v>10.99</v>
      </c>
      <c r="S168" s="184">
        <v>1.1000000000000001</v>
      </c>
      <c r="T168" s="184">
        <f>S168/0.66</f>
        <v>1.6666666666666667</v>
      </c>
    </row>
    <row r="169" spans="1:20" x14ac:dyDescent="0.25">
      <c r="A169" s="117" t="s">
        <v>614</v>
      </c>
      <c r="B169" s="117" t="s">
        <v>615</v>
      </c>
      <c r="C169" t="s">
        <v>616</v>
      </c>
      <c r="D169" t="s">
        <v>617</v>
      </c>
      <c r="E169" s="182">
        <v>231019</v>
      </c>
      <c r="F169" t="s">
        <v>618</v>
      </c>
      <c r="G169" t="s">
        <v>619</v>
      </c>
      <c r="H169" s="118" t="s">
        <v>620</v>
      </c>
      <c r="I169" t="s">
        <v>628</v>
      </c>
      <c r="J169" t="s">
        <v>622</v>
      </c>
      <c r="K169" s="123" t="s">
        <v>635</v>
      </c>
      <c r="L169" s="196" t="str">
        <f>'common foods'!C99</f>
        <v>Pork leg roast</v>
      </c>
      <c r="M169" s="183" t="s">
        <v>215</v>
      </c>
      <c r="N169" t="s">
        <v>619</v>
      </c>
      <c r="O169" t="s">
        <v>619</v>
      </c>
      <c r="P169">
        <v>1000</v>
      </c>
      <c r="Q169" t="s">
        <v>626</v>
      </c>
      <c r="R169" s="184">
        <v>12</v>
      </c>
      <c r="S169" s="184">
        <f>R169/10</f>
        <v>1.2</v>
      </c>
      <c r="T169" s="184">
        <f>S169/0.66</f>
        <v>1.8181818181818181</v>
      </c>
    </row>
    <row r="170" spans="1:20" x14ac:dyDescent="0.25">
      <c r="A170" s="117" t="s">
        <v>614</v>
      </c>
      <c r="B170" s="117" t="s">
        <v>615</v>
      </c>
      <c r="C170" t="s">
        <v>616</v>
      </c>
      <c r="D170" t="s">
        <v>617</v>
      </c>
      <c r="E170" s="182">
        <v>231019</v>
      </c>
      <c r="F170" t="s">
        <v>618</v>
      </c>
      <c r="G170" t="s">
        <v>619</v>
      </c>
      <c r="H170" s="118" t="s">
        <v>620</v>
      </c>
      <c r="I170" t="s">
        <v>621</v>
      </c>
      <c r="J170" t="s">
        <v>622</v>
      </c>
      <c r="K170" s="123" t="s">
        <v>639</v>
      </c>
      <c r="L170" s="196" t="str">
        <f>'common foods'!C20</f>
        <v>Carrots, fresh</v>
      </c>
      <c r="M170" s="183" t="str">
        <f>'common foods'!D20</f>
        <v>02015</v>
      </c>
      <c r="N170" t="s">
        <v>619</v>
      </c>
      <c r="O170" t="s">
        <v>619</v>
      </c>
      <c r="P170">
        <v>1000</v>
      </c>
      <c r="Q170" t="s">
        <v>626</v>
      </c>
      <c r="R170" s="184">
        <v>1.79</v>
      </c>
      <c r="S170" s="184">
        <v>0.18</v>
      </c>
      <c r="T170" s="184">
        <f>S170/0.87</f>
        <v>0.20689655172413793</v>
      </c>
    </row>
    <row r="171" spans="1:20" x14ac:dyDescent="0.25">
      <c r="A171" s="117" t="s">
        <v>614</v>
      </c>
      <c r="B171" s="117" t="s">
        <v>615</v>
      </c>
      <c r="C171" t="s">
        <v>616</v>
      </c>
      <c r="D171" t="s">
        <v>617</v>
      </c>
      <c r="E171" s="182">
        <v>231019</v>
      </c>
      <c r="F171" t="s">
        <v>618</v>
      </c>
      <c r="G171" t="s">
        <v>619</v>
      </c>
      <c r="H171" s="118" t="s">
        <v>620</v>
      </c>
      <c r="I171" t="s">
        <v>627</v>
      </c>
      <c r="J171" t="s">
        <v>622</v>
      </c>
      <c r="K171" s="123" t="s">
        <v>639</v>
      </c>
      <c r="L171" s="196" t="str">
        <f>'common foods'!C20</f>
        <v>Carrots, fresh</v>
      </c>
      <c r="M171" s="183" t="s">
        <v>53</v>
      </c>
      <c r="N171" t="s">
        <v>619</v>
      </c>
      <c r="O171" t="s">
        <v>619</v>
      </c>
      <c r="P171">
        <v>1000</v>
      </c>
      <c r="Q171" t="s">
        <v>626</v>
      </c>
      <c r="R171" s="184">
        <v>1.99</v>
      </c>
      <c r="S171" s="184">
        <v>0.2</v>
      </c>
      <c r="T171" s="184">
        <f>S171/0.87</f>
        <v>0.22988505747126439</v>
      </c>
    </row>
    <row r="172" spans="1:20" x14ac:dyDescent="0.25">
      <c r="A172" s="117" t="s">
        <v>614</v>
      </c>
      <c r="B172" s="117" t="s">
        <v>615</v>
      </c>
      <c r="C172" t="s">
        <v>616</v>
      </c>
      <c r="D172" t="s">
        <v>617</v>
      </c>
      <c r="E172" s="182">
        <v>231019</v>
      </c>
      <c r="F172" t="s">
        <v>618</v>
      </c>
      <c r="G172" t="s">
        <v>619</v>
      </c>
      <c r="H172" s="118" t="s">
        <v>620</v>
      </c>
      <c r="I172" t="s">
        <v>628</v>
      </c>
      <c r="J172" t="s">
        <v>622</v>
      </c>
      <c r="K172" s="123" t="s">
        <v>639</v>
      </c>
      <c r="L172" s="196" t="str">
        <f>'common foods'!C20</f>
        <v>Carrots, fresh</v>
      </c>
      <c r="M172" s="183" t="s">
        <v>53</v>
      </c>
      <c r="N172" t="s">
        <v>619</v>
      </c>
      <c r="O172" t="s">
        <v>619</v>
      </c>
      <c r="P172">
        <v>1000</v>
      </c>
      <c r="Q172" t="s">
        <v>626</v>
      </c>
      <c r="R172" s="184">
        <v>2.29</v>
      </c>
      <c r="S172" s="184">
        <f>R172/10</f>
        <v>0.22900000000000001</v>
      </c>
      <c r="T172" s="184">
        <f>S172/0.87</f>
        <v>0.26321839080459769</v>
      </c>
    </row>
    <row r="173" spans="1:20" x14ac:dyDescent="0.25">
      <c r="A173" s="117" t="s">
        <v>614</v>
      </c>
      <c r="B173" s="117" t="s">
        <v>615</v>
      </c>
      <c r="C173" t="s">
        <v>616</v>
      </c>
      <c r="D173" t="s">
        <v>617</v>
      </c>
      <c r="E173" s="182">
        <v>231019</v>
      </c>
      <c r="F173" t="s">
        <v>618</v>
      </c>
      <c r="G173" t="s">
        <v>619</v>
      </c>
      <c r="H173" s="118" t="s">
        <v>620</v>
      </c>
      <c r="I173" t="s">
        <v>621</v>
      </c>
      <c r="J173" t="s">
        <v>622</v>
      </c>
      <c r="K173" s="123" t="s">
        <v>633</v>
      </c>
      <c r="L173" s="196" t="str">
        <f>'common foods'!C9</f>
        <v>Pears, fresh</v>
      </c>
      <c r="M173" s="183" t="str">
        <f>'common foods'!D9</f>
        <v>01008</v>
      </c>
      <c r="N173" t="s">
        <v>619</v>
      </c>
      <c r="O173" t="s">
        <v>619</v>
      </c>
      <c r="P173">
        <v>1000</v>
      </c>
      <c r="Q173" t="s">
        <v>626</v>
      </c>
      <c r="R173" s="184">
        <v>4.49</v>
      </c>
      <c r="S173" s="184">
        <v>0.45</v>
      </c>
      <c r="T173" s="184">
        <f>S173/0.88</f>
        <v>0.51136363636363635</v>
      </c>
    </row>
    <row r="174" spans="1:20" x14ac:dyDescent="0.25">
      <c r="A174" s="117" t="s">
        <v>614</v>
      </c>
      <c r="B174" s="117" t="s">
        <v>615</v>
      </c>
      <c r="C174" t="s">
        <v>616</v>
      </c>
      <c r="D174" t="s">
        <v>617</v>
      </c>
      <c r="E174" s="182">
        <v>231019</v>
      </c>
      <c r="F174" t="s">
        <v>618</v>
      </c>
      <c r="G174" t="s">
        <v>619</v>
      </c>
      <c r="H174" s="118" t="s">
        <v>620</v>
      </c>
      <c r="I174" t="s">
        <v>627</v>
      </c>
      <c r="J174" t="s">
        <v>622</v>
      </c>
      <c r="K174" s="123" t="s">
        <v>633</v>
      </c>
      <c r="L174" s="196" t="str">
        <f>'common foods'!C9</f>
        <v>Pears, fresh</v>
      </c>
      <c r="M174" s="183" t="s">
        <v>29</v>
      </c>
      <c r="N174" t="s">
        <v>619</v>
      </c>
      <c r="O174" t="s">
        <v>619</v>
      </c>
      <c r="P174">
        <v>1000</v>
      </c>
      <c r="Q174" t="s">
        <v>626</v>
      </c>
      <c r="R174" s="184">
        <v>3.99</v>
      </c>
      <c r="S174" s="184">
        <v>0.4</v>
      </c>
      <c r="T174" s="184">
        <f>S174/0.88</f>
        <v>0.45454545454545459</v>
      </c>
    </row>
    <row r="175" spans="1:20" x14ac:dyDescent="0.25">
      <c r="A175" s="117" t="s">
        <v>614</v>
      </c>
      <c r="B175" s="117" t="s">
        <v>615</v>
      </c>
      <c r="C175" t="s">
        <v>616</v>
      </c>
      <c r="D175" t="s">
        <v>617</v>
      </c>
      <c r="E175" s="182">
        <v>231019</v>
      </c>
      <c r="F175" t="s">
        <v>618</v>
      </c>
      <c r="G175" t="s">
        <v>619</v>
      </c>
      <c r="H175" s="118" t="s">
        <v>620</v>
      </c>
      <c r="I175" t="s">
        <v>628</v>
      </c>
      <c r="J175" t="s">
        <v>622</v>
      </c>
      <c r="K175" s="123" t="s">
        <v>633</v>
      </c>
      <c r="L175" s="196" t="str">
        <f>'common foods'!C9</f>
        <v>Pears, fresh</v>
      </c>
      <c r="M175" s="183" t="s">
        <v>29</v>
      </c>
      <c r="N175" t="s">
        <v>619</v>
      </c>
      <c r="O175" t="s">
        <v>619</v>
      </c>
      <c r="P175">
        <v>1000</v>
      </c>
      <c r="Q175" t="s">
        <v>626</v>
      </c>
      <c r="R175" s="184">
        <v>3.5</v>
      </c>
      <c r="S175" s="184">
        <f>R175/10</f>
        <v>0.35</v>
      </c>
      <c r="T175" s="184">
        <f>S175/0.88</f>
        <v>0.39772727272727271</v>
      </c>
    </row>
    <row r="176" spans="1:20" x14ac:dyDescent="0.25">
      <c r="A176" s="117" t="s">
        <v>614</v>
      </c>
      <c r="B176" s="117" t="s">
        <v>615</v>
      </c>
      <c r="C176" t="s">
        <v>616</v>
      </c>
      <c r="D176" t="s">
        <v>617</v>
      </c>
      <c r="E176" s="182">
        <v>231019</v>
      </c>
      <c r="F176" t="s">
        <v>618</v>
      </c>
      <c r="G176" t="s">
        <v>619</v>
      </c>
      <c r="H176" s="118" t="s">
        <v>620</v>
      </c>
      <c r="I176" t="s">
        <v>621</v>
      </c>
      <c r="J176" t="s">
        <v>622</v>
      </c>
      <c r="K176" s="123" t="s">
        <v>635</v>
      </c>
      <c r="L176" s="196" t="str">
        <f>'common foods'!C122</f>
        <v>Red Kidney Beans, canned</v>
      </c>
      <c r="M176" s="183" t="str">
        <f>'common foods'!D122</f>
        <v>05109</v>
      </c>
      <c r="N176" t="s">
        <v>636</v>
      </c>
      <c r="O176" t="s">
        <v>632</v>
      </c>
      <c r="P176">
        <v>400</v>
      </c>
      <c r="Q176" t="s">
        <v>626</v>
      </c>
      <c r="R176" s="184">
        <v>0.89</v>
      </c>
      <c r="S176" s="184">
        <v>0.22</v>
      </c>
      <c r="T176" s="198">
        <f>S176/0.6</f>
        <v>0.3666666666666667</v>
      </c>
    </row>
    <row r="177" spans="1:20" x14ac:dyDescent="0.25">
      <c r="A177" s="117" t="s">
        <v>614</v>
      </c>
      <c r="B177" s="117" t="s">
        <v>615</v>
      </c>
      <c r="C177" t="s">
        <v>616</v>
      </c>
      <c r="D177" t="s">
        <v>617</v>
      </c>
      <c r="E177" s="182">
        <v>231019</v>
      </c>
      <c r="F177" t="s">
        <v>618</v>
      </c>
      <c r="G177" t="s">
        <v>619</v>
      </c>
      <c r="H177" s="118" t="s">
        <v>620</v>
      </c>
      <c r="I177" t="s">
        <v>627</v>
      </c>
      <c r="J177" t="s">
        <v>622</v>
      </c>
      <c r="K177" s="123" t="s">
        <v>635</v>
      </c>
      <c r="L177" s="196" t="str">
        <f>'common foods'!C122</f>
        <v>Red Kidney Beans, canned</v>
      </c>
      <c r="M177" s="183" t="str">
        <f>'common foods'!D122</f>
        <v>05109</v>
      </c>
      <c r="N177" t="s">
        <v>636</v>
      </c>
      <c r="O177" t="s">
        <v>632</v>
      </c>
      <c r="P177">
        <v>400</v>
      </c>
      <c r="Q177" t="s">
        <v>626</v>
      </c>
      <c r="R177" s="184">
        <v>1.29</v>
      </c>
      <c r="S177" s="184">
        <v>0.32</v>
      </c>
      <c r="T177" s="198">
        <f>S177/0.6</f>
        <v>0.53333333333333333</v>
      </c>
    </row>
    <row r="178" spans="1:20" x14ac:dyDescent="0.25">
      <c r="A178" s="117" t="s">
        <v>614</v>
      </c>
      <c r="B178" s="117" t="s">
        <v>615</v>
      </c>
      <c r="C178" t="s">
        <v>616</v>
      </c>
      <c r="D178" t="s">
        <v>617</v>
      </c>
      <c r="E178" s="182">
        <v>231019</v>
      </c>
      <c r="F178" t="s">
        <v>618</v>
      </c>
      <c r="G178" t="s">
        <v>619</v>
      </c>
      <c r="H178" s="118" t="s">
        <v>620</v>
      </c>
      <c r="I178" t="s">
        <v>628</v>
      </c>
      <c r="J178" t="s">
        <v>622</v>
      </c>
      <c r="K178" s="123" t="s">
        <v>635</v>
      </c>
      <c r="L178" s="196" t="str">
        <f>'common foods'!C122</f>
        <v>Red Kidney Beans, canned</v>
      </c>
      <c r="M178" s="183" t="str">
        <f>'common foods'!D122</f>
        <v>05109</v>
      </c>
      <c r="N178" t="s">
        <v>628</v>
      </c>
      <c r="O178" t="s">
        <v>632</v>
      </c>
      <c r="P178">
        <v>420</v>
      </c>
      <c r="Q178" t="s">
        <v>626</v>
      </c>
      <c r="R178" s="184">
        <v>1.2</v>
      </c>
      <c r="S178" s="184">
        <v>0.28999999999999998</v>
      </c>
      <c r="T178" s="198">
        <f>S178/0.6</f>
        <v>0.48333333333333334</v>
      </c>
    </row>
    <row r="179" spans="1:20" x14ac:dyDescent="0.25">
      <c r="A179" s="117" t="s">
        <v>614</v>
      </c>
      <c r="B179" s="117" t="s">
        <v>615</v>
      </c>
      <c r="C179" t="s">
        <v>616</v>
      </c>
      <c r="D179" t="s">
        <v>617</v>
      </c>
      <c r="E179" s="182">
        <v>231019</v>
      </c>
      <c r="F179" t="s">
        <v>618</v>
      </c>
      <c r="G179" t="s">
        <v>619</v>
      </c>
      <c r="H179" s="118" t="s">
        <v>620</v>
      </c>
      <c r="I179" t="s">
        <v>621</v>
      </c>
      <c r="J179" t="s">
        <v>622</v>
      </c>
      <c r="K179" s="123" t="s">
        <v>639</v>
      </c>
      <c r="L179" s="196" t="str">
        <f>'common foods'!C28</f>
        <v>Onions, fresh</v>
      </c>
      <c r="M179" s="183" t="str">
        <f>'common foods'!D28</f>
        <v>02024</v>
      </c>
      <c r="N179" t="s">
        <v>619</v>
      </c>
      <c r="O179" t="s">
        <v>619</v>
      </c>
      <c r="P179">
        <v>1000</v>
      </c>
      <c r="Q179" t="s">
        <v>626</v>
      </c>
      <c r="R179" s="184">
        <v>1.99</v>
      </c>
      <c r="S179" s="184">
        <v>0.2</v>
      </c>
      <c r="T179" s="184">
        <f>S179/0.85</f>
        <v>0.23529411764705885</v>
      </c>
    </row>
    <row r="180" spans="1:20" x14ac:dyDescent="0.25">
      <c r="A180" s="117" t="s">
        <v>614</v>
      </c>
      <c r="B180" s="117" t="s">
        <v>615</v>
      </c>
      <c r="C180" t="s">
        <v>616</v>
      </c>
      <c r="D180" t="s">
        <v>617</v>
      </c>
      <c r="E180" s="182">
        <v>231019</v>
      </c>
      <c r="F180" t="s">
        <v>618</v>
      </c>
      <c r="G180" t="s">
        <v>619</v>
      </c>
      <c r="H180" s="118" t="s">
        <v>620</v>
      </c>
      <c r="I180" t="s">
        <v>627</v>
      </c>
      <c r="J180" t="s">
        <v>622</v>
      </c>
      <c r="K180" s="123" t="s">
        <v>639</v>
      </c>
      <c r="L180" s="196" t="str">
        <f>'common foods'!C28</f>
        <v>Onions, fresh</v>
      </c>
      <c r="M180" s="183" t="s">
        <v>69</v>
      </c>
      <c r="N180" t="s">
        <v>619</v>
      </c>
      <c r="O180" t="s">
        <v>619</v>
      </c>
      <c r="P180">
        <v>1000</v>
      </c>
      <c r="Q180" t="s">
        <v>626</v>
      </c>
      <c r="R180" s="184">
        <v>1.99</v>
      </c>
      <c r="S180" s="184">
        <v>0.2</v>
      </c>
      <c r="T180" s="184">
        <f>S180/0.85</f>
        <v>0.23529411764705885</v>
      </c>
    </row>
    <row r="181" spans="1:20" x14ac:dyDescent="0.25">
      <c r="A181" s="117" t="s">
        <v>614</v>
      </c>
      <c r="B181" s="117" t="s">
        <v>615</v>
      </c>
      <c r="C181" t="s">
        <v>616</v>
      </c>
      <c r="D181" t="s">
        <v>617</v>
      </c>
      <c r="E181" s="182">
        <v>231019</v>
      </c>
      <c r="F181" t="s">
        <v>618</v>
      </c>
      <c r="G181" t="s">
        <v>619</v>
      </c>
      <c r="H181" s="118" t="s">
        <v>620</v>
      </c>
      <c r="I181" t="s">
        <v>628</v>
      </c>
      <c r="J181" t="s">
        <v>622</v>
      </c>
      <c r="K181" s="123" t="s">
        <v>639</v>
      </c>
      <c r="L181" s="196" t="str">
        <f>'common foods'!C28</f>
        <v>Onions, fresh</v>
      </c>
      <c r="M181" s="183" t="s">
        <v>69</v>
      </c>
      <c r="N181" t="s">
        <v>619</v>
      </c>
      <c r="O181" t="s">
        <v>619</v>
      </c>
      <c r="P181">
        <v>1000</v>
      </c>
      <c r="Q181" t="s">
        <v>626</v>
      </c>
      <c r="R181" s="184">
        <v>2</v>
      </c>
      <c r="S181" s="184">
        <f>R181/10</f>
        <v>0.2</v>
      </c>
      <c r="T181" s="184">
        <f>S181/0.85</f>
        <v>0.23529411764705885</v>
      </c>
    </row>
    <row r="182" spans="1:20" x14ac:dyDescent="0.25">
      <c r="A182" s="117" t="s">
        <v>614</v>
      </c>
      <c r="B182" s="117" t="s">
        <v>615</v>
      </c>
      <c r="C182" t="s">
        <v>616</v>
      </c>
      <c r="D182" t="s">
        <v>617</v>
      </c>
      <c r="E182" s="182">
        <v>311019</v>
      </c>
      <c r="F182" t="s">
        <v>618</v>
      </c>
      <c r="G182" t="s">
        <v>619</v>
      </c>
      <c r="H182" s="118" t="s">
        <v>620</v>
      </c>
      <c r="I182" t="s">
        <v>621</v>
      </c>
      <c r="J182" t="s">
        <v>622</v>
      </c>
      <c r="K182" s="123" t="s">
        <v>635</v>
      </c>
      <c r="L182" s="196" t="str">
        <f>'common foods'!C104</f>
        <v>Peanuts, plain</v>
      </c>
      <c r="M182" s="183" t="str">
        <f>'common foods'!D104</f>
        <v>05085</v>
      </c>
      <c r="N182" t="s">
        <v>619</v>
      </c>
      <c r="O182" t="s">
        <v>619</v>
      </c>
      <c r="P182">
        <v>1000</v>
      </c>
      <c r="Q182" t="s">
        <v>626</v>
      </c>
      <c r="R182" s="184">
        <v>9.9</v>
      </c>
      <c r="S182" s="184">
        <f>R182/10</f>
        <v>0.99</v>
      </c>
      <c r="T182" s="184">
        <f t="shared" ref="T182:T187" si="12">S182/1</f>
        <v>0.99</v>
      </c>
    </row>
    <row r="183" spans="1:20" x14ac:dyDescent="0.25">
      <c r="A183" s="117" t="s">
        <v>614</v>
      </c>
      <c r="B183" s="117" t="s">
        <v>615</v>
      </c>
      <c r="C183" t="s">
        <v>616</v>
      </c>
      <c r="D183" t="s">
        <v>617</v>
      </c>
      <c r="E183" s="182">
        <v>311019</v>
      </c>
      <c r="F183" t="s">
        <v>618</v>
      </c>
      <c r="G183" t="s">
        <v>619</v>
      </c>
      <c r="H183" s="118" t="s">
        <v>620</v>
      </c>
      <c r="I183" t="s">
        <v>627</v>
      </c>
      <c r="J183" t="s">
        <v>622</v>
      </c>
      <c r="K183" s="123" t="s">
        <v>635</v>
      </c>
      <c r="L183" s="196" t="str">
        <f>'common foods'!C104</f>
        <v>Peanuts, plain</v>
      </c>
      <c r="M183" s="183" t="s">
        <v>225</v>
      </c>
      <c r="N183" t="s">
        <v>619</v>
      </c>
      <c r="O183" t="s">
        <v>619</v>
      </c>
      <c r="P183">
        <v>1000</v>
      </c>
      <c r="Q183" t="s">
        <v>626</v>
      </c>
      <c r="R183" s="184">
        <v>10.9</v>
      </c>
      <c r="S183" s="184">
        <f>R183/10</f>
        <v>1.0900000000000001</v>
      </c>
      <c r="T183" s="184">
        <f t="shared" si="12"/>
        <v>1.0900000000000001</v>
      </c>
    </row>
    <row r="184" spans="1:20" x14ac:dyDescent="0.25">
      <c r="A184" s="117" t="s">
        <v>614</v>
      </c>
      <c r="B184" s="117" t="s">
        <v>615</v>
      </c>
      <c r="C184" t="s">
        <v>616</v>
      </c>
      <c r="D184" t="s">
        <v>617</v>
      </c>
      <c r="E184" s="182">
        <v>311019</v>
      </c>
      <c r="F184" t="s">
        <v>618</v>
      </c>
      <c r="G184" t="s">
        <v>619</v>
      </c>
      <c r="H184" s="118" t="s">
        <v>620</v>
      </c>
      <c r="I184" t="s">
        <v>628</v>
      </c>
      <c r="J184" t="s">
        <v>622</v>
      </c>
      <c r="K184" s="123" t="s">
        <v>635</v>
      </c>
      <c r="L184" s="196" t="str">
        <f>'common foods'!C104</f>
        <v>Peanuts, plain</v>
      </c>
      <c r="M184" s="183" t="s">
        <v>225</v>
      </c>
      <c r="N184" t="s">
        <v>628</v>
      </c>
      <c r="O184" t="s">
        <v>632</v>
      </c>
      <c r="P184">
        <v>200</v>
      </c>
      <c r="Q184" t="s">
        <v>626</v>
      </c>
      <c r="R184" s="184">
        <v>1.8</v>
      </c>
      <c r="S184" s="184">
        <f>R184/2</f>
        <v>0.9</v>
      </c>
      <c r="T184" s="184">
        <f t="shared" si="12"/>
        <v>0.9</v>
      </c>
    </row>
    <row r="185" spans="1:20" x14ac:dyDescent="0.25">
      <c r="A185" s="117" t="s">
        <v>614</v>
      </c>
      <c r="B185" s="117" t="s">
        <v>615</v>
      </c>
      <c r="C185" t="s">
        <v>616</v>
      </c>
      <c r="D185" t="s">
        <v>617</v>
      </c>
      <c r="E185" s="182">
        <v>311019</v>
      </c>
      <c r="F185" t="s">
        <v>618</v>
      </c>
      <c r="G185" t="s">
        <v>619</v>
      </c>
      <c r="H185" s="118" t="s">
        <v>620</v>
      </c>
      <c r="I185" t="s">
        <v>621</v>
      </c>
      <c r="J185" t="s">
        <v>622</v>
      </c>
      <c r="K185" s="123" t="s">
        <v>623</v>
      </c>
      <c r="L185" s="196" t="str">
        <f>'common foods'!C68</f>
        <v>Corn Chips</v>
      </c>
      <c r="M185" s="183" t="str">
        <f>'common foods'!D68</f>
        <v>03069</v>
      </c>
      <c r="N185" t="s">
        <v>670</v>
      </c>
      <c r="O185" t="s">
        <v>625</v>
      </c>
      <c r="P185">
        <v>300</v>
      </c>
      <c r="Q185" t="s">
        <v>626</v>
      </c>
      <c r="R185" s="184">
        <v>2.8</v>
      </c>
      <c r="S185" s="184">
        <f>R185/3</f>
        <v>0.93333333333333324</v>
      </c>
      <c r="T185" s="184">
        <f t="shared" si="12"/>
        <v>0.93333333333333324</v>
      </c>
    </row>
    <row r="186" spans="1:20" x14ac:dyDescent="0.25">
      <c r="A186" s="117" t="s">
        <v>614</v>
      </c>
      <c r="B186" s="117" t="s">
        <v>615</v>
      </c>
      <c r="C186" t="s">
        <v>616</v>
      </c>
      <c r="D186" t="s">
        <v>617</v>
      </c>
      <c r="E186" s="182">
        <v>311019</v>
      </c>
      <c r="F186" t="s">
        <v>618</v>
      </c>
      <c r="G186" t="s">
        <v>619</v>
      </c>
      <c r="H186" s="118" t="s">
        <v>620</v>
      </c>
      <c r="I186" t="s">
        <v>627</v>
      </c>
      <c r="J186" t="s">
        <v>622</v>
      </c>
      <c r="K186" s="123" t="s">
        <v>623</v>
      </c>
      <c r="L186" s="196" t="str">
        <f>'common foods'!C68</f>
        <v>Corn Chips</v>
      </c>
      <c r="M186" s="183" t="s">
        <v>150</v>
      </c>
      <c r="N186" t="s">
        <v>670</v>
      </c>
      <c r="O186" t="s">
        <v>625</v>
      </c>
      <c r="P186">
        <v>300</v>
      </c>
      <c r="Q186" t="s">
        <v>626</v>
      </c>
      <c r="R186" s="184">
        <v>3.59</v>
      </c>
      <c r="S186" s="184">
        <f>R186/3</f>
        <v>1.1966666666666665</v>
      </c>
      <c r="T186" s="184">
        <f t="shared" si="12"/>
        <v>1.1966666666666665</v>
      </c>
    </row>
    <row r="187" spans="1:20" x14ac:dyDescent="0.25">
      <c r="A187" s="117" t="s">
        <v>614</v>
      </c>
      <c r="B187" s="117" t="s">
        <v>615</v>
      </c>
      <c r="C187" t="s">
        <v>616</v>
      </c>
      <c r="D187" t="s">
        <v>617</v>
      </c>
      <c r="E187" s="182">
        <v>311019</v>
      </c>
      <c r="F187" t="s">
        <v>618</v>
      </c>
      <c r="G187" t="s">
        <v>619</v>
      </c>
      <c r="H187" s="118" t="s">
        <v>620</v>
      </c>
      <c r="I187" t="s">
        <v>628</v>
      </c>
      <c r="J187" t="s">
        <v>622</v>
      </c>
      <c r="K187" s="123" t="s">
        <v>623</v>
      </c>
      <c r="L187" s="196" t="str">
        <f>'common foods'!C68</f>
        <v>Corn Chips</v>
      </c>
      <c r="M187" s="183" t="s">
        <v>150</v>
      </c>
      <c r="N187" t="s">
        <v>670</v>
      </c>
      <c r="O187" t="s">
        <v>625</v>
      </c>
      <c r="P187">
        <v>300</v>
      </c>
      <c r="Q187" t="s">
        <v>626</v>
      </c>
      <c r="R187" s="184">
        <v>3.59</v>
      </c>
      <c r="S187" s="184">
        <f>R187/3</f>
        <v>1.1966666666666665</v>
      </c>
      <c r="T187" s="184">
        <f t="shared" si="12"/>
        <v>1.1966666666666665</v>
      </c>
    </row>
    <row r="188" spans="1:20" x14ac:dyDescent="0.25">
      <c r="A188" s="117" t="s">
        <v>614</v>
      </c>
      <c r="B188" s="117" t="s">
        <v>615</v>
      </c>
      <c r="C188" t="s">
        <v>616</v>
      </c>
      <c r="D188" t="s">
        <v>617</v>
      </c>
      <c r="E188" s="182">
        <v>241019</v>
      </c>
      <c r="F188" t="s">
        <v>618</v>
      </c>
      <c r="G188" t="s">
        <v>619</v>
      </c>
      <c r="H188" s="118" t="s">
        <v>620</v>
      </c>
      <c r="I188" t="s">
        <v>621</v>
      </c>
      <c r="J188" t="s">
        <v>622</v>
      </c>
      <c r="K188" s="123" t="s">
        <v>629</v>
      </c>
      <c r="L188" t="str">
        <f>'common foods'!C85</f>
        <v>Dairy-free cream cheese</v>
      </c>
      <c r="M188" s="183" t="str">
        <f>'common foods'!D85</f>
        <v>04070</v>
      </c>
      <c r="N188" t="s">
        <v>671</v>
      </c>
      <c r="O188" t="s">
        <v>625</v>
      </c>
      <c r="P188">
        <v>240</v>
      </c>
      <c r="Q188" t="s">
        <v>626</v>
      </c>
      <c r="R188" s="184">
        <v>8</v>
      </c>
      <c r="S188" s="184">
        <f>R188/2.4</f>
        <v>3.3333333333333335</v>
      </c>
      <c r="T188" s="198">
        <f t="shared" ref="T188:T202" si="13">S188*1</f>
        <v>3.3333333333333335</v>
      </c>
    </row>
    <row r="189" spans="1:20" x14ac:dyDescent="0.25">
      <c r="A189" s="117" t="s">
        <v>614</v>
      </c>
      <c r="B189" s="117" t="s">
        <v>615</v>
      </c>
      <c r="C189" t="s">
        <v>616</v>
      </c>
      <c r="D189" t="s">
        <v>617</v>
      </c>
      <c r="E189" s="182">
        <v>241019</v>
      </c>
      <c r="F189" t="s">
        <v>618</v>
      </c>
      <c r="G189" t="s">
        <v>619</v>
      </c>
      <c r="H189" s="118" t="s">
        <v>620</v>
      </c>
      <c r="I189" t="s">
        <v>627</v>
      </c>
      <c r="J189" t="s">
        <v>622</v>
      </c>
      <c r="K189" s="123" t="s">
        <v>629</v>
      </c>
      <c r="L189" t="str">
        <f>'common foods'!C85</f>
        <v>Dairy-free cream cheese</v>
      </c>
      <c r="M189" s="183" t="s">
        <v>186</v>
      </c>
      <c r="N189" t="s">
        <v>671</v>
      </c>
      <c r="O189" t="s">
        <v>625</v>
      </c>
      <c r="P189">
        <v>240</v>
      </c>
      <c r="Q189" t="s">
        <v>626</v>
      </c>
      <c r="R189" s="184">
        <v>6.99</v>
      </c>
      <c r="S189" s="184">
        <v>2.9</v>
      </c>
      <c r="T189" s="198">
        <f t="shared" si="13"/>
        <v>2.9</v>
      </c>
    </row>
    <row r="190" spans="1:20" x14ac:dyDescent="0.25">
      <c r="A190" s="117" t="s">
        <v>614</v>
      </c>
      <c r="B190" s="117" t="s">
        <v>615</v>
      </c>
      <c r="C190" t="s">
        <v>616</v>
      </c>
      <c r="D190" t="s">
        <v>617</v>
      </c>
      <c r="E190" s="182">
        <v>241019</v>
      </c>
      <c r="F190" t="s">
        <v>618</v>
      </c>
      <c r="G190" t="s">
        <v>619</v>
      </c>
      <c r="H190" s="118" t="s">
        <v>620</v>
      </c>
      <c r="I190" t="s">
        <v>628</v>
      </c>
      <c r="J190" t="s">
        <v>622</v>
      </c>
      <c r="K190" s="123" t="s">
        <v>629</v>
      </c>
      <c r="L190" t="str">
        <f>'common foods'!C85</f>
        <v>Dairy-free cream cheese</v>
      </c>
      <c r="M190" s="183" t="s">
        <v>186</v>
      </c>
      <c r="N190" t="s">
        <v>671</v>
      </c>
      <c r="O190" t="s">
        <v>625</v>
      </c>
      <c r="P190">
        <v>240</v>
      </c>
      <c r="Q190" t="s">
        <v>626</v>
      </c>
      <c r="R190" s="184">
        <v>8</v>
      </c>
      <c r="S190" s="184">
        <f>R190/2.4</f>
        <v>3.3333333333333335</v>
      </c>
      <c r="T190" s="198">
        <f t="shared" si="13"/>
        <v>3.3333333333333335</v>
      </c>
    </row>
    <row r="191" spans="1:20" x14ac:dyDescent="0.25">
      <c r="A191" s="117" t="s">
        <v>614</v>
      </c>
      <c r="B191" s="117" t="s">
        <v>615</v>
      </c>
      <c r="C191" t="s">
        <v>616</v>
      </c>
      <c r="D191" t="s">
        <v>617</v>
      </c>
      <c r="E191" s="182">
        <v>241019</v>
      </c>
      <c r="F191" t="s">
        <v>618</v>
      </c>
      <c r="G191" t="s">
        <v>619</v>
      </c>
      <c r="H191" s="118" t="s">
        <v>620</v>
      </c>
      <c r="I191" t="s">
        <v>621</v>
      </c>
      <c r="J191" t="s">
        <v>622</v>
      </c>
      <c r="K191" s="123" t="s">
        <v>629</v>
      </c>
      <c r="L191" t="str">
        <f>'common foods'!C84</f>
        <v>Dairy-free cheddar</v>
      </c>
      <c r="M191" s="183" t="str">
        <f>'common foods'!D84</f>
        <v>04069</v>
      </c>
      <c r="N191" t="s">
        <v>671</v>
      </c>
      <c r="O191" t="s">
        <v>625</v>
      </c>
      <c r="P191">
        <v>300</v>
      </c>
      <c r="Q191" t="s">
        <v>626</v>
      </c>
      <c r="R191" s="184">
        <v>11.25</v>
      </c>
      <c r="S191" s="184">
        <f>R191/3</f>
        <v>3.75</v>
      </c>
      <c r="T191" s="198">
        <f t="shared" si="13"/>
        <v>3.75</v>
      </c>
    </row>
    <row r="192" spans="1:20" x14ac:dyDescent="0.25">
      <c r="A192" s="117" t="s">
        <v>614</v>
      </c>
      <c r="B192" s="117" t="s">
        <v>615</v>
      </c>
      <c r="C192" t="s">
        <v>616</v>
      </c>
      <c r="D192" t="s">
        <v>617</v>
      </c>
      <c r="E192" s="182">
        <v>241019</v>
      </c>
      <c r="F192" t="s">
        <v>618</v>
      </c>
      <c r="G192" t="s">
        <v>619</v>
      </c>
      <c r="H192" s="118" t="s">
        <v>620</v>
      </c>
      <c r="I192" t="s">
        <v>627</v>
      </c>
      <c r="J192" t="s">
        <v>622</v>
      </c>
      <c r="K192" s="123" t="s">
        <v>629</v>
      </c>
      <c r="L192" t="str">
        <f>'common foods'!C84</f>
        <v>Dairy-free cheddar</v>
      </c>
      <c r="M192" s="183" t="s">
        <v>184</v>
      </c>
      <c r="N192" t="s">
        <v>671</v>
      </c>
      <c r="O192" t="s">
        <v>625</v>
      </c>
      <c r="P192">
        <v>300</v>
      </c>
      <c r="Q192" t="s">
        <v>626</v>
      </c>
      <c r="R192" s="184">
        <v>11.49</v>
      </c>
      <c r="S192" s="184">
        <v>3.83</v>
      </c>
      <c r="T192" s="198">
        <f t="shared" si="13"/>
        <v>3.83</v>
      </c>
    </row>
    <row r="193" spans="1:20" x14ac:dyDescent="0.25">
      <c r="A193" s="117" t="s">
        <v>614</v>
      </c>
      <c r="B193" s="117" t="s">
        <v>615</v>
      </c>
      <c r="C193" t="s">
        <v>616</v>
      </c>
      <c r="D193" t="s">
        <v>617</v>
      </c>
      <c r="E193" s="182">
        <v>241019</v>
      </c>
      <c r="F193" t="s">
        <v>618</v>
      </c>
      <c r="G193" t="s">
        <v>619</v>
      </c>
      <c r="H193" s="118" t="s">
        <v>620</v>
      </c>
      <c r="I193" t="s">
        <v>628</v>
      </c>
      <c r="J193" t="s">
        <v>622</v>
      </c>
      <c r="K193" s="123" t="s">
        <v>629</v>
      </c>
      <c r="L193" t="str">
        <f>'common foods'!C84</f>
        <v>Dairy-free cheddar</v>
      </c>
      <c r="M193" s="183" t="s">
        <v>184</v>
      </c>
      <c r="N193" t="s">
        <v>671</v>
      </c>
      <c r="O193" t="s">
        <v>625</v>
      </c>
      <c r="P193">
        <v>300</v>
      </c>
      <c r="Q193" t="s">
        <v>626</v>
      </c>
      <c r="R193" s="184">
        <v>10.5</v>
      </c>
      <c r="S193" s="184">
        <f>R193/3</f>
        <v>3.5</v>
      </c>
      <c r="T193" s="198">
        <f t="shared" si="13"/>
        <v>3.5</v>
      </c>
    </row>
    <row r="194" spans="1:20" x14ac:dyDescent="0.25">
      <c r="A194" s="117" t="s">
        <v>614</v>
      </c>
      <c r="B194" s="117" t="s">
        <v>615</v>
      </c>
      <c r="C194" t="s">
        <v>616</v>
      </c>
      <c r="D194" t="s">
        <v>617</v>
      </c>
      <c r="E194" s="182">
        <v>241019</v>
      </c>
      <c r="F194" t="s">
        <v>618</v>
      </c>
      <c r="G194" t="s">
        <v>619</v>
      </c>
      <c r="H194" s="118" t="s">
        <v>620</v>
      </c>
      <c r="I194" t="s">
        <v>621</v>
      </c>
      <c r="J194" t="s">
        <v>622</v>
      </c>
      <c r="K194" s="123" t="s">
        <v>629</v>
      </c>
      <c r="L194" t="str">
        <f>'common foods'!C80</f>
        <v>Almond milk</v>
      </c>
      <c r="M194" s="183" t="str">
        <f>'common foods'!D80</f>
        <v>04065</v>
      </c>
      <c r="N194" t="s">
        <v>624</v>
      </c>
      <c r="O194" t="s">
        <v>625</v>
      </c>
      <c r="P194">
        <v>1000</v>
      </c>
      <c r="Q194" t="s">
        <v>626</v>
      </c>
      <c r="R194" s="184">
        <v>3.59</v>
      </c>
      <c r="S194" s="184">
        <v>0.36</v>
      </c>
      <c r="T194" s="198">
        <f t="shared" si="13"/>
        <v>0.36</v>
      </c>
    </row>
    <row r="195" spans="1:20" x14ac:dyDescent="0.25">
      <c r="A195" s="117" t="s">
        <v>614</v>
      </c>
      <c r="B195" s="117" t="s">
        <v>615</v>
      </c>
      <c r="C195" t="s">
        <v>616</v>
      </c>
      <c r="D195" t="s">
        <v>617</v>
      </c>
      <c r="E195" s="182">
        <v>241019</v>
      </c>
      <c r="F195" t="s">
        <v>618</v>
      </c>
      <c r="G195" t="s">
        <v>619</v>
      </c>
      <c r="H195" s="118" t="s">
        <v>620</v>
      </c>
      <c r="I195" t="s">
        <v>627</v>
      </c>
      <c r="J195" t="s">
        <v>622</v>
      </c>
      <c r="K195" s="123" t="s">
        <v>629</v>
      </c>
      <c r="L195" t="str">
        <f>'common foods'!C80</f>
        <v>Almond milk</v>
      </c>
      <c r="M195" s="183" t="s">
        <v>176</v>
      </c>
      <c r="N195" t="s">
        <v>624</v>
      </c>
      <c r="O195" t="s">
        <v>625</v>
      </c>
      <c r="P195">
        <v>1000</v>
      </c>
      <c r="Q195" t="s">
        <v>626</v>
      </c>
      <c r="R195" s="184">
        <v>4.3899999999999997</v>
      </c>
      <c r="S195" s="184">
        <v>0.44</v>
      </c>
      <c r="T195" s="198">
        <f t="shared" si="13"/>
        <v>0.44</v>
      </c>
    </row>
    <row r="196" spans="1:20" x14ac:dyDescent="0.25">
      <c r="A196" s="117" t="s">
        <v>614</v>
      </c>
      <c r="B196" s="117" t="s">
        <v>615</v>
      </c>
      <c r="C196" t="s">
        <v>616</v>
      </c>
      <c r="D196" t="s">
        <v>617</v>
      </c>
      <c r="E196" s="182">
        <v>241019</v>
      </c>
      <c r="F196" t="s">
        <v>618</v>
      </c>
      <c r="G196" t="s">
        <v>619</v>
      </c>
      <c r="H196" s="118" t="s">
        <v>620</v>
      </c>
      <c r="I196" t="s">
        <v>628</v>
      </c>
      <c r="J196" t="s">
        <v>622</v>
      </c>
      <c r="K196" s="123" t="s">
        <v>629</v>
      </c>
      <c r="L196" t="str">
        <f>'common foods'!C80</f>
        <v>Almond milk</v>
      </c>
      <c r="M196" s="183" t="s">
        <v>176</v>
      </c>
      <c r="N196" t="s">
        <v>624</v>
      </c>
      <c r="O196" t="s">
        <v>625</v>
      </c>
      <c r="P196">
        <v>1000</v>
      </c>
      <c r="Q196" t="s">
        <v>626</v>
      </c>
      <c r="R196" s="184">
        <v>4.4000000000000004</v>
      </c>
      <c r="S196" s="184">
        <f>R196/10</f>
        <v>0.44000000000000006</v>
      </c>
      <c r="T196" s="198">
        <f t="shared" si="13"/>
        <v>0.44000000000000006</v>
      </c>
    </row>
    <row r="197" spans="1:20" x14ac:dyDescent="0.25">
      <c r="A197" s="117" t="s">
        <v>614</v>
      </c>
      <c r="B197" s="117" t="s">
        <v>615</v>
      </c>
      <c r="C197" t="s">
        <v>616</v>
      </c>
      <c r="D197" t="s">
        <v>617</v>
      </c>
      <c r="E197" s="182">
        <v>241019</v>
      </c>
      <c r="F197" t="s">
        <v>618</v>
      </c>
      <c r="G197" t="s">
        <v>619</v>
      </c>
      <c r="H197" s="118" t="s">
        <v>620</v>
      </c>
      <c r="I197" t="s">
        <v>621</v>
      </c>
      <c r="J197" t="s">
        <v>622</v>
      </c>
      <c r="K197" s="123" t="s">
        <v>629</v>
      </c>
      <c r="L197" t="str">
        <f>'common foods'!C81</f>
        <v>Soy yoghurt with berriers</v>
      </c>
      <c r="M197" s="183" t="str">
        <f>'common foods'!D81</f>
        <v>04066</v>
      </c>
      <c r="O197" t="s">
        <v>625</v>
      </c>
      <c r="P197">
        <v>250</v>
      </c>
      <c r="Q197" t="s">
        <v>626</v>
      </c>
      <c r="R197" s="184">
        <v>3.39</v>
      </c>
      <c r="S197" s="184">
        <f t="shared" ref="S197:S202" si="14">R197/2.5</f>
        <v>1.3560000000000001</v>
      </c>
      <c r="T197" s="198">
        <f t="shared" si="13"/>
        <v>1.3560000000000001</v>
      </c>
    </row>
    <row r="198" spans="1:20" x14ac:dyDescent="0.25">
      <c r="A198" s="117" t="s">
        <v>614</v>
      </c>
      <c r="B198" s="117" t="s">
        <v>615</v>
      </c>
      <c r="C198" t="s">
        <v>616</v>
      </c>
      <c r="D198" t="s">
        <v>617</v>
      </c>
      <c r="E198" s="182">
        <v>241019</v>
      </c>
      <c r="F198" t="s">
        <v>618</v>
      </c>
      <c r="G198" t="s">
        <v>619</v>
      </c>
      <c r="H198" s="118" t="s">
        <v>620</v>
      </c>
      <c r="I198" t="s">
        <v>627</v>
      </c>
      <c r="J198" t="s">
        <v>622</v>
      </c>
      <c r="K198" s="123" t="s">
        <v>629</v>
      </c>
      <c r="L198" t="str">
        <f>'common foods'!C81</f>
        <v>Soy yoghurt with berriers</v>
      </c>
      <c r="M198" s="183" t="s">
        <v>178</v>
      </c>
      <c r="O198" t="s">
        <v>625</v>
      </c>
      <c r="P198">
        <v>250</v>
      </c>
      <c r="Q198" t="s">
        <v>626</v>
      </c>
      <c r="R198" s="184">
        <v>3.29</v>
      </c>
      <c r="S198" s="184">
        <f t="shared" si="14"/>
        <v>1.3160000000000001</v>
      </c>
      <c r="T198" s="198">
        <f t="shared" si="13"/>
        <v>1.3160000000000001</v>
      </c>
    </row>
    <row r="199" spans="1:20" x14ac:dyDescent="0.25">
      <c r="A199" s="117" t="s">
        <v>614</v>
      </c>
      <c r="B199" s="117" t="s">
        <v>615</v>
      </c>
      <c r="C199" t="s">
        <v>616</v>
      </c>
      <c r="D199" t="s">
        <v>617</v>
      </c>
      <c r="E199" s="182">
        <v>241019</v>
      </c>
      <c r="F199" t="s">
        <v>618</v>
      </c>
      <c r="G199" t="s">
        <v>619</v>
      </c>
      <c r="H199" s="118" t="s">
        <v>620</v>
      </c>
      <c r="I199" t="s">
        <v>628</v>
      </c>
      <c r="J199" t="s">
        <v>622</v>
      </c>
      <c r="K199" s="123" t="s">
        <v>629</v>
      </c>
      <c r="L199" t="str">
        <f>'common foods'!C81</f>
        <v>Soy yoghurt with berriers</v>
      </c>
      <c r="M199" s="183" t="s">
        <v>178</v>
      </c>
      <c r="O199" t="s">
        <v>625</v>
      </c>
      <c r="P199">
        <v>250</v>
      </c>
      <c r="Q199" t="s">
        <v>626</v>
      </c>
      <c r="R199" s="184">
        <v>3.5</v>
      </c>
      <c r="S199" s="184">
        <f t="shared" si="14"/>
        <v>1.4</v>
      </c>
      <c r="T199" s="198">
        <f t="shared" si="13"/>
        <v>1.4</v>
      </c>
    </row>
    <row r="200" spans="1:20" x14ac:dyDescent="0.25">
      <c r="A200" s="117" t="s">
        <v>614</v>
      </c>
      <c r="B200" s="117" t="s">
        <v>615</v>
      </c>
      <c r="C200" t="s">
        <v>616</v>
      </c>
      <c r="D200" t="s">
        <v>617</v>
      </c>
      <c r="E200" s="182">
        <v>241019</v>
      </c>
      <c r="F200" t="s">
        <v>618</v>
      </c>
      <c r="G200" t="s">
        <v>619</v>
      </c>
      <c r="H200" s="118" t="s">
        <v>620</v>
      </c>
      <c r="I200" t="s">
        <v>621</v>
      </c>
      <c r="J200" t="s">
        <v>622</v>
      </c>
      <c r="K200" s="123" t="s">
        <v>629</v>
      </c>
      <c r="L200" t="str">
        <f>'common foods'!C82</f>
        <v>Soy yoghurt with mango and peach</v>
      </c>
      <c r="M200" s="183" t="str">
        <f>'common foods'!D82</f>
        <v>04067</v>
      </c>
      <c r="O200" t="s">
        <v>625</v>
      </c>
      <c r="P200">
        <v>250</v>
      </c>
      <c r="Q200" t="s">
        <v>626</v>
      </c>
      <c r="R200" s="184">
        <v>3.29</v>
      </c>
      <c r="S200" s="184">
        <f t="shared" si="14"/>
        <v>1.3160000000000001</v>
      </c>
      <c r="T200" s="198">
        <f t="shared" si="13"/>
        <v>1.3160000000000001</v>
      </c>
    </row>
    <row r="201" spans="1:20" x14ac:dyDescent="0.25">
      <c r="A201" s="117" t="s">
        <v>614</v>
      </c>
      <c r="B201" s="117" t="s">
        <v>615</v>
      </c>
      <c r="C201" t="s">
        <v>616</v>
      </c>
      <c r="D201" t="s">
        <v>617</v>
      </c>
      <c r="E201" s="182">
        <v>241019</v>
      </c>
      <c r="F201" t="s">
        <v>618</v>
      </c>
      <c r="G201" t="s">
        <v>619</v>
      </c>
      <c r="H201" s="118" t="s">
        <v>620</v>
      </c>
      <c r="I201" t="s">
        <v>627</v>
      </c>
      <c r="J201" t="s">
        <v>622</v>
      </c>
      <c r="K201" s="123" t="s">
        <v>629</v>
      </c>
      <c r="L201" t="str">
        <f>'common foods'!C82</f>
        <v>Soy yoghurt with mango and peach</v>
      </c>
      <c r="M201" s="183" t="s">
        <v>180</v>
      </c>
      <c r="O201" t="s">
        <v>625</v>
      </c>
      <c r="P201">
        <v>250</v>
      </c>
      <c r="Q201" t="s">
        <v>626</v>
      </c>
      <c r="R201" s="184">
        <v>3.29</v>
      </c>
      <c r="S201" s="184">
        <f t="shared" si="14"/>
        <v>1.3160000000000001</v>
      </c>
      <c r="T201" s="198">
        <f t="shared" si="13"/>
        <v>1.3160000000000001</v>
      </c>
    </row>
    <row r="202" spans="1:20" x14ac:dyDescent="0.25">
      <c r="A202" s="117" t="s">
        <v>614</v>
      </c>
      <c r="B202" s="117" t="s">
        <v>615</v>
      </c>
      <c r="C202" t="s">
        <v>616</v>
      </c>
      <c r="D202" t="s">
        <v>617</v>
      </c>
      <c r="E202" s="182">
        <v>241019</v>
      </c>
      <c r="F202" t="s">
        <v>618</v>
      </c>
      <c r="G202" t="s">
        <v>619</v>
      </c>
      <c r="H202" s="118" t="s">
        <v>620</v>
      </c>
      <c r="I202" t="s">
        <v>628</v>
      </c>
      <c r="J202" t="s">
        <v>622</v>
      </c>
      <c r="K202" s="123" t="s">
        <v>629</v>
      </c>
      <c r="L202" t="str">
        <f>'common foods'!C82</f>
        <v>Soy yoghurt with mango and peach</v>
      </c>
      <c r="M202" s="183" t="s">
        <v>180</v>
      </c>
      <c r="O202" t="s">
        <v>625</v>
      </c>
      <c r="P202">
        <v>250</v>
      </c>
      <c r="Q202" t="s">
        <v>626</v>
      </c>
      <c r="R202" s="184">
        <v>3.5</v>
      </c>
      <c r="S202" s="184">
        <f t="shared" si="14"/>
        <v>1.4</v>
      </c>
      <c r="T202" s="198">
        <f t="shared" si="13"/>
        <v>1.4</v>
      </c>
    </row>
    <row r="203" spans="1:20" x14ac:dyDescent="0.25">
      <c r="A203" s="117" t="s">
        <v>614</v>
      </c>
      <c r="B203" s="117" t="s">
        <v>615</v>
      </c>
      <c r="C203" t="s">
        <v>616</v>
      </c>
      <c r="D203" t="s">
        <v>617</v>
      </c>
      <c r="E203" s="182" t="s">
        <v>672</v>
      </c>
      <c r="F203" t="s">
        <v>618</v>
      </c>
      <c r="G203" t="s">
        <v>619</v>
      </c>
      <c r="H203" s="118" t="s">
        <v>620</v>
      </c>
      <c r="I203" t="s">
        <v>621</v>
      </c>
      <c r="J203" t="s">
        <v>622</v>
      </c>
      <c r="K203" t="s">
        <v>633</v>
      </c>
      <c r="L203" t="str">
        <f>'common foods'!C4</f>
        <v>Grapes, fresh</v>
      </c>
      <c r="M203" s="183" t="str">
        <f>'common foods'!D4</f>
        <v>01003</v>
      </c>
      <c r="N203" t="s">
        <v>619</v>
      </c>
      <c r="O203" t="s">
        <v>619</v>
      </c>
      <c r="P203">
        <v>1000</v>
      </c>
      <c r="Q203" t="s">
        <v>626</v>
      </c>
      <c r="R203" s="184">
        <v>7.99</v>
      </c>
      <c r="S203" s="184">
        <f>R203/10</f>
        <v>0.79900000000000004</v>
      </c>
      <c r="T203" s="184">
        <f>S203*'edible cooking yield factors'!F4</f>
        <v>0.76704000000000006</v>
      </c>
    </row>
    <row r="204" spans="1:20" x14ac:dyDescent="0.25">
      <c r="A204" s="117" t="s">
        <v>614</v>
      </c>
      <c r="B204" s="117" t="s">
        <v>615</v>
      </c>
      <c r="C204" t="s">
        <v>616</v>
      </c>
      <c r="D204" t="s">
        <v>617</v>
      </c>
      <c r="E204" s="182" t="s">
        <v>672</v>
      </c>
      <c r="F204" t="s">
        <v>618</v>
      </c>
      <c r="G204" t="s">
        <v>619</v>
      </c>
      <c r="H204" s="118" t="s">
        <v>620</v>
      </c>
      <c r="I204" t="s">
        <v>627</v>
      </c>
      <c r="J204" t="s">
        <v>622</v>
      </c>
      <c r="K204" t="s">
        <v>633</v>
      </c>
      <c r="L204" t="str">
        <f>'common foods'!C4</f>
        <v>Grapes, fresh</v>
      </c>
      <c r="M204" s="183" t="s">
        <v>17</v>
      </c>
      <c r="N204" t="s">
        <v>673</v>
      </c>
      <c r="O204" t="s">
        <v>625</v>
      </c>
      <c r="P204">
        <v>500</v>
      </c>
      <c r="Q204" t="s">
        <v>626</v>
      </c>
      <c r="R204" s="184">
        <v>3.99</v>
      </c>
      <c r="S204" s="184">
        <f>R204/4</f>
        <v>0.99750000000000005</v>
      </c>
      <c r="T204" s="184">
        <f>S204*'edible cooking yield factors'!F4</f>
        <v>0.95760000000000001</v>
      </c>
    </row>
    <row r="205" spans="1:20" x14ac:dyDescent="0.25">
      <c r="A205" s="117" t="s">
        <v>614</v>
      </c>
      <c r="B205" s="117" t="s">
        <v>615</v>
      </c>
      <c r="C205" t="s">
        <v>616</v>
      </c>
      <c r="D205" t="s">
        <v>617</v>
      </c>
      <c r="E205" s="182" t="s">
        <v>672</v>
      </c>
      <c r="F205" t="s">
        <v>618</v>
      </c>
      <c r="G205" t="s">
        <v>619</v>
      </c>
      <c r="H205" s="118" t="s">
        <v>620</v>
      </c>
      <c r="I205" t="s">
        <v>628</v>
      </c>
      <c r="J205" t="s">
        <v>622</v>
      </c>
      <c r="K205" t="s">
        <v>633</v>
      </c>
      <c r="L205" t="str">
        <f>'common foods'!C4</f>
        <v>Grapes, fresh</v>
      </c>
      <c r="M205" s="183" t="s">
        <v>17</v>
      </c>
      <c r="N205" t="s">
        <v>619</v>
      </c>
      <c r="O205" t="s">
        <v>619</v>
      </c>
      <c r="P205">
        <v>1000</v>
      </c>
      <c r="Q205" t="s">
        <v>626</v>
      </c>
      <c r="R205" s="184">
        <v>7</v>
      </c>
      <c r="S205" s="184">
        <f>R205/10</f>
        <v>0.7</v>
      </c>
      <c r="T205" s="184">
        <f>S205*'edible cooking yield factors'!F4</f>
        <v>0.67199999999999993</v>
      </c>
    </row>
    <row r="206" spans="1:20" x14ac:dyDescent="0.25">
      <c r="A206" s="117" t="s">
        <v>614</v>
      </c>
      <c r="B206" s="117" t="s">
        <v>615</v>
      </c>
      <c r="C206" t="s">
        <v>616</v>
      </c>
      <c r="D206" t="s">
        <v>617</v>
      </c>
      <c r="E206" s="182" t="s">
        <v>672</v>
      </c>
      <c r="F206" t="s">
        <v>618</v>
      </c>
      <c r="G206" t="s">
        <v>619</v>
      </c>
      <c r="H206" s="118" t="s">
        <v>620</v>
      </c>
      <c r="I206" t="s">
        <v>621</v>
      </c>
      <c r="J206" t="s">
        <v>622</v>
      </c>
      <c r="K206" t="s">
        <v>633</v>
      </c>
      <c r="L206" t="str">
        <f>'common foods'!C9</f>
        <v>Pears, fresh</v>
      </c>
      <c r="M206" s="183" t="str">
        <f>'common foods'!D9</f>
        <v>01008</v>
      </c>
      <c r="N206" t="s">
        <v>619</v>
      </c>
      <c r="O206" t="s">
        <v>619</v>
      </c>
      <c r="P206">
        <v>1000</v>
      </c>
      <c r="Q206" t="s">
        <v>626</v>
      </c>
      <c r="R206" s="184">
        <v>4.49</v>
      </c>
      <c r="S206" s="184">
        <f>R206/10</f>
        <v>0.44900000000000001</v>
      </c>
      <c r="T206" s="184">
        <f>S206*'edible cooking yield factors'!F9</f>
        <v>0.39512000000000003</v>
      </c>
    </row>
    <row r="207" spans="1:20" x14ac:dyDescent="0.25">
      <c r="A207" s="117" t="s">
        <v>614</v>
      </c>
      <c r="B207" s="117" t="s">
        <v>615</v>
      </c>
      <c r="C207" t="s">
        <v>616</v>
      </c>
      <c r="D207" t="s">
        <v>617</v>
      </c>
      <c r="E207" s="182" t="s">
        <v>672</v>
      </c>
      <c r="F207" t="s">
        <v>618</v>
      </c>
      <c r="G207" t="s">
        <v>619</v>
      </c>
      <c r="H207" s="118" t="s">
        <v>620</v>
      </c>
      <c r="I207" t="s">
        <v>627</v>
      </c>
      <c r="J207" t="s">
        <v>622</v>
      </c>
      <c r="K207" t="s">
        <v>633</v>
      </c>
      <c r="L207" t="s">
        <v>28</v>
      </c>
      <c r="M207" s="183" t="s">
        <v>29</v>
      </c>
      <c r="N207" t="s">
        <v>619</v>
      </c>
      <c r="O207" t="s">
        <v>619</v>
      </c>
      <c r="P207">
        <v>1000</v>
      </c>
      <c r="Q207" t="s">
        <v>626</v>
      </c>
      <c r="R207" s="184">
        <v>4.99</v>
      </c>
      <c r="S207" s="184">
        <f>R207/10</f>
        <v>0.499</v>
      </c>
      <c r="T207" s="184">
        <f>S207*'edible cooking yield factors'!F9</f>
        <v>0.43912000000000001</v>
      </c>
    </row>
    <row r="208" spans="1:20" x14ac:dyDescent="0.25">
      <c r="A208" s="117" t="s">
        <v>614</v>
      </c>
      <c r="B208" s="117" t="s">
        <v>615</v>
      </c>
      <c r="C208" t="s">
        <v>616</v>
      </c>
      <c r="D208" t="s">
        <v>617</v>
      </c>
      <c r="E208" s="182" t="s">
        <v>672</v>
      </c>
      <c r="F208" t="s">
        <v>618</v>
      </c>
      <c r="G208" t="s">
        <v>619</v>
      </c>
      <c r="H208" s="118" t="s">
        <v>620</v>
      </c>
      <c r="I208" t="s">
        <v>628</v>
      </c>
      <c r="J208" t="s">
        <v>622</v>
      </c>
      <c r="K208" t="s">
        <v>633</v>
      </c>
      <c r="L208" t="s">
        <v>28</v>
      </c>
      <c r="M208" s="183" t="s">
        <v>29</v>
      </c>
      <c r="N208" t="s">
        <v>619</v>
      </c>
      <c r="O208" t="s">
        <v>619</v>
      </c>
      <c r="P208">
        <v>1000</v>
      </c>
      <c r="Q208" t="s">
        <v>626</v>
      </c>
      <c r="R208" s="184">
        <v>3.9</v>
      </c>
      <c r="S208" s="184">
        <f>R208/10</f>
        <v>0.39</v>
      </c>
      <c r="T208" s="184">
        <f>S208*'edible cooking yield factors'!F9</f>
        <v>0.34320000000000001</v>
      </c>
    </row>
    <row r="209" spans="1:20" x14ac:dyDescent="0.25">
      <c r="A209" s="117" t="s">
        <v>614</v>
      </c>
      <c r="B209" s="117" t="s">
        <v>615</v>
      </c>
      <c r="C209" t="s">
        <v>616</v>
      </c>
      <c r="D209" t="s">
        <v>617</v>
      </c>
      <c r="E209" s="182" t="s">
        <v>672</v>
      </c>
      <c r="F209" t="s">
        <v>618</v>
      </c>
      <c r="G209" t="s">
        <v>619</v>
      </c>
      <c r="H209" s="118" t="s">
        <v>620</v>
      </c>
      <c r="I209" t="s">
        <v>621</v>
      </c>
      <c r="J209" t="s">
        <v>622</v>
      </c>
      <c r="K209" t="s">
        <v>633</v>
      </c>
      <c r="L209" t="s">
        <v>30</v>
      </c>
      <c r="M209" s="183" t="str">
        <f>'common foods'!D10</f>
        <v>01009</v>
      </c>
      <c r="N209" t="s">
        <v>631</v>
      </c>
      <c r="O209" t="s">
        <v>632</v>
      </c>
      <c r="P209">
        <v>750</v>
      </c>
      <c r="Q209" t="s">
        <v>626</v>
      </c>
      <c r="R209" s="184">
        <v>3.69</v>
      </c>
      <c r="S209" s="184">
        <f>R209/7.5</f>
        <v>0.49199999999999999</v>
      </c>
      <c r="T209" s="184">
        <f>S209*'edible cooking yield factors'!F10</f>
        <v>0.49199999999999999</v>
      </c>
    </row>
    <row r="210" spans="1:20" x14ac:dyDescent="0.25">
      <c r="A210" s="117" t="s">
        <v>614</v>
      </c>
      <c r="B210" s="117" t="s">
        <v>615</v>
      </c>
      <c r="C210" t="s">
        <v>616</v>
      </c>
      <c r="D210" t="s">
        <v>617</v>
      </c>
      <c r="E210" s="182" t="s">
        <v>672</v>
      </c>
      <c r="F210" t="s">
        <v>618</v>
      </c>
      <c r="G210" t="s">
        <v>619</v>
      </c>
      <c r="H210" s="118" t="s">
        <v>620</v>
      </c>
      <c r="I210" t="s">
        <v>627</v>
      </c>
      <c r="J210" t="s">
        <v>622</v>
      </c>
      <c r="K210" t="s">
        <v>633</v>
      </c>
      <c r="L210" t="s">
        <v>30</v>
      </c>
      <c r="M210" s="183" t="s">
        <v>31</v>
      </c>
      <c r="N210" t="s">
        <v>636</v>
      </c>
      <c r="O210" t="s">
        <v>632</v>
      </c>
      <c r="P210">
        <v>400</v>
      </c>
      <c r="Q210" t="s">
        <v>626</v>
      </c>
      <c r="R210" s="184">
        <v>1.99</v>
      </c>
      <c r="S210" s="184">
        <f>R210/4</f>
        <v>0.4975</v>
      </c>
      <c r="T210" s="184">
        <f>S210*'edible cooking yield factors'!F10</f>
        <v>0.4975</v>
      </c>
    </row>
    <row r="211" spans="1:20" x14ac:dyDescent="0.25">
      <c r="A211" s="117" t="s">
        <v>614</v>
      </c>
      <c r="B211" s="117" t="s">
        <v>615</v>
      </c>
      <c r="C211" t="s">
        <v>616</v>
      </c>
      <c r="D211" t="s">
        <v>617</v>
      </c>
      <c r="E211" s="182" t="s">
        <v>672</v>
      </c>
      <c r="F211" t="s">
        <v>618</v>
      </c>
      <c r="G211" t="s">
        <v>619</v>
      </c>
      <c r="H211" s="118" t="s">
        <v>620</v>
      </c>
      <c r="I211" t="s">
        <v>628</v>
      </c>
      <c r="J211" t="s">
        <v>622</v>
      </c>
      <c r="K211" t="s">
        <v>633</v>
      </c>
      <c r="L211" t="s">
        <v>30</v>
      </c>
      <c r="M211" s="183" t="s">
        <v>31</v>
      </c>
      <c r="N211" t="s">
        <v>628</v>
      </c>
      <c r="O211" t="s">
        <v>632</v>
      </c>
      <c r="P211">
        <v>950</v>
      </c>
      <c r="Q211" t="s">
        <v>626</v>
      </c>
      <c r="R211" s="184">
        <v>5.5</v>
      </c>
      <c r="S211" s="184">
        <f>R211/9.5</f>
        <v>0.57894736842105265</v>
      </c>
      <c r="T211" s="184">
        <f>S211*'edible cooking yield factors'!F10</f>
        <v>0.57894736842105265</v>
      </c>
    </row>
    <row r="212" spans="1:20" x14ac:dyDescent="0.25">
      <c r="A212" s="117" t="s">
        <v>614</v>
      </c>
      <c r="B212" s="117" t="s">
        <v>615</v>
      </c>
      <c r="C212" t="s">
        <v>616</v>
      </c>
      <c r="D212" t="s">
        <v>617</v>
      </c>
      <c r="E212" s="182" t="s">
        <v>672</v>
      </c>
      <c r="F212" t="s">
        <v>618</v>
      </c>
      <c r="G212" t="s">
        <v>619</v>
      </c>
      <c r="H212" s="118" t="s">
        <v>620</v>
      </c>
      <c r="I212" t="s">
        <v>621</v>
      </c>
      <c r="J212" t="s">
        <v>622</v>
      </c>
      <c r="K212" t="s">
        <v>633</v>
      </c>
      <c r="L212" t="s">
        <v>34</v>
      </c>
      <c r="M212" s="183" t="str">
        <f>'common foods'!D12</f>
        <v>01011</v>
      </c>
      <c r="N212" t="s">
        <v>631</v>
      </c>
      <c r="O212" t="s">
        <v>632</v>
      </c>
      <c r="P212">
        <v>410</v>
      </c>
      <c r="Q212" t="s">
        <v>626</v>
      </c>
      <c r="R212" s="184">
        <v>1.05</v>
      </c>
      <c r="S212" s="184">
        <f>R212/4.1</f>
        <v>0.25609756097560976</v>
      </c>
      <c r="T212" s="184">
        <f>S212*'edible cooking yield factors'!F12</f>
        <v>0.15365853658536585</v>
      </c>
    </row>
    <row r="213" spans="1:20" x14ac:dyDescent="0.25">
      <c r="A213" s="117" t="s">
        <v>614</v>
      </c>
      <c r="B213" s="117" t="s">
        <v>615</v>
      </c>
      <c r="C213" t="s">
        <v>616</v>
      </c>
      <c r="D213" t="s">
        <v>617</v>
      </c>
      <c r="E213" s="182" t="s">
        <v>672</v>
      </c>
      <c r="F213" t="s">
        <v>618</v>
      </c>
      <c r="G213" t="s">
        <v>619</v>
      </c>
      <c r="H213" s="118" t="s">
        <v>620</v>
      </c>
      <c r="I213" t="s">
        <v>627</v>
      </c>
      <c r="J213" t="s">
        <v>622</v>
      </c>
      <c r="K213" t="s">
        <v>633</v>
      </c>
      <c r="L213" t="s">
        <v>34</v>
      </c>
      <c r="M213" s="183" t="s">
        <v>35</v>
      </c>
      <c r="N213" t="s">
        <v>631</v>
      </c>
      <c r="O213" t="s">
        <v>632</v>
      </c>
      <c r="P213">
        <v>410</v>
      </c>
      <c r="Q213" t="s">
        <v>626</v>
      </c>
      <c r="R213" s="184">
        <v>1.0900000000000001</v>
      </c>
      <c r="S213" s="184">
        <f>R213/4.1</f>
        <v>0.26585365853658544</v>
      </c>
      <c r="T213" s="184">
        <f>S213*'edible cooking yield factors'!F12</f>
        <v>0.15951219512195125</v>
      </c>
    </row>
    <row r="214" spans="1:20" x14ac:dyDescent="0.25">
      <c r="A214" s="117" t="s">
        <v>614</v>
      </c>
      <c r="B214" s="117" t="s">
        <v>615</v>
      </c>
      <c r="C214" t="s">
        <v>616</v>
      </c>
      <c r="D214" t="s">
        <v>617</v>
      </c>
      <c r="E214" s="182" t="s">
        <v>672</v>
      </c>
      <c r="F214" t="s">
        <v>618</v>
      </c>
      <c r="G214" t="s">
        <v>619</v>
      </c>
      <c r="H214" s="118" t="s">
        <v>620</v>
      </c>
      <c r="I214" t="s">
        <v>628</v>
      </c>
      <c r="J214" t="s">
        <v>622</v>
      </c>
      <c r="K214" t="s">
        <v>633</v>
      </c>
      <c r="L214" t="s">
        <v>34</v>
      </c>
      <c r="M214" s="183" t="s">
        <v>35</v>
      </c>
      <c r="N214" t="s">
        <v>628</v>
      </c>
      <c r="O214" t="s">
        <v>632</v>
      </c>
      <c r="P214">
        <v>825</v>
      </c>
      <c r="Q214" t="s">
        <v>626</v>
      </c>
      <c r="R214" s="184">
        <v>2.1</v>
      </c>
      <c r="S214" s="184">
        <f>R214/8.25</f>
        <v>0.25454545454545457</v>
      </c>
      <c r="T214" s="184">
        <f>S214*'edible cooking yield factors'!F12</f>
        <v>0.15272727272727274</v>
      </c>
    </row>
    <row r="215" spans="1:20" x14ac:dyDescent="0.25">
      <c r="A215" s="117" t="s">
        <v>614</v>
      </c>
      <c r="B215" s="117" t="s">
        <v>615</v>
      </c>
      <c r="C215" t="s">
        <v>616</v>
      </c>
      <c r="D215" t="s">
        <v>617</v>
      </c>
      <c r="E215" s="182" t="s">
        <v>672</v>
      </c>
      <c r="F215" t="s">
        <v>618</v>
      </c>
      <c r="G215" t="s">
        <v>619</v>
      </c>
      <c r="H215" s="118" t="s">
        <v>620</v>
      </c>
      <c r="I215" t="s">
        <v>621</v>
      </c>
      <c r="J215" t="s">
        <v>622</v>
      </c>
      <c r="K215" t="s">
        <v>633</v>
      </c>
      <c r="L215" t="s">
        <v>36</v>
      </c>
      <c r="M215" s="183" t="str">
        <f>'common foods'!D13</f>
        <v>01012</v>
      </c>
      <c r="N215" t="s">
        <v>463</v>
      </c>
      <c r="O215" t="s">
        <v>625</v>
      </c>
      <c r="P215" s="123">
        <v>400</v>
      </c>
      <c r="Q215" s="123" t="s">
        <v>626</v>
      </c>
      <c r="R215" s="184">
        <v>1.49</v>
      </c>
      <c r="S215" s="184">
        <f>R215/4</f>
        <v>0.3725</v>
      </c>
      <c r="T215" s="184">
        <f>S215*'edible cooking yield factors'!F13</f>
        <v>0.2235</v>
      </c>
    </row>
    <row r="216" spans="1:20" x14ac:dyDescent="0.25">
      <c r="A216" s="117" t="s">
        <v>614</v>
      </c>
      <c r="B216" s="117" t="s">
        <v>615</v>
      </c>
      <c r="C216" t="s">
        <v>616</v>
      </c>
      <c r="D216" t="s">
        <v>617</v>
      </c>
      <c r="E216" s="182" t="s">
        <v>672</v>
      </c>
      <c r="F216" t="s">
        <v>618</v>
      </c>
      <c r="G216" t="s">
        <v>619</v>
      </c>
      <c r="H216" s="118" t="s">
        <v>620</v>
      </c>
      <c r="I216" t="s">
        <v>627</v>
      </c>
      <c r="J216" t="s">
        <v>622</v>
      </c>
      <c r="K216" t="s">
        <v>633</v>
      </c>
      <c r="L216" t="s">
        <v>36</v>
      </c>
      <c r="M216" s="183" t="s">
        <v>37</v>
      </c>
      <c r="N216" t="s">
        <v>463</v>
      </c>
      <c r="O216" t="s">
        <v>625</v>
      </c>
      <c r="P216" s="123">
        <v>400</v>
      </c>
      <c r="Q216" s="123" t="s">
        <v>626</v>
      </c>
      <c r="R216" s="184">
        <v>1.99</v>
      </c>
      <c r="S216" s="184">
        <f>R216/4</f>
        <v>0.4975</v>
      </c>
      <c r="T216" s="184">
        <f>S216*'edible cooking yield factors'!F13</f>
        <v>0.29849999999999999</v>
      </c>
    </row>
    <row r="217" spans="1:20" x14ac:dyDescent="0.25">
      <c r="A217" s="117" t="s">
        <v>614</v>
      </c>
      <c r="B217" s="117" t="s">
        <v>615</v>
      </c>
      <c r="C217" t="s">
        <v>616</v>
      </c>
      <c r="D217" t="s">
        <v>617</v>
      </c>
      <c r="E217" s="182" t="s">
        <v>672</v>
      </c>
      <c r="F217" t="s">
        <v>618</v>
      </c>
      <c r="G217" t="s">
        <v>619</v>
      </c>
      <c r="H217" s="118" t="s">
        <v>620</v>
      </c>
      <c r="I217" t="s">
        <v>628</v>
      </c>
      <c r="J217" t="s">
        <v>622</v>
      </c>
      <c r="K217" t="s">
        <v>633</v>
      </c>
      <c r="L217" t="s">
        <v>36</v>
      </c>
      <c r="M217" s="183" t="s">
        <v>37</v>
      </c>
      <c r="N217" t="s">
        <v>463</v>
      </c>
      <c r="O217" t="s">
        <v>625</v>
      </c>
      <c r="P217" s="123">
        <v>400</v>
      </c>
      <c r="Q217" s="123" t="s">
        <v>626</v>
      </c>
      <c r="R217" s="184">
        <v>2.29</v>
      </c>
      <c r="S217" s="184">
        <f>R217/4</f>
        <v>0.57250000000000001</v>
      </c>
      <c r="T217" s="184">
        <f>S217*'edible cooking yield factors'!F13</f>
        <v>0.34349999999999997</v>
      </c>
    </row>
    <row r="218" spans="1:20" s="199" customFormat="1" x14ac:dyDescent="0.25">
      <c r="A218" s="186" t="s">
        <v>614</v>
      </c>
      <c r="B218" s="186" t="s">
        <v>615</v>
      </c>
      <c r="C218" s="199" t="s">
        <v>616</v>
      </c>
      <c r="D218" s="199" t="s">
        <v>617</v>
      </c>
      <c r="E218" s="203">
        <v>280120</v>
      </c>
      <c r="F218" s="199" t="s">
        <v>674</v>
      </c>
      <c r="G218" s="199" t="s">
        <v>619</v>
      </c>
      <c r="H218" s="187" t="s">
        <v>620</v>
      </c>
      <c r="I218" s="199" t="s">
        <v>621</v>
      </c>
      <c r="J218" s="199" t="s">
        <v>622</v>
      </c>
      <c r="K218" s="199" t="s">
        <v>633</v>
      </c>
      <c r="L218" s="199" t="str">
        <f>'common foods'!C11</f>
        <v>Peaches, canned in clear juice</v>
      </c>
      <c r="M218" s="204" t="str">
        <f>'common foods'!D11</f>
        <v>01010</v>
      </c>
      <c r="N218" s="199" t="s">
        <v>636</v>
      </c>
      <c r="O218" s="199" t="s">
        <v>632</v>
      </c>
      <c r="P218" s="205">
        <v>410</v>
      </c>
      <c r="Q218" s="205" t="s">
        <v>626</v>
      </c>
      <c r="R218" s="198">
        <v>1.29</v>
      </c>
      <c r="S218" s="198">
        <f>R218/4.1</f>
        <v>0.31463414634146347</v>
      </c>
      <c r="T218" s="198">
        <f>S219*'edible cooking yield factors'!F14</f>
        <v>0.20341463414634148</v>
      </c>
    </row>
    <row r="219" spans="1:20" s="199" customFormat="1" x14ac:dyDescent="0.25">
      <c r="A219" s="186" t="s">
        <v>614</v>
      </c>
      <c r="B219" s="186" t="s">
        <v>615</v>
      </c>
      <c r="C219" s="199" t="s">
        <v>616</v>
      </c>
      <c r="D219" s="199" t="s">
        <v>617</v>
      </c>
      <c r="E219" s="203">
        <v>280120</v>
      </c>
      <c r="F219" s="199" t="s">
        <v>674</v>
      </c>
      <c r="G219" s="199" t="s">
        <v>619</v>
      </c>
      <c r="H219" s="187" t="s">
        <v>620</v>
      </c>
      <c r="I219" s="199" t="s">
        <v>627</v>
      </c>
      <c r="J219" s="199" t="s">
        <v>622</v>
      </c>
      <c r="K219" s="199" t="s">
        <v>633</v>
      </c>
      <c r="L219" s="199" t="s">
        <v>32</v>
      </c>
      <c r="M219" s="204" t="s">
        <v>33</v>
      </c>
      <c r="N219" s="199" t="s">
        <v>636</v>
      </c>
      <c r="O219" s="199" t="s">
        <v>632</v>
      </c>
      <c r="P219" s="205">
        <v>410</v>
      </c>
      <c r="Q219" s="205" t="s">
        <v>626</v>
      </c>
      <c r="R219" s="198">
        <v>1.39</v>
      </c>
      <c r="S219" s="198">
        <f>R219/4.1</f>
        <v>0.33902439024390246</v>
      </c>
      <c r="T219" s="198">
        <f>S219*'edible cooking yield factors'!F11</f>
        <v>0.20341463414634148</v>
      </c>
    </row>
    <row r="220" spans="1:20" s="199" customFormat="1" x14ac:dyDescent="0.25">
      <c r="A220" s="186" t="s">
        <v>614</v>
      </c>
      <c r="B220" s="186" t="s">
        <v>615</v>
      </c>
      <c r="C220" s="199" t="s">
        <v>616</v>
      </c>
      <c r="D220" s="199" t="s">
        <v>617</v>
      </c>
      <c r="E220" s="203">
        <v>280120</v>
      </c>
      <c r="F220" s="199" t="s">
        <v>674</v>
      </c>
      <c r="G220" s="199" t="s">
        <v>619</v>
      </c>
      <c r="H220" s="187" t="s">
        <v>620</v>
      </c>
      <c r="I220" s="199" t="s">
        <v>628</v>
      </c>
      <c r="J220" s="199" t="s">
        <v>622</v>
      </c>
      <c r="K220" s="199" t="s">
        <v>633</v>
      </c>
      <c r="L220" s="199" t="s">
        <v>32</v>
      </c>
      <c r="M220" s="204" t="s">
        <v>33</v>
      </c>
      <c r="N220" s="199" t="s">
        <v>641</v>
      </c>
      <c r="O220" s="199" t="s">
        <v>632</v>
      </c>
      <c r="P220" s="205">
        <v>410</v>
      </c>
      <c r="Q220" s="205" t="s">
        <v>626</v>
      </c>
      <c r="R220" s="198">
        <v>1.3</v>
      </c>
      <c r="S220" s="198">
        <f>R220/4.1</f>
        <v>0.31707317073170738</v>
      </c>
      <c r="T220" s="198">
        <f>S220*'edible cooking yield factors'!F11</f>
        <v>0.19024390243902442</v>
      </c>
    </row>
    <row r="221" spans="1:20" s="199" customFormat="1" x14ac:dyDescent="0.25">
      <c r="A221" s="186" t="s">
        <v>614</v>
      </c>
      <c r="B221" s="186" t="s">
        <v>615</v>
      </c>
      <c r="C221" s="199" t="s">
        <v>616</v>
      </c>
      <c r="D221" s="199" t="s">
        <v>617</v>
      </c>
      <c r="E221" s="203">
        <v>280120</v>
      </c>
      <c r="F221" s="199" t="s">
        <v>674</v>
      </c>
      <c r="G221" s="199" t="s">
        <v>619</v>
      </c>
      <c r="H221" s="187" t="s">
        <v>620</v>
      </c>
      <c r="I221" s="199" t="s">
        <v>621</v>
      </c>
      <c r="J221" s="199" t="s">
        <v>622</v>
      </c>
      <c r="K221" s="199" t="s">
        <v>633</v>
      </c>
      <c r="L221" s="199" t="str">
        <f>'common foods'!C14</f>
        <v>Canned fruit salad in juice</v>
      </c>
      <c r="M221" s="204" t="str">
        <f>'common foods'!D14</f>
        <v>01013</v>
      </c>
      <c r="N221" s="199" t="s">
        <v>636</v>
      </c>
      <c r="O221" s="199" t="s">
        <v>632</v>
      </c>
      <c r="P221" s="205">
        <v>410</v>
      </c>
      <c r="Q221" s="205" t="s">
        <v>626</v>
      </c>
      <c r="R221" s="198">
        <v>1.29</v>
      </c>
      <c r="S221" s="198">
        <f>R221/4.1</f>
        <v>0.31463414634146347</v>
      </c>
      <c r="T221" s="198">
        <f>S221*'edible cooking yield factors'!F14</f>
        <v>0.18878048780487808</v>
      </c>
    </row>
    <row r="222" spans="1:20" s="199" customFormat="1" x14ac:dyDescent="0.25">
      <c r="A222" s="186" t="s">
        <v>614</v>
      </c>
      <c r="B222" s="186" t="s">
        <v>615</v>
      </c>
      <c r="C222" s="199" t="s">
        <v>616</v>
      </c>
      <c r="D222" s="199" t="s">
        <v>617</v>
      </c>
      <c r="E222" s="203">
        <v>280120</v>
      </c>
      <c r="F222" s="199" t="s">
        <v>674</v>
      </c>
      <c r="G222" s="199" t="s">
        <v>619</v>
      </c>
      <c r="H222" s="187" t="s">
        <v>620</v>
      </c>
      <c r="I222" s="199" t="s">
        <v>627</v>
      </c>
      <c r="J222" s="199" t="s">
        <v>622</v>
      </c>
      <c r="K222" s="199" t="s">
        <v>633</v>
      </c>
      <c r="L222" s="199" t="s">
        <v>38</v>
      </c>
      <c r="M222" s="204" t="s">
        <v>39</v>
      </c>
      <c r="N222" s="199" t="s">
        <v>636</v>
      </c>
      <c r="O222" s="199" t="s">
        <v>632</v>
      </c>
      <c r="P222" s="205">
        <v>410</v>
      </c>
      <c r="Q222" s="205" t="s">
        <v>626</v>
      </c>
      <c r="R222" s="198">
        <v>1.39</v>
      </c>
      <c r="S222" s="198">
        <f>R222/4.1</f>
        <v>0.33902439024390246</v>
      </c>
      <c r="T222" s="198">
        <f>S222*'edible cooking yield factors'!F14</f>
        <v>0.20341463414634148</v>
      </c>
    </row>
    <row r="223" spans="1:20" s="199" customFormat="1" x14ac:dyDescent="0.25">
      <c r="A223" s="186" t="s">
        <v>614</v>
      </c>
      <c r="B223" s="186" t="s">
        <v>615</v>
      </c>
      <c r="C223" s="199" t="s">
        <v>616</v>
      </c>
      <c r="D223" s="199" t="s">
        <v>617</v>
      </c>
      <c r="E223" s="203">
        <v>280120</v>
      </c>
      <c r="F223" s="199" t="s">
        <v>674</v>
      </c>
      <c r="G223" s="199" t="s">
        <v>619</v>
      </c>
      <c r="H223" s="187" t="s">
        <v>620</v>
      </c>
      <c r="I223" s="199" t="s">
        <v>628</v>
      </c>
      <c r="J223" s="199" t="s">
        <v>622</v>
      </c>
      <c r="K223" s="199" t="s">
        <v>633</v>
      </c>
      <c r="L223" s="199" t="s">
        <v>38</v>
      </c>
      <c r="M223" s="204" t="s">
        <v>39</v>
      </c>
      <c r="N223" s="199" t="s">
        <v>675</v>
      </c>
      <c r="O223" s="199" t="s">
        <v>625</v>
      </c>
      <c r="P223" s="205">
        <v>432</v>
      </c>
      <c r="Q223" s="205" t="s">
        <v>626</v>
      </c>
      <c r="R223" s="198">
        <v>2.29</v>
      </c>
      <c r="S223" s="198">
        <f>R223/4.32</f>
        <v>0.53009259259259256</v>
      </c>
      <c r="T223" s="198">
        <f>S223*'edible cooking yield factors'!F14</f>
        <v>0.31805555555555554</v>
      </c>
    </row>
    <row r="224" spans="1:20" s="199" customFormat="1" x14ac:dyDescent="0.25">
      <c r="A224" s="186" t="s">
        <v>614</v>
      </c>
      <c r="B224" s="186" t="s">
        <v>615</v>
      </c>
      <c r="C224" s="199" t="s">
        <v>616</v>
      </c>
      <c r="D224" s="199" t="s">
        <v>617</v>
      </c>
      <c r="E224" s="203">
        <v>280120</v>
      </c>
      <c r="F224" s="199" t="s">
        <v>674</v>
      </c>
      <c r="G224" s="199" t="s">
        <v>619</v>
      </c>
      <c r="H224" s="187" t="s">
        <v>620</v>
      </c>
      <c r="I224" s="199" t="s">
        <v>621</v>
      </c>
      <c r="J224" s="199" t="s">
        <v>622</v>
      </c>
      <c r="K224" s="199" t="s">
        <v>633</v>
      </c>
      <c r="L224" s="199" t="str">
        <f>nutrients!B15</f>
        <v>Cheese, colby</v>
      </c>
      <c r="M224" s="204" t="str">
        <f>nutrients!C15</f>
        <v>04057</v>
      </c>
      <c r="N224" s="199" t="s">
        <v>631</v>
      </c>
      <c r="O224" s="199" t="s">
        <v>632</v>
      </c>
      <c r="P224" s="205">
        <v>410</v>
      </c>
      <c r="Q224" s="205" t="s">
        <v>626</v>
      </c>
      <c r="R224" s="198">
        <v>1.05</v>
      </c>
      <c r="S224" s="198">
        <f>R224/4.1</f>
        <v>0.25609756097560976</v>
      </c>
      <c r="T224" s="198">
        <f>S224/'edible cooking yield factors'!F15</f>
        <v>0.42682926829268297</v>
      </c>
    </row>
    <row r="225" spans="1:20" s="199" customFormat="1" x14ac:dyDescent="0.25">
      <c r="A225" s="186" t="s">
        <v>614</v>
      </c>
      <c r="B225" s="186" t="s">
        <v>615</v>
      </c>
      <c r="C225" s="199" t="s">
        <v>616</v>
      </c>
      <c r="D225" s="199" t="s">
        <v>617</v>
      </c>
      <c r="E225" s="203">
        <v>280120</v>
      </c>
      <c r="F225" s="199" t="s">
        <v>674</v>
      </c>
      <c r="G225" s="199" t="s">
        <v>619</v>
      </c>
      <c r="H225" s="187" t="s">
        <v>620</v>
      </c>
      <c r="I225" s="199" t="s">
        <v>627</v>
      </c>
      <c r="J225" s="199" t="s">
        <v>622</v>
      </c>
      <c r="K225" s="199" t="s">
        <v>633</v>
      </c>
      <c r="L225" s="199" t="s">
        <v>41</v>
      </c>
      <c r="M225" s="204" t="s">
        <v>42</v>
      </c>
      <c r="N225" s="199" t="s">
        <v>631</v>
      </c>
      <c r="O225" s="199" t="s">
        <v>632</v>
      </c>
      <c r="P225" s="205">
        <v>410</v>
      </c>
      <c r="Q225" s="205" t="s">
        <v>626</v>
      </c>
      <c r="R225" s="198">
        <v>1.0900000000000001</v>
      </c>
      <c r="S225" s="198">
        <f>R225/4.1</f>
        <v>0.26585365853658544</v>
      </c>
      <c r="T225" s="198">
        <f>S224/'edible cooking yield factors'!F16</f>
        <v>0.36585365853658541</v>
      </c>
    </row>
    <row r="226" spans="1:20" s="199" customFormat="1" x14ac:dyDescent="0.25">
      <c r="A226" s="186" t="s">
        <v>614</v>
      </c>
      <c r="B226" s="186" t="s">
        <v>615</v>
      </c>
      <c r="C226" s="199" t="s">
        <v>616</v>
      </c>
      <c r="D226" s="199" t="s">
        <v>617</v>
      </c>
      <c r="E226" s="203">
        <v>280120</v>
      </c>
      <c r="F226" s="199" t="s">
        <v>674</v>
      </c>
      <c r="G226" s="199" t="s">
        <v>619</v>
      </c>
      <c r="H226" s="187" t="s">
        <v>620</v>
      </c>
      <c r="I226" s="199" t="s">
        <v>628</v>
      </c>
      <c r="J226" s="199" t="s">
        <v>622</v>
      </c>
      <c r="K226" s="199" t="s">
        <v>633</v>
      </c>
      <c r="L226" s="199" t="s">
        <v>41</v>
      </c>
      <c r="M226" s="204" t="s">
        <v>42</v>
      </c>
      <c r="N226" s="199" t="s">
        <v>676</v>
      </c>
      <c r="O226" s="199" t="s">
        <v>625</v>
      </c>
      <c r="P226" s="205">
        <v>410</v>
      </c>
      <c r="Q226" s="205" t="s">
        <v>626</v>
      </c>
      <c r="R226" s="198">
        <v>1.5</v>
      </c>
      <c r="S226" s="198">
        <f>R226/4.1</f>
        <v>0.36585365853658541</v>
      </c>
      <c r="T226" s="198">
        <f>S224/'edible cooking yield factors'!F17</f>
        <v>0.36585365853658541</v>
      </c>
    </row>
    <row r="227" spans="1:20" s="199" customFormat="1" x14ac:dyDescent="0.25">
      <c r="A227" s="186" t="s">
        <v>614</v>
      </c>
      <c r="B227" s="186" t="s">
        <v>615</v>
      </c>
      <c r="C227" s="199" t="s">
        <v>616</v>
      </c>
      <c r="D227" s="199" t="s">
        <v>617</v>
      </c>
      <c r="E227" s="203">
        <v>280120</v>
      </c>
      <c r="F227" s="199" t="s">
        <v>674</v>
      </c>
      <c r="G227" s="199" t="s">
        <v>619</v>
      </c>
      <c r="H227" s="187" t="s">
        <v>620</v>
      </c>
      <c r="I227" s="199" t="s">
        <v>621</v>
      </c>
      <c r="J227" s="199" t="s">
        <v>622</v>
      </c>
      <c r="K227" s="199" t="s">
        <v>639</v>
      </c>
      <c r="L227" s="199" t="str">
        <f>'common foods'!C38</f>
        <v>Cassava, frozen</v>
      </c>
      <c r="M227" s="204" t="str">
        <f>'common foods'!D38</f>
        <v>02036</v>
      </c>
      <c r="N227" s="199" t="s">
        <v>677</v>
      </c>
      <c r="O227" s="199" t="s">
        <v>625</v>
      </c>
      <c r="P227" s="205">
        <v>2000</v>
      </c>
      <c r="Q227" s="205" t="s">
        <v>626</v>
      </c>
      <c r="R227" s="198">
        <v>4.49</v>
      </c>
      <c r="S227" s="198">
        <f>R227/20</f>
        <v>0.22450000000000001</v>
      </c>
      <c r="T227" s="198">
        <f>S227*'edible cooking yield factors'!F36</f>
        <v>0.22450000000000001</v>
      </c>
    </row>
    <row r="228" spans="1:20" s="199" customFormat="1" x14ac:dyDescent="0.25">
      <c r="A228" s="186" t="s">
        <v>614</v>
      </c>
      <c r="B228" s="186" t="s">
        <v>615</v>
      </c>
      <c r="C228" s="199" t="s">
        <v>616</v>
      </c>
      <c r="D228" s="199" t="s">
        <v>617</v>
      </c>
      <c r="E228" s="203">
        <v>280120</v>
      </c>
      <c r="F228" s="199" t="s">
        <v>674</v>
      </c>
      <c r="G228" s="199" t="s">
        <v>619</v>
      </c>
      <c r="H228" s="187" t="s">
        <v>620</v>
      </c>
      <c r="I228" s="199" t="s">
        <v>627</v>
      </c>
      <c r="J228" s="199" t="s">
        <v>622</v>
      </c>
      <c r="K228" s="199" t="s">
        <v>639</v>
      </c>
      <c r="L228" s="199" t="s">
        <v>88</v>
      </c>
      <c r="M228" s="204" t="s">
        <v>89</v>
      </c>
      <c r="N228" s="199" t="s">
        <v>619</v>
      </c>
      <c r="O228" s="199" t="s">
        <v>619</v>
      </c>
      <c r="P228" s="199" t="s">
        <v>619</v>
      </c>
      <c r="Q228" s="199" t="s">
        <v>619</v>
      </c>
      <c r="R228" s="199" t="s">
        <v>619</v>
      </c>
      <c r="S228" s="199" t="s">
        <v>619</v>
      </c>
      <c r="T228" s="199" t="s">
        <v>619</v>
      </c>
    </row>
    <row r="229" spans="1:20" s="199" customFormat="1" x14ac:dyDescent="0.25">
      <c r="A229" s="186" t="s">
        <v>614</v>
      </c>
      <c r="B229" s="186" t="s">
        <v>615</v>
      </c>
      <c r="C229" s="199" t="s">
        <v>616</v>
      </c>
      <c r="D229" s="199" t="s">
        <v>617</v>
      </c>
      <c r="E229" s="203">
        <v>280120</v>
      </c>
      <c r="F229" s="199" t="s">
        <v>674</v>
      </c>
      <c r="G229" s="199" t="s">
        <v>619</v>
      </c>
      <c r="H229" s="187" t="s">
        <v>620</v>
      </c>
      <c r="I229" s="199" t="s">
        <v>628</v>
      </c>
      <c r="J229" s="199" t="s">
        <v>622</v>
      </c>
      <c r="K229" s="199" t="s">
        <v>639</v>
      </c>
      <c r="L229" s="199" t="s">
        <v>88</v>
      </c>
      <c r="M229" s="204" t="s">
        <v>89</v>
      </c>
      <c r="N229" s="199" t="s">
        <v>619</v>
      </c>
      <c r="O229" s="199" t="s">
        <v>619</v>
      </c>
      <c r="P229" s="199" t="s">
        <v>619</v>
      </c>
      <c r="Q229" s="199" t="s">
        <v>619</v>
      </c>
      <c r="R229" s="199" t="s">
        <v>619</v>
      </c>
      <c r="S229" s="199" t="s">
        <v>619</v>
      </c>
      <c r="T229" s="199" t="s">
        <v>619</v>
      </c>
    </row>
    <row r="230" spans="1:20" x14ac:dyDescent="0.25">
      <c r="A230" s="117" t="s">
        <v>614</v>
      </c>
      <c r="B230" s="117" t="s">
        <v>615</v>
      </c>
      <c r="C230" t="s">
        <v>616</v>
      </c>
      <c r="D230" t="s">
        <v>617</v>
      </c>
      <c r="E230" s="182" t="s">
        <v>672</v>
      </c>
      <c r="F230" t="s">
        <v>618</v>
      </c>
      <c r="G230" t="s">
        <v>619</v>
      </c>
      <c r="H230" s="118" t="s">
        <v>620</v>
      </c>
      <c r="I230" t="s">
        <v>621</v>
      </c>
      <c r="J230" t="s">
        <v>622</v>
      </c>
      <c r="K230" t="s">
        <v>639</v>
      </c>
      <c r="L230" t="s">
        <v>46</v>
      </c>
      <c r="M230" s="183" t="str">
        <f>'common foods'!D17</f>
        <v>02012</v>
      </c>
      <c r="N230" t="s">
        <v>619</v>
      </c>
      <c r="O230" t="s">
        <v>619</v>
      </c>
      <c r="P230" s="123">
        <v>390</v>
      </c>
      <c r="Q230" s="123" t="s">
        <v>626</v>
      </c>
      <c r="R230" s="184">
        <v>2.4900000000000002</v>
      </c>
      <c r="S230" s="184">
        <f>R230/3.9</f>
        <v>0.63846153846153852</v>
      </c>
      <c r="T230" s="184">
        <f>S230*'edible cooking yield factors'!F17</f>
        <v>0.44692307692307692</v>
      </c>
    </row>
    <row r="231" spans="1:20" x14ac:dyDescent="0.25">
      <c r="A231" s="117" t="s">
        <v>614</v>
      </c>
      <c r="B231" s="117" t="s">
        <v>615</v>
      </c>
      <c r="C231" t="s">
        <v>616</v>
      </c>
      <c r="D231" t="s">
        <v>617</v>
      </c>
      <c r="E231" s="182" t="s">
        <v>672</v>
      </c>
      <c r="F231" t="s">
        <v>618</v>
      </c>
      <c r="G231" t="s">
        <v>619</v>
      </c>
      <c r="H231" s="118" t="s">
        <v>620</v>
      </c>
      <c r="I231" t="s">
        <v>627</v>
      </c>
      <c r="J231" t="s">
        <v>622</v>
      </c>
      <c r="K231" t="s">
        <v>639</v>
      </c>
      <c r="L231" t="s">
        <v>46</v>
      </c>
      <c r="M231" s="183" t="s">
        <v>47</v>
      </c>
      <c r="N231" t="s">
        <v>619</v>
      </c>
      <c r="O231" t="s">
        <v>619</v>
      </c>
      <c r="P231" s="123">
        <v>390</v>
      </c>
      <c r="Q231" s="123" t="s">
        <v>626</v>
      </c>
      <c r="R231" s="184">
        <v>2.69</v>
      </c>
      <c r="S231" s="184">
        <f>R231/3.9</f>
        <v>0.68974358974358974</v>
      </c>
      <c r="T231" s="184">
        <f>S231*'edible cooking yield factors'!F17</f>
        <v>0.4828205128205128</v>
      </c>
    </row>
    <row r="232" spans="1:20" x14ac:dyDescent="0.25">
      <c r="A232" s="117" t="s">
        <v>614</v>
      </c>
      <c r="B232" s="117" t="s">
        <v>615</v>
      </c>
      <c r="C232" t="s">
        <v>616</v>
      </c>
      <c r="D232" t="s">
        <v>617</v>
      </c>
      <c r="E232" s="182" t="s">
        <v>672</v>
      </c>
      <c r="F232" t="s">
        <v>618</v>
      </c>
      <c r="G232" t="s">
        <v>619</v>
      </c>
      <c r="H232" s="118" t="s">
        <v>620</v>
      </c>
      <c r="I232" t="s">
        <v>628</v>
      </c>
      <c r="J232" t="s">
        <v>622</v>
      </c>
      <c r="K232" t="s">
        <v>639</v>
      </c>
      <c r="L232" t="s">
        <v>46</v>
      </c>
      <c r="M232" s="183" t="s">
        <v>47</v>
      </c>
      <c r="N232" t="s">
        <v>619</v>
      </c>
      <c r="O232" t="s">
        <v>619</v>
      </c>
      <c r="P232" s="123">
        <v>390</v>
      </c>
      <c r="Q232" s="123" t="s">
        <v>626</v>
      </c>
      <c r="R232" s="184">
        <v>2.5</v>
      </c>
      <c r="S232" s="184">
        <f>R232/3.9</f>
        <v>0.64102564102564108</v>
      </c>
      <c r="T232" s="184">
        <f>S232*'edible cooking yield factors'!F17</f>
        <v>0.44871794871794873</v>
      </c>
    </row>
    <row r="233" spans="1:20" x14ac:dyDescent="0.25">
      <c r="A233" s="117" t="s">
        <v>614</v>
      </c>
      <c r="B233" s="117" t="s">
        <v>615</v>
      </c>
      <c r="C233" t="s">
        <v>616</v>
      </c>
      <c r="D233" t="s">
        <v>617</v>
      </c>
      <c r="E233" s="182" t="s">
        <v>672</v>
      </c>
      <c r="F233" t="s">
        <v>618</v>
      </c>
      <c r="G233" t="s">
        <v>619</v>
      </c>
      <c r="H233" s="118" t="s">
        <v>620</v>
      </c>
      <c r="I233" t="s">
        <v>621</v>
      </c>
      <c r="J233" t="s">
        <v>622</v>
      </c>
      <c r="K233" t="s">
        <v>639</v>
      </c>
      <c r="L233" t="s">
        <v>56</v>
      </c>
      <c r="M233" s="183" t="str">
        <f>'common foods'!D22</f>
        <v>02017</v>
      </c>
      <c r="N233" t="s">
        <v>636</v>
      </c>
      <c r="O233" t="s">
        <v>632</v>
      </c>
      <c r="P233" s="123">
        <v>1000</v>
      </c>
      <c r="Q233" s="123" t="s">
        <v>626</v>
      </c>
      <c r="R233" s="184">
        <v>2.79</v>
      </c>
      <c r="S233" s="184">
        <f>R233/10</f>
        <v>0.27900000000000003</v>
      </c>
      <c r="T233" s="184">
        <f>S233*'edible cooking yield factors'!F22</f>
        <v>0.27900000000000003</v>
      </c>
    </row>
    <row r="234" spans="1:20" x14ac:dyDescent="0.25">
      <c r="A234" s="117" t="s">
        <v>614</v>
      </c>
      <c r="B234" s="117" t="s">
        <v>615</v>
      </c>
      <c r="C234" t="s">
        <v>616</v>
      </c>
      <c r="D234" t="s">
        <v>617</v>
      </c>
      <c r="E234" s="182" t="s">
        <v>672</v>
      </c>
      <c r="F234" t="s">
        <v>618</v>
      </c>
      <c r="G234" t="s">
        <v>619</v>
      </c>
      <c r="H234" s="118" t="s">
        <v>620</v>
      </c>
      <c r="I234" t="s">
        <v>627</v>
      </c>
      <c r="J234" t="s">
        <v>622</v>
      </c>
      <c r="K234" t="s">
        <v>639</v>
      </c>
      <c r="L234" t="s">
        <v>56</v>
      </c>
      <c r="M234" s="183" t="s">
        <v>57</v>
      </c>
      <c r="N234" t="s">
        <v>678</v>
      </c>
      <c r="O234" t="s">
        <v>625</v>
      </c>
      <c r="P234" s="123">
        <v>500</v>
      </c>
      <c r="Q234" s="123" t="s">
        <v>626</v>
      </c>
      <c r="R234" s="184">
        <v>1.99</v>
      </c>
      <c r="S234" s="184">
        <f>R234/5</f>
        <v>0.39800000000000002</v>
      </c>
      <c r="T234" s="184">
        <f>S234*'edible cooking yield factors'!F22</f>
        <v>0.39800000000000002</v>
      </c>
    </row>
    <row r="235" spans="1:20" x14ac:dyDescent="0.25">
      <c r="A235" s="117" t="s">
        <v>614</v>
      </c>
      <c r="B235" s="117" t="s">
        <v>615</v>
      </c>
      <c r="C235" t="s">
        <v>616</v>
      </c>
      <c r="D235" t="s">
        <v>617</v>
      </c>
      <c r="E235" s="182" t="s">
        <v>672</v>
      </c>
      <c r="F235" t="s">
        <v>618</v>
      </c>
      <c r="G235" t="s">
        <v>619</v>
      </c>
      <c r="H235" s="118" t="s">
        <v>620</v>
      </c>
      <c r="I235" t="s">
        <v>628</v>
      </c>
      <c r="J235" t="s">
        <v>622</v>
      </c>
      <c r="K235" t="s">
        <v>639</v>
      </c>
      <c r="L235" t="s">
        <v>56</v>
      </c>
      <c r="M235" s="183" t="s">
        <v>57</v>
      </c>
      <c r="N235" t="s">
        <v>628</v>
      </c>
      <c r="O235" t="s">
        <v>632</v>
      </c>
      <c r="P235">
        <v>750</v>
      </c>
      <c r="Q235" t="s">
        <v>626</v>
      </c>
      <c r="R235" s="184">
        <v>3</v>
      </c>
      <c r="S235" s="184">
        <f>R235/7.5</f>
        <v>0.4</v>
      </c>
      <c r="T235" s="184">
        <f>S235*'edible cooking yield factors'!F22</f>
        <v>0.4</v>
      </c>
    </row>
    <row r="236" spans="1:20" x14ac:dyDescent="0.25">
      <c r="A236" s="117" t="s">
        <v>614</v>
      </c>
      <c r="B236" s="117" t="s">
        <v>615</v>
      </c>
      <c r="C236" t="s">
        <v>616</v>
      </c>
      <c r="D236" t="s">
        <v>617</v>
      </c>
      <c r="E236" s="182" t="s">
        <v>672</v>
      </c>
      <c r="F236" t="s">
        <v>618</v>
      </c>
      <c r="G236" t="s">
        <v>619</v>
      </c>
      <c r="H236" s="118" t="s">
        <v>620</v>
      </c>
      <c r="I236" t="s">
        <v>621</v>
      </c>
      <c r="J236" t="s">
        <v>622</v>
      </c>
      <c r="K236" t="s">
        <v>639</v>
      </c>
      <c r="L236" t="s">
        <v>70</v>
      </c>
      <c r="M236" s="183" t="str">
        <f>'common foods'!D29</f>
        <v>02028</v>
      </c>
      <c r="N236" t="s">
        <v>636</v>
      </c>
      <c r="O236" s="123" t="s">
        <v>632</v>
      </c>
      <c r="P236" s="123">
        <v>1000</v>
      </c>
      <c r="Q236" s="123" t="s">
        <v>626</v>
      </c>
      <c r="R236" s="184">
        <v>2.59</v>
      </c>
      <c r="S236" s="184">
        <f>R236/10</f>
        <v>0.25900000000000001</v>
      </c>
      <c r="T236" s="184">
        <f>S236*'edible cooking yield factors'!F29</f>
        <v>0.25900000000000001</v>
      </c>
    </row>
    <row r="237" spans="1:20" x14ac:dyDescent="0.25">
      <c r="A237" s="117" t="s">
        <v>614</v>
      </c>
      <c r="B237" s="117" t="s">
        <v>615</v>
      </c>
      <c r="C237" t="s">
        <v>616</v>
      </c>
      <c r="D237" t="s">
        <v>617</v>
      </c>
      <c r="E237" s="182" t="s">
        <v>672</v>
      </c>
      <c r="F237" t="s">
        <v>618</v>
      </c>
      <c r="G237" t="s">
        <v>619</v>
      </c>
      <c r="H237" s="118" t="s">
        <v>620</v>
      </c>
      <c r="I237" t="s">
        <v>627</v>
      </c>
      <c r="J237" t="s">
        <v>622</v>
      </c>
      <c r="K237" t="s">
        <v>639</v>
      </c>
      <c r="L237" t="s">
        <v>70</v>
      </c>
      <c r="M237" s="183" t="s">
        <v>71</v>
      </c>
      <c r="N237" t="s">
        <v>636</v>
      </c>
      <c r="O237" s="123" t="s">
        <v>632</v>
      </c>
      <c r="P237" s="123">
        <v>1000</v>
      </c>
      <c r="Q237" s="123" t="s">
        <v>626</v>
      </c>
      <c r="R237" s="184">
        <v>2.99</v>
      </c>
      <c r="S237" s="184">
        <f>R237/10</f>
        <v>0.29900000000000004</v>
      </c>
      <c r="T237" s="184">
        <f>S237*'edible cooking yield factors'!F29</f>
        <v>0.29900000000000004</v>
      </c>
    </row>
    <row r="238" spans="1:20" x14ac:dyDescent="0.25">
      <c r="A238" s="117" t="s">
        <v>614</v>
      </c>
      <c r="B238" s="117" t="s">
        <v>615</v>
      </c>
      <c r="C238" t="s">
        <v>616</v>
      </c>
      <c r="D238" t="s">
        <v>617</v>
      </c>
      <c r="E238" s="182" t="s">
        <v>672</v>
      </c>
      <c r="F238" t="s">
        <v>618</v>
      </c>
      <c r="G238" t="s">
        <v>619</v>
      </c>
      <c r="H238" s="118" t="s">
        <v>620</v>
      </c>
      <c r="I238" t="s">
        <v>628</v>
      </c>
      <c r="J238" t="s">
        <v>622</v>
      </c>
      <c r="K238" t="s">
        <v>639</v>
      </c>
      <c r="L238" t="s">
        <v>70</v>
      </c>
      <c r="M238" s="183" t="s">
        <v>71</v>
      </c>
      <c r="N238" t="s">
        <v>648</v>
      </c>
      <c r="O238" s="123" t="s">
        <v>632</v>
      </c>
      <c r="P238" s="123">
        <v>1000</v>
      </c>
      <c r="Q238" s="123" t="s">
        <v>626</v>
      </c>
      <c r="R238" s="184">
        <v>2.29</v>
      </c>
      <c r="S238" s="184">
        <f>R238/10</f>
        <v>0.22900000000000001</v>
      </c>
      <c r="T238" s="184">
        <f>S238*'edible cooking yield factors'!F29</f>
        <v>0.22900000000000001</v>
      </c>
    </row>
    <row r="239" spans="1:20" x14ac:dyDescent="0.25">
      <c r="A239" s="117" t="s">
        <v>614</v>
      </c>
      <c r="B239" s="117" t="s">
        <v>615</v>
      </c>
      <c r="C239" t="s">
        <v>616</v>
      </c>
      <c r="D239" t="s">
        <v>617</v>
      </c>
      <c r="E239" s="182" t="s">
        <v>672</v>
      </c>
      <c r="F239" t="s">
        <v>618</v>
      </c>
      <c r="G239" t="s">
        <v>619</v>
      </c>
      <c r="H239" s="118" t="s">
        <v>620</v>
      </c>
      <c r="I239" t="s">
        <v>621</v>
      </c>
      <c r="J239" t="s">
        <v>622</v>
      </c>
      <c r="K239" t="s">
        <v>639</v>
      </c>
      <c r="L239" t="s">
        <v>72</v>
      </c>
      <c r="M239" s="183" t="str">
        <f>'common foods'!D30</f>
        <v>02029</v>
      </c>
      <c r="N239" t="s">
        <v>619</v>
      </c>
      <c r="O239" s="123" t="s">
        <v>619</v>
      </c>
      <c r="P239" s="123">
        <v>690</v>
      </c>
      <c r="Q239" s="123" t="s">
        <v>626</v>
      </c>
      <c r="R239" s="184">
        <v>1.99</v>
      </c>
      <c r="S239" s="184">
        <f>R239/6.9</f>
        <v>0.28840579710144926</v>
      </c>
      <c r="T239" s="184">
        <f>S239*'edible cooking yield factors'!F30</f>
        <v>0.23937681159420288</v>
      </c>
    </row>
    <row r="240" spans="1:20" x14ac:dyDescent="0.25">
      <c r="A240" s="117" t="s">
        <v>614</v>
      </c>
      <c r="B240" s="117" t="s">
        <v>615</v>
      </c>
      <c r="C240" t="s">
        <v>616</v>
      </c>
      <c r="D240" t="s">
        <v>617</v>
      </c>
      <c r="E240" s="182" t="s">
        <v>672</v>
      </c>
      <c r="F240" t="s">
        <v>618</v>
      </c>
      <c r="G240" t="s">
        <v>619</v>
      </c>
      <c r="H240" s="118" t="s">
        <v>620</v>
      </c>
      <c r="I240" t="s">
        <v>627</v>
      </c>
      <c r="J240" t="s">
        <v>622</v>
      </c>
      <c r="K240" t="s">
        <v>639</v>
      </c>
      <c r="L240" t="s">
        <v>72</v>
      </c>
      <c r="M240" s="183" t="s">
        <v>73</v>
      </c>
      <c r="N240" t="s">
        <v>619</v>
      </c>
      <c r="O240" s="123" t="s">
        <v>619</v>
      </c>
      <c r="P240" s="123">
        <v>690</v>
      </c>
      <c r="Q240" s="123" t="s">
        <v>626</v>
      </c>
      <c r="R240" s="184">
        <v>3.69</v>
      </c>
      <c r="S240" s="184">
        <f>R240/6.9</f>
        <v>0.53478260869565208</v>
      </c>
      <c r="T240" s="184">
        <f>S240*'edible cooking yield factors'!F30</f>
        <v>0.44386956521739118</v>
      </c>
    </row>
    <row r="241" spans="1:20" x14ac:dyDescent="0.25">
      <c r="A241" s="117" t="s">
        <v>614</v>
      </c>
      <c r="B241" s="117" t="s">
        <v>615</v>
      </c>
      <c r="C241" t="s">
        <v>616</v>
      </c>
      <c r="D241" t="s">
        <v>617</v>
      </c>
      <c r="E241" s="182" t="s">
        <v>672</v>
      </c>
      <c r="F241" t="s">
        <v>618</v>
      </c>
      <c r="G241" t="s">
        <v>619</v>
      </c>
      <c r="H241" s="118" t="s">
        <v>620</v>
      </c>
      <c r="I241" t="s">
        <v>628</v>
      </c>
      <c r="J241" t="s">
        <v>622</v>
      </c>
      <c r="K241" t="s">
        <v>639</v>
      </c>
      <c r="L241" t="s">
        <v>72</v>
      </c>
      <c r="M241" s="183" t="s">
        <v>73</v>
      </c>
      <c r="N241" t="s">
        <v>619</v>
      </c>
      <c r="O241" s="123" t="s">
        <v>619</v>
      </c>
      <c r="P241" s="123">
        <v>690</v>
      </c>
      <c r="Q241" s="123" t="s">
        <v>626</v>
      </c>
      <c r="R241" s="184">
        <v>3</v>
      </c>
      <c r="S241" s="184">
        <f>R241/6.9</f>
        <v>0.43478260869565216</v>
      </c>
      <c r="T241" s="184">
        <f>S241*'edible cooking yield factors'!F30</f>
        <v>0.36086956521739127</v>
      </c>
    </row>
    <row r="242" spans="1:20" s="199" customFormat="1" x14ac:dyDescent="0.25">
      <c r="A242" s="186" t="s">
        <v>614</v>
      </c>
      <c r="B242" s="186" t="s">
        <v>615</v>
      </c>
      <c r="C242" s="199" t="s">
        <v>616</v>
      </c>
      <c r="D242" s="199" t="s">
        <v>617</v>
      </c>
      <c r="E242" s="203" t="s">
        <v>672</v>
      </c>
      <c r="F242" s="199" t="s">
        <v>618</v>
      </c>
      <c r="G242" s="199" t="s">
        <v>619</v>
      </c>
      <c r="H242" s="187" t="s">
        <v>620</v>
      </c>
      <c r="I242" s="199" t="s">
        <v>621</v>
      </c>
      <c r="J242" s="199" t="s">
        <v>622</v>
      </c>
      <c r="K242" s="199" t="s">
        <v>639</v>
      </c>
      <c r="L242" s="199" t="str">
        <f>'common foods'!C33</f>
        <v>Garlic, fresh</v>
      </c>
      <c r="M242" s="204" t="str">
        <f>'common foods'!D33</f>
        <v>02039</v>
      </c>
      <c r="N242" s="199" t="s">
        <v>619</v>
      </c>
      <c r="O242" s="205" t="s">
        <v>619</v>
      </c>
      <c r="P242" s="205">
        <v>1000</v>
      </c>
      <c r="Q242" s="205" t="s">
        <v>626</v>
      </c>
      <c r="R242" s="198">
        <v>15.99</v>
      </c>
      <c r="S242" s="198">
        <f t="shared" ref="S242:S247" si="15">R242/10</f>
        <v>1.599</v>
      </c>
      <c r="T242" s="198">
        <f>S242*'edible cooking yield factors'!F150</f>
        <v>1.599</v>
      </c>
    </row>
    <row r="243" spans="1:20" s="199" customFormat="1" x14ac:dyDescent="0.25">
      <c r="A243" s="186" t="s">
        <v>614</v>
      </c>
      <c r="B243" s="186" t="s">
        <v>615</v>
      </c>
      <c r="C243" s="199" t="s">
        <v>616</v>
      </c>
      <c r="D243" s="199" t="s">
        <v>617</v>
      </c>
      <c r="E243" s="203" t="s">
        <v>672</v>
      </c>
      <c r="F243" s="199" t="s">
        <v>618</v>
      </c>
      <c r="G243" s="199" t="s">
        <v>619</v>
      </c>
      <c r="H243" s="187" t="s">
        <v>620</v>
      </c>
      <c r="I243" s="199" t="s">
        <v>627</v>
      </c>
      <c r="J243" s="199" t="s">
        <v>622</v>
      </c>
      <c r="K243" s="199" t="s">
        <v>639</v>
      </c>
      <c r="L243" s="199" t="s">
        <v>78</v>
      </c>
      <c r="M243" s="204" t="s">
        <v>79</v>
      </c>
      <c r="N243" s="199" t="s">
        <v>619</v>
      </c>
      <c r="O243" s="205" t="s">
        <v>619</v>
      </c>
      <c r="P243" s="205">
        <v>1000</v>
      </c>
      <c r="Q243" s="205" t="s">
        <v>626</v>
      </c>
      <c r="R243" s="198">
        <v>25.99</v>
      </c>
      <c r="S243" s="198">
        <f t="shared" si="15"/>
        <v>2.5989999999999998</v>
      </c>
      <c r="T243" s="198">
        <f>S243*'edible cooking yield factors'!F150</f>
        <v>2.5989999999999998</v>
      </c>
    </row>
    <row r="244" spans="1:20" s="199" customFormat="1" x14ac:dyDescent="0.25">
      <c r="A244" s="186" t="s">
        <v>614</v>
      </c>
      <c r="B244" s="186" t="s">
        <v>615</v>
      </c>
      <c r="C244" s="199" t="s">
        <v>616</v>
      </c>
      <c r="D244" s="199" t="s">
        <v>617</v>
      </c>
      <c r="E244" s="203" t="s">
        <v>672</v>
      </c>
      <c r="F244" s="199" t="s">
        <v>618</v>
      </c>
      <c r="G244" s="199" t="s">
        <v>619</v>
      </c>
      <c r="H244" s="187" t="s">
        <v>620</v>
      </c>
      <c r="I244" s="199" t="s">
        <v>628</v>
      </c>
      <c r="J244" s="199" t="s">
        <v>622</v>
      </c>
      <c r="K244" s="199" t="s">
        <v>639</v>
      </c>
      <c r="L244" s="199" t="s">
        <v>78</v>
      </c>
      <c r="M244" s="204" t="s">
        <v>79</v>
      </c>
      <c r="N244" s="199" t="s">
        <v>619</v>
      </c>
      <c r="O244" s="205" t="s">
        <v>619</v>
      </c>
      <c r="P244" s="205">
        <v>1000</v>
      </c>
      <c r="Q244" s="205" t="s">
        <v>626</v>
      </c>
      <c r="R244" s="198">
        <v>27.99</v>
      </c>
      <c r="S244" s="198">
        <f t="shared" si="15"/>
        <v>2.7989999999999999</v>
      </c>
      <c r="T244" s="198">
        <f>S244*'edible cooking yield factors'!F150</f>
        <v>2.7989999999999999</v>
      </c>
    </row>
    <row r="245" spans="1:20" x14ac:dyDescent="0.25">
      <c r="A245" s="117" t="s">
        <v>614</v>
      </c>
      <c r="B245" s="117" t="s">
        <v>615</v>
      </c>
      <c r="C245" t="s">
        <v>616</v>
      </c>
      <c r="D245" t="s">
        <v>617</v>
      </c>
      <c r="E245" s="182" t="s">
        <v>672</v>
      </c>
      <c r="F245" t="s">
        <v>618</v>
      </c>
      <c r="G245" t="s">
        <v>619</v>
      </c>
      <c r="H245" s="118" t="s">
        <v>620</v>
      </c>
      <c r="I245" t="s">
        <v>621</v>
      </c>
      <c r="J245" t="s">
        <v>622</v>
      </c>
      <c r="K245" t="s">
        <v>639</v>
      </c>
      <c r="L245" t="s">
        <v>327</v>
      </c>
      <c r="M245" s="183" t="str">
        <f>'common foods'!D153</f>
        <v>02034</v>
      </c>
      <c r="N245" t="s">
        <v>636</v>
      </c>
      <c r="O245" s="123" t="s">
        <v>632</v>
      </c>
      <c r="P245" s="123">
        <v>1000</v>
      </c>
      <c r="Q245" s="123" t="s">
        <v>626</v>
      </c>
      <c r="R245" s="184">
        <v>2.65</v>
      </c>
      <c r="S245" s="184">
        <f t="shared" si="15"/>
        <v>0.26500000000000001</v>
      </c>
      <c r="T245" s="184">
        <f>S245*'edible cooking yield factors'!F153</f>
        <v>0.26500000000000001</v>
      </c>
    </row>
    <row r="246" spans="1:20" x14ac:dyDescent="0.25">
      <c r="A246" s="117" t="s">
        <v>614</v>
      </c>
      <c r="B246" s="117" t="s">
        <v>615</v>
      </c>
      <c r="C246" t="s">
        <v>616</v>
      </c>
      <c r="D246" t="s">
        <v>617</v>
      </c>
      <c r="E246" s="182" t="s">
        <v>672</v>
      </c>
      <c r="F246" t="s">
        <v>618</v>
      </c>
      <c r="G246" t="s">
        <v>619</v>
      </c>
      <c r="H246" s="118" t="s">
        <v>620</v>
      </c>
      <c r="I246" t="s">
        <v>627</v>
      </c>
      <c r="J246" t="s">
        <v>622</v>
      </c>
      <c r="K246" t="s">
        <v>639</v>
      </c>
      <c r="L246" t="s">
        <v>327</v>
      </c>
      <c r="M246" s="183" t="s">
        <v>328</v>
      </c>
      <c r="N246" t="s">
        <v>636</v>
      </c>
      <c r="O246" s="123" t="s">
        <v>632</v>
      </c>
      <c r="P246" s="123">
        <v>1000</v>
      </c>
      <c r="Q246" s="123" t="s">
        <v>626</v>
      </c>
      <c r="R246" s="184">
        <v>2.69</v>
      </c>
      <c r="S246" s="184">
        <f t="shared" si="15"/>
        <v>0.26900000000000002</v>
      </c>
      <c r="T246" s="184">
        <f>S246*'edible cooking yield factors'!F153</f>
        <v>0.26900000000000002</v>
      </c>
    </row>
    <row r="247" spans="1:20" x14ac:dyDescent="0.25">
      <c r="A247" s="117" t="s">
        <v>614</v>
      </c>
      <c r="B247" s="117" t="s">
        <v>615</v>
      </c>
      <c r="C247" t="s">
        <v>616</v>
      </c>
      <c r="D247" t="s">
        <v>617</v>
      </c>
      <c r="E247" s="182" t="s">
        <v>672</v>
      </c>
      <c r="F247" t="s">
        <v>618</v>
      </c>
      <c r="G247" t="s">
        <v>619</v>
      </c>
      <c r="H247" s="118" t="s">
        <v>620</v>
      </c>
      <c r="I247" t="s">
        <v>628</v>
      </c>
      <c r="J247" t="s">
        <v>622</v>
      </c>
      <c r="K247" t="s">
        <v>639</v>
      </c>
      <c r="L247" t="s">
        <v>327</v>
      </c>
      <c r="M247" s="183" t="s">
        <v>328</v>
      </c>
      <c r="N247" t="s">
        <v>648</v>
      </c>
      <c r="O247" s="123" t="s">
        <v>632</v>
      </c>
      <c r="P247" s="123">
        <v>1000</v>
      </c>
      <c r="Q247" s="123" t="s">
        <v>626</v>
      </c>
      <c r="R247" s="184">
        <v>2</v>
      </c>
      <c r="S247" s="184">
        <f t="shared" si="15"/>
        <v>0.2</v>
      </c>
      <c r="T247" s="184">
        <f>S247*'edible cooking yield factors'!F153</f>
        <v>0.2</v>
      </c>
    </row>
    <row r="248" spans="1:20" s="199" customFormat="1" x14ac:dyDescent="0.25">
      <c r="A248" s="186" t="s">
        <v>614</v>
      </c>
      <c r="B248" s="186" t="s">
        <v>615</v>
      </c>
      <c r="C248" s="199" t="s">
        <v>616</v>
      </c>
      <c r="D248" s="199" t="s">
        <v>617</v>
      </c>
      <c r="E248" s="203" t="s">
        <v>679</v>
      </c>
      <c r="F248" s="199" t="s">
        <v>674</v>
      </c>
      <c r="G248" s="199" t="s">
        <v>619</v>
      </c>
      <c r="H248" s="187" t="s">
        <v>620</v>
      </c>
      <c r="I248" s="199" t="s">
        <v>621</v>
      </c>
      <c r="J248" s="199" t="s">
        <v>622</v>
      </c>
      <c r="K248" s="199" t="s">
        <v>639</v>
      </c>
      <c r="L248" s="199" t="str">
        <f>'common foods'!C32</f>
        <v>Tomatoes, canned, regular</v>
      </c>
      <c r="M248" s="204" t="str">
        <f>'common foods'!D32</f>
        <v>02031</v>
      </c>
      <c r="N248" s="199" t="s">
        <v>636</v>
      </c>
      <c r="O248" s="205" t="s">
        <v>632</v>
      </c>
      <c r="P248" s="205">
        <v>400</v>
      </c>
      <c r="Q248" s="205" t="s">
        <v>626</v>
      </c>
      <c r="R248" s="198">
        <v>0.85</v>
      </c>
      <c r="S248" s="198">
        <f t="shared" ref="S248:S253" si="16">R248/4</f>
        <v>0.21249999999999999</v>
      </c>
      <c r="T248" s="198">
        <f>S248*'edible cooking yield factors'!F29</f>
        <v>0.21249999999999999</v>
      </c>
    </row>
    <row r="249" spans="1:20" s="199" customFormat="1" x14ac:dyDescent="0.25">
      <c r="A249" s="186" t="s">
        <v>614</v>
      </c>
      <c r="B249" s="186" t="s">
        <v>615</v>
      </c>
      <c r="C249" s="199" t="s">
        <v>616</v>
      </c>
      <c r="D249" s="199" t="s">
        <v>617</v>
      </c>
      <c r="E249" s="203" t="s">
        <v>679</v>
      </c>
      <c r="F249" s="199" t="s">
        <v>674</v>
      </c>
      <c r="G249" s="199" t="s">
        <v>619</v>
      </c>
      <c r="H249" s="187" t="s">
        <v>620</v>
      </c>
      <c r="I249" s="199" t="s">
        <v>627</v>
      </c>
      <c r="J249" s="199" t="s">
        <v>622</v>
      </c>
      <c r="K249" s="199" t="s">
        <v>639</v>
      </c>
      <c r="L249" s="199" t="s">
        <v>76</v>
      </c>
      <c r="M249" s="204" t="str">
        <f>'common foods'!D32</f>
        <v>02031</v>
      </c>
      <c r="N249" s="199" t="s">
        <v>636</v>
      </c>
      <c r="O249" s="199" t="s">
        <v>632</v>
      </c>
      <c r="P249" s="199">
        <v>400</v>
      </c>
      <c r="Q249" s="199" t="s">
        <v>626</v>
      </c>
      <c r="R249" s="198">
        <v>0.9</v>
      </c>
      <c r="S249" s="198">
        <f t="shared" si="16"/>
        <v>0.22500000000000001</v>
      </c>
      <c r="T249" s="198">
        <f>S249*'edible cooking yield factors'!F29</f>
        <v>0.22500000000000001</v>
      </c>
    </row>
    <row r="250" spans="1:20" s="199" customFormat="1" x14ac:dyDescent="0.25">
      <c r="A250" s="186" t="s">
        <v>614</v>
      </c>
      <c r="B250" s="186" t="s">
        <v>615</v>
      </c>
      <c r="C250" s="199" t="s">
        <v>616</v>
      </c>
      <c r="D250" s="199" t="s">
        <v>617</v>
      </c>
      <c r="E250" s="203" t="s">
        <v>679</v>
      </c>
      <c r="F250" s="199" t="s">
        <v>674</v>
      </c>
      <c r="G250" s="199" t="s">
        <v>619</v>
      </c>
      <c r="H250" s="187" t="s">
        <v>620</v>
      </c>
      <c r="I250" s="199" t="s">
        <v>628</v>
      </c>
      <c r="J250" s="199" t="s">
        <v>622</v>
      </c>
      <c r="K250" s="199" t="s">
        <v>639</v>
      </c>
      <c r="L250" s="199" t="s">
        <v>76</v>
      </c>
      <c r="M250" s="204" t="str">
        <f>'common foods'!D32</f>
        <v>02031</v>
      </c>
      <c r="N250" s="199" t="s">
        <v>628</v>
      </c>
      <c r="O250" s="199" t="s">
        <v>632</v>
      </c>
      <c r="P250" s="199">
        <v>400</v>
      </c>
      <c r="Q250" s="199" t="s">
        <v>626</v>
      </c>
      <c r="R250" s="198">
        <v>0.9</v>
      </c>
      <c r="S250" s="198">
        <f t="shared" si="16"/>
        <v>0.22500000000000001</v>
      </c>
      <c r="T250" s="198">
        <f>S250*'edible cooking yield factors'!F29</f>
        <v>0.22500000000000001</v>
      </c>
    </row>
    <row r="251" spans="1:20" x14ac:dyDescent="0.25">
      <c r="A251" s="117" t="s">
        <v>614</v>
      </c>
      <c r="B251" s="117" t="s">
        <v>615</v>
      </c>
      <c r="C251" t="s">
        <v>616</v>
      </c>
      <c r="D251" t="s">
        <v>617</v>
      </c>
      <c r="E251" s="182" t="s">
        <v>672</v>
      </c>
      <c r="F251" t="s">
        <v>618</v>
      </c>
      <c r="G251" t="s">
        <v>619</v>
      </c>
      <c r="H251" s="118" t="s">
        <v>620</v>
      </c>
      <c r="I251" t="s">
        <v>621</v>
      </c>
      <c r="J251" t="s">
        <v>622</v>
      </c>
      <c r="K251" t="s">
        <v>639</v>
      </c>
      <c r="L251" t="s">
        <v>80</v>
      </c>
      <c r="M251" s="183" t="str">
        <f>'common foods'!D34</f>
        <v>02040</v>
      </c>
      <c r="N251" t="s">
        <v>636</v>
      </c>
      <c r="O251" s="123" t="s">
        <v>632</v>
      </c>
      <c r="P251" s="123">
        <v>400</v>
      </c>
      <c r="Q251" s="123" t="s">
        <v>626</v>
      </c>
      <c r="R251" s="184">
        <v>0.85</v>
      </c>
      <c r="S251" s="184">
        <f t="shared" si="16"/>
        <v>0.21249999999999999</v>
      </c>
      <c r="T251" s="184">
        <f>S251*'edible cooking yield factors'!F32</f>
        <v>0.1275</v>
      </c>
    </row>
    <row r="252" spans="1:20" x14ac:dyDescent="0.25">
      <c r="A252" s="117" t="s">
        <v>614</v>
      </c>
      <c r="B252" s="117" t="s">
        <v>615</v>
      </c>
      <c r="C252" t="s">
        <v>616</v>
      </c>
      <c r="D252" t="s">
        <v>617</v>
      </c>
      <c r="E252" s="182" t="s">
        <v>672</v>
      </c>
      <c r="F252" t="s">
        <v>618</v>
      </c>
      <c r="G252" t="s">
        <v>619</v>
      </c>
      <c r="H252" s="118" t="s">
        <v>620</v>
      </c>
      <c r="I252" t="s">
        <v>627</v>
      </c>
      <c r="J252" t="s">
        <v>622</v>
      </c>
      <c r="K252" t="s">
        <v>639</v>
      </c>
      <c r="L252" t="s">
        <v>80</v>
      </c>
      <c r="M252" s="183" t="s">
        <v>81</v>
      </c>
      <c r="N252" t="s">
        <v>636</v>
      </c>
      <c r="O252" t="s">
        <v>632</v>
      </c>
      <c r="P252">
        <v>400</v>
      </c>
      <c r="Q252" t="s">
        <v>626</v>
      </c>
      <c r="R252" s="184">
        <v>0.9</v>
      </c>
      <c r="S252" s="184">
        <f t="shared" si="16"/>
        <v>0.22500000000000001</v>
      </c>
      <c r="T252" s="184">
        <f>S252*'edible cooking yield factors'!F32</f>
        <v>0.13500000000000001</v>
      </c>
    </row>
    <row r="253" spans="1:20" x14ac:dyDescent="0.25">
      <c r="A253" s="117" t="s">
        <v>614</v>
      </c>
      <c r="B253" s="117" t="s">
        <v>615</v>
      </c>
      <c r="C253" t="s">
        <v>616</v>
      </c>
      <c r="D253" t="s">
        <v>617</v>
      </c>
      <c r="E253" s="182" t="s">
        <v>672</v>
      </c>
      <c r="F253" t="s">
        <v>618</v>
      </c>
      <c r="G253" t="s">
        <v>619</v>
      </c>
      <c r="H253" s="118" t="s">
        <v>620</v>
      </c>
      <c r="I253" t="s">
        <v>628</v>
      </c>
      <c r="J253" t="s">
        <v>622</v>
      </c>
      <c r="K253" t="s">
        <v>639</v>
      </c>
      <c r="L253" t="s">
        <v>80</v>
      </c>
      <c r="M253" s="183" t="s">
        <v>81</v>
      </c>
      <c r="N253" t="s">
        <v>648</v>
      </c>
      <c r="O253" t="s">
        <v>632</v>
      </c>
      <c r="P253">
        <v>400</v>
      </c>
      <c r="Q253" t="s">
        <v>626</v>
      </c>
      <c r="R253" s="184">
        <v>0.9</v>
      </c>
      <c r="S253" s="184">
        <f t="shared" si="16"/>
        <v>0.22500000000000001</v>
      </c>
      <c r="T253" s="184">
        <f>S253*'edible cooking yield factors'!F32</f>
        <v>0.13500000000000001</v>
      </c>
    </row>
    <row r="254" spans="1:20" x14ac:dyDescent="0.25">
      <c r="A254" s="117" t="s">
        <v>614</v>
      </c>
      <c r="B254" s="117" t="s">
        <v>615</v>
      </c>
      <c r="C254" t="s">
        <v>616</v>
      </c>
      <c r="D254" t="s">
        <v>617</v>
      </c>
      <c r="E254" s="182" t="s">
        <v>672</v>
      </c>
      <c r="F254" t="s">
        <v>618</v>
      </c>
      <c r="G254" t="s">
        <v>619</v>
      </c>
      <c r="H254" s="118" t="s">
        <v>620</v>
      </c>
      <c r="I254" t="s">
        <v>621</v>
      </c>
      <c r="J254" t="s">
        <v>622</v>
      </c>
      <c r="K254" t="s">
        <v>623</v>
      </c>
      <c r="L254" t="s">
        <v>107</v>
      </c>
      <c r="M254" s="183" t="str">
        <f>'common foods'!D47</f>
        <v>03036</v>
      </c>
      <c r="N254" t="s">
        <v>631</v>
      </c>
      <c r="O254" t="s">
        <v>632</v>
      </c>
      <c r="P254">
        <v>600</v>
      </c>
      <c r="Q254" t="s">
        <v>626</v>
      </c>
      <c r="R254" s="184">
        <v>1.19</v>
      </c>
      <c r="S254" s="184">
        <f t="shared" ref="S254:S259" si="17">R254/6</f>
        <v>0.19833333333333333</v>
      </c>
      <c r="T254" s="184">
        <f>S254*'edible cooking yield factors'!F47</f>
        <v>0.19833333333333333</v>
      </c>
    </row>
    <row r="255" spans="1:20" x14ac:dyDescent="0.25">
      <c r="A255" s="117" t="s">
        <v>614</v>
      </c>
      <c r="B255" s="117" t="s">
        <v>615</v>
      </c>
      <c r="C255" t="s">
        <v>616</v>
      </c>
      <c r="D255" t="s">
        <v>617</v>
      </c>
      <c r="E255" s="182" t="s">
        <v>672</v>
      </c>
      <c r="F255" t="s">
        <v>618</v>
      </c>
      <c r="G255" t="s">
        <v>619</v>
      </c>
      <c r="H255" s="118" t="s">
        <v>620</v>
      </c>
      <c r="I255" t="s">
        <v>627</v>
      </c>
      <c r="J255" t="s">
        <v>622</v>
      </c>
      <c r="K255" t="s">
        <v>623</v>
      </c>
      <c r="L255" t="s">
        <v>107</v>
      </c>
      <c r="M255" s="183" t="s">
        <v>108</v>
      </c>
      <c r="N255" t="s">
        <v>631</v>
      </c>
      <c r="O255" t="s">
        <v>632</v>
      </c>
      <c r="P255">
        <v>600</v>
      </c>
      <c r="Q255" t="s">
        <v>626</v>
      </c>
      <c r="R255" s="184">
        <v>1.2</v>
      </c>
      <c r="S255" s="184">
        <f t="shared" si="17"/>
        <v>0.19999999999999998</v>
      </c>
      <c r="T255" s="184">
        <f>S255*'edible cooking yield factors'!F47</f>
        <v>0.19999999999999998</v>
      </c>
    </row>
    <row r="256" spans="1:20" x14ac:dyDescent="0.25">
      <c r="A256" s="117" t="s">
        <v>614</v>
      </c>
      <c r="B256" s="117" t="s">
        <v>615</v>
      </c>
      <c r="C256" t="s">
        <v>616</v>
      </c>
      <c r="D256" t="s">
        <v>617</v>
      </c>
      <c r="E256" s="182" t="s">
        <v>672</v>
      </c>
      <c r="F256" t="s">
        <v>618</v>
      </c>
      <c r="G256" t="s">
        <v>619</v>
      </c>
      <c r="H256" s="118" t="s">
        <v>620</v>
      </c>
      <c r="I256" t="s">
        <v>628</v>
      </c>
      <c r="J256" t="s">
        <v>622</v>
      </c>
      <c r="K256" t="s">
        <v>623</v>
      </c>
      <c r="L256" t="s">
        <v>107</v>
      </c>
      <c r="M256" s="183" t="s">
        <v>108</v>
      </c>
      <c r="N256" t="s">
        <v>680</v>
      </c>
      <c r="O256" t="s">
        <v>632</v>
      </c>
      <c r="P256">
        <v>600</v>
      </c>
      <c r="Q256" t="s">
        <v>626</v>
      </c>
      <c r="R256" s="184">
        <v>1.2</v>
      </c>
      <c r="S256" s="184">
        <f t="shared" si="17"/>
        <v>0.19999999999999998</v>
      </c>
      <c r="T256" s="184">
        <f>S256*'edible cooking yield factors'!F47</f>
        <v>0.19999999999999998</v>
      </c>
    </row>
    <row r="257" spans="1:20" x14ac:dyDescent="0.25">
      <c r="A257" s="117" t="s">
        <v>614</v>
      </c>
      <c r="B257" s="117" t="s">
        <v>615</v>
      </c>
      <c r="C257" t="s">
        <v>616</v>
      </c>
      <c r="D257" t="s">
        <v>617</v>
      </c>
      <c r="E257" s="182" t="s">
        <v>672</v>
      </c>
      <c r="F257" t="s">
        <v>618</v>
      </c>
      <c r="G257" t="s">
        <v>619</v>
      </c>
      <c r="H257" s="118" t="s">
        <v>620</v>
      </c>
      <c r="I257" t="s">
        <v>621</v>
      </c>
      <c r="J257" t="s">
        <v>622</v>
      </c>
      <c r="K257" t="s">
        <v>623</v>
      </c>
      <c r="L257" t="s">
        <v>109</v>
      </c>
      <c r="M257" s="183" t="str">
        <f>'common foods'!D48</f>
        <v>03037</v>
      </c>
      <c r="N257" t="s">
        <v>631</v>
      </c>
      <c r="O257" t="s">
        <v>632</v>
      </c>
      <c r="P257">
        <v>600</v>
      </c>
      <c r="Q257" t="s">
        <v>626</v>
      </c>
      <c r="R257" s="184">
        <v>1.19</v>
      </c>
      <c r="S257" s="184">
        <f t="shared" si="17"/>
        <v>0.19833333333333333</v>
      </c>
      <c r="T257" s="184">
        <f>S257*'edible cooking yield factors'!F48</f>
        <v>0.19833333333333333</v>
      </c>
    </row>
    <row r="258" spans="1:20" x14ac:dyDescent="0.25">
      <c r="A258" s="117" t="s">
        <v>614</v>
      </c>
      <c r="B258" s="117" t="s">
        <v>615</v>
      </c>
      <c r="C258" t="s">
        <v>616</v>
      </c>
      <c r="D258" t="s">
        <v>617</v>
      </c>
      <c r="E258" s="182" t="s">
        <v>672</v>
      </c>
      <c r="F258" t="s">
        <v>618</v>
      </c>
      <c r="G258" t="s">
        <v>619</v>
      </c>
      <c r="H258" s="118" t="s">
        <v>620</v>
      </c>
      <c r="I258" t="s">
        <v>627</v>
      </c>
      <c r="J258" t="s">
        <v>622</v>
      </c>
      <c r="K258" t="s">
        <v>623</v>
      </c>
      <c r="L258" t="s">
        <v>109</v>
      </c>
      <c r="M258" s="183" t="s">
        <v>110</v>
      </c>
      <c r="N258" t="s">
        <v>631</v>
      </c>
      <c r="O258" t="s">
        <v>632</v>
      </c>
      <c r="P258">
        <v>600</v>
      </c>
      <c r="Q258" t="s">
        <v>626</v>
      </c>
      <c r="R258" s="184">
        <v>1.2</v>
      </c>
      <c r="S258" s="184">
        <f t="shared" si="17"/>
        <v>0.19999999999999998</v>
      </c>
      <c r="T258" s="184">
        <f>S258*'edible cooking yield factors'!F48</f>
        <v>0.19999999999999998</v>
      </c>
    </row>
    <row r="259" spans="1:20" x14ac:dyDescent="0.25">
      <c r="A259" s="117" t="s">
        <v>614</v>
      </c>
      <c r="B259" s="117" t="s">
        <v>615</v>
      </c>
      <c r="C259" t="s">
        <v>616</v>
      </c>
      <c r="D259" t="s">
        <v>617</v>
      </c>
      <c r="E259" s="182" t="s">
        <v>672</v>
      </c>
      <c r="F259" t="s">
        <v>618</v>
      </c>
      <c r="G259" t="s">
        <v>619</v>
      </c>
      <c r="H259" s="118" t="s">
        <v>620</v>
      </c>
      <c r="I259" t="s">
        <v>628</v>
      </c>
      <c r="J259" t="s">
        <v>622</v>
      </c>
      <c r="K259" t="s">
        <v>623</v>
      </c>
      <c r="L259" t="s">
        <v>109</v>
      </c>
      <c r="M259" s="183" t="s">
        <v>110</v>
      </c>
      <c r="N259" t="s">
        <v>680</v>
      </c>
      <c r="O259" t="s">
        <v>632</v>
      </c>
      <c r="P259">
        <v>600</v>
      </c>
      <c r="Q259" t="s">
        <v>626</v>
      </c>
      <c r="R259" s="184">
        <v>1.2</v>
      </c>
      <c r="S259" s="184">
        <f t="shared" si="17"/>
        <v>0.19999999999999998</v>
      </c>
      <c r="T259" s="184">
        <f>S259*'edible cooking yield factors'!F48</f>
        <v>0.19999999999999998</v>
      </c>
    </row>
    <row r="260" spans="1:20" x14ac:dyDescent="0.25">
      <c r="A260" s="117" t="s">
        <v>614</v>
      </c>
      <c r="B260" s="117" t="s">
        <v>615</v>
      </c>
      <c r="C260" t="s">
        <v>616</v>
      </c>
      <c r="D260" t="s">
        <v>617</v>
      </c>
      <c r="E260" s="182">
        <v>191119</v>
      </c>
      <c r="F260" t="s">
        <v>618</v>
      </c>
      <c r="G260" t="s">
        <v>619</v>
      </c>
      <c r="H260" s="118" t="s">
        <v>620</v>
      </c>
      <c r="I260" t="s">
        <v>621</v>
      </c>
      <c r="J260" t="s">
        <v>622</v>
      </c>
      <c r="K260" t="s">
        <v>623</v>
      </c>
      <c r="L260" t="str">
        <f>'common foods'!C50</f>
        <v>Pita bread</v>
      </c>
      <c r="M260" s="183" t="str">
        <f>'common foods'!D50</f>
        <v>03039</v>
      </c>
      <c r="N260" t="s">
        <v>681</v>
      </c>
      <c r="O260" t="s">
        <v>625</v>
      </c>
      <c r="P260">
        <f>75*5</f>
        <v>375</v>
      </c>
      <c r="Q260" t="s">
        <v>626</v>
      </c>
      <c r="R260" s="184">
        <v>2.89</v>
      </c>
      <c r="S260" s="184">
        <f>R260/3.75</f>
        <v>0.77066666666666672</v>
      </c>
      <c r="T260" s="184">
        <f>S260*'edible cooking yield factors'!F49</f>
        <v>0.77066666666666672</v>
      </c>
    </row>
    <row r="261" spans="1:20" x14ac:dyDescent="0.25">
      <c r="A261" s="117" t="s">
        <v>614</v>
      </c>
      <c r="B261" s="117" t="s">
        <v>615</v>
      </c>
      <c r="C261" t="s">
        <v>616</v>
      </c>
      <c r="D261" t="s">
        <v>617</v>
      </c>
      <c r="E261" s="182">
        <v>191119</v>
      </c>
      <c r="F261" t="s">
        <v>618</v>
      </c>
      <c r="G261" t="s">
        <v>619</v>
      </c>
      <c r="H261" s="118" t="s">
        <v>620</v>
      </c>
      <c r="I261" t="s">
        <v>627</v>
      </c>
      <c r="J261" t="s">
        <v>622</v>
      </c>
      <c r="K261" t="s">
        <v>623</v>
      </c>
      <c r="L261" t="str">
        <f>'common foods'!C50</f>
        <v>Pita bread</v>
      </c>
      <c r="M261" s="183" t="s">
        <v>114</v>
      </c>
      <c r="N261" t="s">
        <v>681</v>
      </c>
      <c r="O261" t="s">
        <v>625</v>
      </c>
      <c r="P261">
        <f>75*5</f>
        <v>375</v>
      </c>
      <c r="Q261" t="s">
        <v>626</v>
      </c>
      <c r="R261" s="184">
        <v>2.99</v>
      </c>
      <c r="S261" s="184">
        <f>R261/3.75</f>
        <v>0.79733333333333334</v>
      </c>
      <c r="T261" s="184">
        <f>S261*'edible cooking yield factors'!F49</f>
        <v>0.79733333333333334</v>
      </c>
    </row>
    <row r="262" spans="1:20" x14ac:dyDescent="0.25">
      <c r="A262" s="117" t="s">
        <v>614</v>
      </c>
      <c r="B262" s="117" t="s">
        <v>615</v>
      </c>
      <c r="C262" t="s">
        <v>616</v>
      </c>
      <c r="D262" t="s">
        <v>617</v>
      </c>
      <c r="E262" s="182">
        <v>191119</v>
      </c>
      <c r="F262" t="s">
        <v>618</v>
      </c>
      <c r="G262" t="s">
        <v>619</v>
      </c>
      <c r="H262" s="118" t="s">
        <v>620</v>
      </c>
      <c r="I262" t="s">
        <v>628</v>
      </c>
      <c r="J262" t="s">
        <v>622</v>
      </c>
      <c r="K262" t="s">
        <v>623</v>
      </c>
      <c r="L262" t="str">
        <f>'common foods'!C50</f>
        <v>Pita bread</v>
      </c>
      <c r="M262" s="183" t="s">
        <v>114</v>
      </c>
      <c r="N262" t="s">
        <v>628</v>
      </c>
      <c r="O262" t="s">
        <v>632</v>
      </c>
      <c r="P262">
        <v>430</v>
      </c>
      <c r="Q262" t="s">
        <v>626</v>
      </c>
      <c r="R262" s="184">
        <v>3.5</v>
      </c>
      <c r="S262" s="184">
        <f>R262/4.3</f>
        <v>0.81395348837209303</v>
      </c>
      <c r="T262" s="184">
        <f>S262*'edible cooking yield factors'!F49</f>
        <v>0.81395348837209303</v>
      </c>
    </row>
    <row r="263" spans="1:20" x14ac:dyDescent="0.25">
      <c r="A263" s="117" t="s">
        <v>614</v>
      </c>
      <c r="B263" s="117" t="s">
        <v>615</v>
      </c>
      <c r="C263" t="s">
        <v>616</v>
      </c>
      <c r="D263" t="s">
        <v>617</v>
      </c>
      <c r="E263" s="182">
        <v>191119</v>
      </c>
      <c r="F263" t="s">
        <v>618</v>
      </c>
      <c r="G263" t="s">
        <v>619</v>
      </c>
      <c r="H263" s="118" t="s">
        <v>620</v>
      </c>
      <c r="I263" t="s">
        <v>621</v>
      </c>
      <c r="J263" t="s">
        <v>622</v>
      </c>
      <c r="K263" t="s">
        <v>623</v>
      </c>
      <c r="L263" t="s">
        <v>117</v>
      </c>
      <c r="M263" s="183" t="str">
        <f>'common foods'!D52</f>
        <v>03046</v>
      </c>
      <c r="N263" t="s">
        <v>631</v>
      </c>
      <c r="O263" t="s">
        <v>632</v>
      </c>
      <c r="P263">
        <v>500</v>
      </c>
      <c r="Q263" t="s">
        <v>626</v>
      </c>
      <c r="R263" s="184">
        <v>2.59</v>
      </c>
      <c r="S263" s="184">
        <f>R263/5</f>
        <v>0.51800000000000002</v>
      </c>
      <c r="T263" s="184">
        <f>S263*'edible cooking yield factors'!F52</f>
        <v>0.51800000000000002</v>
      </c>
    </row>
    <row r="264" spans="1:20" x14ac:dyDescent="0.25">
      <c r="A264" s="117" t="s">
        <v>614</v>
      </c>
      <c r="B264" s="117" t="s">
        <v>615</v>
      </c>
      <c r="C264" t="s">
        <v>616</v>
      </c>
      <c r="D264" t="s">
        <v>617</v>
      </c>
      <c r="E264" s="182">
        <v>191119</v>
      </c>
      <c r="F264" t="s">
        <v>618</v>
      </c>
      <c r="G264" t="s">
        <v>619</v>
      </c>
      <c r="H264" s="118" t="s">
        <v>620</v>
      </c>
      <c r="I264" t="s">
        <v>627</v>
      </c>
      <c r="J264" t="s">
        <v>622</v>
      </c>
      <c r="K264" t="s">
        <v>623</v>
      </c>
      <c r="L264" t="s">
        <v>117</v>
      </c>
      <c r="M264" s="183" t="s">
        <v>118</v>
      </c>
      <c r="N264" t="s">
        <v>631</v>
      </c>
      <c r="O264" t="s">
        <v>632</v>
      </c>
      <c r="P264">
        <v>500</v>
      </c>
      <c r="Q264" t="s">
        <v>626</v>
      </c>
      <c r="R264" s="184">
        <v>2.69</v>
      </c>
      <c r="S264" s="184">
        <f>R264/5</f>
        <v>0.53800000000000003</v>
      </c>
      <c r="T264" s="184">
        <f>S264*'edible cooking yield factors'!F52</f>
        <v>0.53800000000000003</v>
      </c>
    </row>
    <row r="265" spans="1:20" x14ac:dyDescent="0.25">
      <c r="A265" s="117" t="s">
        <v>614</v>
      </c>
      <c r="B265" s="117" t="s">
        <v>615</v>
      </c>
      <c r="C265" t="s">
        <v>616</v>
      </c>
      <c r="D265" t="s">
        <v>617</v>
      </c>
      <c r="E265" s="182">
        <v>191119</v>
      </c>
      <c r="F265" t="s">
        <v>618</v>
      </c>
      <c r="G265" t="s">
        <v>619</v>
      </c>
      <c r="H265" s="118" t="s">
        <v>620</v>
      </c>
      <c r="I265" t="s">
        <v>628</v>
      </c>
      <c r="J265" t="s">
        <v>622</v>
      </c>
      <c r="K265" t="s">
        <v>623</v>
      </c>
      <c r="L265" t="s">
        <v>117</v>
      </c>
      <c r="M265" s="183" t="s">
        <v>118</v>
      </c>
      <c r="N265" t="s">
        <v>628</v>
      </c>
      <c r="O265" t="s">
        <v>632</v>
      </c>
      <c r="P265">
        <v>500</v>
      </c>
      <c r="Q265" t="s">
        <v>626</v>
      </c>
      <c r="R265" s="184">
        <v>2.7</v>
      </c>
      <c r="S265" s="184">
        <f>R265/5</f>
        <v>0.54</v>
      </c>
      <c r="T265" s="184">
        <f>S265*'edible cooking yield factors'!F52</f>
        <v>0.54</v>
      </c>
    </row>
    <row r="266" spans="1:20" s="199" customFormat="1" x14ac:dyDescent="0.25">
      <c r="A266" s="186" t="s">
        <v>614</v>
      </c>
      <c r="B266" s="186" t="s">
        <v>615</v>
      </c>
      <c r="C266" s="199" t="s">
        <v>616</v>
      </c>
      <c r="D266" s="199" t="s">
        <v>617</v>
      </c>
      <c r="E266" s="203">
        <v>211019</v>
      </c>
      <c r="F266" s="199" t="s">
        <v>618</v>
      </c>
      <c r="G266" s="199" t="s">
        <v>619</v>
      </c>
      <c r="H266" s="187" t="s">
        <v>620</v>
      </c>
      <c r="I266" s="199" t="s">
        <v>621</v>
      </c>
      <c r="J266" s="199" t="s">
        <v>622</v>
      </c>
      <c r="K266" s="199" t="s">
        <v>623</v>
      </c>
      <c r="L266" s="199" t="str">
        <f>'common foods'!C63</f>
        <v>Vermicelli</v>
      </c>
      <c r="M266" s="204" t="str">
        <f>'common foods'!D63</f>
        <v>03064</v>
      </c>
      <c r="N266" s="199" t="s">
        <v>682</v>
      </c>
      <c r="O266" s="199" t="s">
        <v>625</v>
      </c>
      <c r="P266" s="199">
        <v>500</v>
      </c>
      <c r="Q266" s="199" t="s">
        <v>626</v>
      </c>
      <c r="R266" s="198">
        <v>2.59</v>
      </c>
      <c r="S266" s="198">
        <f>R266/5</f>
        <v>0.51800000000000002</v>
      </c>
      <c r="T266" s="198">
        <f>S266/5.4</f>
        <v>9.5925925925925928E-2</v>
      </c>
    </row>
    <row r="267" spans="1:20" s="199" customFormat="1" x14ac:dyDescent="0.25">
      <c r="A267" s="186" t="s">
        <v>614</v>
      </c>
      <c r="B267" s="186" t="s">
        <v>615</v>
      </c>
      <c r="C267" s="199" t="s">
        <v>616</v>
      </c>
      <c r="D267" s="199" t="s">
        <v>617</v>
      </c>
      <c r="E267" s="203">
        <v>211019</v>
      </c>
      <c r="F267" s="199" t="s">
        <v>618</v>
      </c>
      <c r="G267" s="199" t="s">
        <v>619</v>
      </c>
      <c r="H267" s="187" t="s">
        <v>620</v>
      </c>
      <c r="I267" s="199" t="s">
        <v>627</v>
      </c>
      <c r="J267" s="199" t="s">
        <v>622</v>
      </c>
      <c r="K267" s="199" t="s">
        <v>623</v>
      </c>
      <c r="L267" s="199" t="s">
        <v>139</v>
      </c>
      <c r="M267" s="204" t="s">
        <v>140</v>
      </c>
      <c r="N267" s="199" t="s">
        <v>683</v>
      </c>
      <c r="O267" s="199" t="s">
        <v>625</v>
      </c>
      <c r="P267" s="199">
        <v>500</v>
      </c>
      <c r="Q267" s="199" t="s">
        <v>626</v>
      </c>
      <c r="R267" s="198">
        <v>2.29</v>
      </c>
      <c r="S267" s="198">
        <f>R267/5</f>
        <v>0.45800000000000002</v>
      </c>
      <c r="T267" s="198">
        <f>S267/5.4</f>
        <v>8.4814814814814815E-2</v>
      </c>
    </row>
    <row r="268" spans="1:20" s="199" customFormat="1" x14ac:dyDescent="0.25">
      <c r="A268" s="186" t="s">
        <v>614</v>
      </c>
      <c r="B268" s="186" t="s">
        <v>615</v>
      </c>
      <c r="C268" s="199" t="s">
        <v>616</v>
      </c>
      <c r="D268" s="199" t="s">
        <v>617</v>
      </c>
      <c r="E268" s="203">
        <v>211019</v>
      </c>
      <c r="F268" s="199" t="s">
        <v>618</v>
      </c>
      <c r="G268" s="199" t="s">
        <v>619</v>
      </c>
      <c r="H268" s="187" t="s">
        <v>620</v>
      </c>
      <c r="I268" s="199" t="s">
        <v>628</v>
      </c>
      <c r="J268" s="199" t="s">
        <v>622</v>
      </c>
      <c r="K268" s="199" t="s">
        <v>623</v>
      </c>
      <c r="L268" s="199" t="s">
        <v>139</v>
      </c>
      <c r="M268" s="204" t="s">
        <v>140</v>
      </c>
      <c r="N268" s="199" t="s">
        <v>684</v>
      </c>
      <c r="O268" s="199" t="s">
        <v>625</v>
      </c>
      <c r="P268" s="199">
        <v>250</v>
      </c>
      <c r="Q268" s="199" t="s">
        <v>626</v>
      </c>
      <c r="R268" s="198">
        <v>1.65</v>
      </c>
      <c r="S268" s="198">
        <f>R268/2.5</f>
        <v>0.65999999999999992</v>
      </c>
      <c r="T268" s="198">
        <f>S268/5.4</f>
        <v>0.1222222222222222</v>
      </c>
    </row>
    <row r="269" spans="1:20" s="199" customFormat="1" x14ac:dyDescent="0.25">
      <c r="A269" s="186" t="s">
        <v>614</v>
      </c>
      <c r="B269" s="186" t="s">
        <v>615</v>
      </c>
      <c r="C269" s="199" t="s">
        <v>616</v>
      </c>
      <c r="D269" s="199" t="s">
        <v>617</v>
      </c>
      <c r="E269" s="203">
        <v>211019</v>
      </c>
      <c r="F269" s="199" t="s">
        <v>618</v>
      </c>
      <c r="G269" s="199" t="s">
        <v>619</v>
      </c>
      <c r="H269" s="187" t="s">
        <v>620</v>
      </c>
      <c r="I269" s="199" t="s">
        <v>621</v>
      </c>
      <c r="J269" s="199" t="s">
        <v>622</v>
      </c>
      <c r="K269" s="199" t="s">
        <v>623</v>
      </c>
      <c r="L269" s="199" t="str">
        <f>'common foods'!C62</f>
        <v>Crackers, cabin bread</v>
      </c>
      <c r="M269" s="204" t="str">
        <f>'common foods'!D62</f>
        <v>03062</v>
      </c>
      <c r="N269" s="199" t="s">
        <v>685</v>
      </c>
      <c r="O269" s="199" t="s">
        <v>625</v>
      </c>
      <c r="P269" s="199">
        <v>375</v>
      </c>
      <c r="Q269" s="199" t="s">
        <v>626</v>
      </c>
      <c r="R269" s="198">
        <v>1.4</v>
      </c>
      <c r="S269" s="198">
        <f>R269/3.75</f>
        <v>0.37333333333333329</v>
      </c>
      <c r="T269" s="198">
        <f>S269*1</f>
        <v>0.37333333333333329</v>
      </c>
    </row>
    <row r="270" spans="1:20" s="199" customFormat="1" x14ac:dyDescent="0.25">
      <c r="A270" s="186" t="s">
        <v>614</v>
      </c>
      <c r="B270" s="186" t="s">
        <v>615</v>
      </c>
      <c r="C270" s="199" t="s">
        <v>616</v>
      </c>
      <c r="D270" s="199" t="s">
        <v>617</v>
      </c>
      <c r="E270" s="203">
        <v>211019</v>
      </c>
      <c r="F270" s="199" t="s">
        <v>618</v>
      </c>
      <c r="G270" s="199" t="s">
        <v>619</v>
      </c>
      <c r="H270" s="187" t="s">
        <v>620</v>
      </c>
      <c r="I270" s="199" t="s">
        <v>627</v>
      </c>
      <c r="J270" s="199" t="s">
        <v>622</v>
      </c>
      <c r="K270" s="199" t="s">
        <v>623</v>
      </c>
      <c r="L270" s="199" t="s">
        <v>137</v>
      </c>
      <c r="M270" s="204" t="s">
        <v>138</v>
      </c>
      <c r="N270" s="199" t="s">
        <v>685</v>
      </c>
      <c r="O270" s="199" t="s">
        <v>625</v>
      </c>
      <c r="P270" s="199">
        <v>375</v>
      </c>
      <c r="Q270" s="199" t="s">
        <v>626</v>
      </c>
      <c r="R270" s="198">
        <v>1.59</v>
      </c>
      <c r="S270" s="198">
        <f>R270/3.75</f>
        <v>0.42400000000000004</v>
      </c>
      <c r="T270" s="198">
        <f>S270*1</f>
        <v>0.42400000000000004</v>
      </c>
    </row>
    <row r="271" spans="1:20" s="199" customFormat="1" x14ac:dyDescent="0.25">
      <c r="A271" s="186" t="s">
        <v>614</v>
      </c>
      <c r="B271" s="186" t="s">
        <v>615</v>
      </c>
      <c r="C271" s="199" t="s">
        <v>616</v>
      </c>
      <c r="D271" s="199" t="s">
        <v>617</v>
      </c>
      <c r="E271" s="203">
        <v>211019</v>
      </c>
      <c r="F271" s="199" t="s">
        <v>618</v>
      </c>
      <c r="G271" s="199" t="s">
        <v>619</v>
      </c>
      <c r="H271" s="187" t="s">
        <v>620</v>
      </c>
      <c r="I271" s="199" t="s">
        <v>628</v>
      </c>
      <c r="J271" s="199" t="s">
        <v>622</v>
      </c>
      <c r="K271" s="199" t="s">
        <v>623</v>
      </c>
      <c r="L271" s="199" t="s">
        <v>137</v>
      </c>
      <c r="M271" s="204" t="s">
        <v>138</v>
      </c>
      <c r="N271" s="199" t="s">
        <v>686</v>
      </c>
      <c r="O271" s="199" t="s">
        <v>625</v>
      </c>
      <c r="P271" s="199">
        <v>400</v>
      </c>
      <c r="Q271" s="199" t="s">
        <v>626</v>
      </c>
      <c r="R271" s="198">
        <v>2</v>
      </c>
      <c r="S271" s="198">
        <f>R271/4</f>
        <v>0.5</v>
      </c>
      <c r="T271" s="198">
        <f>S271*1</f>
        <v>0.5</v>
      </c>
    </row>
    <row r="272" spans="1:20" s="199" customFormat="1" x14ac:dyDescent="0.25">
      <c r="A272" s="186" t="s">
        <v>614</v>
      </c>
      <c r="B272" s="186" t="s">
        <v>615</v>
      </c>
      <c r="C272" s="199" t="s">
        <v>616</v>
      </c>
      <c r="D272" s="199" t="s">
        <v>617</v>
      </c>
      <c r="E272" s="203">
        <v>211019</v>
      </c>
      <c r="F272" s="199" t="s">
        <v>618</v>
      </c>
      <c r="G272" s="199" t="s">
        <v>619</v>
      </c>
      <c r="H272" s="187" t="s">
        <v>620</v>
      </c>
      <c r="I272" s="199" t="s">
        <v>621</v>
      </c>
      <c r="J272" s="199" t="s">
        <v>622</v>
      </c>
      <c r="K272" s="199" t="s">
        <v>623</v>
      </c>
      <c r="L272" s="199" t="str">
        <f>'common foods'!C54</f>
        <v>Weetbix</v>
      </c>
      <c r="M272" s="204" t="str">
        <f>'common foods'!D54</f>
        <v>03048</v>
      </c>
      <c r="N272" s="199" t="s">
        <v>624</v>
      </c>
      <c r="O272" s="199" t="s">
        <v>625</v>
      </c>
      <c r="P272" s="199">
        <v>1200</v>
      </c>
      <c r="Q272" s="199" t="s">
        <v>626</v>
      </c>
      <c r="R272" s="198">
        <v>6.79</v>
      </c>
      <c r="S272" s="198">
        <f>R272/12</f>
        <v>0.5658333333333333</v>
      </c>
      <c r="T272" s="198">
        <v>0.56999999999999995</v>
      </c>
    </row>
    <row r="273" spans="1:20" s="199" customFormat="1" x14ac:dyDescent="0.25">
      <c r="A273" s="186" t="s">
        <v>614</v>
      </c>
      <c r="B273" s="186" t="s">
        <v>615</v>
      </c>
      <c r="C273" s="199" t="s">
        <v>616</v>
      </c>
      <c r="D273" s="199" t="s">
        <v>617</v>
      </c>
      <c r="E273" s="203">
        <v>211019</v>
      </c>
      <c r="F273" s="199" t="s">
        <v>618</v>
      </c>
      <c r="G273" s="199" t="s">
        <v>619</v>
      </c>
      <c r="H273" s="187" t="s">
        <v>620</v>
      </c>
      <c r="I273" s="199" t="s">
        <v>627</v>
      </c>
      <c r="J273" s="199" t="s">
        <v>622</v>
      </c>
      <c r="K273" s="199" t="s">
        <v>623</v>
      </c>
      <c r="L273" s="199" t="s">
        <v>121</v>
      </c>
      <c r="M273" s="204" t="s">
        <v>122</v>
      </c>
      <c r="N273" s="199" t="s">
        <v>624</v>
      </c>
      <c r="O273" s="199" t="s">
        <v>625</v>
      </c>
      <c r="P273" s="199">
        <v>750</v>
      </c>
      <c r="Q273" s="199" t="s">
        <v>626</v>
      </c>
      <c r="R273" s="198">
        <v>4.29</v>
      </c>
      <c r="S273" s="198">
        <v>0.57199999999999995</v>
      </c>
      <c r="T273" s="198">
        <v>0.57199999999999995</v>
      </c>
    </row>
    <row r="274" spans="1:20" s="199" customFormat="1" x14ac:dyDescent="0.25">
      <c r="A274" s="186" t="s">
        <v>614</v>
      </c>
      <c r="B274" s="186" t="s">
        <v>615</v>
      </c>
      <c r="C274" s="199" t="s">
        <v>616</v>
      </c>
      <c r="D274" s="199" t="s">
        <v>617</v>
      </c>
      <c r="E274" s="203">
        <v>211019</v>
      </c>
      <c r="F274" s="199" t="s">
        <v>618</v>
      </c>
      <c r="G274" s="199" t="s">
        <v>619</v>
      </c>
      <c r="H274" s="187" t="s">
        <v>620</v>
      </c>
      <c r="I274" s="199" t="s">
        <v>628</v>
      </c>
      <c r="J274" s="199" t="s">
        <v>622</v>
      </c>
      <c r="K274" s="199" t="s">
        <v>623</v>
      </c>
      <c r="L274" s="199" t="s">
        <v>121</v>
      </c>
      <c r="M274" s="204" t="s">
        <v>122</v>
      </c>
      <c r="N274" s="199" t="s">
        <v>624</v>
      </c>
      <c r="O274" s="199" t="s">
        <v>625</v>
      </c>
      <c r="P274" s="199">
        <v>1200</v>
      </c>
      <c r="Q274" s="199" t="s">
        <v>626</v>
      </c>
      <c r="R274" s="198">
        <v>7.6</v>
      </c>
      <c r="S274" s="198">
        <v>0.63333333333333297</v>
      </c>
      <c r="T274" s="198">
        <v>0.63333333333333297</v>
      </c>
    </row>
    <row r="275" spans="1:20" x14ac:dyDescent="0.25">
      <c r="A275" s="117" t="s">
        <v>614</v>
      </c>
      <c r="B275" s="117" t="s">
        <v>615</v>
      </c>
      <c r="C275" t="s">
        <v>616</v>
      </c>
      <c r="D275" t="s">
        <v>617</v>
      </c>
      <c r="E275" s="182">
        <v>191119</v>
      </c>
      <c r="F275" t="s">
        <v>618</v>
      </c>
      <c r="G275" t="s">
        <v>619</v>
      </c>
      <c r="H275" s="118" t="s">
        <v>620</v>
      </c>
      <c r="I275" t="s">
        <v>621</v>
      </c>
      <c r="J275" t="s">
        <v>622</v>
      </c>
      <c r="K275" t="s">
        <v>623</v>
      </c>
      <c r="L275" t="s">
        <v>329</v>
      </c>
      <c r="M275" s="183" t="str">
        <f>'common foods'!D154</f>
        <v>03050</v>
      </c>
      <c r="N275" t="s">
        <v>619</v>
      </c>
      <c r="O275" t="s">
        <v>619</v>
      </c>
      <c r="P275" t="s">
        <v>619</v>
      </c>
      <c r="Q275" t="s">
        <v>626</v>
      </c>
      <c r="R275" s="184" t="s">
        <v>619</v>
      </c>
      <c r="S275" s="184" t="s">
        <v>619</v>
      </c>
      <c r="T275" s="184" t="s">
        <v>619</v>
      </c>
    </row>
    <row r="276" spans="1:20" x14ac:dyDescent="0.25">
      <c r="A276" s="117" t="s">
        <v>614</v>
      </c>
      <c r="B276" s="117" t="s">
        <v>615</v>
      </c>
      <c r="C276" t="s">
        <v>616</v>
      </c>
      <c r="D276" t="s">
        <v>617</v>
      </c>
      <c r="E276" s="182">
        <v>191119</v>
      </c>
      <c r="F276" t="s">
        <v>618</v>
      </c>
      <c r="G276" t="s">
        <v>619</v>
      </c>
      <c r="H276" s="118" t="s">
        <v>620</v>
      </c>
      <c r="I276" t="s">
        <v>627</v>
      </c>
      <c r="J276" t="s">
        <v>622</v>
      </c>
      <c r="K276" t="s">
        <v>623</v>
      </c>
      <c r="L276" t="s">
        <v>329</v>
      </c>
      <c r="M276" s="183" t="s">
        <v>330</v>
      </c>
      <c r="N276" t="s">
        <v>687</v>
      </c>
      <c r="O276" t="s">
        <v>625</v>
      </c>
      <c r="P276">
        <v>250</v>
      </c>
      <c r="Q276" t="s">
        <v>626</v>
      </c>
      <c r="R276" s="184">
        <v>3.59</v>
      </c>
      <c r="S276" s="184">
        <f>R276/2.5</f>
        <v>1.4359999999999999</v>
      </c>
      <c r="T276" s="184">
        <f>S276*'edible cooking yield factors'!F154</f>
        <v>1.4359999999999999</v>
      </c>
    </row>
    <row r="277" spans="1:20" x14ac:dyDescent="0.25">
      <c r="A277" s="117" t="s">
        <v>614</v>
      </c>
      <c r="B277" s="117" t="s">
        <v>615</v>
      </c>
      <c r="C277" t="s">
        <v>616</v>
      </c>
      <c r="D277" t="s">
        <v>617</v>
      </c>
      <c r="E277" s="182">
        <v>191119</v>
      </c>
      <c r="F277" t="s">
        <v>618</v>
      </c>
      <c r="G277" t="s">
        <v>619</v>
      </c>
      <c r="H277" s="118" t="s">
        <v>620</v>
      </c>
      <c r="I277" t="s">
        <v>628</v>
      </c>
      <c r="J277" t="s">
        <v>622</v>
      </c>
      <c r="K277" t="s">
        <v>623</v>
      </c>
      <c r="L277" t="s">
        <v>329</v>
      </c>
      <c r="M277" s="183" t="s">
        <v>330</v>
      </c>
      <c r="N277" t="s">
        <v>628</v>
      </c>
      <c r="O277" t="s">
        <v>632</v>
      </c>
      <c r="P277">
        <v>460</v>
      </c>
      <c r="Q277" t="s">
        <v>626</v>
      </c>
      <c r="R277" s="184">
        <v>2.7</v>
      </c>
      <c r="S277" s="184">
        <f>R277/4.6</f>
        <v>0.58695652173913049</v>
      </c>
      <c r="T277" s="184">
        <f>S277*'edible cooking yield factors'!F154</f>
        <v>0.58695652173913049</v>
      </c>
    </row>
    <row r="278" spans="1:20" x14ac:dyDescent="0.25">
      <c r="A278" s="117" t="s">
        <v>614</v>
      </c>
      <c r="B278" s="117" t="s">
        <v>615</v>
      </c>
      <c r="C278" t="s">
        <v>616</v>
      </c>
      <c r="D278" t="s">
        <v>617</v>
      </c>
      <c r="E278" s="182">
        <v>191119</v>
      </c>
      <c r="F278" t="s">
        <v>618</v>
      </c>
      <c r="G278" t="s">
        <v>619</v>
      </c>
      <c r="H278" s="118" t="s">
        <v>620</v>
      </c>
      <c r="I278" t="s">
        <v>621</v>
      </c>
      <c r="J278" t="s">
        <v>622</v>
      </c>
      <c r="K278" t="s">
        <v>623</v>
      </c>
      <c r="L278" t="s">
        <v>125</v>
      </c>
      <c r="M278" s="183" t="str">
        <f>'common foods'!D56</f>
        <v>03051</v>
      </c>
      <c r="N278" t="s">
        <v>631</v>
      </c>
      <c r="O278" t="s">
        <v>632</v>
      </c>
      <c r="P278">
        <v>500</v>
      </c>
      <c r="Q278" t="s">
        <v>626</v>
      </c>
      <c r="R278" s="184">
        <v>0.89</v>
      </c>
      <c r="S278" s="184">
        <f>R278/5</f>
        <v>0.17799999999999999</v>
      </c>
      <c r="T278" s="184">
        <f>S278*'edible cooking yield factors'!F56</f>
        <v>0.42719999999999997</v>
      </c>
    </row>
    <row r="279" spans="1:20" x14ac:dyDescent="0.25">
      <c r="A279" s="117" t="s">
        <v>614</v>
      </c>
      <c r="B279" s="117" t="s">
        <v>615</v>
      </c>
      <c r="C279" t="s">
        <v>616</v>
      </c>
      <c r="D279" t="s">
        <v>617</v>
      </c>
      <c r="E279" s="182">
        <v>191119</v>
      </c>
      <c r="F279" t="s">
        <v>618</v>
      </c>
      <c r="G279" t="s">
        <v>619</v>
      </c>
      <c r="H279" s="118" t="s">
        <v>620</v>
      </c>
      <c r="I279" t="s">
        <v>627</v>
      </c>
      <c r="J279" t="s">
        <v>622</v>
      </c>
      <c r="K279" t="s">
        <v>623</v>
      </c>
      <c r="L279" t="s">
        <v>125</v>
      </c>
      <c r="M279" s="183" t="s">
        <v>126</v>
      </c>
      <c r="N279" t="s">
        <v>631</v>
      </c>
      <c r="O279" t="s">
        <v>632</v>
      </c>
      <c r="P279">
        <v>500</v>
      </c>
      <c r="Q279" t="s">
        <v>626</v>
      </c>
      <c r="R279" s="184">
        <v>0.95</v>
      </c>
      <c r="S279" s="184">
        <f>R279/5</f>
        <v>0.19</v>
      </c>
      <c r="T279" s="184">
        <f>S279*'edible cooking yield factors'!F56</f>
        <v>0.45599999999999996</v>
      </c>
    </row>
    <row r="280" spans="1:20" x14ac:dyDescent="0.25">
      <c r="A280" s="117" t="s">
        <v>614</v>
      </c>
      <c r="B280" s="117" t="s">
        <v>615</v>
      </c>
      <c r="C280" t="s">
        <v>616</v>
      </c>
      <c r="D280" t="s">
        <v>617</v>
      </c>
      <c r="E280" s="182">
        <v>191119</v>
      </c>
      <c r="F280" t="s">
        <v>618</v>
      </c>
      <c r="G280" t="s">
        <v>619</v>
      </c>
      <c r="H280" s="118" t="s">
        <v>620</v>
      </c>
      <c r="I280" t="s">
        <v>628</v>
      </c>
      <c r="J280" t="s">
        <v>622</v>
      </c>
      <c r="K280" t="s">
        <v>623</v>
      </c>
      <c r="L280" t="s">
        <v>125</v>
      </c>
      <c r="M280" s="183" t="s">
        <v>126</v>
      </c>
      <c r="N280" t="s">
        <v>648</v>
      </c>
      <c r="O280" t="s">
        <v>632</v>
      </c>
      <c r="P280">
        <v>500</v>
      </c>
      <c r="Q280" t="s">
        <v>626</v>
      </c>
      <c r="R280" s="184">
        <v>0.95</v>
      </c>
      <c r="S280" s="184">
        <f>R280/5</f>
        <v>0.19</v>
      </c>
      <c r="T280" s="184">
        <f>S280*'edible cooking yield factors'!F56</f>
        <v>0.45599999999999996</v>
      </c>
    </row>
    <row r="281" spans="1:20" x14ac:dyDescent="0.25">
      <c r="A281" s="117" t="s">
        <v>614</v>
      </c>
      <c r="B281" s="117" t="s">
        <v>615</v>
      </c>
      <c r="C281" t="s">
        <v>616</v>
      </c>
      <c r="D281" t="s">
        <v>617</v>
      </c>
      <c r="E281" s="182">
        <v>191119</v>
      </c>
      <c r="F281" t="s">
        <v>618</v>
      </c>
      <c r="G281" t="s">
        <v>619</v>
      </c>
      <c r="H281" s="118" t="s">
        <v>620</v>
      </c>
      <c r="I281" t="s">
        <v>621</v>
      </c>
      <c r="J281" t="s">
        <v>622</v>
      </c>
      <c r="K281" t="s">
        <v>623</v>
      </c>
      <c r="L281" t="s">
        <v>131</v>
      </c>
      <c r="M281" s="183" t="str">
        <f>'common foods'!D58</f>
        <v>03089</v>
      </c>
      <c r="N281" t="s">
        <v>631</v>
      </c>
      <c r="O281" t="s">
        <v>632</v>
      </c>
      <c r="P281">
        <v>1000</v>
      </c>
      <c r="Q281" t="s">
        <v>626</v>
      </c>
      <c r="R281" s="184">
        <v>1.65</v>
      </c>
      <c r="S281" s="184">
        <f>R281/10</f>
        <v>0.16499999999999998</v>
      </c>
      <c r="T281" s="184">
        <f>S281*'edible cooking yield factors'!F58</f>
        <v>0.39599999999999996</v>
      </c>
    </row>
    <row r="282" spans="1:20" x14ac:dyDescent="0.25">
      <c r="A282" s="117" t="s">
        <v>614</v>
      </c>
      <c r="B282" s="117" t="s">
        <v>615</v>
      </c>
      <c r="C282" t="s">
        <v>616</v>
      </c>
      <c r="D282" t="s">
        <v>617</v>
      </c>
      <c r="E282" s="182">
        <v>191119</v>
      </c>
      <c r="F282" t="s">
        <v>618</v>
      </c>
      <c r="G282" t="s">
        <v>619</v>
      </c>
      <c r="H282" s="118" t="s">
        <v>620</v>
      </c>
      <c r="I282" t="s">
        <v>627</v>
      </c>
      <c r="J282" t="s">
        <v>622</v>
      </c>
      <c r="K282" t="s">
        <v>623</v>
      </c>
      <c r="L282" t="s">
        <v>131</v>
      </c>
      <c r="M282" s="183" t="s">
        <v>132</v>
      </c>
      <c r="N282" t="s">
        <v>631</v>
      </c>
      <c r="O282" t="s">
        <v>632</v>
      </c>
      <c r="P282">
        <v>1000</v>
      </c>
      <c r="Q282" t="s">
        <v>626</v>
      </c>
      <c r="R282" s="184">
        <v>1.79</v>
      </c>
      <c r="S282" s="184">
        <f>R282/10</f>
        <v>0.17899999999999999</v>
      </c>
      <c r="T282" s="184">
        <f>S282*'edible cooking yield factors'!F58</f>
        <v>0.42959999999999998</v>
      </c>
    </row>
    <row r="283" spans="1:20" x14ac:dyDescent="0.25">
      <c r="A283" s="117" t="s">
        <v>614</v>
      </c>
      <c r="B283" s="117" t="s">
        <v>615</v>
      </c>
      <c r="C283" t="s">
        <v>616</v>
      </c>
      <c r="D283" t="s">
        <v>617</v>
      </c>
      <c r="E283" s="182">
        <v>191119</v>
      </c>
      <c r="F283" t="s">
        <v>618</v>
      </c>
      <c r="G283" t="s">
        <v>619</v>
      </c>
      <c r="H283" s="118" t="s">
        <v>620</v>
      </c>
      <c r="I283" t="s">
        <v>628</v>
      </c>
      <c r="J283" t="s">
        <v>622</v>
      </c>
      <c r="K283" t="s">
        <v>623</v>
      </c>
      <c r="L283" t="s">
        <v>131</v>
      </c>
      <c r="M283" s="183" t="s">
        <v>132</v>
      </c>
      <c r="N283" t="s">
        <v>648</v>
      </c>
      <c r="O283" t="s">
        <v>632</v>
      </c>
      <c r="P283">
        <v>1000</v>
      </c>
      <c r="Q283" t="s">
        <v>626</v>
      </c>
      <c r="R283" s="184">
        <v>1.8</v>
      </c>
      <c r="S283" s="184">
        <f>R283/10</f>
        <v>0.18</v>
      </c>
      <c r="T283" s="184">
        <f>S283*'edible cooking yield factors'!F58</f>
        <v>0.432</v>
      </c>
    </row>
    <row r="284" spans="1:20" x14ac:dyDescent="0.25">
      <c r="A284" s="117" t="s">
        <v>614</v>
      </c>
      <c r="B284" s="117" t="s">
        <v>615</v>
      </c>
      <c r="C284" t="s">
        <v>616</v>
      </c>
      <c r="D284" t="s">
        <v>617</v>
      </c>
      <c r="E284" s="182">
        <v>191119</v>
      </c>
      <c r="F284" t="s">
        <v>618</v>
      </c>
      <c r="G284" t="s">
        <v>619</v>
      </c>
      <c r="H284" s="118" t="s">
        <v>620</v>
      </c>
      <c r="I284" t="s">
        <v>621</v>
      </c>
      <c r="J284" t="s">
        <v>622</v>
      </c>
      <c r="K284" t="s">
        <v>623</v>
      </c>
      <c r="L284" t="s">
        <v>135</v>
      </c>
      <c r="M284" s="183" t="str">
        <f>'common foods'!D61</f>
        <v>03056</v>
      </c>
      <c r="N284" t="s">
        <v>636</v>
      </c>
      <c r="O284" t="s">
        <v>632</v>
      </c>
      <c r="P284">
        <v>425</v>
      </c>
      <c r="Q284" t="s">
        <v>626</v>
      </c>
      <c r="R284" s="184">
        <v>1.19</v>
      </c>
      <c r="S284" s="184">
        <f>R284/4.25</f>
        <v>0.27999999999999997</v>
      </c>
      <c r="T284" s="184">
        <f>S284*'edible cooking yield factors'!F60</f>
        <v>0.27999999999999997</v>
      </c>
    </row>
    <row r="285" spans="1:20" x14ac:dyDescent="0.25">
      <c r="A285" s="117" t="s">
        <v>614</v>
      </c>
      <c r="B285" s="117" t="s">
        <v>615</v>
      </c>
      <c r="C285" t="s">
        <v>616</v>
      </c>
      <c r="D285" t="s">
        <v>617</v>
      </c>
      <c r="E285" s="182">
        <v>191119</v>
      </c>
      <c r="F285" t="s">
        <v>618</v>
      </c>
      <c r="G285" t="s">
        <v>619</v>
      </c>
      <c r="H285" s="118" t="s">
        <v>620</v>
      </c>
      <c r="I285" t="s">
        <v>627</v>
      </c>
      <c r="J285" t="s">
        <v>622</v>
      </c>
      <c r="K285" t="s">
        <v>623</v>
      </c>
      <c r="L285" t="s">
        <v>135</v>
      </c>
      <c r="M285" s="183" t="s">
        <v>136</v>
      </c>
      <c r="N285" t="s">
        <v>636</v>
      </c>
      <c r="O285" t="s">
        <v>632</v>
      </c>
      <c r="P285">
        <v>425</v>
      </c>
      <c r="Q285" t="s">
        <v>626</v>
      </c>
      <c r="R285" s="184">
        <v>1.29</v>
      </c>
      <c r="S285" s="184">
        <f>R285/4.25</f>
        <v>0.30352941176470588</v>
      </c>
      <c r="T285" s="184">
        <f>S285*'edible cooking yield factors'!F60</f>
        <v>0.30352941176470588</v>
      </c>
    </row>
    <row r="286" spans="1:20" x14ac:dyDescent="0.25">
      <c r="A286" s="117" t="s">
        <v>614</v>
      </c>
      <c r="B286" s="117" t="s">
        <v>615</v>
      </c>
      <c r="C286" t="s">
        <v>616</v>
      </c>
      <c r="D286" t="s">
        <v>617</v>
      </c>
      <c r="E286" s="182">
        <v>191119</v>
      </c>
      <c r="F286" t="s">
        <v>618</v>
      </c>
      <c r="G286" t="s">
        <v>619</v>
      </c>
      <c r="H286" s="118" t="s">
        <v>620</v>
      </c>
      <c r="I286" t="s">
        <v>628</v>
      </c>
      <c r="J286" t="s">
        <v>622</v>
      </c>
      <c r="K286" t="s">
        <v>623</v>
      </c>
      <c r="L286" t="s">
        <v>135</v>
      </c>
      <c r="M286" s="183" t="s">
        <v>136</v>
      </c>
      <c r="N286" t="s">
        <v>628</v>
      </c>
      <c r="O286" t="s">
        <v>632</v>
      </c>
      <c r="P286">
        <v>420</v>
      </c>
      <c r="Q286" t="s">
        <v>626</v>
      </c>
      <c r="R286" s="184">
        <v>0.7</v>
      </c>
      <c r="S286" s="184">
        <f>R286/4.2</f>
        <v>0.16666666666666666</v>
      </c>
      <c r="T286" s="184">
        <f>S286*'edible cooking yield factors'!F60</f>
        <v>0.16666666666666666</v>
      </c>
    </row>
    <row r="287" spans="1:20" s="199" customFormat="1" x14ac:dyDescent="0.25">
      <c r="A287" s="186" t="s">
        <v>614</v>
      </c>
      <c r="B287" s="186" t="s">
        <v>615</v>
      </c>
      <c r="C287" s="199" t="s">
        <v>616</v>
      </c>
      <c r="D287" s="199" t="s">
        <v>617</v>
      </c>
      <c r="E287" s="203">
        <v>191119</v>
      </c>
      <c r="F287" s="199" t="s">
        <v>618</v>
      </c>
      <c r="G287" s="199" t="s">
        <v>619</v>
      </c>
      <c r="H287" s="187" t="s">
        <v>620</v>
      </c>
      <c r="I287" s="199" t="s">
        <v>621</v>
      </c>
      <c r="J287" s="199" t="s">
        <v>622</v>
      </c>
      <c r="K287" s="199" t="s">
        <v>623</v>
      </c>
      <c r="L287" s="199" t="str">
        <f>'common foods'!C152</f>
        <v>Cocoa puffs</v>
      </c>
      <c r="M287" s="204" t="str">
        <f>'common foods'!D152</f>
        <v>03068</v>
      </c>
      <c r="N287" s="199" t="s">
        <v>631</v>
      </c>
      <c r="O287" s="199" t="s">
        <v>632</v>
      </c>
      <c r="P287" s="199">
        <v>600</v>
      </c>
      <c r="Q287" s="199" t="s">
        <v>626</v>
      </c>
      <c r="R287" s="198">
        <v>3.89</v>
      </c>
      <c r="S287" s="198">
        <f>R287/6</f>
        <v>0.64833333333333332</v>
      </c>
      <c r="T287" s="198">
        <f>S287*'edible cooking yield factors'!F61</f>
        <v>0.64833333333333332</v>
      </c>
    </row>
    <row r="288" spans="1:20" s="199" customFormat="1" x14ac:dyDescent="0.25">
      <c r="A288" s="186" t="s">
        <v>614</v>
      </c>
      <c r="B288" s="186" t="s">
        <v>615</v>
      </c>
      <c r="C288" s="199" t="s">
        <v>616</v>
      </c>
      <c r="D288" s="199" t="s">
        <v>617</v>
      </c>
      <c r="E288" s="203">
        <v>191119</v>
      </c>
      <c r="F288" s="199" t="s">
        <v>618</v>
      </c>
      <c r="G288" s="199" t="s">
        <v>619</v>
      </c>
      <c r="H288" s="187" t="s">
        <v>620</v>
      </c>
      <c r="I288" s="199" t="s">
        <v>627</v>
      </c>
      <c r="J288" s="199" t="s">
        <v>622</v>
      </c>
      <c r="K288" s="199" t="s">
        <v>623</v>
      </c>
      <c r="L288" s="199" t="s">
        <v>324</v>
      </c>
      <c r="M288" s="204" t="s">
        <v>325</v>
      </c>
      <c r="N288" s="199" t="s">
        <v>631</v>
      </c>
      <c r="O288" s="199" t="s">
        <v>632</v>
      </c>
      <c r="P288" s="199">
        <v>600</v>
      </c>
      <c r="Q288" s="199" t="s">
        <v>626</v>
      </c>
      <c r="R288" s="198">
        <v>3.99</v>
      </c>
      <c r="S288" s="198">
        <f>R288/6</f>
        <v>0.66500000000000004</v>
      </c>
      <c r="T288" s="198">
        <f>S288*'edible cooking yield factors'!F61</f>
        <v>0.66500000000000004</v>
      </c>
    </row>
    <row r="289" spans="1:20" s="199" customFormat="1" x14ac:dyDescent="0.25">
      <c r="A289" s="186" t="s">
        <v>614</v>
      </c>
      <c r="B289" s="186" t="s">
        <v>615</v>
      </c>
      <c r="C289" s="199" t="s">
        <v>616</v>
      </c>
      <c r="D289" s="199" t="s">
        <v>617</v>
      </c>
      <c r="E289" s="203">
        <v>191119</v>
      </c>
      <c r="F289" s="199" t="s">
        <v>618</v>
      </c>
      <c r="G289" s="199" t="s">
        <v>619</v>
      </c>
      <c r="H289" s="187" t="s">
        <v>620</v>
      </c>
      <c r="I289" s="199" t="s">
        <v>628</v>
      </c>
      <c r="J289" s="199" t="s">
        <v>622</v>
      </c>
      <c r="K289" s="199" t="s">
        <v>623</v>
      </c>
      <c r="L289" s="199" t="s">
        <v>324</v>
      </c>
      <c r="M289" s="204" t="s">
        <v>325</v>
      </c>
      <c r="N289" s="199" t="s">
        <v>628</v>
      </c>
      <c r="O289" s="199" t="s">
        <v>632</v>
      </c>
      <c r="P289" s="199">
        <v>600</v>
      </c>
      <c r="Q289" s="199" t="s">
        <v>626</v>
      </c>
      <c r="R289" s="198">
        <v>4</v>
      </c>
      <c r="S289" s="198">
        <f>R289/6</f>
        <v>0.66666666666666663</v>
      </c>
      <c r="T289" s="198">
        <f>S289*'edible cooking yield factors'!F61</f>
        <v>0.66666666666666663</v>
      </c>
    </row>
    <row r="290" spans="1:20" x14ac:dyDescent="0.25">
      <c r="A290" s="117" t="s">
        <v>614</v>
      </c>
      <c r="B290" s="117" t="s">
        <v>615</v>
      </c>
      <c r="C290" t="s">
        <v>616</v>
      </c>
      <c r="D290" t="s">
        <v>617</v>
      </c>
      <c r="E290" s="182">
        <v>191119</v>
      </c>
      <c r="F290" t="s">
        <v>618</v>
      </c>
      <c r="G290" t="s">
        <v>619</v>
      </c>
      <c r="H290" s="118" t="s">
        <v>620</v>
      </c>
      <c r="I290" t="s">
        <v>621</v>
      </c>
      <c r="J290" t="s">
        <v>622</v>
      </c>
      <c r="K290" t="s">
        <v>623</v>
      </c>
      <c r="L290" t="s">
        <v>143</v>
      </c>
      <c r="M290" s="183" t="str">
        <f>'common foods'!D65</f>
        <v>03066</v>
      </c>
      <c r="N290" t="s">
        <v>463</v>
      </c>
      <c r="O290" t="s">
        <v>625</v>
      </c>
      <c r="P290">
        <v>420</v>
      </c>
      <c r="Q290" t="s">
        <v>626</v>
      </c>
      <c r="R290" s="184">
        <v>2.4</v>
      </c>
      <c r="S290" s="184">
        <f>R290/4.2</f>
        <v>0.5714285714285714</v>
      </c>
      <c r="T290" s="184">
        <f>S290*'edible cooking yield factors'!F64</f>
        <v>0.5714285714285714</v>
      </c>
    </row>
    <row r="291" spans="1:20" x14ac:dyDescent="0.25">
      <c r="A291" s="117" t="s">
        <v>614</v>
      </c>
      <c r="B291" s="117" t="s">
        <v>615</v>
      </c>
      <c r="C291" t="s">
        <v>616</v>
      </c>
      <c r="D291" t="s">
        <v>617</v>
      </c>
      <c r="E291" s="182">
        <v>191119</v>
      </c>
      <c r="F291" t="s">
        <v>618</v>
      </c>
      <c r="G291" t="s">
        <v>619</v>
      </c>
      <c r="H291" s="118" t="s">
        <v>620</v>
      </c>
      <c r="I291" t="s">
        <v>627</v>
      </c>
      <c r="J291" t="s">
        <v>622</v>
      </c>
      <c r="K291" t="s">
        <v>623</v>
      </c>
      <c r="L291" t="s">
        <v>143</v>
      </c>
      <c r="M291" s="183" t="s">
        <v>144</v>
      </c>
      <c r="N291" t="s">
        <v>463</v>
      </c>
      <c r="O291" t="s">
        <v>625</v>
      </c>
      <c r="P291">
        <v>420</v>
      </c>
      <c r="Q291" t="s">
        <v>626</v>
      </c>
      <c r="R291" s="184">
        <v>1.99</v>
      </c>
      <c r="S291" s="184">
        <f>R291/4.2</f>
        <v>0.47380952380952379</v>
      </c>
      <c r="T291" s="184">
        <f>S291*'edible cooking yield factors'!F64</f>
        <v>0.47380952380952379</v>
      </c>
    </row>
    <row r="292" spans="1:20" x14ac:dyDescent="0.25">
      <c r="A292" s="117" t="s">
        <v>614</v>
      </c>
      <c r="B292" s="117" t="s">
        <v>615</v>
      </c>
      <c r="C292" t="s">
        <v>616</v>
      </c>
      <c r="D292" t="s">
        <v>617</v>
      </c>
      <c r="E292" s="182">
        <v>191119</v>
      </c>
      <c r="F292" t="s">
        <v>618</v>
      </c>
      <c r="G292" t="s">
        <v>619</v>
      </c>
      <c r="H292" s="118" t="s">
        <v>620</v>
      </c>
      <c r="I292" t="s">
        <v>628</v>
      </c>
      <c r="J292" t="s">
        <v>622</v>
      </c>
      <c r="K292" t="s">
        <v>623</v>
      </c>
      <c r="L292" t="s">
        <v>143</v>
      </c>
      <c r="M292" s="183" t="s">
        <v>144</v>
      </c>
      <c r="N292" t="s">
        <v>463</v>
      </c>
      <c r="O292" t="s">
        <v>625</v>
      </c>
      <c r="P292">
        <v>420</v>
      </c>
      <c r="Q292" t="s">
        <v>626</v>
      </c>
      <c r="R292" s="184">
        <v>2.09</v>
      </c>
      <c r="S292" s="184">
        <f>R292/4.2</f>
        <v>0.49761904761904757</v>
      </c>
      <c r="T292" s="184">
        <f>S292*'edible cooking yield factors'!F64</f>
        <v>0.49761904761904757</v>
      </c>
    </row>
    <row r="293" spans="1:20" x14ac:dyDescent="0.25">
      <c r="A293" s="117" t="s">
        <v>614</v>
      </c>
      <c r="B293" s="117" t="s">
        <v>615</v>
      </c>
      <c r="C293" t="s">
        <v>616</v>
      </c>
      <c r="D293" t="s">
        <v>617</v>
      </c>
      <c r="E293" s="182">
        <v>231019</v>
      </c>
      <c r="F293" t="s">
        <v>618</v>
      </c>
      <c r="G293" t="s">
        <v>619</v>
      </c>
      <c r="H293" s="118" t="s">
        <v>620</v>
      </c>
      <c r="I293" t="s">
        <v>621</v>
      </c>
      <c r="J293" t="s">
        <v>622</v>
      </c>
      <c r="K293" t="s">
        <v>688</v>
      </c>
      <c r="L293" s="196" t="s">
        <v>689</v>
      </c>
      <c r="M293" s="183" t="str">
        <f>'common foods'!D73</f>
        <v>04058</v>
      </c>
      <c r="N293" t="s">
        <v>667</v>
      </c>
      <c r="O293" t="s">
        <v>625</v>
      </c>
      <c r="P293">
        <v>1000</v>
      </c>
      <c r="Q293" t="s">
        <v>626</v>
      </c>
      <c r="R293" s="206">
        <v>9.89</v>
      </c>
      <c r="S293" s="206">
        <v>0.99</v>
      </c>
      <c r="T293" s="206">
        <f>S293*1</f>
        <v>0.99</v>
      </c>
    </row>
    <row r="294" spans="1:20" x14ac:dyDescent="0.25">
      <c r="A294" s="117" t="s">
        <v>614</v>
      </c>
      <c r="B294" s="117" t="s">
        <v>615</v>
      </c>
      <c r="C294" t="s">
        <v>616</v>
      </c>
      <c r="D294" t="s">
        <v>617</v>
      </c>
      <c r="E294" s="182">
        <v>231019</v>
      </c>
      <c r="F294" t="s">
        <v>618</v>
      </c>
      <c r="G294" t="s">
        <v>619</v>
      </c>
      <c r="H294" s="118" t="s">
        <v>620</v>
      </c>
      <c r="I294" t="s">
        <v>627</v>
      </c>
      <c r="J294" t="s">
        <v>622</v>
      </c>
      <c r="K294" t="s">
        <v>688</v>
      </c>
      <c r="L294" s="196" t="s">
        <v>689</v>
      </c>
      <c r="M294" s="183" t="s">
        <v>161</v>
      </c>
      <c r="N294" t="s">
        <v>667</v>
      </c>
      <c r="O294" t="s">
        <v>625</v>
      </c>
      <c r="P294">
        <v>1000</v>
      </c>
      <c r="Q294" t="s">
        <v>626</v>
      </c>
      <c r="R294" s="206">
        <v>10.99</v>
      </c>
      <c r="S294" s="206">
        <v>1.1000000000000001</v>
      </c>
      <c r="T294" s="206">
        <f>S294*1</f>
        <v>1.1000000000000001</v>
      </c>
    </row>
    <row r="295" spans="1:20" x14ac:dyDescent="0.25">
      <c r="A295" s="117" t="s">
        <v>614</v>
      </c>
      <c r="B295" s="117" t="s">
        <v>615</v>
      </c>
      <c r="C295" t="s">
        <v>616</v>
      </c>
      <c r="D295" t="s">
        <v>617</v>
      </c>
      <c r="E295" s="182">
        <v>231019</v>
      </c>
      <c r="F295" t="s">
        <v>618</v>
      </c>
      <c r="G295" t="s">
        <v>619</v>
      </c>
      <c r="H295" s="118" t="s">
        <v>620</v>
      </c>
      <c r="I295" t="s">
        <v>628</v>
      </c>
      <c r="J295" t="s">
        <v>622</v>
      </c>
      <c r="K295" t="s">
        <v>688</v>
      </c>
      <c r="L295" s="196" t="s">
        <v>689</v>
      </c>
      <c r="M295" s="183" t="s">
        <v>161</v>
      </c>
      <c r="N295" t="s">
        <v>628</v>
      </c>
      <c r="O295" t="s">
        <v>632</v>
      </c>
      <c r="P295">
        <v>1000</v>
      </c>
      <c r="Q295" t="s">
        <v>626</v>
      </c>
      <c r="R295" s="206">
        <v>9</v>
      </c>
      <c r="S295" s="206">
        <f>R295/10</f>
        <v>0.9</v>
      </c>
      <c r="T295" s="206">
        <f>S295*1</f>
        <v>0.9</v>
      </c>
    </row>
    <row r="296" spans="1:20" x14ac:dyDescent="0.25">
      <c r="A296" s="117" t="s">
        <v>614</v>
      </c>
      <c r="B296" s="117" t="s">
        <v>615</v>
      </c>
      <c r="C296" t="s">
        <v>616</v>
      </c>
      <c r="D296" t="s">
        <v>617</v>
      </c>
      <c r="E296" s="182">
        <v>191119</v>
      </c>
      <c r="F296" t="s">
        <v>618</v>
      </c>
      <c r="G296" t="s">
        <v>619</v>
      </c>
      <c r="H296" s="118" t="s">
        <v>620</v>
      </c>
      <c r="I296" t="s">
        <v>621</v>
      </c>
      <c r="J296" t="s">
        <v>622</v>
      </c>
      <c r="K296" t="s">
        <v>629</v>
      </c>
      <c r="L296" t="str">
        <f>'common foods'!C72</f>
        <v>Cheese, Colby</v>
      </c>
      <c r="M296" s="183" t="str">
        <f>'common foods'!D72</f>
        <v>04057</v>
      </c>
      <c r="N296" t="s">
        <v>667</v>
      </c>
      <c r="O296" t="s">
        <v>625</v>
      </c>
      <c r="P296">
        <v>1000</v>
      </c>
      <c r="Q296" t="s">
        <v>626</v>
      </c>
      <c r="R296" s="184">
        <v>9.99</v>
      </c>
      <c r="S296" s="184">
        <f>R296/10</f>
        <v>0.999</v>
      </c>
      <c r="T296" s="184">
        <f>S296*'edible cooking yield factors'!F71</f>
        <v>0.999</v>
      </c>
    </row>
    <row r="297" spans="1:20" x14ac:dyDescent="0.25">
      <c r="A297" s="117" t="s">
        <v>614</v>
      </c>
      <c r="B297" s="117" t="s">
        <v>615</v>
      </c>
      <c r="C297" t="s">
        <v>616</v>
      </c>
      <c r="D297" t="s">
        <v>617</v>
      </c>
      <c r="E297" s="182">
        <v>191119</v>
      </c>
      <c r="F297" t="s">
        <v>618</v>
      </c>
      <c r="G297" t="s">
        <v>619</v>
      </c>
      <c r="H297" s="118" t="s">
        <v>620</v>
      </c>
      <c r="I297" t="s">
        <v>627</v>
      </c>
      <c r="J297" t="s">
        <v>622</v>
      </c>
      <c r="K297" t="s">
        <v>629</v>
      </c>
      <c r="L297" t="str">
        <f>'common foods'!C72</f>
        <v>Cheese, Colby</v>
      </c>
      <c r="M297" s="183" t="s">
        <v>159</v>
      </c>
      <c r="N297" t="s">
        <v>690</v>
      </c>
      <c r="O297" t="s">
        <v>632</v>
      </c>
      <c r="P297">
        <v>1000</v>
      </c>
      <c r="Q297" t="s">
        <v>626</v>
      </c>
      <c r="R297" s="184">
        <v>9.99</v>
      </c>
      <c r="S297" s="184">
        <f>R297/10</f>
        <v>0.999</v>
      </c>
      <c r="T297" s="184">
        <f>S297*'edible cooking yield factors'!F71</f>
        <v>0.999</v>
      </c>
    </row>
    <row r="298" spans="1:20" x14ac:dyDescent="0.25">
      <c r="A298" s="117" t="s">
        <v>614</v>
      </c>
      <c r="B298" s="117" t="s">
        <v>615</v>
      </c>
      <c r="C298" t="s">
        <v>616</v>
      </c>
      <c r="D298" t="s">
        <v>617</v>
      </c>
      <c r="E298" s="182">
        <v>191119</v>
      </c>
      <c r="F298" t="s">
        <v>618</v>
      </c>
      <c r="G298" t="s">
        <v>619</v>
      </c>
      <c r="H298" s="118" t="s">
        <v>620</v>
      </c>
      <c r="I298" t="s">
        <v>628</v>
      </c>
      <c r="J298" t="s">
        <v>622</v>
      </c>
      <c r="K298" t="s">
        <v>629</v>
      </c>
      <c r="L298" t="str">
        <f>'common foods'!C72</f>
        <v>Cheese, Colby</v>
      </c>
      <c r="M298" s="183" t="s">
        <v>159</v>
      </c>
      <c r="N298" t="s">
        <v>628</v>
      </c>
      <c r="O298" t="s">
        <v>632</v>
      </c>
      <c r="P298">
        <v>1000</v>
      </c>
      <c r="Q298" t="s">
        <v>626</v>
      </c>
      <c r="R298" s="184">
        <v>9</v>
      </c>
      <c r="S298" s="184">
        <f>R298/10</f>
        <v>0.9</v>
      </c>
      <c r="T298" s="184">
        <f>S298*'edible cooking yield factors'!F71</f>
        <v>0.9</v>
      </c>
    </row>
    <row r="299" spans="1:20" x14ac:dyDescent="0.25">
      <c r="A299" s="117" t="s">
        <v>614</v>
      </c>
      <c r="B299" s="117" t="s">
        <v>615</v>
      </c>
      <c r="C299" t="s">
        <v>616</v>
      </c>
      <c r="D299" t="s">
        <v>617</v>
      </c>
      <c r="E299" s="182">
        <v>191119</v>
      </c>
      <c r="F299" t="s">
        <v>618</v>
      </c>
      <c r="G299" t="s">
        <v>619</v>
      </c>
      <c r="H299" s="118" t="s">
        <v>620</v>
      </c>
      <c r="I299" t="s">
        <v>621</v>
      </c>
      <c r="J299" t="s">
        <v>622</v>
      </c>
      <c r="K299" t="s">
        <v>629</v>
      </c>
      <c r="L299" t="s">
        <v>165</v>
      </c>
      <c r="M299" s="183" t="str">
        <f>'common foods'!D75</f>
        <v>04060</v>
      </c>
      <c r="N299" t="s">
        <v>631</v>
      </c>
      <c r="O299" t="s">
        <v>632</v>
      </c>
      <c r="P299">
        <v>3000</v>
      </c>
      <c r="Q299" t="s">
        <v>626</v>
      </c>
      <c r="R299" s="184">
        <v>5.0599999999999996</v>
      </c>
      <c r="S299" s="184">
        <f>R299/30</f>
        <v>0.16866666666666666</v>
      </c>
      <c r="T299" s="184">
        <f>S299*'edible cooking yield factors'!F74</f>
        <v>0.16866666666666666</v>
      </c>
    </row>
    <row r="300" spans="1:20" x14ac:dyDescent="0.25">
      <c r="A300" s="117" t="s">
        <v>614</v>
      </c>
      <c r="B300" s="117" t="s">
        <v>615</v>
      </c>
      <c r="C300" t="s">
        <v>616</v>
      </c>
      <c r="D300" t="s">
        <v>617</v>
      </c>
      <c r="E300" s="182">
        <v>191119</v>
      </c>
      <c r="F300" t="s">
        <v>618</v>
      </c>
      <c r="G300" t="s">
        <v>619</v>
      </c>
      <c r="H300" s="118" t="s">
        <v>620</v>
      </c>
      <c r="I300" t="s">
        <v>627</v>
      </c>
      <c r="J300" t="s">
        <v>622</v>
      </c>
      <c r="K300" t="s">
        <v>629</v>
      </c>
      <c r="L300" t="s">
        <v>165</v>
      </c>
      <c r="M300" s="183" t="s">
        <v>166</v>
      </c>
      <c r="N300" t="s">
        <v>631</v>
      </c>
      <c r="O300" t="s">
        <v>632</v>
      </c>
      <c r="P300">
        <v>3000</v>
      </c>
      <c r="Q300" t="s">
        <v>626</v>
      </c>
      <c r="R300" s="184">
        <v>5.15</v>
      </c>
      <c r="S300" s="184">
        <f>R300/30</f>
        <v>0.17166666666666669</v>
      </c>
      <c r="T300" s="184">
        <f>S300*'edible cooking yield factors'!F74</f>
        <v>0.17166666666666669</v>
      </c>
    </row>
    <row r="301" spans="1:20" x14ac:dyDescent="0.25">
      <c r="A301" s="117" t="s">
        <v>614</v>
      </c>
      <c r="B301" s="117" t="s">
        <v>615</v>
      </c>
      <c r="C301" t="s">
        <v>616</v>
      </c>
      <c r="D301" t="s">
        <v>617</v>
      </c>
      <c r="E301" s="182">
        <v>191119</v>
      </c>
      <c r="F301" t="s">
        <v>618</v>
      </c>
      <c r="G301" t="s">
        <v>619</v>
      </c>
      <c r="H301" s="118" t="s">
        <v>620</v>
      </c>
      <c r="I301" t="s">
        <v>628</v>
      </c>
      <c r="J301" t="s">
        <v>622</v>
      </c>
      <c r="K301" t="s">
        <v>629</v>
      </c>
      <c r="L301" t="s">
        <v>165</v>
      </c>
      <c r="M301" s="183" t="s">
        <v>166</v>
      </c>
      <c r="N301" t="s">
        <v>628</v>
      </c>
      <c r="O301" t="s">
        <v>632</v>
      </c>
      <c r="P301">
        <v>3000</v>
      </c>
      <c r="Q301" t="s">
        <v>626</v>
      </c>
      <c r="R301" s="184">
        <v>5.15</v>
      </c>
      <c r="S301" s="184">
        <f>R301/30</f>
        <v>0.17166666666666669</v>
      </c>
      <c r="T301" s="184">
        <f>S301*'edible cooking yield factors'!F74</f>
        <v>0.17166666666666669</v>
      </c>
    </row>
    <row r="302" spans="1:20" x14ac:dyDescent="0.25">
      <c r="A302" s="117" t="s">
        <v>614</v>
      </c>
      <c r="B302" s="117" t="s">
        <v>615</v>
      </c>
      <c r="C302" t="s">
        <v>616</v>
      </c>
      <c r="D302" t="s">
        <v>617</v>
      </c>
      <c r="E302" s="182">
        <v>191119</v>
      </c>
      <c r="F302" t="s">
        <v>618</v>
      </c>
      <c r="G302" t="s">
        <v>619</v>
      </c>
      <c r="H302" s="118" t="s">
        <v>620</v>
      </c>
      <c r="I302" t="s">
        <v>621</v>
      </c>
      <c r="J302" t="s">
        <v>622</v>
      </c>
      <c r="K302" t="s">
        <v>629</v>
      </c>
      <c r="L302" t="s">
        <v>167</v>
      </c>
      <c r="M302" s="183" t="str">
        <f>'common foods'!D76</f>
        <v>04061</v>
      </c>
      <c r="N302" t="s">
        <v>630</v>
      </c>
      <c r="O302" t="s">
        <v>625</v>
      </c>
      <c r="P302">
        <v>750</v>
      </c>
      <c r="Q302" t="s">
        <v>626</v>
      </c>
      <c r="R302" s="184">
        <v>2.89</v>
      </c>
      <c r="S302" s="184">
        <f>R302/7.5</f>
        <v>0.38533333333333336</v>
      </c>
      <c r="T302" s="184">
        <f>S302*'edible cooking yield factors'!F75</f>
        <v>0.38533333333333336</v>
      </c>
    </row>
    <row r="303" spans="1:20" x14ac:dyDescent="0.25">
      <c r="A303" s="117" t="s">
        <v>614</v>
      </c>
      <c r="B303" s="117" t="s">
        <v>615</v>
      </c>
      <c r="C303" t="s">
        <v>616</v>
      </c>
      <c r="D303" t="s">
        <v>617</v>
      </c>
      <c r="E303" s="182">
        <v>191119</v>
      </c>
      <c r="F303" t="s">
        <v>618</v>
      </c>
      <c r="G303" t="s">
        <v>619</v>
      </c>
      <c r="H303" s="118" t="s">
        <v>620</v>
      </c>
      <c r="I303" t="s">
        <v>627</v>
      </c>
      <c r="J303" t="s">
        <v>622</v>
      </c>
      <c r="K303" t="s">
        <v>629</v>
      </c>
      <c r="L303" t="s">
        <v>167</v>
      </c>
      <c r="M303" s="183" t="s">
        <v>168</v>
      </c>
      <c r="N303" t="s">
        <v>630</v>
      </c>
      <c r="O303" t="s">
        <v>625</v>
      </c>
      <c r="P303">
        <v>750</v>
      </c>
      <c r="Q303" t="s">
        <v>626</v>
      </c>
      <c r="R303" s="184">
        <v>2.79</v>
      </c>
      <c r="S303" s="184">
        <f>R303/7.5</f>
        <v>0.372</v>
      </c>
      <c r="T303" s="184">
        <f>S303*'edible cooking yield factors'!F75</f>
        <v>0.372</v>
      </c>
    </row>
    <row r="304" spans="1:20" x14ac:dyDescent="0.25">
      <c r="A304" s="117" t="s">
        <v>614</v>
      </c>
      <c r="B304" s="117" t="s">
        <v>615</v>
      </c>
      <c r="C304" t="s">
        <v>616</v>
      </c>
      <c r="D304" t="s">
        <v>617</v>
      </c>
      <c r="E304" s="182">
        <v>191119</v>
      </c>
      <c r="F304" t="s">
        <v>618</v>
      </c>
      <c r="G304" t="s">
        <v>619</v>
      </c>
      <c r="H304" s="118" t="s">
        <v>620</v>
      </c>
      <c r="I304" t="s">
        <v>628</v>
      </c>
      <c r="J304" t="s">
        <v>622</v>
      </c>
      <c r="K304" t="s">
        <v>629</v>
      </c>
      <c r="L304" t="s">
        <v>167</v>
      </c>
      <c r="M304" s="183" t="s">
        <v>168</v>
      </c>
      <c r="N304" t="s">
        <v>630</v>
      </c>
      <c r="O304" t="s">
        <v>625</v>
      </c>
      <c r="P304">
        <v>750</v>
      </c>
      <c r="Q304" t="s">
        <v>626</v>
      </c>
      <c r="R304" s="184">
        <v>3</v>
      </c>
      <c r="S304" s="184">
        <f>R304/7.5</f>
        <v>0.4</v>
      </c>
      <c r="T304" s="184">
        <f>S304*'edible cooking yield factors'!F75</f>
        <v>0.4</v>
      </c>
    </row>
    <row r="305" spans="1:20" x14ac:dyDescent="0.25">
      <c r="A305" s="117" t="s">
        <v>614</v>
      </c>
      <c r="B305" s="117" t="s">
        <v>615</v>
      </c>
      <c r="C305" t="s">
        <v>616</v>
      </c>
      <c r="D305" t="s">
        <v>617</v>
      </c>
      <c r="E305" s="182">
        <v>191119</v>
      </c>
      <c r="F305" t="s">
        <v>618</v>
      </c>
      <c r="G305" t="s">
        <v>619</v>
      </c>
      <c r="H305" s="118" t="s">
        <v>620</v>
      </c>
      <c r="I305" t="s">
        <v>621</v>
      </c>
      <c r="J305" t="s">
        <v>622</v>
      </c>
      <c r="K305" t="s">
        <v>629</v>
      </c>
      <c r="L305" t="s">
        <v>171</v>
      </c>
      <c r="M305" s="183" t="str">
        <f>'common foods'!D78</f>
        <v>04063</v>
      </c>
      <c r="N305" t="s">
        <v>691</v>
      </c>
      <c r="O305" t="s">
        <v>625</v>
      </c>
      <c r="P305">
        <v>500</v>
      </c>
      <c r="Q305" t="s">
        <v>626</v>
      </c>
      <c r="R305" s="184">
        <v>4.1900000000000004</v>
      </c>
      <c r="S305" s="184">
        <f>R305/5</f>
        <v>0.83800000000000008</v>
      </c>
      <c r="T305" s="184">
        <f>S305*'edible cooking yield factors'!F77</f>
        <v>0.83800000000000008</v>
      </c>
    </row>
    <row r="306" spans="1:20" x14ac:dyDescent="0.25">
      <c r="A306" s="117" t="s">
        <v>614</v>
      </c>
      <c r="B306" s="117" t="s">
        <v>615</v>
      </c>
      <c r="C306" t="s">
        <v>616</v>
      </c>
      <c r="D306" t="s">
        <v>617</v>
      </c>
      <c r="E306" s="182">
        <v>191119</v>
      </c>
      <c r="F306" t="s">
        <v>618</v>
      </c>
      <c r="G306" t="s">
        <v>619</v>
      </c>
      <c r="H306" s="118" t="s">
        <v>620</v>
      </c>
      <c r="I306" t="s">
        <v>627</v>
      </c>
      <c r="J306" t="s">
        <v>622</v>
      </c>
      <c r="K306" t="s">
        <v>629</v>
      </c>
      <c r="L306" t="s">
        <v>171</v>
      </c>
      <c r="M306" s="183" t="s">
        <v>172</v>
      </c>
      <c r="N306" t="s">
        <v>691</v>
      </c>
      <c r="O306" t="s">
        <v>625</v>
      </c>
      <c r="P306">
        <v>500</v>
      </c>
      <c r="Q306" t="s">
        <v>626</v>
      </c>
      <c r="R306" s="184">
        <v>5.79</v>
      </c>
      <c r="S306" s="184">
        <f>R306/5</f>
        <v>1.1579999999999999</v>
      </c>
      <c r="T306" s="184">
        <f>S306*'edible cooking yield factors'!F77</f>
        <v>1.1579999999999999</v>
      </c>
    </row>
    <row r="307" spans="1:20" x14ac:dyDescent="0.25">
      <c r="A307" s="117" t="s">
        <v>614</v>
      </c>
      <c r="B307" s="117" t="s">
        <v>615</v>
      </c>
      <c r="C307" t="s">
        <v>616</v>
      </c>
      <c r="D307" t="s">
        <v>617</v>
      </c>
      <c r="E307" s="182">
        <v>191119</v>
      </c>
      <c r="F307" t="s">
        <v>618</v>
      </c>
      <c r="G307" t="s">
        <v>619</v>
      </c>
      <c r="H307" s="118" t="s">
        <v>620</v>
      </c>
      <c r="I307" t="s">
        <v>628</v>
      </c>
      <c r="J307" t="s">
        <v>622</v>
      </c>
      <c r="K307" t="s">
        <v>629</v>
      </c>
      <c r="L307" t="s">
        <v>171</v>
      </c>
      <c r="M307" s="183" t="s">
        <v>172</v>
      </c>
      <c r="N307" t="s">
        <v>691</v>
      </c>
      <c r="O307" t="s">
        <v>625</v>
      </c>
      <c r="P307">
        <v>500</v>
      </c>
      <c r="Q307" t="s">
        <v>626</v>
      </c>
      <c r="R307" s="184">
        <v>5.8</v>
      </c>
      <c r="S307" s="184">
        <f>R307/5</f>
        <v>1.1599999999999999</v>
      </c>
      <c r="T307" s="184">
        <f>S307*'edible cooking yield factors'!F77</f>
        <v>1.1599999999999999</v>
      </c>
    </row>
    <row r="308" spans="1:20" x14ac:dyDescent="0.25">
      <c r="A308" s="117" t="s">
        <v>614</v>
      </c>
      <c r="B308" s="117" t="s">
        <v>615</v>
      </c>
      <c r="C308" t="s">
        <v>616</v>
      </c>
      <c r="D308" t="s">
        <v>617</v>
      </c>
      <c r="E308" s="182">
        <v>191119</v>
      </c>
      <c r="F308" t="s">
        <v>618</v>
      </c>
      <c r="G308" t="s">
        <v>619</v>
      </c>
      <c r="H308" s="118" t="s">
        <v>620</v>
      </c>
      <c r="I308" t="s">
        <v>621</v>
      </c>
      <c r="J308" t="s">
        <v>622</v>
      </c>
      <c r="K308" t="s">
        <v>629</v>
      </c>
      <c r="L308" t="s">
        <v>173</v>
      </c>
      <c r="M308" s="183" t="str">
        <f>'common foods'!D79</f>
        <v>04064</v>
      </c>
      <c r="N308" t="s">
        <v>691</v>
      </c>
      <c r="O308" t="s">
        <v>625</v>
      </c>
      <c r="P308">
        <v>1000</v>
      </c>
      <c r="Q308" t="s">
        <v>626</v>
      </c>
      <c r="R308" s="184">
        <v>3.69</v>
      </c>
      <c r="S308" s="184">
        <f t="shared" ref="S308:S324" si="18">R308/10</f>
        <v>0.36899999999999999</v>
      </c>
      <c r="T308" s="184">
        <f>S308*'edible cooking yield factors'!F78</f>
        <v>0.36899999999999999</v>
      </c>
    </row>
    <row r="309" spans="1:20" x14ac:dyDescent="0.25">
      <c r="A309" s="117" t="s">
        <v>614</v>
      </c>
      <c r="B309" s="117" t="s">
        <v>615</v>
      </c>
      <c r="C309" t="s">
        <v>616</v>
      </c>
      <c r="D309" t="s">
        <v>617</v>
      </c>
      <c r="E309" s="182">
        <v>191119</v>
      </c>
      <c r="F309" t="s">
        <v>618</v>
      </c>
      <c r="G309" t="s">
        <v>619</v>
      </c>
      <c r="H309" s="118" t="s">
        <v>620</v>
      </c>
      <c r="I309" t="s">
        <v>627</v>
      </c>
      <c r="J309" t="s">
        <v>622</v>
      </c>
      <c r="K309" t="s">
        <v>629</v>
      </c>
      <c r="L309" t="s">
        <v>173</v>
      </c>
      <c r="M309" s="183" t="s">
        <v>174</v>
      </c>
      <c r="N309" t="s">
        <v>691</v>
      </c>
      <c r="O309" t="s">
        <v>625</v>
      </c>
      <c r="P309">
        <v>1000</v>
      </c>
      <c r="Q309" t="s">
        <v>626</v>
      </c>
      <c r="R309" s="184">
        <v>5.19</v>
      </c>
      <c r="S309" s="184">
        <f t="shared" si="18"/>
        <v>0.51900000000000002</v>
      </c>
      <c r="T309" s="184">
        <f>S309*'edible cooking yield factors'!F78</f>
        <v>0.51900000000000002</v>
      </c>
    </row>
    <row r="310" spans="1:20" x14ac:dyDescent="0.25">
      <c r="A310" s="117" t="s">
        <v>614</v>
      </c>
      <c r="B310" s="117" t="s">
        <v>615</v>
      </c>
      <c r="C310" t="s">
        <v>616</v>
      </c>
      <c r="D310" t="s">
        <v>617</v>
      </c>
      <c r="E310" s="182">
        <v>191119</v>
      </c>
      <c r="F310" t="s">
        <v>618</v>
      </c>
      <c r="G310" t="s">
        <v>619</v>
      </c>
      <c r="H310" s="118" t="s">
        <v>620</v>
      </c>
      <c r="I310" t="s">
        <v>628</v>
      </c>
      <c r="J310" t="s">
        <v>622</v>
      </c>
      <c r="K310" t="s">
        <v>629</v>
      </c>
      <c r="L310" t="s">
        <v>173</v>
      </c>
      <c r="M310" s="183" t="s">
        <v>174</v>
      </c>
      <c r="N310" t="s">
        <v>691</v>
      </c>
      <c r="O310" t="s">
        <v>625</v>
      </c>
      <c r="P310">
        <v>1000</v>
      </c>
      <c r="Q310" t="s">
        <v>626</v>
      </c>
      <c r="R310" s="184">
        <v>5</v>
      </c>
      <c r="S310" s="184">
        <f t="shared" si="18"/>
        <v>0.5</v>
      </c>
      <c r="T310" s="184">
        <f>S310*'edible cooking yield factors'!F78</f>
        <v>0.5</v>
      </c>
    </row>
    <row r="311" spans="1:20" x14ac:dyDescent="0.25">
      <c r="A311" s="117" t="s">
        <v>614</v>
      </c>
      <c r="B311" s="117" t="s">
        <v>615</v>
      </c>
      <c r="C311" t="s">
        <v>616</v>
      </c>
      <c r="D311" t="s">
        <v>617</v>
      </c>
      <c r="E311" s="182">
        <v>191119</v>
      </c>
      <c r="F311" t="s">
        <v>618</v>
      </c>
      <c r="G311" t="s">
        <v>619</v>
      </c>
      <c r="H311" s="118" t="s">
        <v>620</v>
      </c>
      <c r="I311" t="s">
        <v>621</v>
      </c>
      <c r="J311" t="s">
        <v>622</v>
      </c>
      <c r="K311" s="123" t="s">
        <v>635</v>
      </c>
      <c r="L311" t="s">
        <v>190</v>
      </c>
      <c r="M311" s="183" t="str">
        <f>'common foods'!D87</f>
        <v>05065</v>
      </c>
      <c r="N311" t="s">
        <v>619</v>
      </c>
      <c r="O311" t="s">
        <v>619</v>
      </c>
      <c r="P311">
        <v>1000</v>
      </c>
      <c r="Q311" t="s">
        <v>626</v>
      </c>
      <c r="R311" s="184">
        <v>9.99</v>
      </c>
      <c r="S311" s="184">
        <f t="shared" si="18"/>
        <v>0.999</v>
      </c>
      <c r="T311" s="184">
        <f>S311*'edible cooking yield factors'!F86</f>
        <v>0.60938999999999999</v>
      </c>
    </row>
    <row r="312" spans="1:20" x14ac:dyDescent="0.25">
      <c r="A312" s="117" t="s">
        <v>614</v>
      </c>
      <c r="B312" s="117" t="s">
        <v>615</v>
      </c>
      <c r="C312" t="s">
        <v>616</v>
      </c>
      <c r="D312" t="s">
        <v>617</v>
      </c>
      <c r="E312" s="182">
        <v>191119</v>
      </c>
      <c r="F312" t="s">
        <v>618</v>
      </c>
      <c r="G312" t="s">
        <v>619</v>
      </c>
      <c r="H312" s="118" t="s">
        <v>620</v>
      </c>
      <c r="I312" t="s">
        <v>627</v>
      </c>
      <c r="J312" t="s">
        <v>622</v>
      </c>
      <c r="K312" s="123" t="s">
        <v>635</v>
      </c>
      <c r="L312" t="s">
        <v>190</v>
      </c>
      <c r="M312" s="183" t="s">
        <v>191</v>
      </c>
      <c r="N312" t="s">
        <v>619</v>
      </c>
      <c r="O312" t="s">
        <v>619</v>
      </c>
      <c r="P312">
        <v>1000</v>
      </c>
      <c r="Q312" t="s">
        <v>626</v>
      </c>
      <c r="R312" s="184">
        <v>12.49</v>
      </c>
      <c r="S312" s="184">
        <f t="shared" si="18"/>
        <v>1.2490000000000001</v>
      </c>
      <c r="T312" s="184">
        <f>S312*'edible cooking yield factors'!F86</f>
        <v>0.76189000000000007</v>
      </c>
    </row>
    <row r="313" spans="1:20" x14ac:dyDescent="0.25">
      <c r="A313" s="117" t="s">
        <v>614</v>
      </c>
      <c r="B313" s="117" t="s">
        <v>615</v>
      </c>
      <c r="C313" t="s">
        <v>616</v>
      </c>
      <c r="D313" t="s">
        <v>617</v>
      </c>
      <c r="E313" s="182">
        <v>191119</v>
      </c>
      <c r="F313" t="s">
        <v>618</v>
      </c>
      <c r="G313" t="s">
        <v>619</v>
      </c>
      <c r="H313" s="118" t="s">
        <v>620</v>
      </c>
      <c r="I313" t="s">
        <v>628</v>
      </c>
      <c r="J313" t="s">
        <v>622</v>
      </c>
      <c r="K313" s="123" t="s">
        <v>635</v>
      </c>
      <c r="L313" t="s">
        <v>190</v>
      </c>
      <c r="M313" s="183" t="s">
        <v>191</v>
      </c>
      <c r="N313" t="s">
        <v>619</v>
      </c>
      <c r="O313" t="s">
        <v>619</v>
      </c>
      <c r="P313">
        <v>1000</v>
      </c>
      <c r="Q313" t="s">
        <v>626</v>
      </c>
      <c r="R313" s="184">
        <v>12</v>
      </c>
      <c r="S313" s="184">
        <f t="shared" si="18"/>
        <v>1.2</v>
      </c>
      <c r="T313" s="184">
        <f>S313*'edible cooking yield factors'!F86</f>
        <v>0.73199999999999998</v>
      </c>
    </row>
    <row r="314" spans="1:20" x14ac:dyDescent="0.25">
      <c r="A314" s="117" t="s">
        <v>614</v>
      </c>
      <c r="B314" s="117" t="s">
        <v>615</v>
      </c>
      <c r="C314" t="s">
        <v>616</v>
      </c>
      <c r="D314" t="s">
        <v>617</v>
      </c>
      <c r="E314" s="182">
        <v>191119</v>
      </c>
      <c r="F314" t="s">
        <v>618</v>
      </c>
      <c r="G314" t="s">
        <v>619</v>
      </c>
      <c r="H314" s="118" t="s">
        <v>620</v>
      </c>
      <c r="I314" t="s">
        <v>621</v>
      </c>
      <c r="J314" t="s">
        <v>622</v>
      </c>
      <c r="K314" s="123" t="s">
        <v>635</v>
      </c>
      <c r="L314" t="s">
        <v>192</v>
      </c>
      <c r="M314" s="183" t="str">
        <f>'common foods'!D88</f>
        <v>05066</v>
      </c>
      <c r="N314" t="s">
        <v>619</v>
      </c>
      <c r="O314" t="s">
        <v>619</v>
      </c>
      <c r="P314">
        <v>1000</v>
      </c>
      <c r="Q314" t="s">
        <v>626</v>
      </c>
      <c r="R314" s="184">
        <v>14.99</v>
      </c>
      <c r="S314" s="184">
        <f t="shared" si="18"/>
        <v>1.4990000000000001</v>
      </c>
      <c r="T314" s="184">
        <f>S314*'edible cooking yield factors'!F87</f>
        <v>1.06429</v>
      </c>
    </row>
    <row r="315" spans="1:20" x14ac:dyDescent="0.25">
      <c r="A315" s="117" t="s">
        <v>614</v>
      </c>
      <c r="B315" s="117" t="s">
        <v>615</v>
      </c>
      <c r="C315" t="s">
        <v>616</v>
      </c>
      <c r="D315" t="s">
        <v>617</v>
      </c>
      <c r="E315" s="182">
        <v>191119</v>
      </c>
      <c r="F315" t="s">
        <v>618</v>
      </c>
      <c r="G315" t="s">
        <v>619</v>
      </c>
      <c r="H315" s="118" t="s">
        <v>620</v>
      </c>
      <c r="I315" t="s">
        <v>627</v>
      </c>
      <c r="J315" t="s">
        <v>622</v>
      </c>
      <c r="K315" s="123" t="s">
        <v>635</v>
      </c>
      <c r="L315" t="s">
        <v>192</v>
      </c>
      <c r="M315" s="183" t="s">
        <v>193</v>
      </c>
      <c r="N315" t="s">
        <v>619</v>
      </c>
      <c r="O315" t="s">
        <v>619</v>
      </c>
      <c r="P315">
        <v>1000</v>
      </c>
      <c r="Q315" t="s">
        <v>626</v>
      </c>
      <c r="R315" s="184">
        <v>19.989999999999998</v>
      </c>
      <c r="S315" s="184">
        <f t="shared" si="18"/>
        <v>1.9989999999999999</v>
      </c>
      <c r="T315" s="184">
        <f>S315*'edible cooking yield factors'!F87</f>
        <v>1.4192899999999999</v>
      </c>
    </row>
    <row r="316" spans="1:20" x14ac:dyDescent="0.25">
      <c r="A316" s="117" t="s">
        <v>614</v>
      </c>
      <c r="B316" s="117" t="s">
        <v>615</v>
      </c>
      <c r="C316" t="s">
        <v>616</v>
      </c>
      <c r="D316" t="s">
        <v>617</v>
      </c>
      <c r="E316" s="182">
        <v>191119</v>
      </c>
      <c r="F316" t="s">
        <v>618</v>
      </c>
      <c r="G316" t="s">
        <v>619</v>
      </c>
      <c r="H316" s="118" t="s">
        <v>620</v>
      </c>
      <c r="I316" t="s">
        <v>628</v>
      </c>
      <c r="J316" t="s">
        <v>622</v>
      </c>
      <c r="K316" s="123" t="s">
        <v>635</v>
      </c>
      <c r="L316" t="s">
        <v>192</v>
      </c>
      <c r="M316" s="183" t="s">
        <v>193</v>
      </c>
      <c r="N316" t="s">
        <v>619</v>
      </c>
      <c r="O316" t="s">
        <v>619</v>
      </c>
      <c r="P316">
        <v>1000</v>
      </c>
      <c r="Q316" t="s">
        <v>626</v>
      </c>
      <c r="R316" s="184">
        <v>22</v>
      </c>
      <c r="S316" s="184">
        <f t="shared" si="18"/>
        <v>2.2000000000000002</v>
      </c>
      <c r="T316" s="184">
        <f>S316*'edible cooking yield factors'!F87</f>
        <v>1.5620000000000001</v>
      </c>
    </row>
    <row r="317" spans="1:20" x14ac:dyDescent="0.25">
      <c r="A317" s="117" t="s">
        <v>614</v>
      </c>
      <c r="B317" s="117" t="s">
        <v>615</v>
      </c>
      <c r="C317" t="s">
        <v>616</v>
      </c>
      <c r="D317" t="s">
        <v>617</v>
      </c>
      <c r="E317" s="182">
        <v>191119</v>
      </c>
      <c r="F317" t="s">
        <v>618</v>
      </c>
      <c r="G317" t="s">
        <v>619</v>
      </c>
      <c r="H317" s="118" t="s">
        <v>620</v>
      </c>
      <c r="I317" t="s">
        <v>621</v>
      </c>
      <c r="J317" t="s">
        <v>622</v>
      </c>
      <c r="K317" s="123" t="s">
        <v>635</v>
      </c>
      <c r="L317" t="s">
        <v>194</v>
      </c>
      <c r="M317" s="183" t="str">
        <f>'common foods'!D89</f>
        <v>05067</v>
      </c>
      <c r="N317" t="s">
        <v>619</v>
      </c>
      <c r="O317" t="s">
        <v>619</v>
      </c>
      <c r="P317">
        <v>1000</v>
      </c>
      <c r="Q317" t="s">
        <v>626</v>
      </c>
      <c r="R317" s="184">
        <v>22.99</v>
      </c>
      <c r="S317" s="184">
        <f t="shared" si="18"/>
        <v>2.2989999999999999</v>
      </c>
      <c r="T317" s="184">
        <f>S317*'edible cooking yield factors'!F88</f>
        <v>1.6322899999999998</v>
      </c>
    </row>
    <row r="318" spans="1:20" x14ac:dyDescent="0.25">
      <c r="A318" s="117" t="s">
        <v>614</v>
      </c>
      <c r="B318" s="117" t="s">
        <v>615</v>
      </c>
      <c r="C318" t="s">
        <v>616</v>
      </c>
      <c r="D318" t="s">
        <v>617</v>
      </c>
      <c r="E318" s="182">
        <v>191119</v>
      </c>
      <c r="F318" t="s">
        <v>618</v>
      </c>
      <c r="G318" t="s">
        <v>619</v>
      </c>
      <c r="H318" s="118" t="s">
        <v>620</v>
      </c>
      <c r="I318" t="s">
        <v>627</v>
      </c>
      <c r="J318" t="s">
        <v>622</v>
      </c>
      <c r="K318" s="123" t="s">
        <v>635</v>
      </c>
      <c r="L318" t="s">
        <v>194</v>
      </c>
      <c r="M318" s="183" t="s">
        <v>195</v>
      </c>
      <c r="N318" t="s">
        <v>619</v>
      </c>
      <c r="O318" t="s">
        <v>619</v>
      </c>
      <c r="P318">
        <v>1000</v>
      </c>
      <c r="Q318" t="s">
        <v>626</v>
      </c>
      <c r="R318" s="184">
        <v>15.99</v>
      </c>
      <c r="S318" s="184">
        <f t="shared" si="18"/>
        <v>1.599</v>
      </c>
      <c r="T318" s="184">
        <f>S318*'edible cooking yield factors'!F88</f>
        <v>1.1352899999999999</v>
      </c>
    </row>
    <row r="319" spans="1:20" x14ac:dyDescent="0.25">
      <c r="A319" s="117" t="s">
        <v>614</v>
      </c>
      <c r="B319" s="117" t="s">
        <v>615</v>
      </c>
      <c r="C319" t="s">
        <v>616</v>
      </c>
      <c r="D319" t="s">
        <v>617</v>
      </c>
      <c r="E319" s="182">
        <v>191119</v>
      </c>
      <c r="F319" t="s">
        <v>618</v>
      </c>
      <c r="G319" t="s">
        <v>619</v>
      </c>
      <c r="H319" s="118" t="s">
        <v>620</v>
      </c>
      <c r="I319" t="s">
        <v>628</v>
      </c>
      <c r="J319" t="s">
        <v>622</v>
      </c>
      <c r="K319" s="123" t="s">
        <v>635</v>
      </c>
      <c r="L319" t="s">
        <v>194</v>
      </c>
      <c r="M319" s="183" t="s">
        <v>195</v>
      </c>
      <c r="N319" t="s">
        <v>619</v>
      </c>
      <c r="O319" t="s">
        <v>619</v>
      </c>
      <c r="P319">
        <v>1000</v>
      </c>
      <c r="Q319" t="s">
        <v>626</v>
      </c>
      <c r="R319" s="184">
        <v>19</v>
      </c>
      <c r="S319" s="184">
        <f t="shared" si="18"/>
        <v>1.9</v>
      </c>
      <c r="T319" s="184">
        <f>S319*'edible cooking yield factors'!F88</f>
        <v>1.349</v>
      </c>
    </row>
    <row r="320" spans="1:20" x14ac:dyDescent="0.25">
      <c r="A320" s="117" t="s">
        <v>614</v>
      </c>
      <c r="B320" s="117" t="s">
        <v>615</v>
      </c>
      <c r="C320" t="s">
        <v>616</v>
      </c>
      <c r="D320" t="s">
        <v>617</v>
      </c>
      <c r="E320" s="182">
        <v>191119</v>
      </c>
      <c r="F320" t="s">
        <v>618</v>
      </c>
      <c r="G320" t="s">
        <v>619</v>
      </c>
      <c r="H320" s="118" t="s">
        <v>620</v>
      </c>
      <c r="I320" t="s">
        <v>621</v>
      </c>
      <c r="J320" t="s">
        <v>622</v>
      </c>
      <c r="K320" s="123" t="s">
        <v>635</v>
      </c>
      <c r="L320" t="s">
        <v>196</v>
      </c>
      <c r="M320" s="183" t="str">
        <f>'common foods'!D90</f>
        <v>05068</v>
      </c>
      <c r="N320" t="s">
        <v>619</v>
      </c>
      <c r="O320" t="s">
        <v>619</v>
      </c>
      <c r="P320">
        <v>1000</v>
      </c>
      <c r="Q320" t="s">
        <v>626</v>
      </c>
      <c r="R320" s="184">
        <v>14.99</v>
      </c>
      <c r="S320" s="184">
        <f t="shared" si="18"/>
        <v>1.4990000000000001</v>
      </c>
      <c r="T320" s="184">
        <f>S320*'edible cooking yield factors'!F89</f>
        <v>1.2741500000000001</v>
      </c>
    </row>
    <row r="321" spans="1:20" x14ac:dyDescent="0.25">
      <c r="A321" s="117" t="s">
        <v>614</v>
      </c>
      <c r="B321" s="117" t="s">
        <v>615</v>
      </c>
      <c r="C321" t="s">
        <v>616</v>
      </c>
      <c r="D321" t="s">
        <v>617</v>
      </c>
      <c r="E321" s="182">
        <v>191119</v>
      </c>
      <c r="F321" t="s">
        <v>618</v>
      </c>
      <c r="G321" t="s">
        <v>619</v>
      </c>
      <c r="H321" s="118" t="s">
        <v>620</v>
      </c>
      <c r="I321" t="s">
        <v>627</v>
      </c>
      <c r="J321" t="s">
        <v>622</v>
      </c>
      <c r="K321" s="123" t="s">
        <v>635</v>
      </c>
      <c r="L321" t="s">
        <v>196</v>
      </c>
      <c r="M321" s="183" t="s">
        <v>197</v>
      </c>
      <c r="N321" t="s">
        <v>619</v>
      </c>
      <c r="O321" t="s">
        <v>619</v>
      </c>
      <c r="P321">
        <v>1000</v>
      </c>
      <c r="Q321" t="s">
        <v>626</v>
      </c>
      <c r="R321" s="184">
        <v>10.99</v>
      </c>
      <c r="S321" s="184">
        <f t="shared" si="18"/>
        <v>1.099</v>
      </c>
      <c r="T321" s="184">
        <f>S321*'edible cooking yield factors'!F89</f>
        <v>0.93414999999999992</v>
      </c>
    </row>
    <row r="322" spans="1:20" x14ac:dyDescent="0.25">
      <c r="A322" s="117" t="s">
        <v>614</v>
      </c>
      <c r="B322" s="117" t="s">
        <v>615</v>
      </c>
      <c r="C322" t="s">
        <v>616</v>
      </c>
      <c r="D322" t="s">
        <v>617</v>
      </c>
      <c r="E322" s="182">
        <v>191119</v>
      </c>
      <c r="F322" t="s">
        <v>618</v>
      </c>
      <c r="G322" t="s">
        <v>619</v>
      </c>
      <c r="H322" s="118" t="s">
        <v>620</v>
      </c>
      <c r="I322" t="s">
        <v>628</v>
      </c>
      <c r="J322" t="s">
        <v>622</v>
      </c>
      <c r="K322" s="123" t="s">
        <v>635</v>
      </c>
      <c r="L322" t="s">
        <v>196</v>
      </c>
      <c r="M322" s="183" t="s">
        <v>197</v>
      </c>
      <c r="N322" t="s">
        <v>619</v>
      </c>
      <c r="O322" t="s">
        <v>619</v>
      </c>
      <c r="P322">
        <v>1000</v>
      </c>
      <c r="Q322" t="s">
        <v>626</v>
      </c>
      <c r="R322" s="184">
        <v>15</v>
      </c>
      <c r="S322" s="184">
        <f t="shared" si="18"/>
        <v>1.5</v>
      </c>
      <c r="T322" s="184">
        <f>S322*'edible cooking yield factors'!F89</f>
        <v>1.2749999999999999</v>
      </c>
    </row>
    <row r="323" spans="1:20" x14ac:dyDescent="0.25">
      <c r="A323" s="117" t="s">
        <v>614</v>
      </c>
      <c r="B323" s="117" t="s">
        <v>615</v>
      </c>
      <c r="C323" t="s">
        <v>616</v>
      </c>
      <c r="D323" t="s">
        <v>617</v>
      </c>
      <c r="E323" s="182">
        <v>191119</v>
      </c>
      <c r="F323" t="s">
        <v>618</v>
      </c>
      <c r="G323" t="s">
        <v>619</v>
      </c>
      <c r="H323" s="118" t="s">
        <v>620</v>
      </c>
      <c r="I323" t="s">
        <v>621</v>
      </c>
      <c r="J323" t="s">
        <v>622</v>
      </c>
      <c r="K323" s="123" t="s">
        <v>635</v>
      </c>
      <c r="L323" t="s">
        <v>198</v>
      </c>
      <c r="M323" s="183" t="str">
        <f>'common foods'!D91</f>
        <v>05089</v>
      </c>
      <c r="N323" t="s">
        <v>619</v>
      </c>
      <c r="O323" t="s">
        <v>619</v>
      </c>
      <c r="P323">
        <v>1000</v>
      </c>
      <c r="Q323" t="s">
        <v>626</v>
      </c>
      <c r="R323" s="184">
        <v>17.989999999999998</v>
      </c>
      <c r="S323" s="184">
        <f t="shared" si="18"/>
        <v>1.7989999999999999</v>
      </c>
      <c r="T323" s="184">
        <f>S323*'edible cooking yield factors'!F106</f>
        <v>1.52915</v>
      </c>
    </row>
    <row r="324" spans="1:20" x14ac:dyDescent="0.25">
      <c r="A324" s="117" t="s">
        <v>614</v>
      </c>
      <c r="B324" s="117" t="s">
        <v>615</v>
      </c>
      <c r="C324" t="s">
        <v>616</v>
      </c>
      <c r="D324" t="s">
        <v>617</v>
      </c>
      <c r="E324" s="182">
        <v>191119</v>
      </c>
      <c r="F324" t="s">
        <v>618</v>
      </c>
      <c r="G324" t="s">
        <v>619</v>
      </c>
      <c r="H324" s="118" t="s">
        <v>620</v>
      </c>
      <c r="I324" t="s">
        <v>627</v>
      </c>
      <c r="J324" t="s">
        <v>622</v>
      </c>
      <c r="K324" s="123" t="s">
        <v>635</v>
      </c>
      <c r="L324" t="s">
        <v>198</v>
      </c>
      <c r="M324" s="183" t="s">
        <v>199</v>
      </c>
      <c r="N324" t="s">
        <v>619</v>
      </c>
      <c r="O324" t="s">
        <v>619</v>
      </c>
      <c r="P324">
        <v>1000</v>
      </c>
      <c r="Q324" t="s">
        <v>626</v>
      </c>
      <c r="R324" s="184">
        <v>19.989999999999998</v>
      </c>
      <c r="S324" s="184">
        <f t="shared" si="18"/>
        <v>1.9989999999999999</v>
      </c>
      <c r="T324" s="184">
        <f>S324*'edible cooking yield factors'!F106</f>
        <v>1.6991499999999999</v>
      </c>
    </row>
    <row r="325" spans="1:20" x14ac:dyDescent="0.25">
      <c r="A325" s="117" t="s">
        <v>614</v>
      </c>
      <c r="B325" s="117" t="s">
        <v>615</v>
      </c>
      <c r="C325" t="s">
        <v>616</v>
      </c>
      <c r="D325" t="s">
        <v>617</v>
      </c>
      <c r="E325" s="182">
        <v>191119</v>
      </c>
      <c r="F325" t="s">
        <v>618</v>
      </c>
      <c r="G325" t="s">
        <v>619</v>
      </c>
      <c r="H325" s="118" t="s">
        <v>620</v>
      </c>
      <c r="I325" t="s">
        <v>628</v>
      </c>
      <c r="J325" t="s">
        <v>622</v>
      </c>
      <c r="K325" s="123" t="s">
        <v>635</v>
      </c>
      <c r="L325" t="s">
        <v>198</v>
      </c>
      <c r="M325" s="183" t="s">
        <v>199</v>
      </c>
      <c r="N325" t="s">
        <v>619</v>
      </c>
      <c r="O325" t="s">
        <v>619</v>
      </c>
      <c r="P325">
        <v>500</v>
      </c>
      <c r="Q325" t="s">
        <v>626</v>
      </c>
      <c r="R325" s="184">
        <v>10.5</v>
      </c>
      <c r="S325" s="184">
        <f>R325/5</f>
        <v>2.1</v>
      </c>
      <c r="T325" s="184">
        <f>S325*'edible cooking yield factors'!F106</f>
        <v>1.7849999999999999</v>
      </c>
    </row>
    <row r="326" spans="1:20" x14ac:dyDescent="0.25">
      <c r="A326" s="117" t="s">
        <v>614</v>
      </c>
      <c r="B326" s="117" t="s">
        <v>615</v>
      </c>
      <c r="C326" t="s">
        <v>616</v>
      </c>
      <c r="D326" t="s">
        <v>617</v>
      </c>
      <c r="E326" s="182">
        <v>191119</v>
      </c>
      <c r="F326" t="s">
        <v>618</v>
      </c>
      <c r="G326" t="s">
        <v>619</v>
      </c>
      <c r="H326" s="118" t="s">
        <v>620</v>
      </c>
      <c r="I326" t="s">
        <v>621</v>
      </c>
      <c r="J326" t="s">
        <v>622</v>
      </c>
      <c r="K326" s="123" t="s">
        <v>635</v>
      </c>
      <c r="L326" t="s">
        <v>204</v>
      </c>
      <c r="M326" s="183" t="str">
        <f>'common foods'!D94</f>
        <v>05070</v>
      </c>
      <c r="N326" t="s">
        <v>636</v>
      </c>
      <c r="O326" t="s">
        <v>632</v>
      </c>
      <c r="P326">
        <v>2000</v>
      </c>
      <c r="Q326" t="s">
        <v>626</v>
      </c>
      <c r="R326" s="184">
        <v>8.69</v>
      </c>
      <c r="S326" s="184">
        <f>R326/20</f>
        <v>0.4345</v>
      </c>
      <c r="T326" s="184">
        <f>S326*'edible cooking yield factors'!F91</f>
        <v>0.26069999999999999</v>
      </c>
    </row>
    <row r="327" spans="1:20" x14ac:dyDescent="0.25">
      <c r="A327" s="117" t="s">
        <v>614</v>
      </c>
      <c r="B327" s="117" t="s">
        <v>615</v>
      </c>
      <c r="C327" t="s">
        <v>616</v>
      </c>
      <c r="D327" t="s">
        <v>617</v>
      </c>
      <c r="E327" s="182">
        <v>191119</v>
      </c>
      <c r="F327" t="s">
        <v>618</v>
      </c>
      <c r="G327" t="s">
        <v>619</v>
      </c>
      <c r="H327" s="118" t="s">
        <v>620</v>
      </c>
      <c r="I327" t="s">
        <v>627</v>
      </c>
      <c r="J327" t="s">
        <v>622</v>
      </c>
      <c r="K327" s="123" t="s">
        <v>635</v>
      </c>
      <c r="L327" t="s">
        <v>204</v>
      </c>
      <c r="M327" s="183" t="s">
        <v>205</v>
      </c>
      <c r="N327" t="s">
        <v>636</v>
      </c>
      <c r="O327" t="s">
        <v>632</v>
      </c>
      <c r="P327">
        <v>2000</v>
      </c>
      <c r="Q327" t="s">
        <v>626</v>
      </c>
      <c r="R327" s="184">
        <v>9.49</v>
      </c>
      <c r="S327" s="184">
        <f>R327/20</f>
        <v>0.47450000000000003</v>
      </c>
      <c r="T327" s="184">
        <f>S327*'edible cooking yield factors'!F91</f>
        <v>0.28470000000000001</v>
      </c>
    </row>
    <row r="328" spans="1:20" x14ac:dyDescent="0.25">
      <c r="A328" s="117" t="s">
        <v>614</v>
      </c>
      <c r="B328" s="117" t="s">
        <v>615</v>
      </c>
      <c r="C328" t="s">
        <v>616</v>
      </c>
      <c r="D328" t="s">
        <v>617</v>
      </c>
      <c r="E328" s="182">
        <v>191119</v>
      </c>
      <c r="F328" t="s">
        <v>618</v>
      </c>
      <c r="G328" t="s">
        <v>619</v>
      </c>
      <c r="H328" s="118" t="s">
        <v>620</v>
      </c>
      <c r="I328" t="s">
        <v>628</v>
      </c>
      <c r="J328" t="s">
        <v>622</v>
      </c>
      <c r="K328" s="123" t="s">
        <v>635</v>
      </c>
      <c r="L328" t="s">
        <v>204</v>
      </c>
      <c r="M328" s="183" t="s">
        <v>205</v>
      </c>
      <c r="N328" t="s">
        <v>628</v>
      </c>
      <c r="O328" t="s">
        <v>632</v>
      </c>
      <c r="P328">
        <v>2000</v>
      </c>
      <c r="Q328" t="s">
        <v>626</v>
      </c>
      <c r="R328" s="184">
        <v>9</v>
      </c>
      <c r="S328" s="184">
        <f>R328/20</f>
        <v>0.45</v>
      </c>
      <c r="T328" s="184">
        <f>S328*'edible cooking yield factors'!F91</f>
        <v>0.27</v>
      </c>
    </row>
    <row r="329" spans="1:20" x14ac:dyDescent="0.25">
      <c r="A329" s="117" t="s">
        <v>614</v>
      </c>
      <c r="B329" s="117" t="s">
        <v>615</v>
      </c>
      <c r="C329" t="s">
        <v>616</v>
      </c>
      <c r="D329" t="s">
        <v>617</v>
      </c>
      <c r="E329" s="182">
        <v>191119</v>
      </c>
      <c r="F329" t="s">
        <v>618</v>
      </c>
      <c r="G329" t="s">
        <v>619</v>
      </c>
      <c r="H329" s="118" t="s">
        <v>620</v>
      </c>
      <c r="I329" t="s">
        <v>621</v>
      </c>
      <c r="J329" t="s">
        <v>622</v>
      </c>
      <c r="K329" s="123" t="s">
        <v>635</v>
      </c>
      <c r="L329" t="s">
        <v>206</v>
      </c>
      <c r="M329" s="183" t="str">
        <f>'common foods'!D95</f>
        <v>05071</v>
      </c>
      <c r="N329" s="123" t="s">
        <v>636</v>
      </c>
      <c r="O329" s="123" t="s">
        <v>632</v>
      </c>
      <c r="P329" s="123">
        <v>1000</v>
      </c>
      <c r="Q329" s="123" t="s">
        <v>626</v>
      </c>
      <c r="R329" s="184">
        <v>9.89</v>
      </c>
      <c r="S329" s="184">
        <f>R329/10</f>
        <v>0.9890000000000001</v>
      </c>
      <c r="T329" s="184">
        <f>S329*'edible cooking yield factors'!F93</f>
        <v>0.47472000000000003</v>
      </c>
    </row>
    <row r="330" spans="1:20" x14ac:dyDescent="0.25">
      <c r="A330" s="117" t="s">
        <v>614</v>
      </c>
      <c r="B330" s="117" t="s">
        <v>615</v>
      </c>
      <c r="C330" t="s">
        <v>616</v>
      </c>
      <c r="D330" t="s">
        <v>617</v>
      </c>
      <c r="E330" s="182">
        <v>191119</v>
      </c>
      <c r="F330" t="s">
        <v>618</v>
      </c>
      <c r="G330" t="s">
        <v>619</v>
      </c>
      <c r="H330" s="118" t="s">
        <v>620</v>
      </c>
      <c r="I330" t="s">
        <v>627</v>
      </c>
      <c r="J330" t="s">
        <v>622</v>
      </c>
      <c r="K330" s="123" t="s">
        <v>635</v>
      </c>
      <c r="L330" t="s">
        <v>206</v>
      </c>
      <c r="M330" s="183" t="s">
        <v>207</v>
      </c>
      <c r="N330" s="123" t="s">
        <v>636</v>
      </c>
      <c r="O330" s="123" t="s">
        <v>632</v>
      </c>
      <c r="P330" s="123">
        <v>1000</v>
      </c>
      <c r="Q330" s="123" t="s">
        <v>626</v>
      </c>
      <c r="R330" s="184">
        <v>11.99</v>
      </c>
      <c r="S330" s="184">
        <f>R330/10</f>
        <v>1.1990000000000001</v>
      </c>
      <c r="T330" s="184">
        <f>S330*'edible cooking yield factors'!F93</f>
        <v>0.57552000000000003</v>
      </c>
    </row>
    <row r="331" spans="1:20" x14ac:dyDescent="0.25">
      <c r="A331" s="117" t="s">
        <v>614</v>
      </c>
      <c r="B331" s="117" t="s">
        <v>615</v>
      </c>
      <c r="C331" t="s">
        <v>616</v>
      </c>
      <c r="D331" t="s">
        <v>617</v>
      </c>
      <c r="E331" s="182">
        <v>191119</v>
      </c>
      <c r="F331" t="s">
        <v>618</v>
      </c>
      <c r="G331" t="s">
        <v>619</v>
      </c>
      <c r="H331" s="118" t="s">
        <v>620</v>
      </c>
      <c r="I331" t="s">
        <v>628</v>
      </c>
      <c r="J331" t="s">
        <v>622</v>
      </c>
      <c r="K331" s="123" t="s">
        <v>635</v>
      </c>
      <c r="L331" t="s">
        <v>206</v>
      </c>
      <c r="M331" s="183" t="s">
        <v>207</v>
      </c>
      <c r="N331" t="s">
        <v>628</v>
      </c>
      <c r="O331" t="s">
        <v>632</v>
      </c>
      <c r="P331" s="123">
        <v>1015</v>
      </c>
      <c r="Q331" s="123"/>
      <c r="R331" s="184">
        <v>13</v>
      </c>
      <c r="S331" s="184">
        <f>R331/10.15</f>
        <v>1.2807881773399015</v>
      </c>
      <c r="T331" s="184">
        <f>S331*'edible cooking yield factors'!F93</f>
        <v>0.61477832512315267</v>
      </c>
    </row>
    <row r="332" spans="1:20" x14ac:dyDescent="0.25">
      <c r="A332" s="117" t="s">
        <v>614</v>
      </c>
      <c r="B332" s="117" t="s">
        <v>615</v>
      </c>
      <c r="C332" t="s">
        <v>616</v>
      </c>
      <c r="D332" t="s">
        <v>617</v>
      </c>
      <c r="E332" s="182">
        <v>191119</v>
      </c>
      <c r="F332" t="s">
        <v>618</v>
      </c>
      <c r="G332" t="s">
        <v>619</v>
      </c>
      <c r="H332" s="118" t="s">
        <v>620</v>
      </c>
      <c r="I332" t="s">
        <v>621</v>
      </c>
      <c r="J332" t="s">
        <v>622</v>
      </c>
      <c r="K332" s="123" t="s">
        <v>635</v>
      </c>
      <c r="L332" t="s">
        <v>208</v>
      </c>
      <c r="M332" s="183" t="str">
        <f>'common foods'!D96</f>
        <v>05072</v>
      </c>
      <c r="N332" t="s">
        <v>619</v>
      </c>
      <c r="O332" t="s">
        <v>619</v>
      </c>
      <c r="P332">
        <v>1000</v>
      </c>
      <c r="Q332" t="s">
        <v>626</v>
      </c>
      <c r="R332" s="184">
        <v>5</v>
      </c>
      <c r="S332" s="184">
        <f t="shared" ref="S332:S340" si="19">R332/10</f>
        <v>0.5</v>
      </c>
      <c r="T332" s="184">
        <f>S332*'edible cooking yield factors'!F93</f>
        <v>0.24</v>
      </c>
    </row>
    <row r="333" spans="1:20" x14ac:dyDescent="0.25">
      <c r="A333" s="117" t="s">
        <v>614</v>
      </c>
      <c r="B333" s="117" t="s">
        <v>615</v>
      </c>
      <c r="C333" t="s">
        <v>616</v>
      </c>
      <c r="D333" t="s">
        <v>617</v>
      </c>
      <c r="E333" s="182">
        <v>191119</v>
      </c>
      <c r="F333" t="s">
        <v>618</v>
      </c>
      <c r="G333" t="s">
        <v>619</v>
      </c>
      <c r="H333" s="118" t="s">
        <v>620</v>
      </c>
      <c r="I333" t="s">
        <v>627</v>
      </c>
      <c r="J333" t="s">
        <v>622</v>
      </c>
      <c r="K333" s="123" t="s">
        <v>635</v>
      </c>
      <c r="L333" t="s">
        <v>208</v>
      </c>
      <c r="M333" s="183" t="s">
        <v>209</v>
      </c>
      <c r="N333" t="s">
        <v>619</v>
      </c>
      <c r="O333" t="s">
        <v>619</v>
      </c>
      <c r="P333">
        <v>1000</v>
      </c>
      <c r="Q333" t="s">
        <v>626</v>
      </c>
      <c r="R333" s="184">
        <v>6.49</v>
      </c>
      <c r="S333" s="184">
        <f t="shared" si="19"/>
        <v>0.64900000000000002</v>
      </c>
      <c r="T333" s="184">
        <f>S333*'edible cooking yield factors'!F93</f>
        <v>0.31152000000000002</v>
      </c>
    </row>
    <row r="334" spans="1:20" x14ac:dyDescent="0.25">
      <c r="A334" s="117" t="s">
        <v>614</v>
      </c>
      <c r="B334" s="117" t="s">
        <v>615</v>
      </c>
      <c r="C334" t="s">
        <v>616</v>
      </c>
      <c r="D334" t="s">
        <v>617</v>
      </c>
      <c r="E334" s="182">
        <v>191119</v>
      </c>
      <c r="F334" t="s">
        <v>618</v>
      </c>
      <c r="G334" t="s">
        <v>619</v>
      </c>
      <c r="H334" s="118" t="s">
        <v>620</v>
      </c>
      <c r="I334" t="s">
        <v>628</v>
      </c>
      <c r="J334" t="s">
        <v>622</v>
      </c>
      <c r="K334" s="123" t="s">
        <v>635</v>
      </c>
      <c r="L334" t="s">
        <v>208</v>
      </c>
      <c r="M334" s="183" t="s">
        <v>209</v>
      </c>
      <c r="N334" t="s">
        <v>628</v>
      </c>
      <c r="O334" t="s">
        <v>632</v>
      </c>
      <c r="P334">
        <v>1000</v>
      </c>
      <c r="Q334" t="s">
        <v>626</v>
      </c>
      <c r="R334" s="184">
        <v>6.5</v>
      </c>
      <c r="S334" s="184">
        <f t="shared" si="19"/>
        <v>0.65</v>
      </c>
      <c r="T334" s="184">
        <f>S334*'edible cooking yield factors'!F93</f>
        <v>0.312</v>
      </c>
    </row>
    <row r="335" spans="1:20" x14ac:dyDescent="0.25">
      <c r="A335" s="117" t="s">
        <v>614</v>
      </c>
      <c r="B335" s="117" t="s">
        <v>615</v>
      </c>
      <c r="C335" t="s">
        <v>616</v>
      </c>
      <c r="D335" t="s">
        <v>617</v>
      </c>
      <c r="E335" s="182">
        <v>191119</v>
      </c>
      <c r="F335" t="s">
        <v>618</v>
      </c>
      <c r="G335" t="s">
        <v>619</v>
      </c>
      <c r="H335" s="118" t="s">
        <v>620</v>
      </c>
      <c r="I335" t="s">
        <v>621</v>
      </c>
      <c r="J335" t="s">
        <v>622</v>
      </c>
      <c r="K335" s="123" t="s">
        <v>635</v>
      </c>
      <c r="L335" t="s">
        <v>210</v>
      </c>
      <c r="M335" s="183" t="str">
        <f>'common foods'!D97</f>
        <v>05073</v>
      </c>
      <c r="N335" t="s">
        <v>619</v>
      </c>
      <c r="O335" t="s">
        <v>619</v>
      </c>
      <c r="P335">
        <v>1000</v>
      </c>
      <c r="Q335" t="s">
        <v>626</v>
      </c>
      <c r="R335" s="184">
        <v>13.99</v>
      </c>
      <c r="S335" s="184">
        <f t="shared" si="19"/>
        <v>1.399</v>
      </c>
      <c r="T335" s="184">
        <f>S335*'edible cooking yield factors'!F94</f>
        <v>0.83940000000000003</v>
      </c>
    </row>
    <row r="336" spans="1:20" x14ac:dyDescent="0.25">
      <c r="A336" s="117" t="s">
        <v>614</v>
      </c>
      <c r="B336" s="117" t="s">
        <v>615</v>
      </c>
      <c r="C336" t="s">
        <v>616</v>
      </c>
      <c r="D336" t="s">
        <v>617</v>
      </c>
      <c r="E336" s="182">
        <v>191119</v>
      </c>
      <c r="F336" t="s">
        <v>618</v>
      </c>
      <c r="G336" t="s">
        <v>619</v>
      </c>
      <c r="H336" s="118" t="s">
        <v>620</v>
      </c>
      <c r="I336" t="s">
        <v>627</v>
      </c>
      <c r="J336" t="s">
        <v>622</v>
      </c>
      <c r="K336" s="123" t="s">
        <v>635</v>
      </c>
      <c r="L336" t="s">
        <v>210</v>
      </c>
      <c r="M336" s="183" t="s">
        <v>211</v>
      </c>
      <c r="N336" t="s">
        <v>619</v>
      </c>
      <c r="O336" t="s">
        <v>619</v>
      </c>
      <c r="P336">
        <v>1000</v>
      </c>
      <c r="Q336" t="s">
        <v>626</v>
      </c>
      <c r="R336" s="184">
        <v>16.989999999999998</v>
      </c>
      <c r="S336" s="184">
        <f t="shared" si="19"/>
        <v>1.6989999999999998</v>
      </c>
      <c r="T336" s="184">
        <f>S336*'edible cooking yield factors'!F94</f>
        <v>1.0193999999999999</v>
      </c>
    </row>
    <row r="337" spans="1:20" x14ac:dyDescent="0.25">
      <c r="A337" s="117" t="s">
        <v>614</v>
      </c>
      <c r="B337" s="117" t="s">
        <v>615</v>
      </c>
      <c r="C337" t="s">
        <v>616</v>
      </c>
      <c r="D337" t="s">
        <v>617</v>
      </c>
      <c r="E337" s="182">
        <v>191119</v>
      </c>
      <c r="F337" t="s">
        <v>618</v>
      </c>
      <c r="G337" t="s">
        <v>619</v>
      </c>
      <c r="H337" s="118" t="s">
        <v>620</v>
      </c>
      <c r="I337" t="s">
        <v>628</v>
      </c>
      <c r="J337" t="s">
        <v>622</v>
      </c>
      <c r="K337" s="123" t="s">
        <v>635</v>
      </c>
      <c r="L337" t="s">
        <v>210</v>
      </c>
      <c r="M337" s="183" t="s">
        <v>211</v>
      </c>
      <c r="N337" t="s">
        <v>628</v>
      </c>
      <c r="O337" t="s">
        <v>632</v>
      </c>
      <c r="P337">
        <v>1000</v>
      </c>
      <c r="Q337" t="s">
        <v>626</v>
      </c>
      <c r="R337" s="184">
        <v>16.5</v>
      </c>
      <c r="S337" s="184">
        <f t="shared" si="19"/>
        <v>1.65</v>
      </c>
      <c r="T337" s="184">
        <f>S337*'edible cooking yield factors'!F94</f>
        <v>0.98999999999999988</v>
      </c>
    </row>
    <row r="338" spans="1:20" x14ac:dyDescent="0.25">
      <c r="A338" s="117" t="s">
        <v>614</v>
      </c>
      <c r="B338" s="117" t="s">
        <v>615</v>
      </c>
      <c r="C338" t="s">
        <v>616</v>
      </c>
      <c r="D338" t="s">
        <v>617</v>
      </c>
      <c r="E338" s="182">
        <v>191119</v>
      </c>
      <c r="F338" t="s">
        <v>618</v>
      </c>
      <c r="G338" t="s">
        <v>619</v>
      </c>
      <c r="H338" s="118" t="s">
        <v>620</v>
      </c>
      <c r="I338" t="s">
        <v>621</v>
      </c>
      <c r="J338" t="s">
        <v>622</v>
      </c>
      <c r="K338" s="123" t="s">
        <v>635</v>
      </c>
      <c r="L338" t="s">
        <v>214</v>
      </c>
      <c r="M338" s="183" t="str">
        <f>'common foods'!D99</f>
        <v>05074</v>
      </c>
      <c r="N338" t="s">
        <v>619</v>
      </c>
      <c r="O338" t="s">
        <v>619</v>
      </c>
      <c r="P338">
        <v>1000</v>
      </c>
      <c r="Q338" t="s">
        <v>626</v>
      </c>
      <c r="R338" s="184">
        <v>7</v>
      </c>
      <c r="S338" s="184">
        <f t="shared" si="19"/>
        <v>0.7</v>
      </c>
      <c r="T338" s="184">
        <f>S338*'edible cooking yield factors'!F95</f>
        <v>0.46199999999999997</v>
      </c>
    </row>
    <row r="339" spans="1:20" x14ac:dyDescent="0.25">
      <c r="A339" s="117" t="s">
        <v>614</v>
      </c>
      <c r="B339" s="117" t="s">
        <v>615</v>
      </c>
      <c r="C339" t="s">
        <v>616</v>
      </c>
      <c r="D339" t="s">
        <v>617</v>
      </c>
      <c r="E339" s="182">
        <v>191119</v>
      </c>
      <c r="F339" t="s">
        <v>618</v>
      </c>
      <c r="G339" t="s">
        <v>619</v>
      </c>
      <c r="H339" s="118" t="s">
        <v>620</v>
      </c>
      <c r="I339" t="s">
        <v>627</v>
      </c>
      <c r="J339" t="s">
        <v>622</v>
      </c>
      <c r="K339" s="123" t="s">
        <v>635</v>
      </c>
      <c r="L339" t="s">
        <v>214</v>
      </c>
      <c r="M339" s="183" t="s">
        <v>215</v>
      </c>
      <c r="N339" t="s">
        <v>619</v>
      </c>
      <c r="O339" t="s">
        <v>619</v>
      </c>
      <c r="P339">
        <v>1000</v>
      </c>
      <c r="Q339" t="s">
        <v>626</v>
      </c>
      <c r="R339" s="184">
        <v>11.99</v>
      </c>
      <c r="S339" s="184">
        <f t="shared" si="19"/>
        <v>1.1990000000000001</v>
      </c>
      <c r="T339" s="184">
        <f>S339*'edible cooking yield factors'!F95</f>
        <v>0.79134000000000004</v>
      </c>
    </row>
    <row r="340" spans="1:20" x14ac:dyDescent="0.25">
      <c r="A340" s="117" t="s">
        <v>614</v>
      </c>
      <c r="B340" s="117" t="s">
        <v>615</v>
      </c>
      <c r="C340" t="s">
        <v>616</v>
      </c>
      <c r="D340" t="s">
        <v>617</v>
      </c>
      <c r="E340" s="182">
        <v>191119</v>
      </c>
      <c r="F340" t="s">
        <v>618</v>
      </c>
      <c r="G340" t="s">
        <v>619</v>
      </c>
      <c r="H340" s="118" t="s">
        <v>620</v>
      </c>
      <c r="I340" t="s">
        <v>628</v>
      </c>
      <c r="J340" t="s">
        <v>622</v>
      </c>
      <c r="K340" s="123" t="s">
        <v>635</v>
      </c>
      <c r="L340" t="s">
        <v>214</v>
      </c>
      <c r="M340" s="183" t="s">
        <v>215</v>
      </c>
      <c r="N340" t="s">
        <v>619</v>
      </c>
      <c r="O340" t="s">
        <v>619</v>
      </c>
      <c r="P340">
        <v>1000</v>
      </c>
      <c r="Q340" t="s">
        <v>626</v>
      </c>
      <c r="R340" s="184">
        <v>7</v>
      </c>
      <c r="S340" s="184">
        <f t="shared" si="19"/>
        <v>0.7</v>
      </c>
      <c r="T340" s="184">
        <f>S340*'edible cooking yield factors'!F95</f>
        <v>0.46199999999999997</v>
      </c>
    </row>
    <row r="341" spans="1:20" x14ac:dyDescent="0.25">
      <c r="A341" s="117" t="s">
        <v>614</v>
      </c>
      <c r="B341" s="117" t="s">
        <v>615</v>
      </c>
      <c r="C341" t="s">
        <v>616</v>
      </c>
      <c r="D341" t="s">
        <v>617</v>
      </c>
      <c r="E341" s="182">
        <v>191119</v>
      </c>
      <c r="F341" t="s">
        <v>618</v>
      </c>
      <c r="G341" t="s">
        <v>619</v>
      </c>
      <c r="H341" s="118" t="s">
        <v>620</v>
      </c>
      <c r="I341" t="s">
        <v>621</v>
      </c>
      <c r="J341" t="s">
        <v>622</v>
      </c>
      <c r="K341" s="123" t="s">
        <v>635</v>
      </c>
      <c r="L341" t="s">
        <v>222</v>
      </c>
      <c r="M341" s="183" t="str">
        <f>'common foods'!D103</f>
        <v>05081</v>
      </c>
      <c r="N341" t="s">
        <v>692</v>
      </c>
      <c r="O341" t="s">
        <v>625</v>
      </c>
      <c r="P341">
        <v>425</v>
      </c>
      <c r="Q341" t="s">
        <v>626</v>
      </c>
      <c r="R341" s="184">
        <v>8.99</v>
      </c>
      <c r="S341" s="184">
        <f>R341/4.25</f>
        <v>2.1152941176470588</v>
      </c>
      <c r="T341" s="184">
        <f>S341*'edible cooking yield factors'!F98</f>
        <v>2.0095294117647056</v>
      </c>
    </row>
    <row r="342" spans="1:20" x14ac:dyDescent="0.25">
      <c r="A342" s="117" t="s">
        <v>614</v>
      </c>
      <c r="B342" s="117" t="s">
        <v>615</v>
      </c>
      <c r="C342" t="s">
        <v>616</v>
      </c>
      <c r="D342" t="s">
        <v>617</v>
      </c>
      <c r="E342" s="182">
        <v>191119</v>
      </c>
      <c r="F342" t="s">
        <v>618</v>
      </c>
      <c r="G342" t="s">
        <v>619</v>
      </c>
      <c r="H342" s="118" t="s">
        <v>620</v>
      </c>
      <c r="I342" t="s">
        <v>627</v>
      </c>
      <c r="J342" t="s">
        <v>622</v>
      </c>
      <c r="K342" s="123" t="s">
        <v>635</v>
      </c>
      <c r="L342" t="s">
        <v>222</v>
      </c>
      <c r="M342" s="183" t="s">
        <v>223</v>
      </c>
      <c r="N342" t="s">
        <v>692</v>
      </c>
      <c r="O342" t="s">
        <v>625</v>
      </c>
      <c r="P342">
        <v>425</v>
      </c>
      <c r="Q342" t="s">
        <v>626</v>
      </c>
      <c r="R342" s="184">
        <v>9.99</v>
      </c>
      <c r="S342" s="184">
        <f>R342/4.25</f>
        <v>2.3505882352941176</v>
      </c>
      <c r="T342" s="184">
        <f>S342*'edible cooking yield factors'!F98</f>
        <v>2.2330588235294115</v>
      </c>
    </row>
    <row r="343" spans="1:20" x14ac:dyDescent="0.25">
      <c r="A343" s="117" t="s">
        <v>614</v>
      </c>
      <c r="B343" s="117" t="s">
        <v>615</v>
      </c>
      <c r="C343" t="s">
        <v>616</v>
      </c>
      <c r="D343" t="s">
        <v>617</v>
      </c>
      <c r="E343" s="182">
        <v>191119</v>
      </c>
      <c r="F343" t="s">
        <v>618</v>
      </c>
      <c r="G343" t="s">
        <v>619</v>
      </c>
      <c r="H343" s="118" t="s">
        <v>620</v>
      </c>
      <c r="I343" t="s">
        <v>628</v>
      </c>
      <c r="J343" t="s">
        <v>622</v>
      </c>
      <c r="K343" s="123" t="s">
        <v>635</v>
      </c>
      <c r="L343" t="s">
        <v>222</v>
      </c>
      <c r="M343" s="183" t="s">
        <v>223</v>
      </c>
      <c r="N343" t="s">
        <v>628</v>
      </c>
      <c r="O343" t="s">
        <v>632</v>
      </c>
      <c r="P343">
        <v>1000</v>
      </c>
      <c r="Q343" t="s">
        <v>626</v>
      </c>
      <c r="R343" s="184">
        <v>14</v>
      </c>
      <c r="S343" s="184">
        <f>R343/10</f>
        <v>1.4</v>
      </c>
      <c r="T343" s="184">
        <f>S343*'edible cooking yield factors'!F98</f>
        <v>1.3299999999999998</v>
      </c>
    </row>
    <row r="344" spans="1:20" x14ac:dyDescent="0.25">
      <c r="A344" s="117" t="s">
        <v>614</v>
      </c>
      <c r="B344" s="117" t="s">
        <v>615</v>
      </c>
      <c r="C344" t="s">
        <v>616</v>
      </c>
      <c r="D344" t="s">
        <v>617</v>
      </c>
      <c r="E344" s="182">
        <v>191119</v>
      </c>
      <c r="F344" t="s">
        <v>618</v>
      </c>
      <c r="G344" t="s">
        <v>619</v>
      </c>
      <c r="H344" s="118" t="s">
        <v>620</v>
      </c>
      <c r="I344" t="s">
        <v>621</v>
      </c>
      <c r="J344" t="s">
        <v>622</v>
      </c>
      <c r="K344" s="123" t="s">
        <v>635</v>
      </c>
      <c r="L344" t="s">
        <v>228</v>
      </c>
      <c r="M344" s="183" t="str">
        <f>'common foods'!D106</f>
        <v>05093</v>
      </c>
      <c r="N344" t="s">
        <v>631</v>
      </c>
      <c r="O344" t="s">
        <v>632</v>
      </c>
      <c r="P344">
        <v>750</v>
      </c>
      <c r="Q344" t="s">
        <v>626</v>
      </c>
      <c r="R344" s="184">
        <v>4.99</v>
      </c>
      <c r="S344" s="184">
        <f>R344/7.5</f>
        <v>0.66533333333333333</v>
      </c>
      <c r="T344" s="184">
        <f>S344*'edible cooking yield factors'!F110</f>
        <v>0.66533333333333333</v>
      </c>
    </row>
    <row r="345" spans="1:20" x14ac:dyDescent="0.25">
      <c r="A345" s="117" t="s">
        <v>614</v>
      </c>
      <c r="B345" s="117" t="s">
        <v>615</v>
      </c>
      <c r="C345" t="s">
        <v>616</v>
      </c>
      <c r="D345" t="s">
        <v>617</v>
      </c>
      <c r="E345" s="182">
        <v>191119</v>
      </c>
      <c r="F345" t="s">
        <v>618</v>
      </c>
      <c r="G345" t="s">
        <v>619</v>
      </c>
      <c r="H345" s="118" t="s">
        <v>620</v>
      </c>
      <c r="I345" t="s">
        <v>627</v>
      </c>
      <c r="J345" t="s">
        <v>622</v>
      </c>
      <c r="K345" s="123" t="s">
        <v>635</v>
      </c>
      <c r="L345" t="s">
        <v>228</v>
      </c>
      <c r="M345" s="183" t="s">
        <v>229</v>
      </c>
      <c r="N345" t="s">
        <v>631</v>
      </c>
      <c r="O345" t="s">
        <v>632</v>
      </c>
      <c r="P345">
        <v>750</v>
      </c>
      <c r="Q345" t="s">
        <v>626</v>
      </c>
      <c r="R345" s="184">
        <v>5.29</v>
      </c>
      <c r="S345" s="184">
        <f>R345/7.5</f>
        <v>0.70533333333333337</v>
      </c>
      <c r="T345" s="184">
        <f>S345*'edible cooking yield factors'!F110</f>
        <v>0.70533333333333337</v>
      </c>
    </row>
    <row r="346" spans="1:20" x14ac:dyDescent="0.25">
      <c r="A346" s="117" t="s">
        <v>614</v>
      </c>
      <c r="B346" s="117" t="s">
        <v>615</v>
      </c>
      <c r="C346" t="s">
        <v>616</v>
      </c>
      <c r="D346" t="s">
        <v>617</v>
      </c>
      <c r="E346" s="182">
        <v>191119</v>
      </c>
      <c r="F346" t="s">
        <v>618</v>
      </c>
      <c r="G346" t="s">
        <v>619</v>
      </c>
      <c r="H346" s="118" t="s">
        <v>620</v>
      </c>
      <c r="I346" t="s">
        <v>628</v>
      </c>
      <c r="J346" t="s">
        <v>622</v>
      </c>
      <c r="K346" s="123" t="s">
        <v>635</v>
      </c>
      <c r="L346" t="s">
        <v>228</v>
      </c>
      <c r="M346" s="183" t="s">
        <v>229</v>
      </c>
      <c r="N346" t="s">
        <v>628</v>
      </c>
      <c r="O346" t="s">
        <v>632</v>
      </c>
      <c r="P346">
        <v>750</v>
      </c>
      <c r="Q346" t="s">
        <v>626</v>
      </c>
      <c r="R346" s="184">
        <v>5</v>
      </c>
      <c r="S346" s="184">
        <f>R346/7.5</f>
        <v>0.66666666666666663</v>
      </c>
      <c r="T346" s="184">
        <f>S346*'edible cooking yield factors'!F110</f>
        <v>0.66666666666666663</v>
      </c>
    </row>
    <row r="347" spans="1:20" s="199" customFormat="1" x14ac:dyDescent="0.25">
      <c r="A347" s="186" t="s">
        <v>614</v>
      </c>
      <c r="B347" s="186" t="s">
        <v>615</v>
      </c>
      <c r="C347" s="199" t="s">
        <v>616</v>
      </c>
      <c r="D347" s="199" t="s">
        <v>617</v>
      </c>
      <c r="E347" s="203">
        <v>191119</v>
      </c>
      <c r="F347" s="199" t="s">
        <v>618</v>
      </c>
      <c r="G347" s="199" t="s">
        <v>619</v>
      </c>
      <c r="H347" s="187" t="s">
        <v>620</v>
      </c>
      <c r="I347" s="199" t="s">
        <v>621</v>
      </c>
      <c r="J347" s="199" t="s">
        <v>622</v>
      </c>
      <c r="K347" s="205" t="s">
        <v>635</v>
      </c>
      <c r="L347" s="199" t="str">
        <f>'common foods'!C144</f>
        <v>corned beef regular</v>
      </c>
      <c r="M347" s="204" t="str">
        <f>'edible cooking yield factors'!D144</f>
        <v>05098</v>
      </c>
      <c r="N347" s="199" t="s">
        <v>40</v>
      </c>
      <c r="O347" s="199" t="s">
        <v>625</v>
      </c>
      <c r="P347" s="199">
        <v>340</v>
      </c>
      <c r="Q347" s="199" t="s">
        <v>626</v>
      </c>
      <c r="R347" s="198">
        <v>5.29</v>
      </c>
      <c r="S347" s="198">
        <f t="shared" ref="S347:S352" si="20">R347/3.4</f>
        <v>1.5558823529411765</v>
      </c>
      <c r="T347" s="198">
        <f t="shared" ref="T347:T352" si="21">S347*1</f>
        <v>1.5558823529411765</v>
      </c>
    </row>
    <row r="348" spans="1:20" s="199" customFormat="1" x14ac:dyDescent="0.25">
      <c r="A348" s="186" t="s">
        <v>614</v>
      </c>
      <c r="B348" s="186" t="s">
        <v>615</v>
      </c>
      <c r="C348" s="199" t="s">
        <v>616</v>
      </c>
      <c r="D348" s="199" t="s">
        <v>617</v>
      </c>
      <c r="E348" s="203">
        <v>191119</v>
      </c>
      <c r="F348" s="199" t="s">
        <v>618</v>
      </c>
      <c r="G348" s="199" t="s">
        <v>619</v>
      </c>
      <c r="H348" s="187" t="s">
        <v>620</v>
      </c>
      <c r="I348" s="199" t="s">
        <v>627</v>
      </c>
      <c r="J348" s="199" t="s">
        <v>622</v>
      </c>
      <c r="K348" s="205" t="s">
        <v>635</v>
      </c>
      <c r="L348" s="199" t="s">
        <v>308</v>
      </c>
      <c r="M348" s="204" t="s">
        <v>309</v>
      </c>
      <c r="N348" s="199" t="s">
        <v>631</v>
      </c>
      <c r="O348" s="199" t="s">
        <v>632</v>
      </c>
      <c r="P348" s="199">
        <v>340</v>
      </c>
      <c r="Q348" s="199" t="s">
        <v>626</v>
      </c>
      <c r="R348" s="198">
        <v>3.49</v>
      </c>
      <c r="S348" s="198">
        <f t="shared" si="20"/>
        <v>1.0264705882352942</v>
      </c>
      <c r="T348" s="198">
        <f t="shared" si="21"/>
        <v>1.0264705882352942</v>
      </c>
    </row>
    <row r="349" spans="1:20" s="199" customFormat="1" x14ac:dyDescent="0.25">
      <c r="A349" s="186" t="s">
        <v>614</v>
      </c>
      <c r="B349" s="186" t="s">
        <v>615</v>
      </c>
      <c r="C349" s="199" t="s">
        <v>616</v>
      </c>
      <c r="D349" s="199" t="s">
        <v>617</v>
      </c>
      <c r="E349" s="203">
        <v>191119</v>
      </c>
      <c r="F349" s="199" t="s">
        <v>618</v>
      </c>
      <c r="G349" s="199" t="s">
        <v>619</v>
      </c>
      <c r="H349" s="187" t="s">
        <v>620</v>
      </c>
      <c r="I349" s="199" t="s">
        <v>628</v>
      </c>
      <c r="J349" s="199" t="s">
        <v>622</v>
      </c>
      <c r="K349" s="205" t="s">
        <v>635</v>
      </c>
      <c r="L349" s="199" t="s">
        <v>308</v>
      </c>
      <c r="M349" s="204" t="s">
        <v>309</v>
      </c>
      <c r="N349" s="199" t="s">
        <v>628</v>
      </c>
      <c r="O349" s="199" t="s">
        <v>632</v>
      </c>
      <c r="P349" s="199">
        <v>340</v>
      </c>
      <c r="Q349" s="199" t="s">
        <v>626</v>
      </c>
      <c r="R349" s="198">
        <v>3.5</v>
      </c>
      <c r="S349" s="198">
        <f t="shared" si="20"/>
        <v>1.0294117647058825</v>
      </c>
      <c r="T349" s="198">
        <f t="shared" si="21"/>
        <v>1.0294117647058825</v>
      </c>
    </row>
    <row r="350" spans="1:20" s="199" customFormat="1" x14ac:dyDescent="0.25">
      <c r="A350" s="186" t="s">
        <v>614</v>
      </c>
      <c r="B350" s="186" t="s">
        <v>615</v>
      </c>
      <c r="C350" s="199" t="s">
        <v>616</v>
      </c>
      <c r="D350" s="199" t="s">
        <v>617</v>
      </c>
      <c r="E350" s="203">
        <v>191119</v>
      </c>
      <c r="F350" s="199" t="s">
        <v>618</v>
      </c>
      <c r="G350" s="199" t="s">
        <v>619</v>
      </c>
      <c r="H350" s="187" t="s">
        <v>620</v>
      </c>
      <c r="I350" s="199" t="s">
        <v>621</v>
      </c>
      <c r="J350" s="199" t="s">
        <v>622</v>
      </c>
      <c r="K350" s="205" t="s">
        <v>635</v>
      </c>
      <c r="L350" s="199" t="str">
        <f>'common foods'!C92</f>
        <v>Corned beef reduced fat</v>
      </c>
      <c r="M350" s="204" t="str">
        <f>'common foods'!D92</f>
        <v>05096</v>
      </c>
      <c r="N350" s="199" t="s">
        <v>693</v>
      </c>
      <c r="O350" s="199" t="s">
        <v>625</v>
      </c>
      <c r="P350" s="199">
        <v>340</v>
      </c>
      <c r="Q350" s="199" t="s">
        <v>626</v>
      </c>
      <c r="R350" s="198">
        <v>7.69</v>
      </c>
      <c r="S350" s="198">
        <f t="shared" si="20"/>
        <v>2.2617647058823529</v>
      </c>
      <c r="T350" s="198">
        <f t="shared" si="21"/>
        <v>2.2617647058823529</v>
      </c>
    </row>
    <row r="351" spans="1:20" s="199" customFormat="1" x14ac:dyDescent="0.25">
      <c r="A351" s="186" t="s">
        <v>614</v>
      </c>
      <c r="B351" s="186" t="s">
        <v>615</v>
      </c>
      <c r="C351" s="199" t="s">
        <v>616</v>
      </c>
      <c r="D351" s="199" t="s">
        <v>617</v>
      </c>
      <c r="E351" s="203">
        <v>191119</v>
      </c>
      <c r="F351" s="199" t="s">
        <v>618</v>
      </c>
      <c r="G351" s="199" t="s">
        <v>619</v>
      </c>
      <c r="H351" s="187" t="s">
        <v>620</v>
      </c>
      <c r="I351" s="199" t="s">
        <v>627</v>
      </c>
      <c r="J351" s="199" t="s">
        <v>622</v>
      </c>
      <c r="K351" s="205" t="s">
        <v>635</v>
      </c>
      <c r="L351" s="199" t="s">
        <v>200</v>
      </c>
      <c r="M351" s="204" t="s">
        <v>201</v>
      </c>
      <c r="N351" s="199" t="s">
        <v>693</v>
      </c>
      <c r="O351" s="199" t="s">
        <v>625</v>
      </c>
      <c r="P351" s="199">
        <v>340</v>
      </c>
      <c r="Q351" s="199" t="s">
        <v>626</v>
      </c>
      <c r="R351" s="198">
        <v>7.79</v>
      </c>
      <c r="S351" s="198">
        <f t="shared" si="20"/>
        <v>2.2911764705882351</v>
      </c>
      <c r="T351" s="198">
        <f t="shared" si="21"/>
        <v>2.2911764705882351</v>
      </c>
    </row>
    <row r="352" spans="1:20" s="199" customFormat="1" x14ac:dyDescent="0.25">
      <c r="A352" s="186" t="s">
        <v>614</v>
      </c>
      <c r="B352" s="186" t="s">
        <v>615</v>
      </c>
      <c r="C352" s="199" t="s">
        <v>616</v>
      </c>
      <c r="D352" s="199" t="s">
        <v>617</v>
      </c>
      <c r="E352" s="203">
        <v>191119</v>
      </c>
      <c r="F352" s="199" t="s">
        <v>618</v>
      </c>
      <c r="G352" s="199" t="s">
        <v>619</v>
      </c>
      <c r="H352" s="187" t="s">
        <v>620</v>
      </c>
      <c r="I352" s="199" t="s">
        <v>628</v>
      </c>
      <c r="J352" s="199" t="s">
        <v>622</v>
      </c>
      <c r="K352" s="205" t="s">
        <v>635</v>
      </c>
      <c r="L352" s="199" t="s">
        <v>200</v>
      </c>
      <c r="M352" s="204" t="s">
        <v>201</v>
      </c>
      <c r="N352" s="199" t="s">
        <v>693</v>
      </c>
      <c r="O352" s="199" t="s">
        <v>625</v>
      </c>
      <c r="P352" s="199">
        <v>340</v>
      </c>
      <c r="Q352" s="199" t="s">
        <v>626</v>
      </c>
      <c r="R352" s="198">
        <v>8.5</v>
      </c>
      <c r="S352" s="198">
        <f t="shared" si="20"/>
        <v>2.5</v>
      </c>
      <c r="T352" s="198">
        <f t="shared" si="21"/>
        <v>2.5</v>
      </c>
    </row>
    <row r="353" spans="1:20" x14ac:dyDescent="0.25">
      <c r="A353" s="117" t="s">
        <v>614</v>
      </c>
      <c r="B353" s="117" t="s">
        <v>615</v>
      </c>
      <c r="C353" t="s">
        <v>616</v>
      </c>
      <c r="D353" t="s">
        <v>617</v>
      </c>
      <c r="E353" s="182">
        <v>191119</v>
      </c>
      <c r="F353" t="s">
        <v>618</v>
      </c>
      <c r="G353" t="s">
        <v>619</v>
      </c>
      <c r="H353" s="118" t="s">
        <v>620</v>
      </c>
      <c r="I353" t="s">
        <v>621</v>
      </c>
      <c r="J353" t="s">
        <v>622</v>
      </c>
      <c r="K353" s="123" t="s">
        <v>635</v>
      </c>
      <c r="L353" t="s">
        <v>235</v>
      </c>
      <c r="M353" s="183" t="str">
        <f>'common foods'!D109</f>
        <v>05082</v>
      </c>
      <c r="N353" t="s">
        <v>631</v>
      </c>
      <c r="O353" t="s">
        <v>632</v>
      </c>
      <c r="P353">
        <v>410</v>
      </c>
      <c r="Q353" t="s">
        <v>626</v>
      </c>
      <c r="R353" s="184">
        <v>0.7</v>
      </c>
      <c r="S353" s="184">
        <f>R353/4.1</f>
        <v>0.17073170731707318</v>
      </c>
      <c r="T353" s="184">
        <f>S353*'edible cooking yield factors'!F99</f>
        <v>0.17073170731707318</v>
      </c>
    </row>
    <row r="354" spans="1:20" x14ac:dyDescent="0.25">
      <c r="A354" s="117" t="s">
        <v>614</v>
      </c>
      <c r="B354" s="117" t="s">
        <v>615</v>
      </c>
      <c r="C354" t="s">
        <v>616</v>
      </c>
      <c r="D354" t="s">
        <v>617</v>
      </c>
      <c r="E354" s="182">
        <v>191119</v>
      </c>
      <c r="F354" t="s">
        <v>618</v>
      </c>
      <c r="G354" t="s">
        <v>619</v>
      </c>
      <c r="H354" s="118" t="s">
        <v>620</v>
      </c>
      <c r="I354" t="s">
        <v>627</v>
      </c>
      <c r="J354" t="s">
        <v>622</v>
      </c>
      <c r="K354" s="123" t="s">
        <v>635</v>
      </c>
      <c r="L354" t="s">
        <v>235</v>
      </c>
      <c r="M354" s="183" t="s">
        <v>236</v>
      </c>
      <c r="N354" t="s">
        <v>631</v>
      </c>
      <c r="O354" t="s">
        <v>632</v>
      </c>
      <c r="P354">
        <v>410</v>
      </c>
      <c r="Q354" t="s">
        <v>626</v>
      </c>
      <c r="R354" s="184">
        <v>0.8</v>
      </c>
      <c r="S354" s="184">
        <f>R354/4.1</f>
        <v>0.19512195121951223</v>
      </c>
      <c r="T354" s="184">
        <f>S354*'edible cooking yield factors'!F99</f>
        <v>0.19512195121951223</v>
      </c>
    </row>
    <row r="355" spans="1:20" x14ac:dyDescent="0.25">
      <c r="A355" s="117" t="s">
        <v>614</v>
      </c>
      <c r="B355" s="117" t="s">
        <v>615</v>
      </c>
      <c r="C355" t="s">
        <v>616</v>
      </c>
      <c r="D355" t="s">
        <v>617</v>
      </c>
      <c r="E355" s="182">
        <v>191119</v>
      </c>
      <c r="F355" t="s">
        <v>618</v>
      </c>
      <c r="G355" t="s">
        <v>619</v>
      </c>
      <c r="H355" s="118" t="s">
        <v>620</v>
      </c>
      <c r="I355" t="s">
        <v>628</v>
      </c>
      <c r="J355" t="s">
        <v>622</v>
      </c>
      <c r="K355" s="123" t="s">
        <v>635</v>
      </c>
      <c r="L355" t="s">
        <v>235</v>
      </c>
      <c r="M355" s="183" t="s">
        <v>236</v>
      </c>
      <c r="N355" t="s">
        <v>628</v>
      </c>
      <c r="O355" t="s">
        <v>632</v>
      </c>
      <c r="P355">
        <v>420</v>
      </c>
      <c r="Q355" t="s">
        <v>626</v>
      </c>
      <c r="R355" s="184">
        <v>0.7</v>
      </c>
      <c r="S355" s="184">
        <f>R355/4.2</f>
        <v>0.16666666666666666</v>
      </c>
      <c r="T355" s="184">
        <f>S355*'edible cooking yield factors'!F99</f>
        <v>0.16666666666666666</v>
      </c>
    </row>
    <row r="356" spans="1:20" x14ac:dyDescent="0.25">
      <c r="A356" s="117" t="s">
        <v>614</v>
      </c>
      <c r="B356" s="117" t="s">
        <v>615</v>
      </c>
      <c r="C356" t="s">
        <v>616</v>
      </c>
      <c r="D356" t="s">
        <v>617</v>
      </c>
      <c r="E356" s="182">
        <v>191119</v>
      </c>
      <c r="F356" t="s">
        <v>618</v>
      </c>
      <c r="G356" t="s">
        <v>619</v>
      </c>
      <c r="H356" s="118" t="s">
        <v>620</v>
      </c>
      <c r="I356" t="s">
        <v>621</v>
      </c>
      <c r="J356" t="s">
        <v>622</v>
      </c>
      <c r="K356" s="123" t="s">
        <v>635</v>
      </c>
      <c r="L356" t="s">
        <v>241</v>
      </c>
      <c r="M356" s="183" t="str">
        <f>'common foods'!D112</f>
        <v>05080</v>
      </c>
      <c r="N356" t="s">
        <v>636</v>
      </c>
      <c r="O356" t="s">
        <v>632</v>
      </c>
      <c r="P356">
        <v>185</v>
      </c>
      <c r="Q356" t="s">
        <v>626</v>
      </c>
      <c r="R356" s="184">
        <v>2.59</v>
      </c>
      <c r="S356" s="184">
        <f>R356/1.85</f>
        <v>1.4</v>
      </c>
      <c r="T356" s="184">
        <f>S356*'edible cooking yield factors'!F97</f>
        <v>1.022</v>
      </c>
    </row>
    <row r="357" spans="1:20" x14ac:dyDescent="0.25">
      <c r="A357" s="117" t="s">
        <v>614</v>
      </c>
      <c r="B357" s="117" t="s">
        <v>615</v>
      </c>
      <c r="C357" t="s">
        <v>616</v>
      </c>
      <c r="D357" t="s">
        <v>617</v>
      </c>
      <c r="E357" s="182">
        <v>191119</v>
      </c>
      <c r="F357" t="s">
        <v>618</v>
      </c>
      <c r="G357" t="s">
        <v>619</v>
      </c>
      <c r="H357" s="118" t="s">
        <v>620</v>
      </c>
      <c r="I357" t="s">
        <v>627</v>
      </c>
      <c r="J357" t="s">
        <v>622</v>
      </c>
      <c r="K357" s="123" t="s">
        <v>635</v>
      </c>
      <c r="L357" t="s">
        <v>241</v>
      </c>
      <c r="M357" s="183" t="s">
        <v>242</v>
      </c>
      <c r="N357" t="s">
        <v>636</v>
      </c>
      <c r="O357" t="s">
        <v>632</v>
      </c>
      <c r="P357">
        <v>185</v>
      </c>
      <c r="Q357" t="s">
        <v>626</v>
      </c>
      <c r="R357" s="184">
        <v>2.99</v>
      </c>
      <c r="S357" s="184">
        <f>R356/1.85</f>
        <v>1.4</v>
      </c>
      <c r="T357" s="184">
        <f>S357*'edible cooking yield factors'!F97</f>
        <v>1.022</v>
      </c>
    </row>
    <row r="358" spans="1:20" x14ac:dyDescent="0.25">
      <c r="A358" s="117" t="s">
        <v>614</v>
      </c>
      <c r="B358" s="117" t="s">
        <v>615</v>
      </c>
      <c r="C358" t="s">
        <v>616</v>
      </c>
      <c r="D358" t="s">
        <v>617</v>
      </c>
      <c r="E358" s="182">
        <v>191119</v>
      </c>
      <c r="F358" t="s">
        <v>618</v>
      </c>
      <c r="G358" t="s">
        <v>619</v>
      </c>
      <c r="H358" s="118" t="s">
        <v>620</v>
      </c>
      <c r="I358" t="s">
        <v>628</v>
      </c>
      <c r="J358" t="s">
        <v>622</v>
      </c>
      <c r="K358" s="123" t="s">
        <v>635</v>
      </c>
      <c r="L358" t="s">
        <v>241</v>
      </c>
      <c r="M358" s="183" t="s">
        <v>242</v>
      </c>
      <c r="N358" t="s">
        <v>628</v>
      </c>
      <c r="O358" t="s">
        <v>632</v>
      </c>
      <c r="P358">
        <v>95</v>
      </c>
      <c r="Q358" t="s">
        <v>626</v>
      </c>
      <c r="R358" s="184">
        <v>1.2</v>
      </c>
      <c r="S358" s="184">
        <f>R358/0.95</f>
        <v>1.263157894736842</v>
      </c>
      <c r="T358" s="184">
        <f>S358*'edible cooking yield factors'!F97</f>
        <v>0.92210526315789465</v>
      </c>
    </row>
    <row r="359" spans="1:20" x14ac:dyDescent="0.25">
      <c r="A359" s="117" t="s">
        <v>614</v>
      </c>
      <c r="B359" s="117" t="s">
        <v>615</v>
      </c>
      <c r="C359" t="s">
        <v>616</v>
      </c>
      <c r="D359" t="s">
        <v>617</v>
      </c>
      <c r="E359" s="182">
        <v>191119</v>
      </c>
      <c r="F359" t="s">
        <v>618</v>
      </c>
      <c r="G359" t="s">
        <v>619</v>
      </c>
      <c r="H359" s="118" t="s">
        <v>620</v>
      </c>
      <c r="I359" t="s">
        <v>621</v>
      </c>
      <c r="J359" t="s">
        <v>622</v>
      </c>
      <c r="K359" s="123" t="s">
        <v>635</v>
      </c>
      <c r="L359" t="s">
        <v>243</v>
      </c>
      <c r="M359" s="183" t="str">
        <f>'common foods'!D113</f>
        <v>05091</v>
      </c>
      <c r="N359" t="s">
        <v>636</v>
      </c>
      <c r="O359" t="s">
        <v>632</v>
      </c>
      <c r="P359">
        <v>185</v>
      </c>
      <c r="Q359" t="s">
        <v>626</v>
      </c>
      <c r="R359" s="184">
        <v>1.99</v>
      </c>
      <c r="S359" s="184">
        <f>R358/1.85</f>
        <v>0.64864864864864857</v>
      </c>
      <c r="T359" s="184">
        <f>S359*'edible cooking yield factors'!F108</f>
        <v>0.47351351351351345</v>
      </c>
    </row>
    <row r="360" spans="1:20" x14ac:dyDescent="0.25">
      <c r="A360" s="117" t="s">
        <v>614</v>
      </c>
      <c r="B360" s="117" t="s">
        <v>615</v>
      </c>
      <c r="C360" t="s">
        <v>616</v>
      </c>
      <c r="D360" t="s">
        <v>617</v>
      </c>
      <c r="E360" s="182">
        <v>191119</v>
      </c>
      <c r="F360" t="s">
        <v>618</v>
      </c>
      <c r="G360" t="s">
        <v>619</v>
      </c>
      <c r="H360" s="118" t="s">
        <v>620</v>
      </c>
      <c r="I360" t="s">
        <v>627</v>
      </c>
      <c r="J360" t="s">
        <v>622</v>
      </c>
      <c r="K360" s="123" t="s">
        <v>635</v>
      </c>
      <c r="L360" t="s">
        <v>243</v>
      </c>
      <c r="M360" s="183" t="s">
        <v>244</v>
      </c>
      <c r="N360" t="s">
        <v>636</v>
      </c>
      <c r="O360" t="s">
        <v>632</v>
      </c>
      <c r="P360">
        <v>185</v>
      </c>
      <c r="Q360" t="s">
        <v>626</v>
      </c>
      <c r="R360" s="184">
        <v>2.29</v>
      </c>
      <c r="S360" s="184">
        <f>R359/1.85</f>
        <v>1.0756756756756756</v>
      </c>
      <c r="T360" s="184">
        <f>S360*'edible cooking yield factors'!F108</f>
        <v>0.78524324324324313</v>
      </c>
    </row>
    <row r="361" spans="1:20" x14ac:dyDescent="0.25">
      <c r="A361" s="117" t="s">
        <v>614</v>
      </c>
      <c r="B361" s="117" t="s">
        <v>615</v>
      </c>
      <c r="C361" t="s">
        <v>616</v>
      </c>
      <c r="D361" t="s">
        <v>617</v>
      </c>
      <c r="E361" s="182">
        <v>191119</v>
      </c>
      <c r="F361" t="s">
        <v>618</v>
      </c>
      <c r="G361" t="s">
        <v>619</v>
      </c>
      <c r="H361" s="118" t="s">
        <v>620</v>
      </c>
      <c r="I361" t="s">
        <v>628</v>
      </c>
      <c r="J361" t="s">
        <v>622</v>
      </c>
      <c r="K361" s="123" t="s">
        <v>635</v>
      </c>
      <c r="L361" t="s">
        <v>243</v>
      </c>
      <c r="M361" s="183" t="s">
        <v>244</v>
      </c>
      <c r="N361" t="s">
        <v>694</v>
      </c>
      <c r="O361" t="s">
        <v>632</v>
      </c>
      <c r="P361">
        <v>95</v>
      </c>
      <c r="Q361" t="s">
        <v>626</v>
      </c>
      <c r="R361" s="184">
        <v>1.2</v>
      </c>
      <c r="S361" s="184">
        <f>R361/0.95</f>
        <v>1.263157894736842</v>
      </c>
      <c r="T361" s="184">
        <f>S361*'edible cooking yield factors'!F108</f>
        <v>0.92210526315789465</v>
      </c>
    </row>
    <row r="362" spans="1:20" x14ac:dyDescent="0.25">
      <c r="A362" s="117" t="s">
        <v>614</v>
      </c>
      <c r="B362" s="117" t="s">
        <v>615</v>
      </c>
      <c r="C362" t="s">
        <v>616</v>
      </c>
      <c r="D362" t="s">
        <v>617</v>
      </c>
      <c r="E362" s="182">
        <v>191119</v>
      </c>
      <c r="F362" t="s">
        <v>618</v>
      </c>
      <c r="G362" t="s">
        <v>619</v>
      </c>
      <c r="H362" s="118" t="s">
        <v>620</v>
      </c>
      <c r="I362" t="s">
        <v>621</v>
      </c>
      <c r="J362" t="s">
        <v>622</v>
      </c>
      <c r="K362" t="s">
        <v>647</v>
      </c>
      <c r="L362" t="s">
        <v>266</v>
      </c>
      <c r="M362" s="183" t="str">
        <f>'common foods'!D124</f>
        <v>06088</v>
      </c>
      <c r="N362" t="s">
        <v>636</v>
      </c>
      <c r="O362" t="s">
        <v>632</v>
      </c>
      <c r="P362">
        <v>500</v>
      </c>
      <c r="Q362" t="s">
        <v>626</v>
      </c>
      <c r="R362" s="184">
        <v>5.79</v>
      </c>
      <c r="S362" s="184">
        <f>R362/5</f>
        <v>1.1579999999999999</v>
      </c>
      <c r="T362" s="184">
        <f>S362*'edible cooking yield factors'!F124</f>
        <v>1.1579999999999999</v>
      </c>
    </row>
    <row r="363" spans="1:20" x14ac:dyDescent="0.25">
      <c r="A363" s="117" t="s">
        <v>614</v>
      </c>
      <c r="B363" s="117" t="s">
        <v>615</v>
      </c>
      <c r="C363" t="s">
        <v>616</v>
      </c>
      <c r="D363" t="s">
        <v>617</v>
      </c>
      <c r="E363" s="182">
        <v>191119</v>
      </c>
      <c r="F363" t="s">
        <v>618</v>
      </c>
      <c r="G363" t="s">
        <v>619</v>
      </c>
      <c r="H363" s="118" t="s">
        <v>620</v>
      </c>
      <c r="I363" t="s">
        <v>627</v>
      </c>
      <c r="J363" t="s">
        <v>622</v>
      </c>
      <c r="K363" t="s">
        <v>647</v>
      </c>
      <c r="L363" t="s">
        <v>266</v>
      </c>
      <c r="M363" s="183" t="s">
        <v>267</v>
      </c>
      <c r="N363" t="s">
        <v>636</v>
      </c>
      <c r="O363" t="s">
        <v>632</v>
      </c>
      <c r="P363">
        <v>500</v>
      </c>
      <c r="Q363" t="s">
        <v>626</v>
      </c>
      <c r="R363" s="184">
        <v>5.79</v>
      </c>
      <c r="S363" s="184">
        <f>R363/5</f>
        <v>1.1579999999999999</v>
      </c>
      <c r="T363" s="184">
        <f>S363*'edible cooking yield factors'!F124</f>
        <v>1.1579999999999999</v>
      </c>
    </row>
    <row r="364" spans="1:20" x14ac:dyDescent="0.25">
      <c r="A364" s="117" t="s">
        <v>614</v>
      </c>
      <c r="B364" s="117" t="s">
        <v>615</v>
      </c>
      <c r="C364" t="s">
        <v>616</v>
      </c>
      <c r="D364" t="s">
        <v>617</v>
      </c>
      <c r="E364" s="182">
        <v>191119</v>
      </c>
      <c r="F364" t="s">
        <v>618</v>
      </c>
      <c r="G364" t="s">
        <v>619</v>
      </c>
      <c r="H364" s="118" t="s">
        <v>620</v>
      </c>
      <c r="I364" t="s">
        <v>628</v>
      </c>
      <c r="J364" t="s">
        <v>622</v>
      </c>
      <c r="K364" t="s">
        <v>647</v>
      </c>
      <c r="L364" t="s">
        <v>266</v>
      </c>
      <c r="M364" s="183" t="s">
        <v>267</v>
      </c>
      <c r="N364" t="s">
        <v>628</v>
      </c>
      <c r="O364" t="s">
        <v>632</v>
      </c>
      <c r="P364">
        <v>500</v>
      </c>
      <c r="Q364" t="s">
        <v>626</v>
      </c>
      <c r="R364" s="184">
        <v>5.8</v>
      </c>
      <c r="S364" s="184">
        <f>R364/5</f>
        <v>1.1599999999999999</v>
      </c>
      <c r="T364" s="184">
        <f>S364*'edible cooking yield factors'!F124</f>
        <v>1.1599999999999999</v>
      </c>
    </row>
    <row r="365" spans="1:20" s="199" customFormat="1" x14ac:dyDescent="0.25">
      <c r="A365" s="186" t="s">
        <v>614</v>
      </c>
      <c r="B365" s="186" t="s">
        <v>615</v>
      </c>
      <c r="C365" s="199" t="s">
        <v>616</v>
      </c>
      <c r="D365" s="199" t="s">
        <v>617</v>
      </c>
      <c r="E365" s="203" t="s">
        <v>679</v>
      </c>
      <c r="F365" s="199" t="s">
        <v>674</v>
      </c>
      <c r="G365" s="199" t="s">
        <v>619</v>
      </c>
      <c r="H365" s="187" t="s">
        <v>620</v>
      </c>
      <c r="I365" s="199" t="s">
        <v>621</v>
      </c>
      <c r="J365" s="199" t="s">
        <v>622</v>
      </c>
      <c r="K365" s="199" t="s">
        <v>647</v>
      </c>
      <c r="L365" s="199" t="str">
        <f>'common foods'!C128</f>
        <v>coconut cream regular</v>
      </c>
      <c r="M365" s="204" t="str">
        <f>'common foods'!D128</f>
        <v>06092</v>
      </c>
      <c r="N365" s="199" t="s">
        <v>695</v>
      </c>
      <c r="O365" s="199" t="s">
        <v>625</v>
      </c>
      <c r="P365" s="199">
        <v>400</v>
      </c>
      <c r="Q365" s="199" t="s">
        <v>626</v>
      </c>
      <c r="R365" s="198">
        <v>1.0900000000000001</v>
      </c>
      <c r="S365" s="198">
        <f t="shared" ref="S365:S370" si="22">R365/4</f>
        <v>0.27250000000000002</v>
      </c>
      <c r="T365" s="198">
        <f t="shared" ref="T365:T370" si="23">S365*1</f>
        <v>0.27250000000000002</v>
      </c>
    </row>
    <row r="366" spans="1:20" s="199" customFormat="1" x14ac:dyDescent="0.25">
      <c r="A366" s="186" t="s">
        <v>614</v>
      </c>
      <c r="B366" s="186" t="s">
        <v>615</v>
      </c>
      <c r="C366" s="199" t="s">
        <v>616</v>
      </c>
      <c r="D366" s="199" t="s">
        <v>617</v>
      </c>
      <c r="E366" s="203" t="s">
        <v>679</v>
      </c>
      <c r="F366" s="199" t="s">
        <v>674</v>
      </c>
      <c r="G366" s="199" t="s">
        <v>619</v>
      </c>
      <c r="H366" s="187" t="s">
        <v>620</v>
      </c>
      <c r="I366" s="199" t="s">
        <v>627</v>
      </c>
      <c r="J366" s="199" t="s">
        <v>622</v>
      </c>
      <c r="K366" s="199" t="s">
        <v>647</v>
      </c>
      <c r="L366" s="199" t="s">
        <v>274</v>
      </c>
      <c r="M366" s="204" t="s">
        <v>275</v>
      </c>
      <c r="N366" s="199" t="s">
        <v>695</v>
      </c>
      <c r="O366" s="199" t="s">
        <v>625</v>
      </c>
      <c r="P366" s="199">
        <v>400</v>
      </c>
      <c r="Q366" s="205" t="s">
        <v>626</v>
      </c>
      <c r="R366" s="198">
        <v>1.19</v>
      </c>
      <c r="S366" s="198">
        <f t="shared" si="22"/>
        <v>0.29749999999999999</v>
      </c>
      <c r="T366" s="198">
        <f t="shared" si="23"/>
        <v>0.29749999999999999</v>
      </c>
    </row>
    <row r="367" spans="1:20" s="199" customFormat="1" x14ac:dyDescent="0.25">
      <c r="A367" s="186" t="s">
        <v>614</v>
      </c>
      <c r="B367" s="186" t="s">
        <v>615</v>
      </c>
      <c r="C367" s="199" t="s">
        <v>616</v>
      </c>
      <c r="D367" s="199" t="s">
        <v>617</v>
      </c>
      <c r="E367" s="203" t="s">
        <v>679</v>
      </c>
      <c r="F367" s="199" t="s">
        <v>674</v>
      </c>
      <c r="G367" s="199" t="s">
        <v>619</v>
      </c>
      <c r="H367" s="187" t="s">
        <v>620</v>
      </c>
      <c r="I367" s="199" t="s">
        <v>628</v>
      </c>
      <c r="J367" s="199" t="s">
        <v>622</v>
      </c>
      <c r="K367" s="199" t="s">
        <v>647</v>
      </c>
      <c r="L367" s="199" t="s">
        <v>274</v>
      </c>
      <c r="M367" s="204" t="s">
        <v>275</v>
      </c>
      <c r="N367" s="199" t="s">
        <v>648</v>
      </c>
      <c r="O367" s="199" t="s">
        <v>632</v>
      </c>
      <c r="P367" s="205">
        <v>400</v>
      </c>
      <c r="Q367" s="205" t="s">
        <v>626</v>
      </c>
      <c r="R367" s="198">
        <v>1.2</v>
      </c>
      <c r="S367" s="198">
        <f t="shared" si="22"/>
        <v>0.3</v>
      </c>
      <c r="T367" s="198">
        <f t="shared" si="23"/>
        <v>0.3</v>
      </c>
    </row>
    <row r="368" spans="1:20" s="199" customFormat="1" x14ac:dyDescent="0.25">
      <c r="A368" s="186" t="s">
        <v>614</v>
      </c>
      <c r="B368" s="186" t="s">
        <v>615</v>
      </c>
      <c r="C368" s="199" t="s">
        <v>616</v>
      </c>
      <c r="D368" s="199" t="s">
        <v>617</v>
      </c>
      <c r="E368" s="203" t="s">
        <v>679</v>
      </c>
      <c r="F368" s="199" t="s">
        <v>674</v>
      </c>
      <c r="G368" s="199" t="s">
        <v>619</v>
      </c>
      <c r="H368" s="187" t="s">
        <v>620</v>
      </c>
      <c r="I368" s="199" t="s">
        <v>621</v>
      </c>
      <c r="J368" s="199" t="s">
        <v>622</v>
      </c>
      <c r="K368" s="199" t="s">
        <v>647</v>
      </c>
      <c r="L368" s="199" t="str">
        <f>'common foods'!C129</f>
        <v>coconut cream lite</v>
      </c>
      <c r="M368" s="204" t="str">
        <f>'common foods'!D129</f>
        <v>06093</v>
      </c>
      <c r="N368" s="199" t="s">
        <v>696</v>
      </c>
      <c r="O368" s="199" t="s">
        <v>625</v>
      </c>
      <c r="P368" s="199">
        <v>400</v>
      </c>
      <c r="Q368" s="199" t="s">
        <v>626</v>
      </c>
      <c r="R368" s="198">
        <v>2.29</v>
      </c>
      <c r="S368" s="198">
        <f t="shared" si="22"/>
        <v>0.57250000000000001</v>
      </c>
      <c r="T368" s="198">
        <f t="shared" si="23"/>
        <v>0.57250000000000001</v>
      </c>
    </row>
    <row r="369" spans="1:20" s="199" customFormat="1" x14ac:dyDescent="0.25">
      <c r="A369" s="186" t="s">
        <v>614</v>
      </c>
      <c r="B369" s="186" t="s">
        <v>615</v>
      </c>
      <c r="C369" s="199" t="s">
        <v>616</v>
      </c>
      <c r="D369" s="199" t="s">
        <v>617</v>
      </c>
      <c r="E369" s="203" t="s">
        <v>679</v>
      </c>
      <c r="F369" s="199" t="s">
        <v>674</v>
      </c>
      <c r="G369" s="199" t="s">
        <v>619</v>
      </c>
      <c r="H369" s="187" t="s">
        <v>620</v>
      </c>
      <c r="I369" s="199" t="s">
        <v>627</v>
      </c>
      <c r="J369" s="199" t="s">
        <v>622</v>
      </c>
      <c r="K369" s="199" t="s">
        <v>647</v>
      </c>
      <c r="L369" s="199" t="s">
        <v>276</v>
      </c>
      <c r="M369" s="204" t="s">
        <v>277</v>
      </c>
      <c r="N369" s="199" t="s">
        <v>696</v>
      </c>
      <c r="O369" s="199" t="s">
        <v>625</v>
      </c>
      <c r="P369" s="199">
        <v>400</v>
      </c>
      <c r="Q369" s="199" t="s">
        <v>626</v>
      </c>
      <c r="R369" s="198">
        <v>2.19</v>
      </c>
      <c r="S369" s="198">
        <f t="shared" si="22"/>
        <v>0.54749999999999999</v>
      </c>
      <c r="T369" s="198">
        <f t="shared" si="23"/>
        <v>0.54749999999999999</v>
      </c>
    </row>
    <row r="370" spans="1:20" s="199" customFormat="1" x14ac:dyDescent="0.25">
      <c r="A370" s="186" t="s">
        <v>614</v>
      </c>
      <c r="B370" s="186" t="s">
        <v>615</v>
      </c>
      <c r="C370" s="199" t="s">
        <v>616</v>
      </c>
      <c r="D370" s="199" t="s">
        <v>617</v>
      </c>
      <c r="E370" s="203" t="s">
        <v>679</v>
      </c>
      <c r="F370" s="199" t="s">
        <v>674</v>
      </c>
      <c r="G370" s="199" t="s">
        <v>619</v>
      </c>
      <c r="H370" s="187" t="s">
        <v>620</v>
      </c>
      <c r="I370" s="199" t="s">
        <v>628</v>
      </c>
      <c r="J370" s="199" t="s">
        <v>622</v>
      </c>
      <c r="K370" s="199" t="s">
        <v>647</v>
      </c>
      <c r="L370" s="199" t="s">
        <v>276</v>
      </c>
      <c r="M370" s="204" t="s">
        <v>277</v>
      </c>
      <c r="N370" s="199" t="s">
        <v>648</v>
      </c>
      <c r="O370" s="199" t="s">
        <v>632</v>
      </c>
      <c r="P370" s="205">
        <v>400</v>
      </c>
      <c r="Q370" s="205" t="s">
        <v>626</v>
      </c>
      <c r="R370" s="198">
        <v>1.2</v>
      </c>
      <c r="S370" s="198">
        <f t="shared" si="22"/>
        <v>0.3</v>
      </c>
      <c r="T370" s="198">
        <f t="shared" si="23"/>
        <v>0.3</v>
      </c>
    </row>
    <row r="371" spans="1:20" x14ac:dyDescent="0.25">
      <c r="A371" s="117" t="s">
        <v>614</v>
      </c>
      <c r="B371" s="117" t="s">
        <v>615</v>
      </c>
      <c r="C371" t="s">
        <v>616</v>
      </c>
      <c r="D371" t="s">
        <v>617</v>
      </c>
      <c r="E371" s="182">
        <v>191119</v>
      </c>
      <c r="F371" t="s">
        <v>618</v>
      </c>
      <c r="G371" t="s">
        <v>619</v>
      </c>
      <c r="H371" s="118" t="s">
        <v>620</v>
      </c>
      <c r="I371" t="s">
        <v>621</v>
      </c>
      <c r="J371" t="s">
        <v>622</v>
      </c>
      <c r="K371" t="s">
        <v>647</v>
      </c>
      <c r="L371" t="s">
        <v>268</v>
      </c>
      <c r="M371" s="183" t="str">
        <f>'common foods'!D125</f>
        <v>06089</v>
      </c>
      <c r="N371" t="s">
        <v>697</v>
      </c>
      <c r="O371" t="s">
        <v>625</v>
      </c>
      <c r="P371">
        <v>500</v>
      </c>
      <c r="Q371" t="s">
        <v>626</v>
      </c>
      <c r="R371" s="184">
        <v>2.69</v>
      </c>
      <c r="S371" s="184">
        <f>R371/5</f>
        <v>0.53800000000000003</v>
      </c>
      <c r="T371" s="184">
        <f>S371*'edible cooking yield factors'!F125</f>
        <v>0.53800000000000003</v>
      </c>
    </row>
    <row r="372" spans="1:20" x14ac:dyDescent="0.25">
      <c r="A372" s="117" t="s">
        <v>614</v>
      </c>
      <c r="B372" s="117" t="s">
        <v>615</v>
      </c>
      <c r="C372" t="s">
        <v>616</v>
      </c>
      <c r="D372" t="s">
        <v>617</v>
      </c>
      <c r="E372" s="182">
        <v>191119</v>
      </c>
      <c r="F372" t="s">
        <v>618</v>
      </c>
      <c r="G372" t="s">
        <v>619</v>
      </c>
      <c r="H372" s="118" t="s">
        <v>620</v>
      </c>
      <c r="I372" t="s">
        <v>627</v>
      </c>
      <c r="J372" t="s">
        <v>622</v>
      </c>
      <c r="K372" t="s">
        <v>647</v>
      </c>
      <c r="L372" t="s">
        <v>268</v>
      </c>
      <c r="M372" s="183" t="s">
        <v>269</v>
      </c>
      <c r="N372" t="s">
        <v>697</v>
      </c>
      <c r="O372" t="s">
        <v>625</v>
      </c>
      <c r="P372" s="123">
        <v>500</v>
      </c>
      <c r="Q372" s="123" t="s">
        <v>626</v>
      </c>
      <c r="R372" s="184">
        <v>2.79</v>
      </c>
      <c r="S372" s="184">
        <f>R372/5</f>
        <v>0.55800000000000005</v>
      </c>
      <c r="T372" s="184">
        <f>S372*'edible cooking yield factors'!F125</f>
        <v>0.55800000000000005</v>
      </c>
    </row>
    <row r="373" spans="1:20" x14ac:dyDescent="0.25">
      <c r="A373" s="117" t="s">
        <v>614</v>
      </c>
      <c r="B373" s="117" t="s">
        <v>615</v>
      </c>
      <c r="C373" t="s">
        <v>616</v>
      </c>
      <c r="D373" t="s">
        <v>617</v>
      </c>
      <c r="E373" s="182">
        <v>191119</v>
      </c>
      <c r="F373" t="s">
        <v>618</v>
      </c>
      <c r="G373" t="s">
        <v>619</v>
      </c>
      <c r="H373" s="118" t="s">
        <v>620</v>
      </c>
      <c r="I373" t="s">
        <v>628</v>
      </c>
      <c r="J373" t="s">
        <v>622</v>
      </c>
      <c r="K373" t="s">
        <v>647</v>
      </c>
      <c r="L373" t="s">
        <v>268</v>
      </c>
      <c r="M373" s="183" t="s">
        <v>269</v>
      </c>
      <c r="N373" t="s">
        <v>697</v>
      </c>
      <c r="O373" t="s">
        <v>625</v>
      </c>
      <c r="P373" s="123">
        <v>500</v>
      </c>
      <c r="Q373" s="123" t="s">
        <v>626</v>
      </c>
      <c r="R373" s="184">
        <v>2.8</v>
      </c>
      <c r="S373" s="184">
        <f>R373/5</f>
        <v>0.55999999999999994</v>
      </c>
      <c r="T373" s="184">
        <f>S373*'edible cooking yield factors'!F125</f>
        <v>0.55999999999999994</v>
      </c>
    </row>
    <row r="374" spans="1:20" x14ac:dyDescent="0.25">
      <c r="A374" s="117" t="s">
        <v>614</v>
      </c>
      <c r="B374" s="117" t="s">
        <v>615</v>
      </c>
      <c r="C374" t="s">
        <v>616</v>
      </c>
      <c r="D374" t="s">
        <v>617</v>
      </c>
      <c r="E374" s="182">
        <v>191119</v>
      </c>
      <c r="F374" t="s">
        <v>618</v>
      </c>
      <c r="G374" t="s">
        <v>619</v>
      </c>
      <c r="H374" s="118" t="s">
        <v>620</v>
      </c>
      <c r="I374" t="s">
        <v>621</v>
      </c>
      <c r="J374" t="s">
        <v>622</v>
      </c>
      <c r="K374" t="s">
        <v>698</v>
      </c>
      <c r="L374" t="s">
        <v>279</v>
      </c>
      <c r="M374" s="183" t="str">
        <f>'common foods'!D130</f>
        <v>03041</v>
      </c>
      <c r="N374" t="s">
        <v>699</v>
      </c>
      <c r="O374" t="s">
        <v>625</v>
      </c>
      <c r="P374" s="123">
        <v>680</v>
      </c>
      <c r="Q374" s="123" t="s">
        <v>626</v>
      </c>
      <c r="R374" s="184">
        <v>6.19</v>
      </c>
      <c r="S374" s="184">
        <f>R374/6.8</f>
        <v>0.91029411764705892</v>
      </c>
      <c r="T374" s="184">
        <f>S374/1</f>
        <v>0.91029411764705892</v>
      </c>
    </row>
    <row r="375" spans="1:20" x14ac:dyDescent="0.25">
      <c r="A375" s="117" t="s">
        <v>614</v>
      </c>
      <c r="B375" s="117" t="s">
        <v>615</v>
      </c>
      <c r="C375" t="s">
        <v>616</v>
      </c>
      <c r="D375" t="s">
        <v>617</v>
      </c>
      <c r="E375" s="182">
        <v>191119</v>
      </c>
      <c r="F375" t="s">
        <v>618</v>
      </c>
      <c r="G375" t="s">
        <v>619</v>
      </c>
      <c r="H375" s="118" t="s">
        <v>620</v>
      </c>
      <c r="I375" t="s">
        <v>627</v>
      </c>
      <c r="J375" t="s">
        <v>622</v>
      </c>
      <c r="K375" t="s">
        <v>698</v>
      </c>
      <c r="L375" t="s">
        <v>279</v>
      </c>
      <c r="M375" s="183" t="s">
        <v>280</v>
      </c>
      <c r="N375" t="s">
        <v>699</v>
      </c>
      <c r="O375" t="s">
        <v>625</v>
      </c>
      <c r="P375">
        <v>400</v>
      </c>
      <c r="Q375" t="s">
        <v>626</v>
      </c>
      <c r="R375" s="184">
        <v>5.69</v>
      </c>
      <c r="S375" s="184">
        <f>R375/4</f>
        <v>1.4225000000000001</v>
      </c>
      <c r="T375" s="184">
        <f>S375*'edible cooking yield factors'!F130</f>
        <v>1.4225000000000001</v>
      </c>
    </row>
    <row r="376" spans="1:20" x14ac:dyDescent="0.25">
      <c r="A376" s="117" t="s">
        <v>614</v>
      </c>
      <c r="B376" s="117" t="s">
        <v>615</v>
      </c>
      <c r="C376" t="s">
        <v>616</v>
      </c>
      <c r="D376" t="s">
        <v>617</v>
      </c>
      <c r="E376" s="182">
        <v>191119</v>
      </c>
      <c r="F376" t="s">
        <v>618</v>
      </c>
      <c r="G376" t="s">
        <v>619</v>
      </c>
      <c r="H376" s="118" t="s">
        <v>620</v>
      </c>
      <c r="I376" t="s">
        <v>628</v>
      </c>
      <c r="J376" t="s">
        <v>622</v>
      </c>
      <c r="K376" t="s">
        <v>698</v>
      </c>
      <c r="L376" t="s">
        <v>279</v>
      </c>
      <c r="M376" s="183" t="s">
        <v>280</v>
      </c>
      <c r="N376" t="s">
        <v>628</v>
      </c>
      <c r="O376" t="s">
        <v>632</v>
      </c>
      <c r="P376">
        <v>465</v>
      </c>
      <c r="Q376" t="s">
        <v>626</v>
      </c>
      <c r="R376" s="184">
        <v>4.99</v>
      </c>
      <c r="S376" s="184">
        <f>R376/4.65</f>
        <v>1.0731182795698924</v>
      </c>
      <c r="T376" s="184">
        <f>S376*'edible cooking yield factors'!F130</f>
        <v>1.0731182795698924</v>
      </c>
    </row>
    <row r="377" spans="1:20" x14ac:dyDescent="0.25">
      <c r="A377" s="117" t="s">
        <v>614</v>
      </c>
      <c r="B377" s="117" t="s">
        <v>615</v>
      </c>
      <c r="C377" t="s">
        <v>616</v>
      </c>
      <c r="D377" t="s">
        <v>617</v>
      </c>
      <c r="E377" s="182">
        <v>191119</v>
      </c>
      <c r="F377" t="s">
        <v>618</v>
      </c>
      <c r="G377" t="s">
        <v>619</v>
      </c>
      <c r="H377" s="118" t="s">
        <v>620</v>
      </c>
      <c r="I377" t="s">
        <v>621</v>
      </c>
      <c r="J377" t="s">
        <v>622</v>
      </c>
      <c r="K377" t="s">
        <v>698</v>
      </c>
      <c r="L377" t="s">
        <v>282</v>
      </c>
      <c r="M377" s="183" t="str">
        <f>'common foods'!D131</f>
        <v>03042</v>
      </c>
      <c r="N377" t="s">
        <v>700</v>
      </c>
      <c r="O377" t="s">
        <v>625</v>
      </c>
      <c r="P377">
        <v>500</v>
      </c>
      <c r="Q377" t="s">
        <v>626</v>
      </c>
      <c r="R377" s="184">
        <v>2.99</v>
      </c>
      <c r="S377" s="184">
        <f>R377/5</f>
        <v>0.59800000000000009</v>
      </c>
      <c r="T377" s="184">
        <f>S377*'edible cooking yield factors'!F131</f>
        <v>0.59800000000000009</v>
      </c>
    </row>
    <row r="378" spans="1:20" x14ac:dyDescent="0.25">
      <c r="A378" s="117" t="s">
        <v>614</v>
      </c>
      <c r="B378" s="117" t="s">
        <v>615</v>
      </c>
      <c r="C378" t="s">
        <v>616</v>
      </c>
      <c r="D378" t="s">
        <v>617</v>
      </c>
      <c r="E378" s="182">
        <v>191119</v>
      </c>
      <c r="F378" t="s">
        <v>618</v>
      </c>
      <c r="G378" t="s">
        <v>619</v>
      </c>
      <c r="H378" s="118" t="s">
        <v>620</v>
      </c>
      <c r="I378" t="s">
        <v>627</v>
      </c>
      <c r="J378" t="s">
        <v>622</v>
      </c>
      <c r="K378" t="s">
        <v>698</v>
      </c>
      <c r="L378" t="s">
        <v>282</v>
      </c>
      <c r="M378" s="183" t="s">
        <v>283</v>
      </c>
      <c r="N378" t="s">
        <v>700</v>
      </c>
      <c r="O378" t="s">
        <v>625</v>
      </c>
      <c r="P378">
        <v>500</v>
      </c>
      <c r="Q378" t="s">
        <v>626</v>
      </c>
      <c r="R378" s="184">
        <v>3.99</v>
      </c>
      <c r="S378" s="184">
        <f>R378/5</f>
        <v>0.79800000000000004</v>
      </c>
      <c r="T378" s="184">
        <f>S378*'edible cooking yield factors'!F131</f>
        <v>0.79800000000000004</v>
      </c>
    </row>
    <row r="379" spans="1:20" x14ac:dyDescent="0.25">
      <c r="A379" s="117" t="s">
        <v>614</v>
      </c>
      <c r="B379" s="117" t="s">
        <v>615</v>
      </c>
      <c r="C379" t="s">
        <v>616</v>
      </c>
      <c r="D379" t="s">
        <v>617</v>
      </c>
      <c r="E379" s="182">
        <v>191119</v>
      </c>
      <c r="F379" t="s">
        <v>618</v>
      </c>
      <c r="G379" t="s">
        <v>619</v>
      </c>
      <c r="H379" s="118" t="s">
        <v>620</v>
      </c>
      <c r="I379" t="s">
        <v>628</v>
      </c>
      <c r="J379" t="s">
        <v>622</v>
      </c>
      <c r="K379" t="s">
        <v>698</v>
      </c>
      <c r="L379" t="s">
        <v>282</v>
      </c>
      <c r="M379" s="183" t="s">
        <v>283</v>
      </c>
      <c r="N379" t="s">
        <v>628</v>
      </c>
      <c r="O379" t="s">
        <v>632</v>
      </c>
      <c r="P379">
        <v>250</v>
      </c>
      <c r="Q379" t="s">
        <v>626</v>
      </c>
      <c r="R379" s="184">
        <v>1.5</v>
      </c>
      <c r="S379" s="184">
        <f>R379/2.5</f>
        <v>0.6</v>
      </c>
      <c r="T379" s="184">
        <f>S379*'edible cooking yield factors'!F131</f>
        <v>0.6</v>
      </c>
    </row>
    <row r="380" spans="1:20" s="199" customFormat="1" ht="14.25" customHeight="1" x14ac:dyDescent="0.25">
      <c r="A380" s="186" t="s">
        <v>614</v>
      </c>
      <c r="B380" s="186" t="s">
        <v>615</v>
      </c>
      <c r="C380" s="199" t="s">
        <v>616</v>
      </c>
      <c r="D380" s="199" t="s">
        <v>617</v>
      </c>
      <c r="E380" s="203">
        <v>191119</v>
      </c>
      <c r="F380" s="199" t="s">
        <v>618</v>
      </c>
      <c r="G380" s="199" t="s">
        <v>619</v>
      </c>
      <c r="H380" s="187" t="s">
        <v>620</v>
      </c>
      <c r="I380" s="199" t="s">
        <v>621</v>
      </c>
      <c r="J380" s="199" t="s">
        <v>622</v>
      </c>
      <c r="K380" s="199" t="s">
        <v>698</v>
      </c>
      <c r="L380" s="199" t="str">
        <f>'common foods'!C134</f>
        <v>Biscuits, arrowroot</v>
      </c>
      <c r="M380" s="204" t="str">
        <f>'common foods'!D134</f>
        <v>03061</v>
      </c>
      <c r="N380" s="199" t="s">
        <v>631</v>
      </c>
      <c r="O380" s="199" t="s">
        <v>632</v>
      </c>
      <c r="P380" s="199">
        <v>250</v>
      </c>
      <c r="Q380" s="199" t="s">
        <v>626</v>
      </c>
      <c r="R380" s="198">
        <v>1.25</v>
      </c>
      <c r="S380" s="198">
        <f>R380/2.5</f>
        <v>0.5</v>
      </c>
      <c r="T380" s="198">
        <f>S380*'edible cooking yield factors'!F129</f>
        <v>0.5</v>
      </c>
    </row>
    <row r="381" spans="1:20" s="199" customFormat="1" x14ac:dyDescent="0.25">
      <c r="A381" s="186" t="s">
        <v>614</v>
      </c>
      <c r="B381" s="186" t="s">
        <v>615</v>
      </c>
      <c r="C381" s="199" t="s">
        <v>616</v>
      </c>
      <c r="D381" s="199" t="s">
        <v>617</v>
      </c>
      <c r="E381" s="203">
        <v>191119</v>
      </c>
      <c r="F381" s="199" t="s">
        <v>618</v>
      </c>
      <c r="G381" s="199" t="s">
        <v>619</v>
      </c>
      <c r="H381" s="187" t="s">
        <v>620</v>
      </c>
      <c r="I381" s="199" t="s">
        <v>627</v>
      </c>
      <c r="J381" s="199" t="s">
        <v>622</v>
      </c>
      <c r="K381" s="199" t="s">
        <v>698</v>
      </c>
      <c r="L381" s="199" t="s">
        <v>288</v>
      </c>
      <c r="M381" s="204" t="s">
        <v>289</v>
      </c>
      <c r="N381" s="199" t="s">
        <v>631</v>
      </c>
      <c r="O381" s="199" t="s">
        <v>632</v>
      </c>
      <c r="P381" s="199">
        <v>250</v>
      </c>
      <c r="Q381" s="199" t="s">
        <v>626</v>
      </c>
      <c r="R381" s="198">
        <v>1.39</v>
      </c>
      <c r="S381" s="198">
        <f>R381/2.5</f>
        <v>0.55599999999999994</v>
      </c>
      <c r="T381" s="198">
        <f>S381*'edible cooking yield factors'!F129</f>
        <v>0.55599999999999994</v>
      </c>
    </row>
    <row r="382" spans="1:20" s="199" customFormat="1" x14ac:dyDescent="0.25">
      <c r="A382" s="186" t="s">
        <v>614</v>
      </c>
      <c r="B382" s="186" t="s">
        <v>615</v>
      </c>
      <c r="C382" s="199" t="s">
        <v>616</v>
      </c>
      <c r="D382" s="199" t="s">
        <v>617</v>
      </c>
      <c r="E382" s="203">
        <v>191119</v>
      </c>
      <c r="F382" s="199" t="s">
        <v>618</v>
      </c>
      <c r="G382" s="199" t="s">
        <v>619</v>
      </c>
      <c r="H382" s="187" t="s">
        <v>620</v>
      </c>
      <c r="I382" s="199" t="s">
        <v>628</v>
      </c>
      <c r="J382" s="199" t="s">
        <v>622</v>
      </c>
      <c r="K382" s="199" t="s">
        <v>698</v>
      </c>
      <c r="L382" s="199" t="s">
        <v>288</v>
      </c>
      <c r="M382" s="204" t="s">
        <v>289</v>
      </c>
      <c r="N382" s="199" t="s">
        <v>701</v>
      </c>
      <c r="O382" s="199" t="s">
        <v>625</v>
      </c>
      <c r="P382" s="199">
        <v>250</v>
      </c>
      <c r="Q382" s="199" t="s">
        <v>626</v>
      </c>
      <c r="R382" s="198">
        <v>2.5</v>
      </c>
      <c r="S382" s="198">
        <f>R382/2.5</f>
        <v>1</v>
      </c>
      <c r="T382" s="198">
        <f>S382*'edible cooking yield factors'!F129</f>
        <v>1</v>
      </c>
    </row>
    <row r="383" spans="1:20" ht="14.25" customHeight="1" x14ac:dyDescent="0.25">
      <c r="A383" s="117" t="s">
        <v>614</v>
      </c>
      <c r="B383" s="117" t="s">
        <v>615</v>
      </c>
      <c r="C383" t="s">
        <v>616</v>
      </c>
      <c r="D383" t="s">
        <v>617</v>
      </c>
      <c r="E383" s="182">
        <v>191119</v>
      </c>
      <c r="F383" t="s">
        <v>618</v>
      </c>
      <c r="G383" t="s">
        <v>619</v>
      </c>
      <c r="H383" s="118" t="s">
        <v>620</v>
      </c>
      <c r="I383" t="s">
        <v>621</v>
      </c>
      <c r="J383" t="s">
        <v>622</v>
      </c>
      <c r="K383" t="s">
        <v>698</v>
      </c>
      <c r="L383" t="s">
        <v>284</v>
      </c>
      <c r="M383" s="183" t="str">
        <f>'common foods'!D132</f>
        <v>03043</v>
      </c>
      <c r="N383" t="s">
        <v>701</v>
      </c>
      <c r="O383" t="s">
        <v>625</v>
      </c>
      <c r="P383">
        <v>200</v>
      </c>
      <c r="Q383" t="s">
        <v>626</v>
      </c>
      <c r="R383" s="184">
        <v>2.99</v>
      </c>
      <c r="S383" s="184">
        <f>R383/2</f>
        <v>1.4950000000000001</v>
      </c>
      <c r="T383" s="198">
        <f>S383*'edible cooking yield factors'!F132</f>
        <v>1.4950000000000001</v>
      </c>
    </row>
    <row r="384" spans="1:20" x14ac:dyDescent="0.25">
      <c r="A384" s="117" t="s">
        <v>614</v>
      </c>
      <c r="B384" s="117" t="s">
        <v>615</v>
      </c>
      <c r="C384" t="s">
        <v>616</v>
      </c>
      <c r="D384" t="s">
        <v>617</v>
      </c>
      <c r="E384" s="182">
        <v>191119</v>
      </c>
      <c r="F384" t="s">
        <v>618</v>
      </c>
      <c r="G384" t="s">
        <v>619</v>
      </c>
      <c r="H384" s="118" t="s">
        <v>620</v>
      </c>
      <c r="I384" t="s">
        <v>627</v>
      </c>
      <c r="J384" t="s">
        <v>622</v>
      </c>
      <c r="K384" t="s">
        <v>698</v>
      </c>
      <c r="L384" t="s">
        <v>284</v>
      </c>
      <c r="M384" s="183" t="s">
        <v>285</v>
      </c>
      <c r="N384" t="s">
        <v>701</v>
      </c>
      <c r="O384" t="s">
        <v>625</v>
      </c>
      <c r="P384">
        <v>330</v>
      </c>
      <c r="Q384" t="s">
        <v>626</v>
      </c>
      <c r="R384" s="184">
        <v>3.99</v>
      </c>
      <c r="S384" s="184">
        <f>R384/3.3</f>
        <v>1.2090909090909092</v>
      </c>
      <c r="T384" s="198">
        <f>S384*'edible cooking yield factors'!F132</f>
        <v>1.2090909090909092</v>
      </c>
    </row>
    <row r="385" spans="1:20" x14ac:dyDescent="0.25">
      <c r="A385" s="117" t="s">
        <v>614</v>
      </c>
      <c r="B385" s="117" t="s">
        <v>615</v>
      </c>
      <c r="C385" t="s">
        <v>616</v>
      </c>
      <c r="D385" t="s">
        <v>617</v>
      </c>
      <c r="E385" s="182">
        <v>191119</v>
      </c>
      <c r="F385" t="s">
        <v>618</v>
      </c>
      <c r="G385" t="s">
        <v>619</v>
      </c>
      <c r="H385" s="118" t="s">
        <v>620</v>
      </c>
      <c r="I385" t="s">
        <v>628</v>
      </c>
      <c r="J385" t="s">
        <v>622</v>
      </c>
      <c r="K385" t="s">
        <v>698</v>
      </c>
      <c r="L385" t="s">
        <v>284</v>
      </c>
      <c r="M385" s="183" t="s">
        <v>285</v>
      </c>
      <c r="N385" t="s">
        <v>701</v>
      </c>
      <c r="O385" t="s">
        <v>625</v>
      </c>
      <c r="P385">
        <v>200</v>
      </c>
      <c r="Q385" t="s">
        <v>626</v>
      </c>
      <c r="R385" s="184">
        <v>3.5</v>
      </c>
      <c r="S385" s="184">
        <f>R385/2</f>
        <v>1.75</v>
      </c>
      <c r="T385" s="198">
        <f>S385*'edible cooking yield factors'!F132</f>
        <v>1.75</v>
      </c>
    </row>
    <row r="386" spans="1:20" s="199" customFormat="1" x14ac:dyDescent="0.25">
      <c r="A386" s="186" t="s">
        <v>614</v>
      </c>
      <c r="B386" s="186" t="s">
        <v>615</v>
      </c>
      <c r="C386" s="199" t="s">
        <v>616</v>
      </c>
      <c r="D386" s="199" t="s">
        <v>617</v>
      </c>
      <c r="E386" s="203">
        <v>191119</v>
      </c>
      <c r="F386" s="199" t="s">
        <v>618</v>
      </c>
      <c r="G386" s="199" t="s">
        <v>619</v>
      </c>
      <c r="H386" s="187" t="s">
        <v>702</v>
      </c>
      <c r="I386" s="199" t="s">
        <v>703</v>
      </c>
      <c r="J386" s="199" t="s">
        <v>666</v>
      </c>
      <c r="K386" s="199" t="s">
        <v>698</v>
      </c>
      <c r="L386" s="199" t="str">
        <f>'common foods'!C138</f>
        <v>Coconut cream buns</v>
      </c>
      <c r="M386" s="204" t="str">
        <f>'common foods'!D138</f>
        <v>03059</v>
      </c>
      <c r="N386" s="199" t="s">
        <v>619</v>
      </c>
      <c r="O386" s="199" t="s">
        <v>619</v>
      </c>
      <c r="P386" s="199">
        <v>620</v>
      </c>
      <c r="Q386" s="199" t="s">
        <v>626</v>
      </c>
      <c r="R386" s="184">
        <v>6</v>
      </c>
      <c r="S386" s="207">
        <f>R386/6.2</f>
        <v>0.96774193548387089</v>
      </c>
      <c r="T386" s="207">
        <f>S386*1</f>
        <v>0.96774193548387089</v>
      </c>
    </row>
    <row r="387" spans="1:20" s="199" customFormat="1" x14ac:dyDescent="0.25">
      <c r="A387" s="186" t="s">
        <v>614</v>
      </c>
      <c r="B387" s="186" t="s">
        <v>615</v>
      </c>
      <c r="C387" s="199" t="s">
        <v>616</v>
      </c>
      <c r="D387" s="199" t="s">
        <v>617</v>
      </c>
      <c r="E387" s="203">
        <v>191119</v>
      </c>
      <c r="F387" s="199" t="s">
        <v>618</v>
      </c>
      <c r="G387" s="199" t="s">
        <v>619</v>
      </c>
      <c r="H387" s="187" t="s">
        <v>702</v>
      </c>
      <c r="I387" s="199" t="s">
        <v>703</v>
      </c>
      <c r="J387" s="199" t="s">
        <v>666</v>
      </c>
      <c r="K387" s="199" t="s">
        <v>698</v>
      </c>
      <c r="L387" s="199" t="str">
        <f>'common foods'!C139</f>
        <v>Pineapple pie</v>
      </c>
      <c r="M387" s="204" t="str">
        <f>'common foods'!D139</f>
        <v>03060</v>
      </c>
      <c r="N387" s="199" t="s">
        <v>619</v>
      </c>
      <c r="O387" s="199" t="s">
        <v>619</v>
      </c>
      <c r="P387" s="199">
        <v>350</v>
      </c>
      <c r="Q387" s="199" t="s">
        <v>626</v>
      </c>
      <c r="R387" s="184">
        <v>3</v>
      </c>
      <c r="S387" s="207">
        <f>R387/3.5</f>
        <v>0.8571428571428571</v>
      </c>
      <c r="T387" s="207">
        <f>S387*1</f>
        <v>0.8571428571428571</v>
      </c>
    </row>
    <row r="388" spans="1:20" x14ac:dyDescent="0.25">
      <c r="A388" s="117" t="s">
        <v>614</v>
      </c>
      <c r="B388" s="117" t="s">
        <v>615</v>
      </c>
      <c r="C388" t="s">
        <v>616</v>
      </c>
      <c r="D388" t="s">
        <v>617</v>
      </c>
      <c r="E388" s="182">
        <v>191119</v>
      </c>
      <c r="F388" t="s">
        <v>618</v>
      </c>
      <c r="G388" t="s">
        <v>619</v>
      </c>
      <c r="H388" s="118" t="s">
        <v>620</v>
      </c>
      <c r="I388" t="s">
        <v>621</v>
      </c>
      <c r="J388" t="s">
        <v>622</v>
      </c>
      <c r="K388" t="s">
        <v>698</v>
      </c>
      <c r="L388" t="s">
        <v>286</v>
      </c>
      <c r="M388" s="183" t="str">
        <f>'common foods'!D133</f>
        <v>03044</v>
      </c>
      <c r="N388" t="s">
        <v>701</v>
      </c>
      <c r="O388" t="s">
        <v>625</v>
      </c>
      <c r="P388">
        <v>175</v>
      </c>
      <c r="Q388" t="s">
        <v>626</v>
      </c>
      <c r="R388" s="184">
        <v>2.29</v>
      </c>
      <c r="S388" s="184">
        <f>R388/1.75</f>
        <v>1.3085714285714285</v>
      </c>
      <c r="T388" s="184">
        <f>S388*'edible cooking yield factors'!F133</f>
        <v>1.3085714285714285</v>
      </c>
    </row>
    <row r="389" spans="1:20" x14ac:dyDescent="0.25">
      <c r="A389" s="117" t="s">
        <v>614</v>
      </c>
      <c r="B389" s="117" t="s">
        <v>615</v>
      </c>
      <c r="C389" t="s">
        <v>616</v>
      </c>
      <c r="D389" t="s">
        <v>617</v>
      </c>
      <c r="E389" s="182">
        <v>191119</v>
      </c>
      <c r="F389" t="s">
        <v>618</v>
      </c>
      <c r="G389" t="s">
        <v>619</v>
      </c>
      <c r="H389" s="118" t="s">
        <v>620</v>
      </c>
      <c r="I389" t="s">
        <v>627</v>
      </c>
      <c r="J389" t="s">
        <v>622</v>
      </c>
      <c r="K389" t="s">
        <v>698</v>
      </c>
      <c r="L389" t="s">
        <v>286</v>
      </c>
      <c r="M389" s="183" t="s">
        <v>287</v>
      </c>
      <c r="N389" t="s">
        <v>701</v>
      </c>
      <c r="O389" t="s">
        <v>625</v>
      </c>
      <c r="P389">
        <v>175</v>
      </c>
      <c r="Q389" t="s">
        <v>626</v>
      </c>
      <c r="R389" s="184">
        <v>2.69</v>
      </c>
      <c r="S389" s="184">
        <f>R389/1.75</f>
        <v>1.5371428571428571</v>
      </c>
      <c r="T389" s="184">
        <f>S389*'edible cooking yield factors'!F133</f>
        <v>1.5371428571428571</v>
      </c>
    </row>
    <row r="390" spans="1:20" x14ac:dyDescent="0.25">
      <c r="A390" s="117" t="s">
        <v>614</v>
      </c>
      <c r="B390" s="117" t="s">
        <v>615</v>
      </c>
      <c r="C390" t="s">
        <v>616</v>
      </c>
      <c r="D390" t="s">
        <v>617</v>
      </c>
      <c r="E390" s="182">
        <v>191119</v>
      </c>
      <c r="F390" t="s">
        <v>618</v>
      </c>
      <c r="G390" t="s">
        <v>619</v>
      </c>
      <c r="H390" s="118" t="s">
        <v>620</v>
      </c>
      <c r="I390" t="s">
        <v>628</v>
      </c>
      <c r="J390" t="s">
        <v>622</v>
      </c>
      <c r="K390" t="s">
        <v>698</v>
      </c>
      <c r="L390" t="s">
        <v>286</v>
      </c>
      <c r="M390" s="183" t="s">
        <v>287</v>
      </c>
      <c r="N390" t="s">
        <v>701</v>
      </c>
      <c r="O390" t="s">
        <v>625</v>
      </c>
      <c r="P390" s="123">
        <v>175</v>
      </c>
      <c r="Q390" s="123" t="s">
        <v>626</v>
      </c>
      <c r="R390" s="184">
        <v>2.75</v>
      </c>
      <c r="S390" s="184">
        <f>R390/1.75</f>
        <v>1.5714285714285714</v>
      </c>
      <c r="T390" s="184">
        <f>S390*'edible cooking yield factors'!F133</f>
        <v>1.5714285714285714</v>
      </c>
    </row>
    <row r="391" spans="1:20" x14ac:dyDescent="0.25">
      <c r="A391" s="117" t="s">
        <v>614</v>
      </c>
      <c r="B391" s="117" t="s">
        <v>615</v>
      </c>
      <c r="C391" t="s">
        <v>616</v>
      </c>
      <c r="D391" t="s">
        <v>617</v>
      </c>
      <c r="E391" s="182">
        <v>191119</v>
      </c>
      <c r="F391" t="s">
        <v>618</v>
      </c>
      <c r="G391" t="s">
        <v>619</v>
      </c>
      <c r="H391" s="118" t="s">
        <v>620</v>
      </c>
      <c r="I391" t="s">
        <v>621</v>
      </c>
      <c r="J391" t="s">
        <v>622</v>
      </c>
      <c r="K391" t="s">
        <v>698</v>
      </c>
      <c r="L391" t="s">
        <v>290</v>
      </c>
      <c r="M391" s="183" t="str">
        <f>'common foods'!D135</f>
        <v>03045</v>
      </c>
      <c r="N391" t="s">
        <v>619</v>
      </c>
      <c r="O391" t="s">
        <v>619</v>
      </c>
      <c r="P391" s="123">
        <v>360</v>
      </c>
      <c r="Q391" s="123" t="s">
        <v>626</v>
      </c>
      <c r="R391" s="184">
        <v>3.99</v>
      </c>
      <c r="S391" s="184">
        <f>R391/3.6</f>
        <v>1.1083333333333334</v>
      </c>
      <c r="T391" s="184">
        <f>S391/1</f>
        <v>1.1083333333333334</v>
      </c>
    </row>
    <row r="392" spans="1:20" x14ac:dyDescent="0.25">
      <c r="A392" s="117" t="s">
        <v>614</v>
      </c>
      <c r="B392" s="117" t="s">
        <v>615</v>
      </c>
      <c r="C392" t="s">
        <v>616</v>
      </c>
      <c r="D392" t="s">
        <v>617</v>
      </c>
      <c r="E392" s="182">
        <v>191119</v>
      </c>
      <c r="F392" t="s">
        <v>618</v>
      </c>
      <c r="G392" t="s">
        <v>619</v>
      </c>
      <c r="H392" s="118" t="s">
        <v>620</v>
      </c>
      <c r="I392" t="s">
        <v>627</v>
      </c>
      <c r="J392" t="s">
        <v>622</v>
      </c>
      <c r="K392" t="s">
        <v>698</v>
      </c>
      <c r="L392" t="s">
        <v>290</v>
      </c>
      <c r="M392" s="183" t="s">
        <v>291</v>
      </c>
      <c r="N392" t="s">
        <v>619</v>
      </c>
      <c r="O392" t="s">
        <v>619</v>
      </c>
      <c r="P392" s="123">
        <v>360</v>
      </c>
      <c r="Q392" s="123" t="s">
        <v>626</v>
      </c>
      <c r="R392" s="184">
        <v>4.1900000000000004</v>
      </c>
      <c r="S392" s="184">
        <f>R392/3.6</f>
        <v>1.163888888888889</v>
      </c>
      <c r="T392" s="184">
        <f>S392/1</f>
        <v>1.163888888888889</v>
      </c>
    </row>
    <row r="393" spans="1:20" x14ac:dyDescent="0.25">
      <c r="A393" s="117" t="s">
        <v>614</v>
      </c>
      <c r="B393" s="117" t="s">
        <v>615</v>
      </c>
      <c r="C393" t="s">
        <v>616</v>
      </c>
      <c r="D393" t="s">
        <v>617</v>
      </c>
      <c r="E393" s="182">
        <v>191119</v>
      </c>
      <c r="F393" t="s">
        <v>618</v>
      </c>
      <c r="G393" t="s">
        <v>619</v>
      </c>
      <c r="H393" s="118" t="s">
        <v>620</v>
      </c>
      <c r="I393" t="s">
        <v>628</v>
      </c>
      <c r="J393" t="s">
        <v>622</v>
      </c>
      <c r="K393" t="s">
        <v>698</v>
      </c>
      <c r="L393" t="s">
        <v>290</v>
      </c>
      <c r="M393" s="183" t="s">
        <v>291</v>
      </c>
      <c r="N393" t="s">
        <v>619</v>
      </c>
      <c r="O393" t="s">
        <v>619</v>
      </c>
      <c r="P393" s="123">
        <v>360</v>
      </c>
      <c r="Q393" s="123" t="s">
        <v>626</v>
      </c>
      <c r="R393" s="184">
        <v>3.5</v>
      </c>
      <c r="S393" s="184">
        <f>R393/3.6</f>
        <v>0.97222222222222221</v>
      </c>
      <c r="T393" s="184">
        <f>S393/1</f>
        <v>0.97222222222222221</v>
      </c>
    </row>
    <row r="394" spans="1:20" x14ac:dyDescent="0.25">
      <c r="A394" s="117" t="s">
        <v>614</v>
      </c>
      <c r="B394" s="117" t="s">
        <v>615</v>
      </c>
      <c r="C394" t="s">
        <v>616</v>
      </c>
      <c r="D394" t="s">
        <v>617</v>
      </c>
      <c r="E394" s="182">
        <v>191119</v>
      </c>
      <c r="F394" t="s">
        <v>618</v>
      </c>
      <c r="G394" t="s">
        <v>619</v>
      </c>
      <c r="H394" s="118" t="s">
        <v>620</v>
      </c>
      <c r="I394" t="s">
        <v>621</v>
      </c>
      <c r="J394" t="s">
        <v>622</v>
      </c>
      <c r="K394" t="s">
        <v>698</v>
      </c>
      <c r="L394" t="s">
        <v>292</v>
      </c>
      <c r="M394" s="183" t="str">
        <f>'common foods'!D136</f>
        <v>03053</v>
      </c>
      <c r="N394" t="s">
        <v>704</v>
      </c>
      <c r="O394" t="s">
        <v>625</v>
      </c>
      <c r="P394" s="123">
        <v>850</v>
      </c>
      <c r="Q394" s="123" t="s">
        <v>626</v>
      </c>
      <c r="R394" s="184">
        <v>5.99</v>
      </c>
      <c r="S394" s="184">
        <f>R394/8.5</f>
        <v>0.70470588235294118</v>
      </c>
      <c r="T394" s="184">
        <f>S394*'edible cooking yield factors'!F136</f>
        <v>3.1711764705882355</v>
      </c>
    </row>
    <row r="395" spans="1:20" x14ac:dyDescent="0.25">
      <c r="A395" s="117" t="s">
        <v>614</v>
      </c>
      <c r="B395" s="117" t="s">
        <v>615</v>
      </c>
      <c r="C395" t="s">
        <v>616</v>
      </c>
      <c r="D395" t="s">
        <v>617</v>
      </c>
      <c r="E395" s="182">
        <v>191119</v>
      </c>
      <c r="F395" t="s">
        <v>618</v>
      </c>
      <c r="G395" t="s">
        <v>619</v>
      </c>
      <c r="H395" s="118" t="s">
        <v>620</v>
      </c>
      <c r="I395" t="s">
        <v>627</v>
      </c>
      <c r="J395" t="s">
        <v>622</v>
      </c>
      <c r="K395" t="s">
        <v>698</v>
      </c>
      <c r="L395" t="s">
        <v>292</v>
      </c>
      <c r="M395" s="183" t="s">
        <v>293</v>
      </c>
      <c r="N395" t="s">
        <v>704</v>
      </c>
      <c r="O395" t="s">
        <v>625</v>
      </c>
      <c r="P395" s="123">
        <v>850</v>
      </c>
      <c r="Q395" s="123" t="s">
        <v>626</v>
      </c>
      <c r="R395" s="184">
        <v>5.79</v>
      </c>
      <c r="S395" s="184">
        <f>R395/8.5</f>
        <v>0.68117647058823527</v>
      </c>
      <c r="T395" s="184">
        <f>S395*'edible cooking yield factors'!F136</f>
        <v>3.0652941176470589</v>
      </c>
    </row>
    <row r="396" spans="1:20" x14ac:dyDescent="0.25">
      <c r="A396" s="117" t="s">
        <v>614</v>
      </c>
      <c r="B396" s="117" t="s">
        <v>615</v>
      </c>
      <c r="C396" t="s">
        <v>616</v>
      </c>
      <c r="D396" t="s">
        <v>617</v>
      </c>
      <c r="E396" s="182">
        <v>191119</v>
      </c>
      <c r="F396" t="s">
        <v>618</v>
      </c>
      <c r="G396" t="s">
        <v>619</v>
      </c>
      <c r="H396" s="118" t="s">
        <v>620</v>
      </c>
      <c r="I396" t="s">
        <v>628</v>
      </c>
      <c r="J396" t="s">
        <v>622</v>
      </c>
      <c r="K396" t="s">
        <v>698</v>
      </c>
      <c r="L396" t="s">
        <v>292</v>
      </c>
      <c r="M396" s="183" t="s">
        <v>293</v>
      </c>
      <c r="N396" t="s">
        <v>704</v>
      </c>
      <c r="O396" t="s">
        <v>625</v>
      </c>
      <c r="P396" s="123">
        <v>850</v>
      </c>
      <c r="Q396" s="123" t="s">
        <v>626</v>
      </c>
      <c r="R396" s="184">
        <v>6.4</v>
      </c>
      <c r="S396" s="184">
        <f>R396/8.5</f>
        <v>0.75294117647058822</v>
      </c>
      <c r="T396" s="184">
        <f>S396*'edible cooking yield factors'!F136</f>
        <v>3.388235294117647</v>
      </c>
    </row>
    <row r="397" spans="1:20" x14ac:dyDescent="0.25">
      <c r="A397" s="117" t="s">
        <v>614</v>
      </c>
      <c r="B397" s="117" t="s">
        <v>615</v>
      </c>
      <c r="C397" t="s">
        <v>616</v>
      </c>
      <c r="D397" t="s">
        <v>617</v>
      </c>
      <c r="E397" s="182">
        <v>191119</v>
      </c>
      <c r="F397" t="s">
        <v>618</v>
      </c>
      <c r="G397" t="s">
        <v>619</v>
      </c>
      <c r="H397" s="118" t="s">
        <v>620</v>
      </c>
      <c r="I397" t="s">
        <v>621</v>
      </c>
      <c r="J397" t="s">
        <v>622</v>
      </c>
      <c r="K397" t="s">
        <v>698</v>
      </c>
      <c r="L397" t="s">
        <v>294</v>
      </c>
      <c r="M397" s="183" t="str">
        <f>'common foods'!D137</f>
        <v>03058</v>
      </c>
      <c r="N397" t="s">
        <v>705</v>
      </c>
      <c r="O397" t="s">
        <v>625</v>
      </c>
      <c r="P397" s="123">
        <f>25*13</f>
        <v>325</v>
      </c>
      <c r="Q397" s="123" t="s">
        <v>626</v>
      </c>
      <c r="R397" s="184">
        <v>3.99</v>
      </c>
      <c r="S397" s="184">
        <f>R397/3.25</f>
        <v>1.2276923076923079</v>
      </c>
      <c r="T397" s="184">
        <f>S397*'edible cooking yield factors'!F137</f>
        <v>1.2276923076923079</v>
      </c>
    </row>
    <row r="398" spans="1:20" x14ac:dyDescent="0.25">
      <c r="A398" s="117" t="s">
        <v>614</v>
      </c>
      <c r="B398" s="117" t="s">
        <v>615</v>
      </c>
      <c r="C398" t="s">
        <v>616</v>
      </c>
      <c r="D398" t="s">
        <v>617</v>
      </c>
      <c r="E398" s="182">
        <v>191119</v>
      </c>
      <c r="F398" t="s">
        <v>618</v>
      </c>
      <c r="G398" t="s">
        <v>619</v>
      </c>
      <c r="H398" s="118" t="s">
        <v>620</v>
      </c>
      <c r="I398" t="s">
        <v>627</v>
      </c>
      <c r="J398" t="s">
        <v>622</v>
      </c>
      <c r="K398" t="s">
        <v>698</v>
      </c>
      <c r="L398" t="s">
        <v>294</v>
      </c>
      <c r="M398" s="183" t="s">
        <v>295</v>
      </c>
      <c r="N398" t="s">
        <v>705</v>
      </c>
      <c r="O398" t="s">
        <v>625</v>
      </c>
      <c r="P398">
        <f>25*13</f>
        <v>325</v>
      </c>
      <c r="Q398" t="s">
        <v>626</v>
      </c>
      <c r="R398" s="184">
        <v>4.25</v>
      </c>
      <c r="S398" s="184">
        <f>R398/3.25</f>
        <v>1.3076923076923077</v>
      </c>
      <c r="T398" s="184">
        <f>S398*'edible cooking yield factors'!F137</f>
        <v>1.3076923076923077</v>
      </c>
    </row>
    <row r="399" spans="1:20" x14ac:dyDescent="0.25">
      <c r="A399" s="117" t="s">
        <v>614</v>
      </c>
      <c r="B399" s="117" t="s">
        <v>615</v>
      </c>
      <c r="C399" t="s">
        <v>616</v>
      </c>
      <c r="D399" t="s">
        <v>617</v>
      </c>
      <c r="E399" s="182">
        <v>191119</v>
      </c>
      <c r="F399" t="s">
        <v>618</v>
      </c>
      <c r="G399" t="s">
        <v>619</v>
      </c>
      <c r="H399" s="118" t="s">
        <v>620</v>
      </c>
      <c r="I399" t="s">
        <v>628</v>
      </c>
      <c r="J399" t="s">
        <v>622</v>
      </c>
      <c r="K399" t="s">
        <v>698</v>
      </c>
      <c r="L399" t="s">
        <v>294</v>
      </c>
      <c r="M399" s="183" t="s">
        <v>295</v>
      </c>
      <c r="N399" t="s">
        <v>706</v>
      </c>
      <c r="O399" t="s">
        <v>625</v>
      </c>
      <c r="P399">
        <v>230</v>
      </c>
      <c r="Q399" t="s">
        <v>626</v>
      </c>
      <c r="R399" s="184">
        <v>3</v>
      </c>
      <c r="S399" s="184">
        <f>R399/2.3</f>
        <v>1.3043478260869565</v>
      </c>
      <c r="T399" s="184">
        <f>S399*'edible cooking yield factors'!F137</f>
        <v>1.3043478260869565</v>
      </c>
    </row>
    <row r="400" spans="1:20" x14ac:dyDescent="0.25">
      <c r="A400" s="117" t="s">
        <v>614</v>
      </c>
      <c r="B400" s="117" t="s">
        <v>615</v>
      </c>
      <c r="C400" t="s">
        <v>616</v>
      </c>
      <c r="D400" t="s">
        <v>617</v>
      </c>
      <c r="E400" s="182">
        <v>191119</v>
      </c>
      <c r="F400" t="s">
        <v>618</v>
      </c>
      <c r="G400" t="s">
        <v>619</v>
      </c>
      <c r="H400" s="118" t="s">
        <v>620</v>
      </c>
      <c r="I400" t="s">
        <v>621</v>
      </c>
      <c r="J400" t="s">
        <v>622</v>
      </c>
      <c r="K400" t="s">
        <v>698</v>
      </c>
      <c r="L400" t="s">
        <v>300</v>
      </c>
      <c r="M400" s="183" t="str">
        <f>'common foods'!D140</f>
        <v>05075</v>
      </c>
      <c r="N400" t="s">
        <v>631</v>
      </c>
      <c r="O400" t="s">
        <v>632</v>
      </c>
      <c r="P400">
        <v>700</v>
      </c>
      <c r="Q400" t="s">
        <v>626</v>
      </c>
      <c r="R400" s="184">
        <v>9.99</v>
      </c>
      <c r="S400" s="184">
        <f>R400/7</f>
        <v>1.4271428571428573</v>
      </c>
      <c r="T400" s="184">
        <f>S400*'edible cooking yield factors'!F140</f>
        <v>1.0989000000000002</v>
      </c>
    </row>
    <row r="401" spans="1:20" x14ac:dyDescent="0.25">
      <c r="A401" s="117" t="s">
        <v>614</v>
      </c>
      <c r="B401" s="117" t="s">
        <v>615</v>
      </c>
      <c r="C401" t="s">
        <v>616</v>
      </c>
      <c r="D401" t="s">
        <v>617</v>
      </c>
      <c r="E401" s="182">
        <v>191119</v>
      </c>
      <c r="F401" t="s">
        <v>618</v>
      </c>
      <c r="G401" t="s">
        <v>619</v>
      </c>
      <c r="H401" s="118" t="s">
        <v>620</v>
      </c>
      <c r="I401" t="s">
        <v>627</v>
      </c>
      <c r="J401" t="s">
        <v>622</v>
      </c>
      <c r="K401" t="s">
        <v>698</v>
      </c>
      <c r="L401" t="s">
        <v>300</v>
      </c>
      <c r="M401" s="183" t="s">
        <v>301</v>
      </c>
      <c r="N401" t="s">
        <v>636</v>
      </c>
      <c r="O401" t="s">
        <v>632</v>
      </c>
      <c r="P401">
        <v>350</v>
      </c>
      <c r="Q401" t="s">
        <v>626</v>
      </c>
      <c r="R401" s="184">
        <v>5.99</v>
      </c>
      <c r="S401" s="184">
        <f>R401/3.5</f>
        <v>1.7114285714285715</v>
      </c>
      <c r="T401" s="184">
        <f>S401*'edible cooking yield factors'!F140</f>
        <v>1.3178000000000001</v>
      </c>
    </row>
    <row r="402" spans="1:20" x14ac:dyDescent="0.25">
      <c r="A402" s="117" t="s">
        <v>614</v>
      </c>
      <c r="B402" s="117" t="s">
        <v>615</v>
      </c>
      <c r="C402" t="s">
        <v>616</v>
      </c>
      <c r="D402" t="s">
        <v>617</v>
      </c>
      <c r="E402" s="182">
        <v>191119</v>
      </c>
      <c r="F402" t="s">
        <v>618</v>
      </c>
      <c r="G402" t="s">
        <v>619</v>
      </c>
      <c r="H402" s="118" t="s">
        <v>620</v>
      </c>
      <c r="I402" t="s">
        <v>628</v>
      </c>
      <c r="J402" t="s">
        <v>622</v>
      </c>
      <c r="K402" t="s">
        <v>698</v>
      </c>
      <c r="L402" t="s">
        <v>300</v>
      </c>
      <c r="M402" s="183" t="s">
        <v>301</v>
      </c>
      <c r="N402" t="s">
        <v>628</v>
      </c>
      <c r="O402" t="s">
        <v>632</v>
      </c>
      <c r="P402">
        <v>400</v>
      </c>
      <c r="Q402" t="s">
        <v>626</v>
      </c>
      <c r="R402" s="184">
        <v>7.99</v>
      </c>
      <c r="S402" s="184">
        <f>R402/4</f>
        <v>1.9975000000000001</v>
      </c>
      <c r="T402" s="184">
        <f>S402*'edible cooking yield factors'!F140</f>
        <v>1.5380750000000001</v>
      </c>
    </row>
    <row r="403" spans="1:20" x14ac:dyDescent="0.25">
      <c r="A403" s="117" t="s">
        <v>614</v>
      </c>
      <c r="B403" s="117" t="s">
        <v>615</v>
      </c>
      <c r="C403" t="s">
        <v>616</v>
      </c>
      <c r="D403" t="s">
        <v>617</v>
      </c>
      <c r="E403" s="182">
        <v>191119</v>
      </c>
      <c r="F403" t="s">
        <v>618</v>
      </c>
      <c r="G403" t="s">
        <v>619</v>
      </c>
      <c r="H403" s="118" t="s">
        <v>620</v>
      </c>
      <c r="I403" t="s">
        <v>621</v>
      </c>
      <c r="J403" t="s">
        <v>622</v>
      </c>
      <c r="K403" t="s">
        <v>698</v>
      </c>
      <c r="L403" t="s">
        <v>302</v>
      </c>
      <c r="M403" s="183" t="str">
        <f>'common foods'!D141</f>
        <v>05076</v>
      </c>
      <c r="N403" t="s">
        <v>619</v>
      </c>
      <c r="O403" t="s">
        <v>619</v>
      </c>
      <c r="P403">
        <v>1000</v>
      </c>
      <c r="Q403" t="s">
        <v>626</v>
      </c>
      <c r="R403" s="184">
        <v>18.899999999999999</v>
      </c>
      <c r="S403" s="184">
        <f>R403/10</f>
        <v>1.89</v>
      </c>
      <c r="T403" s="184">
        <f>S403*'edible cooking yield factors'!F141</f>
        <v>1.89</v>
      </c>
    </row>
    <row r="404" spans="1:20" x14ac:dyDescent="0.25">
      <c r="A404" s="117" t="s">
        <v>614</v>
      </c>
      <c r="B404" s="117" t="s">
        <v>615</v>
      </c>
      <c r="C404" t="s">
        <v>616</v>
      </c>
      <c r="D404" t="s">
        <v>617</v>
      </c>
      <c r="E404" s="182">
        <v>191119</v>
      </c>
      <c r="F404" t="s">
        <v>618</v>
      </c>
      <c r="G404" t="s">
        <v>619</v>
      </c>
      <c r="H404" s="118" t="s">
        <v>620</v>
      </c>
      <c r="I404" t="s">
        <v>627</v>
      </c>
      <c r="J404" t="s">
        <v>622</v>
      </c>
      <c r="K404" t="s">
        <v>698</v>
      </c>
      <c r="L404" t="s">
        <v>302</v>
      </c>
      <c r="M404" s="183" t="s">
        <v>303</v>
      </c>
      <c r="N404" t="s">
        <v>619</v>
      </c>
      <c r="O404" t="s">
        <v>619</v>
      </c>
      <c r="P404">
        <v>1000</v>
      </c>
      <c r="Q404" t="s">
        <v>626</v>
      </c>
      <c r="R404" s="184">
        <v>22.99</v>
      </c>
      <c r="S404" s="184">
        <f>R404/10</f>
        <v>2.2989999999999999</v>
      </c>
      <c r="T404" s="184">
        <f>S404*'edible cooking yield factors'!F141</f>
        <v>2.2989999999999999</v>
      </c>
    </row>
    <row r="405" spans="1:20" x14ac:dyDescent="0.25">
      <c r="A405" s="117" t="s">
        <v>614</v>
      </c>
      <c r="B405" s="117" t="s">
        <v>615</v>
      </c>
      <c r="C405" t="s">
        <v>616</v>
      </c>
      <c r="D405" t="s">
        <v>617</v>
      </c>
      <c r="E405" s="182">
        <v>191119</v>
      </c>
      <c r="F405" t="s">
        <v>618</v>
      </c>
      <c r="G405" t="s">
        <v>619</v>
      </c>
      <c r="H405" s="118" t="s">
        <v>620</v>
      </c>
      <c r="I405" t="s">
        <v>628</v>
      </c>
      <c r="J405" t="s">
        <v>622</v>
      </c>
      <c r="K405" t="s">
        <v>698</v>
      </c>
      <c r="L405" t="s">
        <v>302</v>
      </c>
      <c r="M405" s="183" t="s">
        <v>303</v>
      </c>
      <c r="N405" t="s">
        <v>619</v>
      </c>
      <c r="O405" t="s">
        <v>619</v>
      </c>
      <c r="P405">
        <v>1000</v>
      </c>
      <c r="Q405" t="s">
        <v>626</v>
      </c>
      <c r="R405" s="184">
        <v>13</v>
      </c>
      <c r="S405" s="184">
        <f>R405/10</f>
        <v>1.3</v>
      </c>
      <c r="T405" s="184">
        <f>S405*'edible cooking yield factors'!F141</f>
        <v>1.3</v>
      </c>
    </row>
    <row r="406" spans="1:20" x14ac:dyDescent="0.25">
      <c r="A406" s="117" t="s">
        <v>614</v>
      </c>
      <c r="B406" s="117" t="s">
        <v>615</v>
      </c>
      <c r="C406" t="s">
        <v>616</v>
      </c>
      <c r="D406" t="s">
        <v>617</v>
      </c>
      <c r="E406" s="182">
        <v>191119</v>
      </c>
      <c r="F406" t="s">
        <v>618</v>
      </c>
      <c r="G406" t="s">
        <v>619</v>
      </c>
      <c r="H406" s="118" t="s">
        <v>620</v>
      </c>
      <c r="I406" t="s">
        <v>621</v>
      </c>
      <c r="J406" t="s">
        <v>622</v>
      </c>
      <c r="K406" t="s">
        <v>698</v>
      </c>
      <c r="L406" t="s">
        <v>304</v>
      </c>
      <c r="M406" s="183" t="str">
        <f>'common foods'!D142</f>
        <v>05077</v>
      </c>
      <c r="N406" t="s">
        <v>707</v>
      </c>
      <c r="O406" t="s">
        <v>625</v>
      </c>
      <c r="P406">
        <v>2000</v>
      </c>
      <c r="Q406" t="s">
        <v>626</v>
      </c>
      <c r="R406" s="184">
        <v>14.99</v>
      </c>
      <c r="S406" s="184">
        <f>R406/20</f>
        <v>0.74950000000000006</v>
      </c>
      <c r="T406" s="184">
        <f>S406*'edible cooking yield factors'!F142</f>
        <v>0.58461000000000007</v>
      </c>
    </row>
    <row r="407" spans="1:20" x14ac:dyDescent="0.25">
      <c r="A407" s="117" t="s">
        <v>614</v>
      </c>
      <c r="B407" s="117" t="s">
        <v>615</v>
      </c>
      <c r="C407" t="s">
        <v>616</v>
      </c>
      <c r="D407" t="s">
        <v>617</v>
      </c>
      <c r="E407" s="182">
        <v>191119</v>
      </c>
      <c r="F407" t="s">
        <v>618</v>
      </c>
      <c r="G407" t="s">
        <v>619</v>
      </c>
      <c r="H407" s="118" t="s">
        <v>620</v>
      </c>
      <c r="I407" t="s">
        <v>627</v>
      </c>
      <c r="J407" t="s">
        <v>622</v>
      </c>
      <c r="K407" t="s">
        <v>698</v>
      </c>
      <c r="L407" t="s">
        <v>304</v>
      </c>
      <c r="M407" s="183" t="s">
        <v>305</v>
      </c>
      <c r="N407" t="s">
        <v>707</v>
      </c>
      <c r="O407" t="s">
        <v>625</v>
      </c>
      <c r="P407">
        <v>2000</v>
      </c>
      <c r="Q407" t="s">
        <v>626</v>
      </c>
      <c r="R407" s="184">
        <v>14.99</v>
      </c>
      <c r="S407" s="184">
        <f>R407/20</f>
        <v>0.74950000000000006</v>
      </c>
      <c r="T407" s="184">
        <f>S407*'edible cooking yield factors'!F142</f>
        <v>0.58461000000000007</v>
      </c>
    </row>
    <row r="408" spans="1:20" x14ac:dyDescent="0.25">
      <c r="A408" s="117" t="s">
        <v>614</v>
      </c>
      <c r="B408" s="117" t="s">
        <v>615</v>
      </c>
      <c r="C408" t="s">
        <v>616</v>
      </c>
      <c r="D408" t="s">
        <v>617</v>
      </c>
      <c r="E408" s="182">
        <v>191119</v>
      </c>
      <c r="F408" t="s">
        <v>618</v>
      </c>
      <c r="G408" t="s">
        <v>619</v>
      </c>
      <c r="H408" s="118" t="s">
        <v>620</v>
      </c>
      <c r="I408" t="s">
        <v>628</v>
      </c>
      <c r="J408" t="s">
        <v>622</v>
      </c>
      <c r="K408" t="s">
        <v>698</v>
      </c>
      <c r="L408" t="s">
        <v>304</v>
      </c>
      <c r="M408" s="183" t="s">
        <v>305</v>
      </c>
      <c r="N408" t="s">
        <v>707</v>
      </c>
      <c r="O408" t="s">
        <v>625</v>
      </c>
      <c r="P408">
        <v>2000</v>
      </c>
      <c r="Q408" t="s">
        <v>626</v>
      </c>
      <c r="R408" s="184">
        <v>17.5</v>
      </c>
      <c r="S408" s="184">
        <f>R408/20</f>
        <v>0.875</v>
      </c>
      <c r="T408" s="184">
        <f>S408*'edible cooking yield factors'!F142</f>
        <v>0.6825</v>
      </c>
    </row>
    <row r="409" spans="1:20" x14ac:dyDescent="0.25">
      <c r="A409" s="117" t="s">
        <v>614</v>
      </c>
      <c r="B409" s="117" t="s">
        <v>615</v>
      </c>
      <c r="C409" t="s">
        <v>616</v>
      </c>
      <c r="D409" t="s">
        <v>617</v>
      </c>
      <c r="E409" s="182">
        <v>191119</v>
      </c>
      <c r="F409" t="s">
        <v>618</v>
      </c>
      <c r="G409" t="s">
        <v>619</v>
      </c>
      <c r="H409" s="118" t="s">
        <v>620</v>
      </c>
      <c r="I409" t="s">
        <v>621</v>
      </c>
      <c r="J409" t="s">
        <v>622</v>
      </c>
      <c r="K409" t="s">
        <v>698</v>
      </c>
      <c r="L409" t="s">
        <v>306</v>
      </c>
      <c r="M409" s="183" t="str">
        <f>'common foods'!D143</f>
        <v>05078</v>
      </c>
      <c r="N409" t="s">
        <v>708</v>
      </c>
      <c r="O409" t="s">
        <v>625</v>
      </c>
      <c r="P409">
        <v>800</v>
      </c>
      <c r="Q409" t="s">
        <v>626</v>
      </c>
      <c r="R409" s="184">
        <v>5</v>
      </c>
      <c r="S409" s="184">
        <f>R409/8</f>
        <v>0.625</v>
      </c>
      <c r="T409" s="184">
        <f>S409*'edible cooking yield factors'!F143</f>
        <v>0.625</v>
      </c>
    </row>
    <row r="410" spans="1:20" x14ac:dyDescent="0.25">
      <c r="A410" s="117" t="s">
        <v>614</v>
      </c>
      <c r="B410" s="117" t="s">
        <v>615</v>
      </c>
      <c r="C410" t="s">
        <v>616</v>
      </c>
      <c r="D410" t="s">
        <v>617</v>
      </c>
      <c r="E410" s="182">
        <v>191119</v>
      </c>
      <c r="F410" t="s">
        <v>618</v>
      </c>
      <c r="G410" t="s">
        <v>619</v>
      </c>
      <c r="H410" s="118" t="s">
        <v>620</v>
      </c>
      <c r="I410" t="s">
        <v>627</v>
      </c>
      <c r="J410" t="s">
        <v>622</v>
      </c>
      <c r="K410" t="s">
        <v>698</v>
      </c>
      <c r="L410" t="s">
        <v>306</v>
      </c>
      <c r="M410" s="183" t="s">
        <v>307</v>
      </c>
      <c r="N410" t="s">
        <v>708</v>
      </c>
      <c r="O410" t="s">
        <v>625</v>
      </c>
      <c r="P410">
        <v>800</v>
      </c>
      <c r="Q410" t="s">
        <v>626</v>
      </c>
      <c r="R410" s="184">
        <v>6.79</v>
      </c>
      <c r="S410" s="184">
        <f>R410/8</f>
        <v>0.84875</v>
      </c>
      <c r="T410" s="184">
        <f>S410*'edible cooking yield factors'!F143</f>
        <v>0.84875</v>
      </c>
    </row>
    <row r="411" spans="1:20" x14ac:dyDescent="0.25">
      <c r="A411" s="117" t="s">
        <v>614</v>
      </c>
      <c r="B411" s="117" t="s">
        <v>615</v>
      </c>
      <c r="C411" t="s">
        <v>616</v>
      </c>
      <c r="D411" t="s">
        <v>617</v>
      </c>
      <c r="E411" s="182">
        <v>191119</v>
      </c>
      <c r="F411" t="s">
        <v>618</v>
      </c>
      <c r="G411" t="s">
        <v>619</v>
      </c>
      <c r="H411" s="118" t="s">
        <v>620</v>
      </c>
      <c r="I411" t="s">
        <v>628</v>
      </c>
      <c r="J411" t="s">
        <v>622</v>
      </c>
      <c r="K411" t="s">
        <v>698</v>
      </c>
      <c r="L411" t="s">
        <v>306</v>
      </c>
      <c r="M411" s="183" t="s">
        <v>307</v>
      </c>
      <c r="N411" t="s">
        <v>708</v>
      </c>
      <c r="O411" t="s">
        <v>625</v>
      </c>
      <c r="P411">
        <v>1000</v>
      </c>
      <c r="Q411" t="s">
        <v>626</v>
      </c>
      <c r="R411" s="184">
        <v>7.9</v>
      </c>
      <c r="S411" s="184">
        <f>R411/10</f>
        <v>0.79</v>
      </c>
      <c r="T411" s="184">
        <f>S411*'edible cooking yield factors'!F143</f>
        <v>0.79</v>
      </c>
    </row>
    <row r="412" spans="1:20" x14ac:dyDescent="0.25">
      <c r="A412" s="117" t="s">
        <v>614</v>
      </c>
      <c r="B412" s="117" t="s">
        <v>615</v>
      </c>
      <c r="C412" t="s">
        <v>616</v>
      </c>
      <c r="D412" t="s">
        <v>617</v>
      </c>
      <c r="E412" s="182">
        <v>191119</v>
      </c>
      <c r="F412" t="s">
        <v>618</v>
      </c>
      <c r="G412" t="s">
        <v>619</v>
      </c>
      <c r="H412" s="118" t="s">
        <v>620</v>
      </c>
      <c r="I412" t="s">
        <v>621</v>
      </c>
      <c r="J412" t="s">
        <v>622</v>
      </c>
      <c r="K412" t="s">
        <v>698</v>
      </c>
      <c r="L412" t="s">
        <v>312</v>
      </c>
      <c r="M412" s="183" t="str">
        <f>'common foods'!D146</f>
        <v>07092</v>
      </c>
      <c r="N412" t="s">
        <v>709</v>
      </c>
      <c r="O412" t="s">
        <v>625</v>
      </c>
      <c r="P412">
        <v>180</v>
      </c>
      <c r="Q412" t="s">
        <v>626</v>
      </c>
      <c r="R412" s="184">
        <v>3.29</v>
      </c>
      <c r="S412" s="184">
        <f t="shared" ref="S412:S417" si="24">R412/1.8</f>
        <v>1.8277777777777777</v>
      </c>
      <c r="T412" s="184">
        <f>S412*'edible cooking yield factors'!F146</f>
        <v>1.8277777777777777</v>
      </c>
    </row>
    <row r="413" spans="1:20" x14ac:dyDescent="0.25">
      <c r="A413" s="117" t="s">
        <v>614</v>
      </c>
      <c r="B413" s="117" t="s">
        <v>615</v>
      </c>
      <c r="C413" t="s">
        <v>616</v>
      </c>
      <c r="D413" t="s">
        <v>617</v>
      </c>
      <c r="E413" s="182">
        <v>191119</v>
      </c>
      <c r="F413" t="s">
        <v>618</v>
      </c>
      <c r="G413" t="s">
        <v>619</v>
      </c>
      <c r="H413" s="118" t="s">
        <v>620</v>
      </c>
      <c r="I413" t="s">
        <v>627</v>
      </c>
      <c r="J413" t="s">
        <v>622</v>
      </c>
      <c r="K413" t="s">
        <v>698</v>
      </c>
      <c r="L413" t="s">
        <v>312</v>
      </c>
      <c r="M413" s="183" t="s">
        <v>313</v>
      </c>
      <c r="N413" t="s">
        <v>709</v>
      </c>
      <c r="O413" t="s">
        <v>625</v>
      </c>
      <c r="P413">
        <v>180</v>
      </c>
      <c r="Q413" t="s">
        <v>626</v>
      </c>
      <c r="R413" s="184">
        <v>2.99</v>
      </c>
      <c r="S413" s="184">
        <f t="shared" si="24"/>
        <v>1.6611111111111112</v>
      </c>
      <c r="T413" s="184">
        <f>S413*'edible cooking yield factors'!F146</f>
        <v>1.6611111111111112</v>
      </c>
    </row>
    <row r="414" spans="1:20" x14ac:dyDescent="0.25">
      <c r="A414" s="117" t="s">
        <v>614</v>
      </c>
      <c r="B414" s="117" t="s">
        <v>615</v>
      </c>
      <c r="C414" t="s">
        <v>616</v>
      </c>
      <c r="D414" t="s">
        <v>617</v>
      </c>
      <c r="E414" s="182">
        <v>191119</v>
      </c>
      <c r="F414" t="s">
        <v>618</v>
      </c>
      <c r="G414" t="s">
        <v>619</v>
      </c>
      <c r="H414" s="118" t="s">
        <v>620</v>
      </c>
      <c r="I414" t="s">
        <v>628</v>
      </c>
      <c r="J414" t="s">
        <v>622</v>
      </c>
      <c r="K414" t="s">
        <v>698</v>
      </c>
      <c r="L414" t="s">
        <v>312</v>
      </c>
      <c r="M414" s="183" t="s">
        <v>313</v>
      </c>
      <c r="N414" t="s">
        <v>709</v>
      </c>
      <c r="O414" t="s">
        <v>625</v>
      </c>
      <c r="P414">
        <v>180</v>
      </c>
      <c r="Q414" t="s">
        <v>626</v>
      </c>
      <c r="R414" s="184">
        <v>3.49</v>
      </c>
      <c r="S414" s="184">
        <f t="shared" si="24"/>
        <v>1.9388888888888889</v>
      </c>
      <c r="T414" s="184">
        <f>S414*'edible cooking yield factors'!F146</f>
        <v>1.9388888888888889</v>
      </c>
    </row>
    <row r="415" spans="1:20" x14ac:dyDescent="0.25">
      <c r="A415" s="117" t="s">
        <v>614</v>
      </c>
      <c r="B415" s="117" t="s">
        <v>615</v>
      </c>
      <c r="C415" t="s">
        <v>616</v>
      </c>
      <c r="D415" t="s">
        <v>617</v>
      </c>
      <c r="E415" s="182">
        <v>191119</v>
      </c>
      <c r="F415" t="s">
        <v>618</v>
      </c>
      <c r="G415" t="s">
        <v>619</v>
      </c>
      <c r="H415" s="118" t="s">
        <v>620</v>
      </c>
      <c r="I415" t="s">
        <v>621</v>
      </c>
      <c r="J415" t="s">
        <v>622</v>
      </c>
      <c r="K415" t="s">
        <v>698</v>
      </c>
      <c r="L415" t="s">
        <v>314</v>
      </c>
      <c r="M415" s="183" t="str">
        <f>'common foods'!D147</f>
        <v>07093</v>
      </c>
      <c r="N415" t="s">
        <v>710</v>
      </c>
      <c r="O415" t="s">
        <v>625</v>
      </c>
      <c r="P415">
        <v>180</v>
      </c>
      <c r="Q415" t="s">
        <v>626</v>
      </c>
      <c r="R415" s="184">
        <v>1.99</v>
      </c>
      <c r="S415" s="184">
        <f t="shared" si="24"/>
        <v>1.1055555555555556</v>
      </c>
      <c r="T415" s="184">
        <f>S415*'edible cooking yield factors'!F147</f>
        <v>1.1055555555555556</v>
      </c>
    </row>
    <row r="416" spans="1:20" x14ac:dyDescent="0.25">
      <c r="A416" s="117" t="s">
        <v>614</v>
      </c>
      <c r="B416" s="117" t="s">
        <v>615</v>
      </c>
      <c r="C416" t="s">
        <v>616</v>
      </c>
      <c r="D416" t="s">
        <v>617</v>
      </c>
      <c r="E416" s="182">
        <v>191119</v>
      </c>
      <c r="F416" t="s">
        <v>618</v>
      </c>
      <c r="G416" t="s">
        <v>619</v>
      </c>
      <c r="H416" s="118" t="s">
        <v>620</v>
      </c>
      <c r="I416" t="s">
        <v>627</v>
      </c>
      <c r="J416" t="s">
        <v>622</v>
      </c>
      <c r="K416" t="s">
        <v>698</v>
      </c>
      <c r="L416" t="s">
        <v>314</v>
      </c>
      <c r="M416" s="183" t="s">
        <v>315</v>
      </c>
      <c r="N416" t="s">
        <v>710</v>
      </c>
      <c r="O416" t="s">
        <v>625</v>
      </c>
      <c r="P416">
        <v>180</v>
      </c>
      <c r="Q416" t="s">
        <v>626</v>
      </c>
      <c r="R416" s="184">
        <v>1.99</v>
      </c>
      <c r="S416" s="184">
        <f t="shared" si="24"/>
        <v>1.1055555555555556</v>
      </c>
      <c r="T416" s="184">
        <f>S416*'edible cooking yield factors'!F147</f>
        <v>1.1055555555555556</v>
      </c>
    </row>
    <row r="417" spans="1:20" x14ac:dyDescent="0.25">
      <c r="A417" s="117" t="s">
        <v>614</v>
      </c>
      <c r="B417" s="117" t="s">
        <v>615</v>
      </c>
      <c r="C417" t="s">
        <v>616</v>
      </c>
      <c r="D417" t="s">
        <v>617</v>
      </c>
      <c r="E417" s="182">
        <v>191119</v>
      </c>
      <c r="F417" t="s">
        <v>618</v>
      </c>
      <c r="G417" t="s">
        <v>619</v>
      </c>
      <c r="H417" s="118" t="s">
        <v>620</v>
      </c>
      <c r="I417" t="s">
        <v>628</v>
      </c>
      <c r="J417" t="s">
        <v>622</v>
      </c>
      <c r="K417" t="s">
        <v>698</v>
      </c>
      <c r="L417" t="s">
        <v>314</v>
      </c>
      <c r="M417" s="183" t="s">
        <v>315</v>
      </c>
      <c r="N417" t="s">
        <v>710</v>
      </c>
      <c r="O417" t="s">
        <v>625</v>
      </c>
      <c r="P417">
        <v>180</v>
      </c>
      <c r="Q417" t="s">
        <v>626</v>
      </c>
      <c r="R417" s="184">
        <v>2.7</v>
      </c>
      <c r="S417" s="184">
        <f t="shared" si="24"/>
        <v>1.5</v>
      </c>
      <c r="T417" s="184">
        <f>S417*'edible cooking yield factors'!F147</f>
        <v>1.5</v>
      </c>
    </row>
    <row r="418" spans="1:20" x14ac:dyDescent="0.25">
      <c r="A418" s="117" t="s">
        <v>614</v>
      </c>
      <c r="B418" s="117" t="s">
        <v>615</v>
      </c>
      <c r="C418" t="s">
        <v>616</v>
      </c>
      <c r="D418" t="s">
        <v>617</v>
      </c>
      <c r="E418" s="182">
        <v>191119</v>
      </c>
      <c r="F418" t="s">
        <v>618</v>
      </c>
      <c r="G418" t="s">
        <v>619</v>
      </c>
      <c r="H418" s="118" t="s">
        <v>620</v>
      </c>
      <c r="I418" t="s">
        <v>621</v>
      </c>
      <c r="J418" t="s">
        <v>622</v>
      </c>
      <c r="K418" t="s">
        <v>698</v>
      </c>
      <c r="L418" t="s">
        <v>316</v>
      </c>
      <c r="M418" s="183" t="str">
        <f>'common foods'!D148</f>
        <v>07094</v>
      </c>
      <c r="N418" t="s">
        <v>711</v>
      </c>
      <c r="O418" t="s">
        <v>625</v>
      </c>
      <c r="P418">
        <v>2000</v>
      </c>
      <c r="Q418" t="s">
        <v>626</v>
      </c>
      <c r="R418" s="184">
        <v>4.29</v>
      </c>
      <c r="S418" s="184">
        <f>R418/20</f>
        <v>0.2145</v>
      </c>
      <c r="T418" s="184">
        <f>S418*'edible cooking yield factors'!F148</f>
        <v>0.2145</v>
      </c>
    </row>
    <row r="419" spans="1:20" x14ac:dyDescent="0.25">
      <c r="A419" s="117" t="s">
        <v>614</v>
      </c>
      <c r="B419" s="117" t="s">
        <v>615</v>
      </c>
      <c r="C419" t="s">
        <v>616</v>
      </c>
      <c r="D419" t="s">
        <v>617</v>
      </c>
      <c r="E419" s="182">
        <v>191119</v>
      </c>
      <c r="F419" t="s">
        <v>618</v>
      </c>
      <c r="G419" t="s">
        <v>619</v>
      </c>
      <c r="H419" s="118" t="s">
        <v>620</v>
      </c>
      <c r="I419" t="s">
        <v>627</v>
      </c>
      <c r="J419" t="s">
        <v>622</v>
      </c>
      <c r="K419" t="s">
        <v>698</v>
      </c>
      <c r="L419" t="s">
        <v>316</v>
      </c>
      <c r="M419" s="183" t="s">
        <v>317</v>
      </c>
      <c r="N419" t="s">
        <v>711</v>
      </c>
      <c r="O419" t="s">
        <v>625</v>
      </c>
      <c r="P419">
        <v>2000</v>
      </c>
      <c r="Q419" t="s">
        <v>626</v>
      </c>
      <c r="R419" s="184">
        <v>3.99</v>
      </c>
      <c r="S419" s="184">
        <f>R419/20</f>
        <v>0.19950000000000001</v>
      </c>
      <c r="T419" s="184">
        <f>S419*'edible cooking yield factors'!F148</f>
        <v>0.19950000000000001</v>
      </c>
    </row>
    <row r="420" spans="1:20" x14ac:dyDescent="0.25">
      <c r="A420" s="117" t="s">
        <v>614</v>
      </c>
      <c r="B420" s="117" t="s">
        <v>615</v>
      </c>
      <c r="C420" t="s">
        <v>616</v>
      </c>
      <c r="D420" t="s">
        <v>617</v>
      </c>
      <c r="E420" s="182">
        <v>191119</v>
      </c>
      <c r="F420" t="s">
        <v>618</v>
      </c>
      <c r="G420" t="s">
        <v>619</v>
      </c>
      <c r="H420" s="118" t="s">
        <v>620</v>
      </c>
      <c r="I420" t="s">
        <v>628</v>
      </c>
      <c r="J420" t="s">
        <v>622</v>
      </c>
      <c r="K420" t="s">
        <v>698</v>
      </c>
      <c r="L420" t="s">
        <v>316</v>
      </c>
      <c r="M420" s="183" t="s">
        <v>317</v>
      </c>
      <c r="N420" t="s">
        <v>628</v>
      </c>
      <c r="O420" t="s">
        <v>625</v>
      </c>
      <c r="P420">
        <v>2000</v>
      </c>
      <c r="Q420" t="s">
        <v>626</v>
      </c>
      <c r="R420" s="184">
        <v>4.8</v>
      </c>
      <c r="S420" s="184">
        <f>R420/20</f>
        <v>0.24</v>
      </c>
      <c r="T420" s="184">
        <f>S420*'edible cooking yield factors'!F148</f>
        <v>0.24</v>
      </c>
    </row>
    <row r="421" spans="1:20" x14ac:dyDescent="0.25">
      <c r="A421" s="117" t="s">
        <v>614</v>
      </c>
      <c r="B421" s="117" t="s">
        <v>615</v>
      </c>
      <c r="C421" t="s">
        <v>616</v>
      </c>
      <c r="D421" t="s">
        <v>617</v>
      </c>
      <c r="E421" s="182">
        <v>191119</v>
      </c>
      <c r="F421" t="s">
        <v>618</v>
      </c>
      <c r="G421" t="s">
        <v>619</v>
      </c>
      <c r="H421" s="118" t="s">
        <v>620</v>
      </c>
      <c r="I421" t="s">
        <v>621</v>
      </c>
      <c r="J421" t="s">
        <v>622</v>
      </c>
      <c r="K421" t="s">
        <v>698</v>
      </c>
      <c r="L421" t="s">
        <v>318</v>
      </c>
      <c r="M421" s="183" t="str">
        <f>'common foods'!D149</f>
        <v>07095</v>
      </c>
      <c r="N421" t="s">
        <v>636</v>
      </c>
      <c r="O421" t="s">
        <v>632</v>
      </c>
      <c r="P421">
        <v>185</v>
      </c>
      <c r="Q421" t="s">
        <v>626</v>
      </c>
      <c r="R421" s="184">
        <v>1.95</v>
      </c>
      <c r="S421" s="184">
        <f>R421/1.85</f>
        <v>1.0540540540540539</v>
      </c>
      <c r="T421" s="184">
        <f>S421*'edible cooking yield factors'!F149</f>
        <v>1.0540540540540539</v>
      </c>
    </row>
    <row r="422" spans="1:20" x14ac:dyDescent="0.25">
      <c r="A422" s="117" t="s">
        <v>614</v>
      </c>
      <c r="B422" s="117" t="s">
        <v>615</v>
      </c>
      <c r="C422" t="s">
        <v>616</v>
      </c>
      <c r="D422" t="s">
        <v>617</v>
      </c>
      <c r="E422" s="182">
        <v>191119</v>
      </c>
      <c r="F422" t="s">
        <v>618</v>
      </c>
      <c r="G422" t="s">
        <v>619</v>
      </c>
      <c r="H422" s="118" t="s">
        <v>620</v>
      </c>
      <c r="I422" t="s">
        <v>627</v>
      </c>
      <c r="J422" t="s">
        <v>622</v>
      </c>
      <c r="K422" t="s">
        <v>698</v>
      </c>
      <c r="L422" t="s">
        <v>318</v>
      </c>
      <c r="M422" s="183" t="s">
        <v>319</v>
      </c>
      <c r="N422" t="s">
        <v>636</v>
      </c>
      <c r="O422" t="s">
        <v>632</v>
      </c>
      <c r="P422">
        <v>185</v>
      </c>
      <c r="Q422" t="s">
        <v>626</v>
      </c>
      <c r="R422" s="184">
        <v>1.99</v>
      </c>
      <c r="S422" s="184">
        <f>R422/1.85</f>
        <v>1.0756756756756756</v>
      </c>
      <c r="T422" s="184">
        <f>S422*'edible cooking yield factors'!F149</f>
        <v>1.0756756756756756</v>
      </c>
    </row>
    <row r="423" spans="1:20" x14ac:dyDescent="0.25">
      <c r="A423" s="117" t="s">
        <v>614</v>
      </c>
      <c r="B423" s="117" t="s">
        <v>615</v>
      </c>
      <c r="C423" t="s">
        <v>616</v>
      </c>
      <c r="D423" t="s">
        <v>617</v>
      </c>
      <c r="E423" s="182">
        <v>191119</v>
      </c>
      <c r="F423" t="s">
        <v>618</v>
      </c>
      <c r="G423" t="s">
        <v>619</v>
      </c>
      <c r="H423" s="118" t="s">
        <v>620</v>
      </c>
      <c r="I423" t="s">
        <v>628</v>
      </c>
      <c r="J423" t="s">
        <v>622</v>
      </c>
      <c r="K423" t="s">
        <v>698</v>
      </c>
      <c r="L423" t="s">
        <v>318</v>
      </c>
      <c r="M423" s="183" t="s">
        <v>319</v>
      </c>
      <c r="N423" t="s">
        <v>641</v>
      </c>
      <c r="O423" t="s">
        <v>632</v>
      </c>
      <c r="P423">
        <v>192</v>
      </c>
      <c r="Q423" t="s">
        <v>626</v>
      </c>
      <c r="R423" s="184">
        <v>2.4</v>
      </c>
      <c r="S423" s="184">
        <f>R423/1.92</f>
        <v>1.25</v>
      </c>
      <c r="T423" s="184">
        <f>S423*'edible cooking yield factors'!F149</f>
        <v>1.25</v>
      </c>
    </row>
    <row r="424" spans="1:20" x14ac:dyDescent="0.25">
      <c r="A424" s="117" t="s">
        <v>614</v>
      </c>
      <c r="B424" s="117" t="s">
        <v>615</v>
      </c>
      <c r="C424" t="s">
        <v>616</v>
      </c>
      <c r="D424" t="s">
        <v>617</v>
      </c>
      <c r="E424" s="182">
        <v>191119</v>
      </c>
      <c r="F424" t="s">
        <v>618</v>
      </c>
      <c r="G424" t="s">
        <v>619</v>
      </c>
      <c r="H424" s="118" t="s">
        <v>620</v>
      </c>
      <c r="I424" t="s">
        <v>621</v>
      </c>
      <c r="J424" t="s">
        <v>622</v>
      </c>
      <c r="K424" t="s">
        <v>698</v>
      </c>
      <c r="L424" t="s">
        <v>320</v>
      </c>
      <c r="M424" s="183" t="str">
        <f>'common foods'!D150</f>
        <v>07096</v>
      </c>
      <c r="N424" t="s">
        <v>636</v>
      </c>
      <c r="O424" t="s">
        <v>632</v>
      </c>
      <c r="P424">
        <v>150</v>
      </c>
      <c r="Q424" t="s">
        <v>626</v>
      </c>
      <c r="R424" s="184">
        <v>1.45</v>
      </c>
      <c r="S424" s="184">
        <f>R424/1.5</f>
        <v>0.96666666666666667</v>
      </c>
      <c r="T424" s="184">
        <f>S424*'edible cooking yield factors'!F150</f>
        <v>0.96666666666666667</v>
      </c>
    </row>
    <row r="425" spans="1:20" x14ac:dyDescent="0.25">
      <c r="A425" s="117" t="s">
        <v>614</v>
      </c>
      <c r="B425" s="117" t="s">
        <v>615</v>
      </c>
      <c r="C425" t="s">
        <v>616</v>
      </c>
      <c r="D425" t="s">
        <v>617</v>
      </c>
      <c r="E425" s="182">
        <v>191119</v>
      </c>
      <c r="F425" t="s">
        <v>618</v>
      </c>
      <c r="G425" t="s">
        <v>619</v>
      </c>
      <c r="H425" s="118" t="s">
        <v>620</v>
      </c>
      <c r="I425" t="s">
        <v>627</v>
      </c>
      <c r="J425" t="s">
        <v>622</v>
      </c>
      <c r="K425" t="s">
        <v>698</v>
      </c>
      <c r="L425" t="s">
        <v>320</v>
      </c>
      <c r="M425" s="183" t="s">
        <v>321</v>
      </c>
      <c r="N425" t="s">
        <v>636</v>
      </c>
      <c r="O425" t="s">
        <v>632</v>
      </c>
      <c r="P425">
        <v>150</v>
      </c>
      <c r="Q425" t="s">
        <v>626</v>
      </c>
      <c r="R425" s="184">
        <v>1.49</v>
      </c>
      <c r="S425" s="184">
        <f>R425/1.5</f>
        <v>0.99333333333333329</v>
      </c>
      <c r="T425" s="184">
        <f>S425*'edible cooking yield factors'!F150</f>
        <v>0.99333333333333329</v>
      </c>
    </row>
    <row r="426" spans="1:20" x14ac:dyDescent="0.25">
      <c r="A426" s="117" t="s">
        <v>614</v>
      </c>
      <c r="B426" s="117" t="s">
        <v>615</v>
      </c>
      <c r="C426" t="s">
        <v>616</v>
      </c>
      <c r="D426" t="s">
        <v>617</v>
      </c>
      <c r="E426" s="182">
        <v>191119</v>
      </c>
      <c r="F426" t="s">
        <v>618</v>
      </c>
      <c r="G426" t="s">
        <v>619</v>
      </c>
      <c r="H426" s="118" t="s">
        <v>620</v>
      </c>
      <c r="I426" t="s">
        <v>628</v>
      </c>
      <c r="J426" t="s">
        <v>622</v>
      </c>
      <c r="K426" t="s">
        <v>698</v>
      </c>
      <c r="L426" t="s">
        <v>320</v>
      </c>
      <c r="M426" s="183" t="s">
        <v>321</v>
      </c>
      <c r="N426" t="s">
        <v>628</v>
      </c>
      <c r="O426" t="s">
        <v>632</v>
      </c>
      <c r="P426">
        <v>150</v>
      </c>
      <c r="Q426" t="s">
        <v>626</v>
      </c>
      <c r="R426" s="184">
        <v>1.5</v>
      </c>
      <c r="S426" s="184">
        <f>R426/1.5</f>
        <v>1</v>
      </c>
      <c r="T426" s="184">
        <f>S426*'edible cooking yield factors'!F150</f>
        <v>1</v>
      </c>
    </row>
    <row r="427" spans="1:20" s="199" customFormat="1" ht="14.25" customHeight="1" x14ac:dyDescent="0.25">
      <c r="A427" s="186" t="s">
        <v>614</v>
      </c>
      <c r="B427" s="186" t="s">
        <v>615</v>
      </c>
      <c r="C427" s="199" t="s">
        <v>616</v>
      </c>
      <c r="D427" s="199" t="s">
        <v>617</v>
      </c>
      <c r="E427" s="203">
        <v>191119</v>
      </c>
      <c r="F427" s="199" t="s">
        <v>618</v>
      </c>
      <c r="G427" s="199" t="s">
        <v>619</v>
      </c>
      <c r="H427" s="187" t="s">
        <v>620</v>
      </c>
      <c r="I427" s="199" t="s">
        <v>621</v>
      </c>
      <c r="J427" s="199" t="s">
        <v>622</v>
      </c>
      <c r="K427" s="199" t="s">
        <v>712</v>
      </c>
      <c r="L427" s="199" t="str">
        <f>'common foods'!C163</f>
        <v>soy sauce regular</v>
      </c>
      <c r="M427" s="204" t="str">
        <f>'common foods'!D163</f>
        <v>08105</v>
      </c>
      <c r="N427" s="199" t="s">
        <v>636</v>
      </c>
      <c r="O427" s="199" t="s">
        <v>632</v>
      </c>
      <c r="P427" s="199">
        <v>550</v>
      </c>
      <c r="Q427" s="199" t="s">
        <v>626</v>
      </c>
      <c r="R427" s="198">
        <v>2.29</v>
      </c>
      <c r="S427" s="198">
        <f>R427/5.5</f>
        <v>0.41636363636363638</v>
      </c>
      <c r="T427" s="198">
        <f>S427*'edible cooking yield factors'!F149</f>
        <v>0.41636363636363638</v>
      </c>
    </row>
    <row r="428" spans="1:20" s="199" customFormat="1" x14ac:dyDescent="0.25">
      <c r="A428" s="186" t="s">
        <v>614</v>
      </c>
      <c r="B428" s="186" t="s">
        <v>615</v>
      </c>
      <c r="C428" s="199" t="s">
        <v>616</v>
      </c>
      <c r="D428" s="199" t="s">
        <v>617</v>
      </c>
      <c r="E428" s="203">
        <v>191119</v>
      </c>
      <c r="F428" s="199" t="s">
        <v>618</v>
      </c>
      <c r="G428" s="199" t="s">
        <v>619</v>
      </c>
      <c r="H428" s="187" t="s">
        <v>620</v>
      </c>
      <c r="I428" s="199" t="s">
        <v>627</v>
      </c>
      <c r="J428" s="199" t="s">
        <v>622</v>
      </c>
      <c r="K428" s="199" t="s">
        <v>712</v>
      </c>
      <c r="L428" s="199" t="s">
        <v>348</v>
      </c>
      <c r="M428" s="204" t="s">
        <v>349</v>
      </c>
      <c r="N428" s="199" t="s">
        <v>636</v>
      </c>
      <c r="O428" s="199" t="s">
        <v>632</v>
      </c>
      <c r="P428" s="199">
        <v>550</v>
      </c>
      <c r="Q428" s="199" t="s">
        <v>626</v>
      </c>
      <c r="R428" s="198">
        <v>2.79</v>
      </c>
      <c r="S428" s="198">
        <f>R428/5.5</f>
        <v>0.50727272727272732</v>
      </c>
      <c r="T428" s="198">
        <f>S428*'edible cooking yield factors'!F149</f>
        <v>0.50727272727272732</v>
      </c>
    </row>
    <row r="429" spans="1:20" s="199" customFormat="1" x14ac:dyDescent="0.25">
      <c r="A429" s="186" t="s">
        <v>614</v>
      </c>
      <c r="B429" s="186" t="s">
        <v>615</v>
      </c>
      <c r="C429" s="199" t="s">
        <v>616</v>
      </c>
      <c r="D429" s="199" t="s">
        <v>617</v>
      </c>
      <c r="E429" s="203">
        <v>191119</v>
      </c>
      <c r="F429" s="199" t="s">
        <v>618</v>
      </c>
      <c r="G429" s="199" t="s">
        <v>619</v>
      </c>
      <c r="H429" s="187" t="s">
        <v>620</v>
      </c>
      <c r="I429" s="199" t="s">
        <v>628</v>
      </c>
      <c r="J429" s="199" t="s">
        <v>622</v>
      </c>
      <c r="K429" s="199" t="s">
        <v>712</v>
      </c>
      <c r="L429" s="199" t="s">
        <v>348</v>
      </c>
      <c r="M429" s="204" t="s">
        <v>349</v>
      </c>
      <c r="N429" s="199" t="s">
        <v>628</v>
      </c>
      <c r="O429" s="199" t="s">
        <v>632</v>
      </c>
      <c r="P429" s="199">
        <v>500</v>
      </c>
      <c r="Q429" s="199" t="s">
        <v>626</v>
      </c>
      <c r="R429" s="198">
        <v>2</v>
      </c>
      <c r="S429" s="198">
        <f>R429/5</f>
        <v>0.4</v>
      </c>
      <c r="T429" s="198">
        <f>S429*'edible cooking yield factors'!F149</f>
        <v>0.4</v>
      </c>
    </row>
    <row r="430" spans="1:20" s="199" customFormat="1" ht="14.25" customHeight="1" x14ac:dyDescent="0.25">
      <c r="A430" s="186" t="s">
        <v>614</v>
      </c>
      <c r="B430" s="186" t="s">
        <v>615</v>
      </c>
      <c r="C430" s="199" t="s">
        <v>616</v>
      </c>
      <c r="D430" s="199" t="s">
        <v>617</v>
      </c>
      <c r="E430" s="203">
        <v>191119</v>
      </c>
      <c r="F430" s="199" t="s">
        <v>618</v>
      </c>
      <c r="G430" s="199" t="s">
        <v>619</v>
      </c>
      <c r="H430" s="187" t="s">
        <v>620</v>
      </c>
      <c r="I430" s="199" t="s">
        <v>621</v>
      </c>
      <c r="J430" s="199" t="s">
        <v>622</v>
      </c>
      <c r="K430" s="199" t="s">
        <v>712</v>
      </c>
      <c r="L430" s="199" t="str">
        <f>'common foods'!C164</f>
        <v>soy sauce reduced salt</v>
      </c>
      <c r="M430" s="204" t="str">
        <f>'common foods'!D164</f>
        <v>08106</v>
      </c>
      <c r="N430" s="199" t="s">
        <v>713</v>
      </c>
      <c r="O430" s="199" t="s">
        <v>625</v>
      </c>
      <c r="P430" s="199">
        <v>300</v>
      </c>
      <c r="Q430" s="199" t="s">
        <v>626</v>
      </c>
      <c r="R430" s="198">
        <v>1.89</v>
      </c>
      <c r="S430" s="198">
        <f>R430/3</f>
        <v>0.63</v>
      </c>
      <c r="T430" s="198">
        <f>S430*'edible cooking yield factors'!F152</f>
        <v>0.63</v>
      </c>
    </row>
    <row r="431" spans="1:20" s="199" customFormat="1" x14ac:dyDescent="0.25">
      <c r="A431" s="186" t="s">
        <v>614</v>
      </c>
      <c r="B431" s="186" t="s">
        <v>615</v>
      </c>
      <c r="C431" s="199" t="s">
        <v>616</v>
      </c>
      <c r="D431" s="199" t="s">
        <v>617</v>
      </c>
      <c r="E431" s="203">
        <v>191119</v>
      </c>
      <c r="F431" s="199" t="s">
        <v>618</v>
      </c>
      <c r="G431" s="199" t="s">
        <v>619</v>
      </c>
      <c r="H431" s="187" t="s">
        <v>620</v>
      </c>
      <c r="I431" s="199" t="s">
        <v>627</v>
      </c>
      <c r="J431" s="199" t="s">
        <v>622</v>
      </c>
      <c r="K431" s="199" t="s">
        <v>712</v>
      </c>
      <c r="L431" s="199" t="s">
        <v>350</v>
      </c>
      <c r="M431" s="204" t="s">
        <v>351</v>
      </c>
      <c r="N431" s="199" t="s">
        <v>713</v>
      </c>
      <c r="O431" s="199" t="s">
        <v>625</v>
      </c>
      <c r="P431" s="199">
        <v>550</v>
      </c>
      <c r="Q431" s="199" t="s">
        <v>626</v>
      </c>
      <c r="R431" s="198">
        <v>2.99</v>
      </c>
      <c r="S431" s="198">
        <f>R431/5.5</f>
        <v>0.5436363636363637</v>
      </c>
      <c r="T431" s="198">
        <f>S431*'edible cooking yield factors'!F152</f>
        <v>0.5436363636363637</v>
      </c>
    </row>
    <row r="432" spans="1:20" s="199" customFormat="1" x14ac:dyDescent="0.25">
      <c r="A432" s="186" t="s">
        <v>614</v>
      </c>
      <c r="B432" s="186" t="s">
        <v>615</v>
      </c>
      <c r="C432" s="199" t="s">
        <v>616</v>
      </c>
      <c r="D432" s="199" t="s">
        <v>617</v>
      </c>
      <c r="E432" s="203">
        <v>191119</v>
      </c>
      <c r="F432" s="199" t="s">
        <v>618</v>
      </c>
      <c r="G432" s="199" t="s">
        <v>619</v>
      </c>
      <c r="H432" s="187" t="s">
        <v>620</v>
      </c>
      <c r="I432" s="199" t="s">
        <v>628</v>
      </c>
      <c r="J432" s="199" t="s">
        <v>622</v>
      </c>
      <c r="K432" s="199" t="s">
        <v>712</v>
      </c>
      <c r="L432" s="199" t="s">
        <v>350</v>
      </c>
      <c r="M432" s="204" t="s">
        <v>351</v>
      </c>
      <c r="N432" s="199" t="s">
        <v>713</v>
      </c>
      <c r="O432" s="199" t="s">
        <v>625</v>
      </c>
      <c r="P432" s="199">
        <v>300</v>
      </c>
      <c r="Q432" s="199" t="s">
        <v>626</v>
      </c>
      <c r="R432" s="198">
        <v>2.4900000000000002</v>
      </c>
      <c r="S432" s="198">
        <f>R432/3</f>
        <v>0.83000000000000007</v>
      </c>
      <c r="T432" s="198">
        <f>S432*'edible cooking yield factors'!F152</f>
        <v>0.83000000000000007</v>
      </c>
    </row>
    <row r="433" spans="1:20" x14ac:dyDescent="0.25">
      <c r="A433" s="117" t="s">
        <v>614</v>
      </c>
      <c r="B433" s="117" t="s">
        <v>615</v>
      </c>
      <c r="C433" t="s">
        <v>616</v>
      </c>
      <c r="D433" t="s">
        <v>617</v>
      </c>
      <c r="E433" s="182">
        <v>191119</v>
      </c>
      <c r="F433" t="s">
        <v>618</v>
      </c>
      <c r="G433" t="s">
        <v>619</v>
      </c>
      <c r="H433" s="118" t="s">
        <v>620</v>
      </c>
      <c r="I433" t="s">
        <v>621</v>
      </c>
      <c r="J433" t="s">
        <v>622</v>
      </c>
      <c r="K433" t="s">
        <v>712</v>
      </c>
      <c r="L433" t="s">
        <v>331</v>
      </c>
      <c r="M433" s="183" t="str">
        <f>'common foods'!D155</f>
        <v>08097</v>
      </c>
      <c r="N433" t="s">
        <v>636</v>
      </c>
      <c r="O433" t="s">
        <v>632</v>
      </c>
      <c r="P433">
        <v>500</v>
      </c>
      <c r="Q433" t="s">
        <v>626</v>
      </c>
      <c r="R433" s="184">
        <v>2.59</v>
      </c>
      <c r="S433" s="184">
        <f>R433/5</f>
        <v>0.51800000000000002</v>
      </c>
      <c r="T433" s="184">
        <f>S433*'edible cooking yield factors'!F155</f>
        <v>0.51800000000000002</v>
      </c>
    </row>
    <row r="434" spans="1:20" x14ac:dyDescent="0.25">
      <c r="A434" s="117" t="s">
        <v>614</v>
      </c>
      <c r="B434" s="117" t="s">
        <v>615</v>
      </c>
      <c r="C434" t="s">
        <v>616</v>
      </c>
      <c r="D434" t="s">
        <v>617</v>
      </c>
      <c r="E434" s="182">
        <v>191119</v>
      </c>
      <c r="F434" t="s">
        <v>618</v>
      </c>
      <c r="G434" t="s">
        <v>619</v>
      </c>
      <c r="H434" s="118" t="s">
        <v>620</v>
      </c>
      <c r="I434" t="s">
        <v>627</v>
      </c>
      <c r="J434" t="s">
        <v>622</v>
      </c>
      <c r="K434" t="s">
        <v>712</v>
      </c>
      <c r="L434" t="s">
        <v>331</v>
      </c>
      <c r="M434" s="183" t="s">
        <v>332</v>
      </c>
      <c r="N434" t="s">
        <v>636</v>
      </c>
      <c r="O434" t="s">
        <v>632</v>
      </c>
      <c r="P434">
        <v>500</v>
      </c>
      <c r="Q434" t="s">
        <v>626</v>
      </c>
      <c r="R434" s="184">
        <v>2.89</v>
      </c>
      <c r="S434" s="184">
        <f>R434/5</f>
        <v>0.57800000000000007</v>
      </c>
      <c r="T434" s="184">
        <f>S434*'edible cooking yield factors'!F155</f>
        <v>0.57800000000000007</v>
      </c>
    </row>
    <row r="435" spans="1:20" x14ac:dyDescent="0.25">
      <c r="A435" s="117" t="s">
        <v>614</v>
      </c>
      <c r="B435" s="117" t="s">
        <v>615</v>
      </c>
      <c r="C435" t="s">
        <v>616</v>
      </c>
      <c r="D435" t="s">
        <v>617</v>
      </c>
      <c r="E435" s="182">
        <v>191119</v>
      </c>
      <c r="F435" t="s">
        <v>618</v>
      </c>
      <c r="G435" t="s">
        <v>619</v>
      </c>
      <c r="H435" s="118" t="s">
        <v>620</v>
      </c>
      <c r="I435" t="s">
        <v>628</v>
      </c>
      <c r="J435" t="s">
        <v>622</v>
      </c>
      <c r="K435" t="s">
        <v>712</v>
      </c>
      <c r="L435" t="s">
        <v>331</v>
      </c>
      <c r="M435" s="183" t="s">
        <v>332</v>
      </c>
      <c r="N435" t="s">
        <v>628</v>
      </c>
      <c r="O435" t="s">
        <v>632</v>
      </c>
      <c r="P435">
        <v>500</v>
      </c>
      <c r="Q435" t="s">
        <v>626</v>
      </c>
      <c r="R435" s="184">
        <v>2.8</v>
      </c>
      <c r="S435" s="184">
        <f>R435/5</f>
        <v>0.55999999999999994</v>
      </c>
      <c r="T435" s="184">
        <f>S435*'edible cooking yield factors'!F155</f>
        <v>0.55999999999999994</v>
      </c>
    </row>
    <row r="436" spans="1:20" x14ac:dyDescent="0.25">
      <c r="A436" s="117" t="s">
        <v>614</v>
      </c>
      <c r="B436" s="117" t="s">
        <v>615</v>
      </c>
      <c r="C436" t="s">
        <v>616</v>
      </c>
      <c r="D436" t="s">
        <v>617</v>
      </c>
      <c r="E436" s="182">
        <v>191119</v>
      </c>
      <c r="F436" t="s">
        <v>618</v>
      </c>
      <c r="G436" t="s">
        <v>619</v>
      </c>
      <c r="H436" s="118" t="s">
        <v>620</v>
      </c>
      <c r="I436" t="s">
        <v>621</v>
      </c>
      <c r="J436" t="s">
        <v>622</v>
      </c>
      <c r="K436" t="s">
        <v>712</v>
      </c>
      <c r="L436" t="s">
        <v>342</v>
      </c>
      <c r="M436" s="183" t="str">
        <f>'common foods'!D160</f>
        <v>08098</v>
      </c>
      <c r="N436" t="s">
        <v>636</v>
      </c>
      <c r="O436" t="s">
        <v>632</v>
      </c>
      <c r="P436">
        <v>375</v>
      </c>
      <c r="Q436" t="s">
        <v>626</v>
      </c>
      <c r="R436" s="184">
        <v>1.99</v>
      </c>
      <c r="S436" s="184">
        <f>R436/3.75</f>
        <v>0.53066666666666662</v>
      </c>
      <c r="T436" s="184">
        <f>S436*'edible cooking yield factors'!F161</f>
        <v>0.53066666666666662</v>
      </c>
    </row>
    <row r="437" spans="1:20" x14ac:dyDescent="0.25">
      <c r="A437" s="117" t="s">
        <v>614</v>
      </c>
      <c r="B437" s="117" t="s">
        <v>615</v>
      </c>
      <c r="C437" t="s">
        <v>616</v>
      </c>
      <c r="D437" t="s">
        <v>617</v>
      </c>
      <c r="E437" s="182">
        <v>191119</v>
      </c>
      <c r="F437" t="s">
        <v>618</v>
      </c>
      <c r="G437" t="s">
        <v>619</v>
      </c>
      <c r="H437" s="118" t="s">
        <v>620</v>
      </c>
      <c r="I437" t="s">
        <v>627</v>
      </c>
      <c r="J437" t="s">
        <v>622</v>
      </c>
      <c r="K437" t="s">
        <v>712</v>
      </c>
      <c r="L437" t="s">
        <v>342</v>
      </c>
      <c r="M437" s="183" t="s">
        <v>343</v>
      </c>
      <c r="N437" t="s">
        <v>636</v>
      </c>
      <c r="O437" t="s">
        <v>632</v>
      </c>
      <c r="P437">
        <v>375</v>
      </c>
      <c r="Q437" t="s">
        <v>626</v>
      </c>
      <c r="R437" s="184">
        <v>2.29</v>
      </c>
      <c r="S437" s="184">
        <f>R437/3.75</f>
        <v>0.61066666666666669</v>
      </c>
      <c r="T437" s="184">
        <f>S437*'edible cooking yield factors'!F161</f>
        <v>0.61066666666666669</v>
      </c>
    </row>
    <row r="438" spans="1:20" x14ac:dyDescent="0.25">
      <c r="A438" s="117" t="s">
        <v>614</v>
      </c>
      <c r="B438" s="117" t="s">
        <v>615</v>
      </c>
      <c r="C438" t="s">
        <v>616</v>
      </c>
      <c r="D438" t="s">
        <v>617</v>
      </c>
      <c r="E438" s="182">
        <v>191119</v>
      </c>
      <c r="F438" t="s">
        <v>618</v>
      </c>
      <c r="G438" t="s">
        <v>619</v>
      </c>
      <c r="H438" s="118" t="s">
        <v>620</v>
      </c>
      <c r="I438" t="s">
        <v>628</v>
      </c>
      <c r="J438" t="s">
        <v>622</v>
      </c>
      <c r="K438" t="s">
        <v>712</v>
      </c>
      <c r="L438" t="s">
        <v>342</v>
      </c>
      <c r="M438" s="183" t="s">
        <v>343</v>
      </c>
      <c r="N438" t="s">
        <v>648</v>
      </c>
      <c r="O438" t="s">
        <v>632</v>
      </c>
      <c r="P438">
        <v>375</v>
      </c>
      <c r="Q438" t="s">
        <v>626</v>
      </c>
      <c r="R438" s="184">
        <v>2.1</v>
      </c>
      <c r="S438" s="184">
        <f>R438/3.75</f>
        <v>0.56000000000000005</v>
      </c>
      <c r="T438" s="184">
        <f>S438*'edible cooking yield factors'!F161</f>
        <v>0.56000000000000005</v>
      </c>
    </row>
    <row r="439" spans="1:20" x14ac:dyDescent="0.25">
      <c r="A439" s="117" t="s">
        <v>614</v>
      </c>
      <c r="B439" s="117" t="s">
        <v>615</v>
      </c>
      <c r="C439" t="s">
        <v>616</v>
      </c>
      <c r="D439" t="s">
        <v>617</v>
      </c>
      <c r="E439" s="182">
        <v>191119</v>
      </c>
      <c r="F439" t="s">
        <v>618</v>
      </c>
      <c r="G439" t="s">
        <v>619</v>
      </c>
      <c r="H439" s="118" t="s">
        <v>620</v>
      </c>
      <c r="I439" t="s">
        <v>621</v>
      </c>
      <c r="J439" t="s">
        <v>622</v>
      </c>
      <c r="K439" t="s">
        <v>712</v>
      </c>
      <c r="L439" t="s">
        <v>333</v>
      </c>
      <c r="M439" s="183" t="str">
        <f>'common foods'!D156</f>
        <v>08100</v>
      </c>
      <c r="N439" t="s">
        <v>714</v>
      </c>
      <c r="O439" t="s">
        <v>625</v>
      </c>
      <c r="P439">
        <v>420</v>
      </c>
      <c r="Q439" t="s">
        <v>626</v>
      </c>
      <c r="R439" s="184">
        <v>1.89</v>
      </c>
      <c r="S439" s="184">
        <f>R439/4.2</f>
        <v>0.44999999999999996</v>
      </c>
      <c r="T439" s="184">
        <f>S439*'edible cooking yield factors'!F156</f>
        <v>0.44999999999999996</v>
      </c>
    </row>
    <row r="440" spans="1:20" x14ac:dyDescent="0.25">
      <c r="A440" s="117" t="s">
        <v>614</v>
      </c>
      <c r="B440" s="117" t="s">
        <v>615</v>
      </c>
      <c r="C440" t="s">
        <v>616</v>
      </c>
      <c r="D440" t="s">
        <v>617</v>
      </c>
      <c r="E440" s="182">
        <v>191119</v>
      </c>
      <c r="F440" t="s">
        <v>618</v>
      </c>
      <c r="G440" t="s">
        <v>619</v>
      </c>
      <c r="H440" s="118" t="s">
        <v>620</v>
      </c>
      <c r="I440" t="s">
        <v>627</v>
      </c>
      <c r="J440" t="s">
        <v>622</v>
      </c>
      <c r="K440" t="s">
        <v>712</v>
      </c>
      <c r="L440" t="s">
        <v>333</v>
      </c>
      <c r="M440" s="183" t="s">
        <v>334</v>
      </c>
      <c r="N440" t="s">
        <v>714</v>
      </c>
      <c r="O440" t="s">
        <v>625</v>
      </c>
      <c r="P440">
        <v>420</v>
      </c>
      <c r="Q440" t="s">
        <v>626</v>
      </c>
      <c r="R440" s="184">
        <v>2.29</v>
      </c>
      <c r="S440" s="184">
        <f>R440/4.2</f>
        <v>0.54523809523809519</v>
      </c>
      <c r="T440" s="184">
        <f>S440*'edible cooking yield factors'!F156</f>
        <v>0.54523809523809519</v>
      </c>
    </row>
    <row r="441" spans="1:20" x14ac:dyDescent="0.25">
      <c r="A441" s="117" t="s">
        <v>614</v>
      </c>
      <c r="B441" s="117" t="s">
        <v>615</v>
      </c>
      <c r="C441" t="s">
        <v>616</v>
      </c>
      <c r="D441" t="s">
        <v>617</v>
      </c>
      <c r="E441" s="182">
        <v>191119</v>
      </c>
      <c r="F441" t="s">
        <v>618</v>
      </c>
      <c r="G441" t="s">
        <v>619</v>
      </c>
      <c r="H441" s="118" t="s">
        <v>620</v>
      </c>
      <c r="I441" t="s">
        <v>628</v>
      </c>
      <c r="J441" t="s">
        <v>622</v>
      </c>
      <c r="K441" t="s">
        <v>712</v>
      </c>
      <c r="L441" t="s">
        <v>333</v>
      </c>
      <c r="M441" s="183" t="s">
        <v>334</v>
      </c>
      <c r="N441" t="s">
        <v>714</v>
      </c>
      <c r="O441" t="s">
        <v>625</v>
      </c>
      <c r="P441">
        <v>420</v>
      </c>
      <c r="Q441" t="s">
        <v>626</v>
      </c>
      <c r="R441" s="184">
        <v>2.2999999999999998</v>
      </c>
      <c r="S441" s="184">
        <f>R441/4.2</f>
        <v>0.54761904761904756</v>
      </c>
      <c r="T441" s="184">
        <f>S441*'edible cooking yield factors'!F156</f>
        <v>0.54761904761904756</v>
      </c>
    </row>
    <row r="442" spans="1:20" x14ac:dyDescent="0.25">
      <c r="A442" s="117" t="s">
        <v>614</v>
      </c>
      <c r="B442" s="117" t="s">
        <v>615</v>
      </c>
      <c r="C442" t="s">
        <v>616</v>
      </c>
      <c r="D442" t="s">
        <v>617</v>
      </c>
      <c r="E442" s="182">
        <v>191119</v>
      </c>
      <c r="F442" t="s">
        <v>618</v>
      </c>
      <c r="G442" t="s">
        <v>619</v>
      </c>
      <c r="H442" s="118" t="s">
        <v>620</v>
      </c>
      <c r="I442" t="s">
        <v>621</v>
      </c>
      <c r="J442" t="s">
        <v>622</v>
      </c>
      <c r="K442" t="s">
        <v>712</v>
      </c>
      <c r="L442" t="s">
        <v>335</v>
      </c>
      <c r="M442" s="183" t="str">
        <f>'common foods'!D157</f>
        <v>08101</v>
      </c>
      <c r="N442" t="s">
        <v>636</v>
      </c>
      <c r="O442" t="s">
        <v>632</v>
      </c>
      <c r="P442">
        <v>887</v>
      </c>
      <c r="Q442" t="s">
        <v>626</v>
      </c>
      <c r="R442" s="184">
        <v>5.49</v>
      </c>
      <c r="S442" s="184">
        <f>R442/8.87</f>
        <v>0.6189402480270576</v>
      </c>
      <c r="T442" s="184">
        <f>S442*'edible cooking yield factors'!F157</f>
        <v>0.6189402480270576</v>
      </c>
    </row>
    <row r="443" spans="1:20" x14ac:dyDescent="0.25">
      <c r="A443" s="117" t="s">
        <v>614</v>
      </c>
      <c r="B443" s="117" t="s">
        <v>615</v>
      </c>
      <c r="C443" t="s">
        <v>616</v>
      </c>
      <c r="D443" t="s">
        <v>617</v>
      </c>
      <c r="E443" s="182">
        <v>191119</v>
      </c>
      <c r="F443" t="s">
        <v>618</v>
      </c>
      <c r="G443" t="s">
        <v>619</v>
      </c>
      <c r="H443" s="118" t="s">
        <v>620</v>
      </c>
      <c r="I443" t="s">
        <v>627</v>
      </c>
      <c r="J443" t="s">
        <v>622</v>
      </c>
      <c r="K443" t="s">
        <v>712</v>
      </c>
      <c r="L443" t="s">
        <v>335</v>
      </c>
      <c r="M443" s="183" t="s">
        <v>336</v>
      </c>
      <c r="N443" t="s">
        <v>636</v>
      </c>
      <c r="O443" t="s">
        <v>632</v>
      </c>
      <c r="P443">
        <v>887</v>
      </c>
      <c r="Q443" t="s">
        <v>626</v>
      </c>
      <c r="R443" s="184">
        <v>7.99</v>
      </c>
      <c r="S443" s="184">
        <f>R443/8.87</f>
        <v>0.90078917700112748</v>
      </c>
      <c r="T443" s="184">
        <f>S443*'edible cooking yield factors'!F157</f>
        <v>0.90078917700112748</v>
      </c>
    </row>
    <row r="444" spans="1:20" x14ac:dyDescent="0.25">
      <c r="A444" s="117" t="s">
        <v>614</v>
      </c>
      <c r="B444" s="117" t="s">
        <v>615</v>
      </c>
      <c r="C444" t="s">
        <v>616</v>
      </c>
      <c r="D444" t="s">
        <v>617</v>
      </c>
      <c r="E444" s="182">
        <v>191119</v>
      </c>
      <c r="F444" t="s">
        <v>618</v>
      </c>
      <c r="G444" t="s">
        <v>619</v>
      </c>
      <c r="H444" s="118" t="s">
        <v>620</v>
      </c>
      <c r="I444" t="s">
        <v>628</v>
      </c>
      <c r="J444" t="s">
        <v>622</v>
      </c>
      <c r="K444" t="s">
        <v>712</v>
      </c>
      <c r="L444" t="s">
        <v>335</v>
      </c>
      <c r="M444" s="183" t="s">
        <v>336</v>
      </c>
      <c r="N444" t="s">
        <v>680</v>
      </c>
      <c r="O444" t="s">
        <v>632</v>
      </c>
      <c r="P444">
        <v>770</v>
      </c>
      <c r="Q444" t="s">
        <v>626</v>
      </c>
      <c r="R444" s="184">
        <v>3.3</v>
      </c>
      <c r="S444" s="184">
        <f>R444/7.7</f>
        <v>0.42857142857142855</v>
      </c>
      <c r="T444" s="184">
        <f>S444*'edible cooking yield factors'!F157</f>
        <v>0.42857142857142855</v>
      </c>
    </row>
    <row r="445" spans="1:20" x14ac:dyDescent="0.25">
      <c r="A445" s="117" t="s">
        <v>614</v>
      </c>
      <c r="B445" s="117" t="s">
        <v>615</v>
      </c>
      <c r="C445" t="s">
        <v>616</v>
      </c>
      <c r="D445" t="s">
        <v>617</v>
      </c>
      <c r="E445" s="182">
        <v>191119</v>
      </c>
      <c r="F445" t="s">
        <v>618</v>
      </c>
      <c r="G445" t="s">
        <v>619</v>
      </c>
      <c r="H445" s="118" t="s">
        <v>620</v>
      </c>
      <c r="I445" t="s">
        <v>621</v>
      </c>
      <c r="J445" t="s">
        <v>622</v>
      </c>
      <c r="K445" t="s">
        <v>712</v>
      </c>
      <c r="L445" t="s">
        <v>337</v>
      </c>
      <c r="M445" s="183" t="str">
        <f>'common foods'!D158</f>
        <v>08102</v>
      </c>
      <c r="N445" t="s">
        <v>631</v>
      </c>
      <c r="O445" t="s">
        <v>632</v>
      </c>
      <c r="P445">
        <v>1000</v>
      </c>
      <c r="Q445" t="s">
        <v>626</v>
      </c>
      <c r="R445" s="184">
        <v>2.89</v>
      </c>
      <c r="S445" s="184">
        <f>R445/10</f>
        <v>0.28900000000000003</v>
      </c>
      <c r="T445" s="184">
        <f>S445*'edible cooking yield factors'!F158</f>
        <v>0.28900000000000003</v>
      </c>
    </row>
    <row r="446" spans="1:20" x14ac:dyDescent="0.25">
      <c r="A446" s="117" t="s">
        <v>614</v>
      </c>
      <c r="B446" s="117" t="s">
        <v>615</v>
      </c>
      <c r="C446" t="s">
        <v>616</v>
      </c>
      <c r="D446" t="s">
        <v>617</v>
      </c>
      <c r="E446" s="182">
        <v>191119</v>
      </c>
      <c r="F446" t="s">
        <v>618</v>
      </c>
      <c r="G446" t="s">
        <v>619</v>
      </c>
      <c r="H446" s="118" t="s">
        <v>620</v>
      </c>
      <c r="I446" t="s">
        <v>627</v>
      </c>
      <c r="J446" t="s">
        <v>622</v>
      </c>
      <c r="K446" t="s">
        <v>712</v>
      </c>
      <c r="L446" t="s">
        <v>337</v>
      </c>
      <c r="M446" s="183" t="s">
        <v>338</v>
      </c>
      <c r="N446" t="s">
        <v>631</v>
      </c>
      <c r="O446" t="s">
        <v>632</v>
      </c>
      <c r="P446">
        <v>1000</v>
      </c>
      <c r="Q446" t="s">
        <v>626</v>
      </c>
      <c r="R446" s="184">
        <v>3.39</v>
      </c>
      <c r="S446" s="184">
        <f>R446/10</f>
        <v>0.33900000000000002</v>
      </c>
      <c r="T446" s="184">
        <f>S446*'edible cooking yield factors'!F158</f>
        <v>0.33900000000000002</v>
      </c>
    </row>
    <row r="447" spans="1:20" x14ac:dyDescent="0.25">
      <c r="A447" s="117" t="s">
        <v>614</v>
      </c>
      <c r="B447" s="117" t="s">
        <v>615</v>
      </c>
      <c r="C447" t="s">
        <v>616</v>
      </c>
      <c r="D447" t="s">
        <v>617</v>
      </c>
      <c r="E447" s="182">
        <v>191119</v>
      </c>
      <c r="F447" t="s">
        <v>618</v>
      </c>
      <c r="G447" t="s">
        <v>619</v>
      </c>
      <c r="H447" s="118" t="s">
        <v>620</v>
      </c>
      <c r="I447" t="s">
        <v>628</v>
      </c>
      <c r="J447" t="s">
        <v>622</v>
      </c>
      <c r="K447" t="s">
        <v>712</v>
      </c>
      <c r="L447" t="s">
        <v>337</v>
      </c>
      <c r="M447" s="183" t="s">
        <v>338</v>
      </c>
      <c r="N447" t="s">
        <v>628</v>
      </c>
      <c r="O447" t="s">
        <v>632</v>
      </c>
      <c r="P447">
        <v>2000</v>
      </c>
      <c r="Q447" t="s">
        <v>626</v>
      </c>
      <c r="R447" s="184">
        <v>4.9000000000000004</v>
      </c>
      <c r="S447" s="184">
        <f>R447/20</f>
        <v>0.24500000000000002</v>
      </c>
      <c r="T447" s="184">
        <f>S447*'edible cooking yield factors'!F158</f>
        <v>0.24500000000000002</v>
      </c>
    </row>
    <row r="448" spans="1:20" x14ac:dyDescent="0.25">
      <c r="A448" s="117" t="s">
        <v>614</v>
      </c>
      <c r="B448" s="117" t="s">
        <v>615</v>
      </c>
      <c r="C448" t="s">
        <v>616</v>
      </c>
      <c r="D448" t="s">
        <v>617</v>
      </c>
      <c r="E448" s="182">
        <v>191119</v>
      </c>
      <c r="F448" t="s">
        <v>618</v>
      </c>
      <c r="G448" t="s">
        <v>619</v>
      </c>
      <c r="H448" s="118" t="s">
        <v>620</v>
      </c>
      <c r="I448" t="s">
        <v>621</v>
      </c>
      <c r="J448" t="s">
        <v>622</v>
      </c>
      <c r="K448" t="s">
        <v>712</v>
      </c>
      <c r="L448" t="s">
        <v>339</v>
      </c>
      <c r="M448" s="183" t="str">
        <f>'common foods'!D159</f>
        <v>08103</v>
      </c>
      <c r="N448" t="s">
        <v>636</v>
      </c>
      <c r="O448" t="s">
        <v>632</v>
      </c>
      <c r="P448">
        <v>5000</v>
      </c>
      <c r="Q448" t="s">
        <v>626</v>
      </c>
      <c r="R448" s="184">
        <v>7.99</v>
      </c>
      <c r="S448" s="184">
        <f>R448/50</f>
        <v>0.1598</v>
      </c>
      <c r="T448" s="184">
        <f>S448*'edible cooking yield factors'!F159</f>
        <v>0.1598</v>
      </c>
    </row>
    <row r="449" spans="1:20" x14ac:dyDescent="0.25">
      <c r="A449" s="117" t="s">
        <v>614</v>
      </c>
      <c r="B449" s="117" t="s">
        <v>615</v>
      </c>
      <c r="C449" t="s">
        <v>616</v>
      </c>
      <c r="D449" t="s">
        <v>617</v>
      </c>
      <c r="E449" s="182">
        <v>191119</v>
      </c>
      <c r="F449" t="s">
        <v>618</v>
      </c>
      <c r="G449" t="s">
        <v>619</v>
      </c>
      <c r="H449" s="118" t="s">
        <v>620</v>
      </c>
      <c r="I449" t="s">
        <v>627</v>
      </c>
      <c r="J449" t="s">
        <v>622</v>
      </c>
      <c r="K449" t="s">
        <v>712</v>
      </c>
      <c r="L449" t="s">
        <v>339</v>
      </c>
      <c r="M449" s="183" t="s">
        <v>340</v>
      </c>
      <c r="N449" t="s">
        <v>636</v>
      </c>
      <c r="O449" t="s">
        <v>632</v>
      </c>
      <c r="P449">
        <v>5000</v>
      </c>
      <c r="Q449" t="s">
        <v>626</v>
      </c>
      <c r="R449" s="184">
        <v>8.99</v>
      </c>
      <c r="S449" s="184">
        <f>R449/50</f>
        <v>0.17980000000000002</v>
      </c>
      <c r="T449" s="184">
        <f>S449*'edible cooking yield factors'!F159</f>
        <v>0.17980000000000002</v>
      </c>
    </row>
    <row r="450" spans="1:20" x14ac:dyDescent="0.25">
      <c r="A450" s="117" t="s">
        <v>614</v>
      </c>
      <c r="B450" s="117" t="s">
        <v>615</v>
      </c>
      <c r="C450" t="s">
        <v>616</v>
      </c>
      <c r="D450" t="s">
        <v>617</v>
      </c>
      <c r="E450" s="182">
        <v>191119</v>
      </c>
      <c r="F450" t="s">
        <v>618</v>
      </c>
      <c r="G450" t="s">
        <v>619</v>
      </c>
      <c r="H450" s="118" t="s">
        <v>620</v>
      </c>
      <c r="I450" t="s">
        <v>628</v>
      </c>
      <c r="J450" t="s">
        <v>622</v>
      </c>
      <c r="K450" t="s">
        <v>712</v>
      </c>
      <c r="L450" t="s">
        <v>339</v>
      </c>
      <c r="M450" s="183" t="s">
        <v>340</v>
      </c>
      <c r="N450" t="s">
        <v>628</v>
      </c>
      <c r="O450" t="s">
        <v>632</v>
      </c>
      <c r="P450">
        <v>5000</v>
      </c>
      <c r="Q450" t="s">
        <v>626</v>
      </c>
      <c r="R450" s="184">
        <v>9</v>
      </c>
      <c r="S450" s="184">
        <f>R450/50</f>
        <v>0.18</v>
      </c>
      <c r="T450" s="184">
        <f>S450*'edible cooking yield factors'!F159</f>
        <v>0.18</v>
      </c>
    </row>
    <row r="451" spans="1:20" x14ac:dyDescent="0.25">
      <c r="A451" s="117" t="s">
        <v>614</v>
      </c>
      <c r="B451" s="117" t="s">
        <v>615</v>
      </c>
      <c r="C451" t="s">
        <v>616</v>
      </c>
      <c r="D451" t="s">
        <v>617</v>
      </c>
      <c r="E451" s="182">
        <v>191119</v>
      </c>
      <c r="F451" t="s">
        <v>618</v>
      </c>
      <c r="G451" t="s">
        <v>619</v>
      </c>
      <c r="H451" s="118" t="s">
        <v>620</v>
      </c>
      <c r="I451" t="s">
        <v>621</v>
      </c>
      <c r="J451" t="s">
        <v>622</v>
      </c>
      <c r="K451" t="s">
        <v>712</v>
      </c>
      <c r="L451" t="s">
        <v>346</v>
      </c>
      <c r="M451" s="183" t="str">
        <f>'common foods'!D162</f>
        <v>08104</v>
      </c>
      <c r="N451" t="s">
        <v>636</v>
      </c>
      <c r="O451" t="s">
        <v>632</v>
      </c>
      <c r="P451">
        <v>560</v>
      </c>
      <c r="Q451" t="s">
        <v>626</v>
      </c>
      <c r="R451" s="184">
        <v>1.49</v>
      </c>
      <c r="S451" s="184">
        <f>R451/5.6</f>
        <v>0.26607142857142857</v>
      </c>
      <c r="T451" s="184">
        <f>S451*'edible cooking yield factors'!F162</f>
        <v>0.26607142857142857</v>
      </c>
    </row>
    <row r="452" spans="1:20" x14ac:dyDescent="0.25">
      <c r="A452" s="117" t="s">
        <v>614</v>
      </c>
      <c r="B452" s="117" t="s">
        <v>615</v>
      </c>
      <c r="C452" t="s">
        <v>616</v>
      </c>
      <c r="D452" t="s">
        <v>617</v>
      </c>
      <c r="E452" s="182">
        <v>191119</v>
      </c>
      <c r="F452" t="s">
        <v>618</v>
      </c>
      <c r="G452" t="s">
        <v>619</v>
      </c>
      <c r="H452" s="118" t="s">
        <v>620</v>
      </c>
      <c r="I452" t="s">
        <v>627</v>
      </c>
      <c r="J452" t="s">
        <v>622</v>
      </c>
      <c r="K452" t="s">
        <v>712</v>
      </c>
      <c r="L452" t="s">
        <v>346</v>
      </c>
      <c r="M452" s="183" t="s">
        <v>347</v>
      </c>
      <c r="N452" t="s">
        <v>636</v>
      </c>
      <c r="O452" t="s">
        <v>632</v>
      </c>
      <c r="P452">
        <v>560</v>
      </c>
      <c r="Q452" t="s">
        <v>626</v>
      </c>
      <c r="R452" s="184">
        <v>1.59</v>
      </c>
      <c r="S452" s="184">
        <f>R452/5.6</f>
        <v>0.28392857142857147</v>
      </c>
      <c r="T452" s="184">
        <f>S452*'edible cooking yield factors'!F162</f>
        <v>0.28392857142857147</v>
      </c>
    </row>
    <row r="453" spans="1:20" x14ac:dyDescent="0.25">
      <c r="A453" s="117" t="s">
        <v>614</v>
      </c>
      <c r="B453" s="117" t="s">
        <v>615</v>
      </c>
      <c r="C453" t="s">
        <v>616</v>
      </c>
      <c r="D453" t="s">
        <v>617</v>
      </c>
      <c r="E453" s="182">
        <v>191119</v>
      </c>
      <c r="F453" t="s">
        <v>618</v>
      </c>
      <c r="G453" t="s">
        <v>619</v>
      </c>
      <c r="H453" s="118" t="s">
        <v>620</v>
      </c>
      <c r="I453" t="s">
        <v>628</v>
      </c>
      <c r="J453" t="s">
        <v>622</v>
      </c>
      <c r="K453" t="s">
        <v>712</v>
      </c>
      <c r="L453" t="s">
        <v>346</v>
      </c>
      <c r="M453" s="183" t="s">
        <v>347</v>
      </c>
      <c r="N453" t="s">
        <v>463</v>
      </c>
      <c r="O453" t="s">
        <v>625</v>
      </c>
      <c r="P453">
        <v>560</v>
      </c>
      <c r="Q453" t="s">
        <v>626</v>
      </c>
      <c r="R453" s="184">
        <v>2.99</v>
      </c>
      <c r="S453" s="184">
        <f>R453/5.6</f>
        <v>0.53392857142857153</v>
      </c>
      <c r="T453" s="184">
        <f>S453*'edible cooking yield factors'!F162</f>
        <v>0.53392857142857153</v>
      </c>
    </row>
    <row r="454" spans="1:20" x14ac:dyDescent="0.25">
      <c r="A454" s="117" t="s">
        <v>614</v>
      </c>
      <c r="B454" s="117" t="s">
        <v>615</v>
      </c>
      <c r="C454" t="s">
        <v>616</v>
      </c>
      <c r="D454" t="s">
        <v>617</v>
      </c>
      <c r="E454" s="182">
        <v>191119</v>
      </c>
      <c r="F454" t="s">
        <v>618</v>
      </c>
      <c r="G454" t="s">
        <v>619</v>
      </c>
      <c r="H454" s="118" t="s">
        <v>620</v>
      </c>
      <c r="I454" t="s">
        <v>621</v>
      </c>
      <c r="J454" t="s">
        <v>622</v>
      </c>
      <c r="K454" t="s">
        <v>639</v>
      </c>
      <c r="L454" t="s">
        <v>96</v>
      </c>
      <c r="M454" s="183" t="str">
        <f>'common foods'!D42</f>
        <v>08099</v>
      </c>
      <c r="N454" t="s">
        <v>715</v>
      </c>
      <c r="O454" t="s">
        <v>625</v>
      </c>
      <c r="P454">
        <v>420</v>
      </c>
      <c r="Q454" t="s">
        <v>626</v>
      </c>
      <c r="R454" s="184">
        <v>1.99</v>
      </c>
      <c r="S454" s="184">
        <f>R454/4.2</f>
        <v>0.47380952380952379</v>
      </c>
      <c r="T454" s="184">
        <f>S454*'edible cooking yield factors'!F42</f>
        <v>0.47380952380952379</v>
      </c>
    </row>
    <row r="455" spans="1:20" x14ac:dyDescent="0.25">
      <c r="A455" s="117" t="s">
        <v>614</v>
      </c>
      <c r="B455" s="117" t="s">
        <v>615</v>
      </c>
      <c r="C455" t="s">
        <v>616</v>
      </c>
      <c r="D455" t="s">
        <v>617</v>
      </c>
      <c r="E455" s="182">
        <v>191119</v>
      </c>
      <c r="F455" t="s">
        <v>618</v>
      </c>
      <c r="G455" t="s">
        <v>619</v>
      </c>
      <c r="H455" s="118" t="s">
        <v>620</v>
      </c>
      <c r="I455" t="s">
        <v>627</v>
      </c>
      <c r="J455" t="s">
        <v>622</v>
      </c>
      <c r="K455" t="s">
        <v>639</v>
      </c>
      <c r="L455" t="s">
        <v>96</v>
      </c>
      <c r="M455" s="183" t="s">
        <v>97</v>
      </c>
      <c r="N455" t="s">
        <v>715</v>
      </c>
      <c r="O455" t="s">
        <v>625</v>
      </c>
      <c r="P455">
        <v>420</v>
      </c>
      <c r="Q455" t="s">
        <v>626</v>
      </c>
      <c r="R455" s="184">
        <v>2.69</v>
      </c>
      <c r="S455" s="184">
        <f>R455/4.2</f>
        <v>0.64047619047619042</v>
      </c>
      <c r="T455" s="184">
        <f>S455*'edible cooking yield factors'!F42</f>
        <v>0.64047619047619042</v>
      </c>
    </row>
    <row r="456" spans="1:20" x14ac:dyDescent="0.25">
      <c r="A456" s="117" t="s">
        <v>614</v>
      </c>
      <c r="B456" s="117" t="s">
        <v>615</v>
      </c>
      <c r="C456" t="s">
        <v>616</v>
      </c>
      <c r="D456" t="s">
        <v>617</v>
      </c>
      <c r="E456" s="182">
        <v>191119</v>
      </c>
      <c r="F456" t="s">
        <v>618</v>
      </c>
      <c r="G456" t="s">
        <v>619</v>
      </c>
      <c r="H456" s="118" t="s">
        <v>620</v>
      </c>
      <c r="I456" t="s">
        <v>628</v>
      </c>
      <c r="J456" t="s">
        <v>622</v>
      </c>
      <c r="K456" t="s">
        <v>639</v>
      </c>
      <c r="L456" t="s">
        <v>96</v>
      </c>
      <c r="M456" s="183" t="s">
        <v>97</v>
      </c>
      <c r="N456" t="s">
        <v>628</v>
      </c>
      <c r="O456" t="s">
        <v>632</v>
      </c>
      <c r="P456">
        <v>420</v>
      </c>
      <c r="Q456" t="s">
        <v>626</v>
      </c>
      <c r="R456" s="184">
        <v>1.3</v>
      </c>
      <c r="S456" s="184">
        <f>R456/4.2</f>
        <v>0.30952380952380953</v>
      </c>
      <c r="T456" s="184">
        <f>S456*'edible cooking yield factors'!F42</f>
        <v>0.30952380952380953</v>
      </c>
    </row>
    <row r="457" spans="1:20" x14ac:dyDescent="0.25">
      <c r="A457" s="117" t="s">
        <v>614</v>
      </c>
      <c r="B457" s="117" t="s">
        <v>615</v>
      </c>
      <c r="C457" t="s">
        <v>616</v>
      </c>
      <c r="D457" t="s">
        <v>617</v>
      </c>
      <c r="E457" s="182">
        <v>191119</v>
      </c>
      <c r="F457" t="s">
        <v>618</v>
      </c>
      <c r="G457" t="s">
        <v>619</v>
      </c>
      <c r="H457" s="118" t="s">
        <v>620</v>
      </c>
      <c r="I457" t="s">
        <v>621</v>
      </c>
      <c r="J457" t="s">
        <v>622</v>
      </c>
      <c r="K457" t="s">
        <v>716</v>
      </c>
      <c r="L457" t="s">
        <v>357</v>
      </c>
      <c r="M457" s="183" t="str">
        <f>'common foods'!D167</f>
        <v>09104</v>
      </c>
      <c r="N457" t="s">
        <v>717</v>
      </c>
      <c r="O457" t="s">
        <v>625</v>
      </c>
      <c r="P457">
        <v>900</v>
      </c>
      <c r="Q457" t="s">
        <v>626</v>
      </c>
      <c r="R457" s="184">
        <v>9.99</v>
      </c>
      <c r="S457" s="184">
        <f>R457/9</f>
        <v>1.1100000000000001</v>
      </c>
      <c r="T457" s="184">
        <f>S457*'edible cooking yield factors'!F167</f>
        <v>1.1100000000000001</v>
      </c>
    </row>
    <row r="458" spans="1:20" x14ac:dyDescent="0.25">
      <c r="A458" s="117" t="s">
        <v>614</v>
      </c>
      <c r="B458" s="117" t="s">
        <v>615</v>
      </c>
      <c r="C458" t="s">
        <v>616</v>
      </c>
      <c r="D458" t="s">
        <v>617</v>
      </c>
      <c r="E458" s="182">
        <v>191119</v>
      </c>
      <c r="F458" t="s">
        <v>618</v>
      </c>
      <c r="G458" t="s">
        <v>619</v>
      </c>
      <c r="H458" s="118" t="s">
        <v>620</v>
      </c>
      <c r="I458" t="s">
        <v>627</v>
      </c>
      <c r="J458" t="s">
        <v>622</v>
      </c>
      <c r="K458" t="s">
        <v>716</v>
      </c>
      <c r="L458" t="s">
        <v>357</v>
      </c>
      <c r="M458" s="183" t="s">
        <v>358</v>
      </c>
      <c r="N458" t="s">
        <v>717</v>
      </c>
      <c r="O458" t="s">
        <v>625</v>
      </c>
      <c r="P458">
        <v>900</v>
      </c>
      <c r="Q458" t="s">
        <v>626</v>
      </c>
      <c r="R458" s="184">
        <v>13.49</v>
      </c>
      <c r="S458" s="184">
        <f>R458/9</f>
        <v>1.4988888888888889</v>
      </c>
      <c r="T458" s="184">
        <f>S458*'edible cooking yield factors'!F167</f>
        <v>1.4988888888888889</v>
      </c>
    </row>
    <row r="459" spans="1:20" x14ac:dyDescent="0.25">
      <c r="A459" s="117" t="s">
        <v>614</v>
      </c>
      <c r="B459" s="117" t="s">
        <v>615</v>
      </c>
      <c r="C459" t="s">
        <v>616</v>
      </c>
      <c r="D459" t="s">
        <v>617</v>
      </c>
      <c r="E459" s="182">
        <v>191119</v>
      </c>
      <c r="F459" t="s">
        <v>618</v>
      </c>
      <c r="G459" t="s">
        <v>619</v>
      </c>
      <c r="H459" s="118" t="s">
        <v>620</v>
      </c>
      <c r="I459" t="s">
        <v>628</v>
      </c>
      <c r="J459" t="s">
        <v>622</v>
      </c>
      <c r="K459" t="s">
        <v>716</v>
      </c>
      <c r="L459" t="s">
        <v>357</v>
      </c>
      <c r="M459" s="183" t="s">
        <v>358</v>
      </c>
      <c r="N459" t="s">
        <v>717</v>
      </c>
      <c r="O459" t="s">
        <v>625</v>
      </c>
      <c r="P459">
        <v>900</v>
      </c>
      <c r="Q459" t="s">
        <v>626</v>
      </c>
      <c r="R459" s="184">
        <v>13.49</v>
      </c>
      <c r="S459" s="184">
        <f>R459/9</f>
        <v>1.4988888888888889</v>
      </c>
      <c r="T459" s="184">
        <f>S459*'edible cooking yield factors'!F167</f>
        <v>1.4988888888888889</v>
      </c>
    </row>
    <row r="460" spans="1:20" x14ac:dyDescent="0.25">
      <c r="A460" s="117" t="s">
        <v>614</v>
      </c>
      <c r="B460" s="117" t="s">
        <v>615</v>
      </c>
      <c r="C460" t="s">
        <v>616</v>
      </c>
      <c r="D460" t="s">
        <v>617</v>
      </c>
      <c r="E460" s="182">
        <v>191119</v>
      </c>
      <c r="F460" t="s">
        <v>618</v>
      </c>
      <c r="G460" t="s">
        <v>619</v>
      </c>
      <c r="H460" s="118" t="s">
        <v>620</v>
      </c>
      <c r="I460" t="s">
        <v>621</v>
      </c>
      <c r="J460" t="s">
        <v>622</v>
      </c>
      <c r="K460" t="s">
        <v>716</v>
      </c>
      <c r="L460" t="s">
        <v>359</v>
      </c>
      <c r="M460" s="183" t="str">
        <f>'common foods'!D168</f>
        <v>09105</v>
      </c>
      <c r="N460" t="s">
        <v>718</v>
      </c>
      <c r="O460" t="s">
        <v>625</v>
      </c>
      <c r="P460">
        <v>2250</v>
      </c>
      <c r="Q460" t="s">
        <v>626</v>
      </c>
      <c r="R460" s="184">
        <v>3.69</v>
      </c>
      <c r="S460" s="184">
        <f>R460/22.5</f>
        <v>0.16400000000000001</v>
      </c>
      <c r="T460" s="184">
        <f>S460*'edible cooking yield factors'!F168</f>
        <v>0.16400000000000001</v>
      </c>
    </row>
    <row r="461" spans="1:20" x14ac:dyDescent="0.25">
      <c r="A461" s="117" t="s">
        <v>614</v>
      </c>
      <c r="B461" s="117" t="s">
        <v>615</v>
      </c>
      <c r="C461" t="s">
        <v>616</v>
      </c>
      <c r="D461" t="s">
        <v>617</v>
      </c>
      <c r="E461" s="182">
        <v>191119</v>
      </c>
      <c r="F461" t="s">
        <v>618</v>
      </c>
      <c r="G461" t="s">
        <v>619</v>
      </c>
      <c r="H461" s="118" t="s">
        <v>620</v>
      </c>
      <c r="I461" t="s">
        <v>627</v>
      </c>
      <c r="J461" t="s">
        <v>622</v>
      </c>
      <c r="K461" t="s">
        <v>716</v>
      </c>
      <c r="L461" t="s">
        <v>359</v>
      </c>
      <c r="M461" s="183" t="s">
        <v>360</v>
      </c>
      <c r="N461" t="s">
        <v>718</v>
      </c>
      <c r="O461" t="s">
        <v>625</v>
      </c>
      <c r="P461">
        <v>2250</v>
      </c>
      <c r="Q461" t="s">
        <v>626</v>
      </c>
      <c r="R461" s="184">
        <v>4.6900000000000004</v>
      </c>
      <c r="S461" s="184">
        <f>R461/22.5</f>
        <v>0.20844444444444446</v>
      </c>
      <c r="T461" s="184">
        <f>S461*'edible cooking yield factors'!F168</f>
        <v>0.20844444444444446</v>
      </c>
    </row>
    <row r="462" spans="1:20" x14ac:dyDescent="0.25">
      <c r="A462" s="117" t="s">
        <v>614</v>
      </c>
      <c r="B462" s="117" t="s">
        <v>615</v>
      </c>
      <c r="C462" t="s">
        <v>616</v>
      </c>
      <c r="D462" t="s">
        <v>617</v>
      </c>
      <c r="E462" s="182">
        <v>191119</v>
      </c>
      <c r="F462" t="s">
        <v>618</v>
      </c>
      <c r="G462" t="s">
        <v>619</v>
      </c>
      <c r="H462" s="118" t="s">
        <v>620</v>
      </c>
      <c r="I462" t="s">
        <v>628</v>
      </c>
      <c r="J462" t="s">
        <v>622</v>
      </c>
      <c r="K462" t="s">
        <v>716</v>
      </c>
      <c r="L462" t="s">
        <v>359</v>
      </c>
      <c r="M462" s="183" t="s">
        <v>360</v>
      </c>
      <c r="N462" t="s">
        <v>628</v>
      </c>
      <c r="O462" t="s">
        <v>632</v>
      </c>
      <c r="P462">
        <v>1500</v>
      </c>
      <c r="Q462" t="s">
        <v>626</v>
      </c>
      <c r="R462" s="184">
        <v>1.3</v>
      </c>
      <c r="S462" s="184">
        <f>R462/15</f>
        <v>8.666666666666667E-2</v>
      </c>
      <c r="T462" s="184">
        <f>S462*'edible cooking yield factors'!F168</f>
        <v>8.666666666666667E-2</v>
      </c>
    </row>
    <row r="463" spans="1:20" x14ac:dyDescent="0.25">
      <c r="A463" s="117" t="s">
        <v>614</v>
      </c>
      <c r="B463" s="117" t="s">
        <v>615</v>
      </c>
      <c r="C463" t="s">
        <v>616</v>
      </c>
      <c r="D463" t="s">
        <v>617</v>
      </c>
      <c r="E463" s="182">
        <v>191119</v>
      </c>
      <c r="F463" t="s">
        <v>618</v>
      </c>
      <c r="G463" t="s">
        <v>619</v>
      </c>
      <c r="H463" s="118" t="s">
        <v>620</v>
      </c>
      <c r="I463" t="s">
        <v>621</v>
      </c>
      <c r="J463" t="s">
        <v>622</v>
      </c>
      <c r="K463" t="s">
        <v>716</v>
      </c>
      <c r="L463" t="s">
        <v>361</v>
      </c>
      <c r="M463" s="183" t="str">
        <f>'common foods'!D169</f>
        <v>09106</v>
      </c>
      <c r="N463" t="s">
        <v>631</v>
      </c>
      <c r="O463" t="s">
        <v>632</v>
      </c>
      <c r="P463">
        <v>1500</v>
      </c>
      <c r="Q463" t="s">
        <v>626</v>
      </c>
      <c r="R463" s="184">
        <v>0.99</v>
      </c>
      <c r="S463" s="184">
        <f>R463/15</f>
        <v>6.6000000000000003E-2</v>
      </c>
      <c r="T463" s="184">
        <f>S463*'edible cooking yield factors'!F169</f>
        <v>6.6000000000000003E-2</v>
      </c>
    </row>
    <row r="464" spans="1:20" x14ac:dyDescent="0.25">
      <c r="A464" s="117" t="s">
        <v>614</v>
      </c>
      <c r="B464" s="117" t="s">
        <v>615</v>
      </c>
      <c r="C464" t="s">
        <v>616</v>
      </c>
      <c r="D464" t="s">
        <v>617</v>
      </c>
      <c r="E464" s="182">
        <v>191119</v>
      </c>
      <c r="F464" t="s">
        <v>618</v>
      </c>
      <c r="G464" t="s">
        <v>619</v>
      </c>
      <c r="H464" s="118" t="s">
        <v>620</v>
      </c>
      <c r="I464" t="s">
        <v>627</v>
      </c>
      <c r="J464" t="s">
        <v>622</v>
      </c>
      <c r="K464" t="s">
        <v>716</v>
      </c>
      <c r="L464" t="s">
        <v>361</v>
      </c>
      <c r="M464" s="183" t="s">
        <v>362</v>
      </c>
      <c r="N464" t="s">
        <v>631</v>
      </c>
      <c r="O464" t="s">
        <v>632</v>
      </c>
      <c r="P464">
        <v>1500</v>
      </c>
      <c r="Q464" t="s">
        <v>626</v>
      </c>
      <c r="R464" s="184">
        <v>0.99</v>
      </c>
      <c r="S464" s="184">
        <f>R464/15</f>
        <v>6.6000000000000003E-2</v>
      </c>
      <c r="T464" s="184">
        <f>S464*'edible cooking yield factors'!F169</f>
        <v>6.6000000000000003E-2</v>
      </c>
    </row>
    <row r="465" spans="1:20" x14ac:dyDescent="0.25">
      <c r="A465" s="117" t="s">
        <v>614</v>
      </c>
      <c r="B465" s="117" t="s">
        <v>615</v>
      </c>
      <c r="C465" t="s">
        <v>616</v>
      </c>
      <c r="D465" t="s">
        <v>617</v>
      </c>
      <c r="E465" s="182">
        <v>191119</v>
      </c>
      <c r="F465" t="s">
        <v>618</v>
      </c>
      <c r="G465" t="s">
        <v>619</v>
      </c>
      <c r="H465" s="118" t="s">
        <v>620</v>
      </c>
      <c r="I465" t="s">
        <v>628</v>
      </c>
      <c r="J465" t="s">
        <v>622</v>
      </c>
      <c r="K465" t="s">
        <v>716</v>
      </c>
      <c r="L465" t="s">
        <v>361</v>
      </c>
      <c r="M465" s="183" t="s">
        <v>362</v>
      </c>
      <c r="N465" t="s">
        <v>628</v>
      </c>
      <c r="O465" t="s">
        <v>632</v>
      </c>
      <c r="P465">
        <v>1500</v>
      </c>
      <c r="Q465" t="s">
        <v>626</v>
      </c>
      <c r="R465" s="184">
        <v>1.3</v>
      </c>
      <c r="S465" s="184">
        <f>R465/15</f>
        <v>8.666666666666667E-2</v>
      </c>
      <c r="T465" s="184">
        <f>S465*'edible cooking yield factors'!F169</f>
        <v>8.666666666666667E-2</v>
      </c>
    </row>
    <row r="466" spans="1:20" x14ac:dyDescent="0.25">
      <c r="A466" s="117" t="s">
        <v>614</v>
      </c>
      <c r="B466" s="117" t="s">
        <v>615</v>
      </c>
      <c r="C466" t="s">
        <v>616</v>
      </c>
      <c r="D466" t="s">
        <v>617</v>
      </c>
      <c r="E466" s="182">
        <v>191119</v>
      </c>
      <c r="F466" t="s">
        <v>618</v>
      </c>
      <c r="G466" t="s">
        <v>619</v>
      </c>
      <c r="H466" s="118" t="s">
        <v>620</v>
      </c>
      <c r="I466" t="s">
        <v>621</v>
      </c>
      <c r="J466" t="s">
        <v>622</v>
      </c>
      <c r="K466" t="s">
        <v>716</v>
      </c>
      <c r="L466" t="s">
        <v>363</v>
      </c>
      <c r="M466" s="183" t="str">
        <f>'common foods'!D170</f>
        <v>09107</v>
      </c>
      <c r="N466" t="s">
        <v>719</v>
      </c>
      <c r="O466" t="s">
        <v>625</v>
      </c>
      <c r="P466">
        <v>3000</v>
      </c>
      <c r="Q466" t="s">
        <v>626</v>
      </c>
      <c r="R466" s="184">
        <v>4.49</v>
      </c>
      <c r="S466" s="184">
        <f>R466/30</f>
        <v>0.14966666666666667</v>
      </c>
      <c r="T466" s="184">
        <f>S466*'edible cooking yield factors'!F170</f>
        <v>0.14966666666666667</v>
      </c>
    </row>
    <row r="467" spans="1:20" x14ac:dyDescent="0.25">
      <c r="A467" s="117" t="s">
        <v>614</v>
      </c>
      <c r="B467" s="117" t="s">
        <v>615</v>
      </c>
      <c r="C467" t="s">
        <v>616</v>
      </c>
      <c r="D467" t="s">
        <v>617</v>
      </c>
      <c r="E467" s="182">
        <v>191119</v>
      </c>
      <c r="F467" t="s">
        <v>618</v>
      </c>
      <c r="G467" t="s">
        <v>619</v>
      </c>
      <c r="H467" s="118" t="s">
        <v>620</v>
      </c>
      <c r="I467" t="s">
        <v>627</v>
      </c>
      <c r="J467" t="s">
        <v>622</v>
      </c>
      <c r="K467" t="s">
        <v>716</v>
      </c>
      <c r="L467" t="s">
        <v>363</v>
      </c>
      <c r="M467" s="183" t="s">
        <v>364</v>
      </c>
      <c r="N467" t="s">
        <v>719</v>
      </c>
      <c r="O467" t="s">
        <v>625</v>
      </c>
      <c r="P467">
        <v>3000</v>
      </c>
      <c r="Q467" t="s">
        <v>626</v>
      </c>
      <c r="R467" s="184">
        <v>3.99</v>
      </c>
      <c r="S467" s="184">
        <f>R467/30</f>
        <v>0.13300000000000001</v>
      </c>
      <c r="T467" s="184">
        <f>S467*'edible cooking yield factors'!F170</f>
        <v>0.13300000000000001</v>
      </c>
    </row>
    <row r="468" spans="1:20" x14ac:dyDescent="0.25">
      <c r="A468" s="117" t="s">
        <v>614</v>
      </c>
      <c r="B468" s="117" t="s">
        <v>615</v>
      </c>
      <c r="C468" t="s">
        <v>616</v>
      </c>
      <c r="D468" t="s">
        <v>617</v>
      </c>
      <c r="E468" s="182">
        <v>191119</v>
      </c>
      <c r="F468" t="s">
        <v>618</v>
      </c>
      <c r="G468" t="s">
        <v>619</v>
      </c>
      <c r="H468" s="118" t="s">
        <v>620</v>
      </c>
      <c r="I468" t="s">
        <v>628</v>
      </c>
      <c r="J468" t="s">
        <v>622</v>
      </c>
      <c r="K468" t="s">
        <v>716</v>
      </c>
      <c r="L468" t="s">
        <v>363</v>
      </c>
      <c r="M468" s="183" t="s">
        <v>364</v>
      </c>
      <c r="N468" t="s">
        <v>719</v>
      </c>
      <c r="O468" t="s">
        <v>625</v>
      </c>
      <c r="P468">
        <v>3000</v>
      </c>
      <c r="Q468" t="s">
        <v>626</v>
      </c>
      <c r="R468" s="184">
        <v>5</v>
      </c>
      <c r="S468" s="184">
        <f>R468/30</f>
        <v>0.16666666666666666</v>
      </c>
      <c r="T468" s="184">
        <f>S468*'edible cooking yield factors'!F170</f>
        <v>0.16666666666666666</v>
      </c>
    </row>
    <row r="469" spans="1:20" x14ac:dyDescent="0.25">
      <c r="A469" s="117" t="s">
        <v>614</v>
      </c>
      <c r="B469" s="117" t="s">
        <v>615</v>
      </c>
      <c r="C469" t="s">
        <v>616</v>
      </c>
      <c r="D469" t="s">
        <v>617</v>
      </c>
      <c r="E469" s="182">
        <v>191119</v>
      </c>
      <c r="F469" t="s">
        <v>618</v>
      </c>
      <c r="G469" t="s">
        <v>619</v>
      </c>
      <c r="H469" s="118" t="s">
        <v>620</v>
      </c>
      <c r="I469" t="s">
        <v>621</v>
      </c>
      <c r="J469" t="s">
        <v>622</v>
      </c>
      <c r="K469" t="s">
        <v>716</v>
      </c>
      <c r="L469" t="s">
        <v>365</v>
      </c>
      <c r="M469" s="183" t="str">
        <f>'common foods'!D171</f>
        <v>09108</v>
      </c>
      <c r="N469" t="s">
        <v>720</v>
      </c>
      <c r="O469" t="s">
        <v>625</v>
      </c>
      <c r="P469">
        <v>1000</v>
      </c>
      <c r="Q469" t="s">
        <v>626</v>
      </c>
      <c r="R469" s="184">
        <v>2.69</v>
      </c>
      <c r="S469" s="184">
        <f>R469/10</f>
        <v>0.26900000000000002</v>
      </c>
      <c r="T469" s="184">
        <f>S469*'edible cooking yield factors'!F171</f>
        <v>0.26900000000000002</v>
      </c>
    </row>
    <row r="470" spans="1:20" x14ac:dyDescent="0.25">
      <c r="A470" s="117" t="s">
        <v>614</v>
      </c>
      <c r="B470" s="117" t="s">
        <v>615</v>
      </c>
      <c r="C470" t="s">
        <v>616</v>
      </c>
      <c r="D470" t="s">
        <v>617</v>
      </c>
      <c r="E470" s="182">
        <v>191119</v>
      </c>
      <c r="F470" t="s">
        <v>618</v>
      </c>
      <c r="G470" t="s">
        <v>619</v>
      </c>
      <c r="H470" s="118" t="s">
        <v>620</v>
      </c>
      <c r="I470" t="s">
        <v>627</v>
      </c>
      <c r="J470" t="s">
        <v>622</v>
      </c>
      <c r="K470" t="s">
        <v>716</v>
      </c>
      <c r="L470" t="s">
        <v>365</v>
      </c>
      <c r="M470" s="183" t="s">
        <v>366</v>
      </c>
      <c r="N470" t="s">
        <v>720</v>
      </c>
      <c r="O470" t="s">
        <v>625</v>
      </c>
      <c r="P470">
        <v>1000</v>
      </c>
      <c r="Q470" t="s">
        <v>626</v>
      </c>
      <c r="R470" s="184">
        <v>2.4900000000000002</v>
      </c>
      <c r="S470" s="184">
        <f>R470/10</f>
        <v>0.24900000000000003</v>
      </c>
      <c r="T470" s="184">
        <f>S470*'edible cooking yield factors'!F171</f>
        <v>0.24900000000000003</v>
      </c>
    </row>
    <row r="471" spans="1:20" x14ac:dyDescent="0.25">
      <c r="A471" s="117" t="s">
        <v>614</v>
      </c>
      <c r="B471" s="117" t="s">
        <v>615</v>
      </c>
      <c r="C471" t="s">
        <v>616</v>
      </c>
      <c r="D471" t="s">
        <v>617</v>
      </c>
      <c r="E471" s="182">
        <v>191119</v>
      </c>
      <c r="F471" t="s">
        <v>618</v>
      </c>
      <c r="G471" t="s">
        <v>619</v>
      </c>
      <c r="H471" s="118" t="s">
        <v>620</v>
      </c>
      <c r="I471" t="s">
        <v>628</v>
      </c>
      <c r="J471" t="s">
        <v>622</v>
      </c>
      <c r="K471" t="s">
        <v>716</v>
      </c>
      <c r="L471" t="s">
        <v>365</v>
      </c>
      <c r="M471" s="183" t="s">
        <v>366</v>
      </c>
      <c r="N471" t="s">
        <v>720</v>
      </c>
      <c r="O471" t="s">
        <v>625</v>
      </c>
      <c r="P471">
        <v>1000</v>
      </c>
      <c r="Q471" t="s">
        <v>626</v>
      </c>
      <c r="R471" s="184">
        <v>3</v>
      </c>
      <c r="S471" s="184">
        <f>R471/10</f>
        <v>0.3</v>
      </c>
      <c r="T471" s="184">
        <f>S471*'edible cooking yield factors'!F171</f>
        <v>0.3</v>
      </c>
    </row>
    <row r="472" spans="1:20" x14ac:dyDescent="0.25">
      <c r="A472" s="117" t="s">
        <v>614</v>
      </c>
      <c r="B472" s="117" t="s">
        <v>615</v>
      </c>
      <c r="C472" t="s">
        <v>616</v>
      </c>
      <c r="D472" t="s">
        <v>617</v>
      </c>
      <c r="E472" s="182">
        <v>191119</v>
      </c>
      <c r="F472" t="s">
        <v>618</v>
      </c>
      <c r="G472" t="s">
        <v>619</v>
      </c>
      <c r="H472" s="118" t="s">
        <v>620</v>
      </c>
      <c r="I472" t="s">
        <v>621</v>
      </c>
      <c r="J472" t="s">
        <v>622</v>
      </c>
      <c r="K472" t="s">
        <v>716</v>
      </c>
      <c r="L472" t="s">
        <v>367</v>
      </c>
      <c r="M472" s="183" t="str">
        <f>'common foods'!D172</f>
        <v>09109</v>
      </c>
      <c r="N472" t="s">
        <v>721</v>
      </c>
      <c r="O472" t="s">
        <v>625</v>
      </c>
      <c r="P472">
        <v>240</v>
      </c>
      <c r="Q472" t="s">
        <v>626</v>
      </c>
      <c r="R472" s="184">
        <v>0.99</v>
      </c>
      <c r="S472" s="184">
        <f>R472/2.4</f>
        <v>0.41250000000000003</v>
      </c>
      <c r="T472" s="184">
        <f>S472*'edible cooking yield factors'!F172</f>
        <v>0.41250000000000003</v>
      </c>
    </row>
    <row r="473" spans="1:20" x14ac:dyDescent="0.25">
      <c r="A473" s="117" t="s">
        <v>614</v>
      </c>
      <c r="B473" s="117" t="s">
        <v>615</v>
      </c>
      <c r="C473" t="s">
        <v>616</v>
      </c>
      <c r="D473" t="s">
        <v>617</v>
      </c>
      <c r="E473" s="182">
        <v>191119</v>
      </c>
      <c r="F473" t="s">
        <v>618</v>
      </c>
      <c r="G473" t="s">
        <v>619</v>
      </c>
      <c r="H473" s="118" t="s">
        <v>620</v>
      </c>
      <c r="I473" t="s">
        <v>627</v>
      </c>
      <c r="J473" t="s">
        <v>622</v>
      </c>
      <c r="K473" t="s">
        <v>716</v>
      </c>
      <c r="L473" t="s">
        <v>367</v>
      </c>
      <c r="M473" s="183" t="s">
        <v>368</v>
      </c>
      <c r="N473" t="s">
        <v>721</v>
      </c>
      <c r="O473" t="s">
        <v>625</v>
      </c>
      <c r="P473">
        <v>240</v>
      </c>
      <c r="Q473" t="s">
        <v>626</v>
      </c>
      <c r="R473" s="184">
        <v>1.25</v>
      </c>
      <c r="S473" s="184">
        <f>R473/2.4</f>
        <v>0.52083333333333337</v>
      </c>
      <c r="T473" s="184">
        <f>S473*'edible cooking yield factors'!F172</f>
        <v>0.52083333333333337</v>
      </c>
    </row>
    <row r="474" spans="1:20" x14ac:dyDescent="0.25">
      <c r="A474" s="117" t="s">
        <v>614</v>
      </c>
      <c r="B474" s="117" t="s">
        <v>615</v>
      </c>
      <c r="C474" t="s">
        <v>616</v>
      </c>
      <c r="D474" t="s">
        <v>617</v>
      </c>
      <c r="E474" s="182">
        <v>191119</v>
      </c>
      <c r="F474" t="s">
        <v>618</v>
      </c>
      <c r="G474" t="s">
        <v>619</v>
      </c>
      <c r="H474" s="118" t="s">
        <v>620</v>
      </c>
      <c r="I474" t="s">
        <v>628</v>
      </c>
      <c r="J474" t="s">
        <v>622</v>
      </c>
      <c r="K474" t="s">
        <v>716</v>
      </c>
      <c r="L474" t="s">
        <v>367</v>
      </c>
      <c r="M474" s="183" t="s">
        <v>368</v>
      </c>
      <c r="N474" t="s">
        <v>721</v>
      </c>
      <c r="O474" t="s">
        <v>625</v>
      </c>
      <c r="P474">
        <v>240</v>
      </c>
      <c r="Q474" t="s">
        <v>626</v>
      </c>
      <c r="R474" s="184">
        <v>1.5</v>
      </c>
      <c r="S474" s="184">
        <f>R474/2.4</f>
        <v>0.625</v>
      </c>
      <c r="T474" s="184">
        <f>S474*'edible cooking yield factors'!F172</f>
        <v>0.625</v>
      </c>
    </row>
    <row r="475" spans="1:20" x14ac:dyDescent="0.25">
      <c r="A475" s="117" t="s">
        <v>614</v>
      </c>
      <c r="B475" s="117" t="s">
        <v>615</v>
      </c>
      <c r="C475" t="s">
        <v>616</v>
      </c>
      <c r="D475" t="s">
        <v>617</v>
      </c>
      <c r="E475" s="182">
        <v>191119</v>
      </c>
      <c r="F475" t="s">
        <v>618</v>
      </c>
      <c r="G475" t="s">
        <v>619</v>
      </c>
      <c r="H475" s="118" t="s">
        <v>620</v>
      </c>
      <c r="I475" t="s">
        <v>621</v>
      </c>
      <c r="J475" t="s">
        <v>622</v>
      </c>
      <c r="K475" t="s">
        <v>716</v>
      </c>
      <c r="L475" t="s">
        <v>369</v>
      </c>
      <c r="M475" s="183" t="str">
        <f>'common foods'!D173</f>
        <v>09110</v>
      </c>
      <c r="N475" t="s">
        <v>722</v>
      </c>
      <c r="O475" t="s">
        <v>625</v>
      </c>
      <c r="P475">
        <v>710</v>
      </c>
      <c r="Q475" t="s">
        <v>626</v>
      </c>
      <c r="R475" s="184">
        <v>2.4900000000000002</v>
      </c>
      <c r="S475" s="184">
        <f>R475/7.1</f>
        <v>0.35070422535211271</v>
      </c>
      <c r="T475" s="184">
        <f>S475*'edible cooking yield factors'!F173</f>
        <v>0.35070422535211271</v>
      </c>
    </row>
    <row r="476" spans="1:20" x14ac:dyDescent="0.25">
      <c r="A476" s="117" t="s">
        <v>614</v>
      </c>
      <c r="B476" s="117" t="s">
        <v>615</v>
      </c>
      <c r="C476" t="s">
        <v>616</v>
      </c>
      <c r="D476" t="s">
        <v>617</v>
      </c>
      <c r="E476" s="182">
        <v>191119</v>
      </c>
      <c r="F476" t="s">
        <v>618</v>
      </c>
      <c r="G476" t="s">
        <v>619</v>
      </c>
      <c r="H476" s="118" t="s">
        <v>620</v>
      </c>
      <c r="I476" t="s">
        <v>627</v>
      </c>
      <c r="J476" t="s">
        <v>622</v>
      </c>
      <c r="K476" t="s">
        <v>716</v>
      </c>
      <c r="L476" t="s">
        <v>369</v>
      </c>
      <c r="M476" s="183" t="s">
        <v>370</v>
      </c>
      <c r="N476" t="s">
        <v>722</v>
      </c>
      <c r="O476" t="s">
        <v>625</v>
      </c>
      <c r="P476">
        <v>500</v>
      </c>
      <c r="Q476" t="s">
        <v>626</v>
      </c>
      <c r="R476" s="184">
        <v>3.19</v>
      </c>
      <c r="S476" s="184">
        <f>R476/5</f>
        <v>0.63800000000000001</v>
      </c>
      <c r="T476" s="184">
        <f>S476*'edible cooking yield factors'!F173</f>
        <v>0.63800000000000001</v>
      </c>
    </row>
    <row r="477" spans="1:20" x14ac:dyDescent="0.25">
      <c r="A477" s="117" t="s">
        <v>614</v>
      </c>
      <c r="B477" s="117" t="s">
        <v>615</v>
      </c>
      <c r="C477" t="s">
        <v>616</v>
      </c>
      <c r="D477" t="s">
        <v>617</v>
      </c>
      <c r="E477" s="182">
        <v>191119</v>
      </c>
      <c r="F477" t="s">
        <v>618</v>
      </c>
      <c r="G477" t="s">
        <v>619</v>
      </c>
      <c r="H477" s="118" t="s">
        <v>620</v>
      </c>
      <c r="I477" t="s">
        <v>628</v>
      </c>
      <c r="J477" t="s">
        <v>622</v>
      </c>
      <c r="K477" t="s">
        <v>716</v>
      </c>
      <c r="L477" t="s">
        <v>369</v>
      </c>
      <c r="M477" s="183" t="s">
        <v>370</v>
      </c>
      <c r="N477" t="s">
        <v>722</v>
      </c>
      <c r="O477" t="s">
        <v>625</v>
      </c>
      <c r="P477">
        <v>710</v>
      </c>
      <c r="Q477" t="s">
        <v>626</v>
      </c>
      <c r="R477" s="184">
        <v>3.99</v>
      </c>
      <c r="S477" s="184">
        <f>R477/7.1</f>
        <v>0.56197183098591552</v>
      </c>
      <c r="T477" s="184">
        <f>S477*'edible cooking yield factors'!F173</f>
        <v>0.56197183098591552</v>
      </c>
    </row>
    <row r="478" spans="1:20" s="199" customFormat="1" x14ac:dyDescent="0.25">
      <c r="A478" s="186" t="s">
        <v>614</v>
      </c>
      <c r="B478" s="186" t="s">
        <v>615</v>
      </c>
      <c r="C478" s="199" t="s">
        <v>616</v>
      </c>
      <c r="D478" s="199" t="s">
        <v>617</v>
      </c>
      <c r="E478" s="203">
        <v>280220</v>
      </c>
      <c r="F478" s="199" t="s">
        <v>674</v>
      </c>
      <c r="G478" s="199" t="s">
        <v>619</v>
      </c>
      <c r="H478" s="187" t="s">
        <v>620</v>
      </c>
      <c r="I478" s="199" t="s">
        <v>621</v>
      </c>
      <c r="J478" s="199" t="s">
        <v>622</v>
      </c>
      <c r="K478" s="199" t="s">
        <v>716</v>
      </c>
      <c r="L478" s="199" t="s">
        <v>375</v>
      </c>
      <c r="M478" s="204" t="str">
        <f>'common foods'!D176</f>
        <v>09113</v>
      </c>
      <c r="N478" s="199" t="s">
        <v>723</v>
      </c>
      <c r="O478" s="199" t="s">
        <v>625</v>
      </c>
      <c r="P478" s="199">
        <v>9000</v>
      </c>
      <c r="Q478" s="199" t="s">
        <v>626</v>
      </c>
      <c r="R478" s="198">
        <v>7.49</v>
      </c>
      <c r="S478" s="198">
        <f>R478/90</f>
        <v>8.3222222222222225E-2</v>
      </c>
      <c r="T478" s="198">
        <f>S478*'edible cooking yield factors'!F176</f>
        <v>8.3222222222222225E-2</v>
      </c>
    </row>
    <row r="479" spans="1:20" s="199" customFormat="1" x14ac:dyDescent="0.25">
      <c r="A479" s="186" t="s">
        <v>614</v>
      </c>
      <c r="B479" s="186" t="s">
        <v>615</v>
      </c>
      <c r="C479" s="199" t="s">
        <v>616</v>
      </c>
      <c r="D479" s="199" t="s">
        <v>617</v>
      </c>
      <c r="E479" s="203">
        <v>280220</v>
      </c>
      <c r="F479" s="199" t="s">
        <v>674</v>
      </c>
      <c r="G479" s="199" t="s">
        <v>619</v>
      </c>
      <c r="H479" s="187" t="s">
        <v>620</v>
      </c>
      <c r="I479" s="199" t="s">
        <v>627</v>
      </c>
      <c r="J479" s="199" t="s">
        <v>622</v>
      </c>
      <c r="K479" s="199" t="s">
        <v>716</v>
      </c>
      <c r="L479" s="199" t="s">
        <v>375</v>
      </c>
      <c r="M479" s="204" t="s">
        <v>376</v>
      </c>
      <c r="N479" s="199" t="s">
        <v>723</v>
      </c>
      <c r="O479" s="199" t="s">
        <v>625</v>
      </c>
      <c r="P479" s="199">
        <v>9000</v>
      </c>
      <c r="Q479" s="199" t="s">
        <v>626</v>
      </c>
      <c r="R479" s="198">
        <v>5.99</v>
      </c>
      <c r="S479" s="198">
        <f>R479/90</f>
        <v>6.6555555555555562E-2</v>
      </c>
      <c r="T479" s="198">
        <f>S479*'edible cooking yield factors'!F176</f>
        <v>6.6555555555555562E-2</v>
      </c>
    </row>
    <row r="480" spans="1:20" s="199" customFormat="1" x14ac:dyDescent="0.25">
      <c r="A480" s="186" t="s">
        <v>614</v>
      </c>
      <c r="B480" s="186" t="s">
        <v>615</v>
      </c>
      <c r="C480" s="199" t="s">
        <v>616</v>
      </c>
      <c r="D480" s="199" t="s">
        <v>617</v>
      </c>
      <c r="E480" s="203">
        <v>280220</v>
      </c>
      <c r="F480" s="199" t="s">
        <v>674</v>
      </c>
      <c r="G480" s="199" t="s">
        <v>619</v>
      </c>
      <c r="H480" s="187" t="s">
        <v>620</v>
      </c>
      <c r="I480" s="199" t="s">
        <v>628</v>
      </c>
      <c r="J480" s="199" t="s">
        <v>622</v>
      </c>
      <c r="K480" s="199" t="s">
        <v>716</v>
      </c>
      <c r="L480" s="199" t="s">
        <v>375</v>
      </c>
      <c r="M480" s="204" t="s">
        <v>376</v>
      </c>
      <c r="N480" s="199" t="s">
        <v>628</v>
      </c>
      <c r="O480" s="199" t="s">
        <v>632</v>
      </c>
      <c r="P480" s="199">
        <v>9000</v>
      </c>
      <c r="Q480" s="199" t="s">
        <v>626</v>
      </c>
      <c r="R480" s="198">
        <v>5.3</v>
      </c>
      <c r="S480" s="198">
        <f>R480/90</f>
        <v>5.8888888888888886E-2</v>
      </c>
      <c r="T480" s="198">
        <f>S480*'edible cooking yield factors'!F176</f>
        <v>5.8888888888888886E-2</v>
      </c>
    </row>
    <row r="481" spans="1:20" x14ac:dyDescent="0.25">
      <c r="A481" s="117" t="s">
        <v>614</v>
      </c>
      <c r="B481" s="117" t="s">
        <v>615</v>
      </c>
      <c r="C481" t="s">
        <v>616</v>
      </c>
      <c r="D481" t="s">
        <v>617</v>
      </c>
      <c r="E481" s="182">
        <v>191119</v>
      </c>
      <c r="F481" t="s">
        <v>618</v>
      </c>
      <c r="G481" t="s">
        <v>619</v>
      </c>
      <c r="H481" s="118" t="s">
        <v>620</v>
      </c>
      <c r="I481" t="s">
        <v>621</v>
      </c>
      <c r="J481" t="s">
        <v>622</v>
      </c>
      <c r="K481" t="s">
        <v>716</v>
      </c>
      <c r="L481" t="s">
        <v>371</v>
      </c>
      <c r="M481" s="183" t="str">
        <f>'common foods'!D174</f>
        <v>09111</v>
      </c>
      <c r="N481" t="s">
        <v>631</v>
      </c>
      <c r="O481" t="s">
        <v>632</v>
      </c>
      <c r="P481">
        <v>400</v>
      </c>
      <c r="Q481" t="s">
        <v>626</v>
      </c>
      <c r="R481" s="184">
        <v>3.59</v>
      </c>
      <c r="S481" s="184">
        <f>R481/4</f>
        <v>0.89749999999999996</v>
      </c>
      <c r="T481" s="184">
        <f>S481*'edible cooking yield factors'!F174</f>
        <v>0.89749999999999996</v>
      </c>
    </row>
    <row r="482" spans="1:20" x14ac:dyDescent="0.25">
      <c r="A482" s="117" t="s">
        <v>614</v>
      </c>
      <c r="B482" s="117" t="s">
        <v>615</v>
      </c>
      <c r="C482" t="s">
        <v>616</v>
      </c>
      <c r="D482" t="s">
        <v>617</v>
      </c>
      <c r="E482" s="182">
        <v>191119</v>
      </c>
      <c r="F482" t="s">
        <v>618</v>
      </c>
      <c r="G482" t="s">
        <v>619</v>
      </c>
      <c r="H482" s="118" t="s">
        <v>620</v>
      </c>
      <c r="I482" t="s">
        <v>627</v>
      </c>
      <c r="J482" t="s">
        <v>622</v>
      </c>
      <c r="K482" t="s">
        <v>716</v>
      </c>
      <c r="L482" t="s">
        <v>371</v>
      </c>
      <c r="M482" s="183" t="s">
        <v>372</v>
      </c>
      <c r="N482" t="s">
        <v>631</v>
      </c>
      <c r="O482" t="s">
        <v>632</v>
      </c>
      <c r="P482">
        <v>400</v>
      </c>
      <c r="Q482" t="s">
        <v>626</v>
      </c>
      <c r="R482" s="184">
        <v>3.89</v>
      </c>
      <c r="S482" s="184">
        <f>R482/4</f>
        <v>0.97250000000000003</v>
      </c>
      <c r="T482" s="184">
        <f>S482*'edible cooking yield factors'!F174</f>
        <v>0.97250000000000003</v>
      </c>
    </row>
    <row r="483" spans="1:20" x14ac:dyDescent="0.25">
      <c r="A483" s="117" t="s">
        <v>614</v>
      </c>
      <c r="B483" s="117" t="s">
        <v>615</v>
      </c>
      <c r="C483" t="s">
        <v>616</v>
      </c>
      <c r="D483" t="s">
        <v>617</v>
      </c>
      <c r="E483" s="182">
        <v>191119</v>
      </c>
      <c r="F483" t="s">
        <v>618</v>
      </c>
      <c r="G483" t="s">
        <v>619</v>
      </c>
      <c r="H483" s="118" t="s">
        <v>620</v>
      </c>
      <c r="I483" t="s">
        <v>628</v>
      </c>
      <c r="J483" t="s">
        <v>622</v>
      </c>
      <c r="K483" t="s">
        <v>716</v>
      </c>
      <c r="L483" t="s">
        <v>371</v>
      </c>
      <c r="M483" s="183" t="s">
        <v>372</v>
      </c>
      <c r="N483" t="s">
        <v>628</v>
      </c>
      <c r="O483" t="s">
        <v>632</v>
      </c>
      <c r="P483">
        <v>180</v>
      </c>
      <c r="Q483" t="s">
        <v>626</v>
      </c>
      <c r="R483" s="184">
        <v>3</v>
      </c>
      <c r="S483" s="184">
        <f>R483/1.8</f>
        <v>1.6666666666666665</v>
      </c>
      <c r="T483" s="184">
        <f>S483*'edible cooking yield factors'!F174</f>
        <v>1.6666666666666665</v>
      </c>
    </row>
    <row r="484" spans="1:20" x14ac:dyDescent="0.25">
      <c r="A484" s="117" t="s">
        <v>614</v>
      </c>
      <c r="B484" s="117" t="s">
        <v>615</v>
      </c>
      <c r="C484" t="s">
        <v>616</v>
      </c>
      <c r="D484" t="s">
        <v>617</v>
      </c>
      <c r="E484" s="182">
        <v>191119</v>
      </c>
      <c r="F484" t="s">
        <v>618</v>
      </c>
      <c r="G484" t="s">
        <v>619</v>
      </c>
      <c r="H484" s="118" t="s">
        <v>620</v>
      </c>
      <c r="I484" t="s">
        <v>621</v>
      </c>
      <c r="J484" t="s">
        <v>622</v>
      </c>
      <c r="K484" t="s">
        <v>716</v>
      </c>
      <c r="L484" t="s">
        <v>373</v>
      </c>
      <c r="M484" s="183" t="str">
        <f>'common foods'!D175</f>
        <v>09112</v>
      </c>
      <c r="N484" t="s">
        <v>631</v>
      </c>
      <c r="O484" t="s">
        <v>632</v>
      </c>
      <c r="P484">
        <v>90</v>
      </c>
      <c r="Q484" t="s">
        <v>626</v>
      </c>
      <c r="R484" s="184">
        <v>1.89</v>
      </c>
      <c r="S484" s="208">
        <f>R484/0.9</f>
        <v>2.0999999999999996</v>
      </c>
      <c r="T484" s="184">
        <f>S484*'edible cooking yield factors'!F175</f>
        <v>2.0999999999999996</v>
      </c>
    </row>
    <row r="485" spans="1:20" x14ac:dyDescent="0.25">
      <c r="A485" s="117" t="s">
        <v>614</v>
      </c>
      <c r="B485" s="117" t="s">
        <v>615</v>
      </c>
      <c r="C485" t="s">
        <v>616</v>
      </c>
      <c r="D485" t="s">
        <v>617</v>
      </c>
      <c r="E485" s="182">
        <v>191119</v>
      </c>
      <c r="F485" t="s">
        <v>618</v>
      </c>
      <c r="G485" t="s">
        <v>619</v>
      </c>
      <c r="H485" s="118" t="s">
        <v>620</v>
      </c>
      <c r="I485" t="s">
        <v>627</v>
      </c>
      <c r="J485" t="s">
        <v>622</v>
      </c>
      <c r="K485" t="s">
        <v>716</v>
      </c>
      <c r="L485" t="s">
        <v>373</v>
      </c>
      <c r="M485" s="183" t="s">
        <v>374</v>
      </c>
      <c r="N485" t="s">
        <v>631</v>
      </c>
      <c r="O485" t="s">
        <v>632</v>
      </c>
      <c r="P485">
        <v>90</v>
      </c>
      <c r="Q485" t="s">
        <v>626</v>
      </c>
      <c r="R485" s="184">
        <v>1.89</v>
      </c>
      <c r="S485" s="208">
        <f>R485/0.9</f>
        <v>2.0999999999999996</v>
      </c>
      <c r="T485" s="184">
        <f>S485*'edible cooking yield factors'!F175</f>
        <v>2.0999999999999996</v>
      </c>
    </row>
    <row r="486" spans="1:20" x14ac:dyDescent="0.25">
      <c r="A486" s="117" t="s">
        <v>614</v>
      </c>
      <c r="B486" s="117" t="s">
        <v>615</v>
      </c>
      <c r="C486" t="s">
        <v>616</v>
      </c>
      <c r="D486" t="s">
        <v>617</v>
      </c>
      <c r="E486" s="182">
        <v>191119</v>
      </c>
      <c r="F486" t="s">
        <v>618</v>
      </c>
      <c r="G486" t="s">
        <v>619</v>
      </c>
      <c r="H486" s="118" t="s">
        <v>620</v>
      </c>
      <c r="I486" t="s">
        <v>628</v>
      </c>
      <c r="J486" t="s">
        <v>622</v>
      </c>
      <c r="K486" t="s">
        <v>716</v>
      </c>
      <c r="L486" t="s">
        <v>373</v>
      </c>
      <c r="M486" s="183" t="s">
        <v>374</v>
      </c>
      <c r="N486" t="s">
        <v>648</v>
      </c>
      <c r="O486" t="s">
        <v>632</v>
      </c>
      <c r="P486">
        <v>90</v>
      </c>
      <c r="Q486" t="s">
        <v>626</v>
      </c>
      <c r="R486" s="184">
        <v>2</v>
      </c>
      <c r="S486" s="208">
        <f>R486/0.9</f>
        <v>2.2222222222222223</v>
      </c>
      <c r="T486" s="184">
        <f>S486*'edible cooking yield factors'!F175</f>
        <v>2.2222222222222223</v>
      </c>
    </row>
    <row r="487" spans="1:20" x14ac:dyDescent="0.25">
      <c r="A487" s="117" t="s">
        <v>614</v>
      </c>
      <c r="B487" s="117" t="s">
        <v>615</v>
      </c>
      <c r="C487" t="s">
        <v>616</v>
      </c>
      <c r="D487" t="s">
        <v>617</v>
      </c>
      <c r="E487" s="182">
        <v>191119</v>
      </c>
      <c r="F487" t="s">
        <v>618</v>
      </c>
      <c r="G487" t="s">
        <v>619</v>
      </c>
      <c r="H487" s="118" t="s">
        <v>620</v>
      </c>
      <c r="I487" t="s">
        <v>621</v>
      </c>
      <c r="J487" t="s">
        <v>622</v>
      </c>
      <c r="K487" t="s">
        <v>724</v>
      </c>
      <c r="L487" t="s">
        <v>378</v>
      </c>
      <c r="M487" s="183" t="str">
        <f>'common foods'!D177</f>
        <v>10110</v>
      </c>
      <c r="N487" t="s">
        <v>725</v>
      </c>
      <c r="O487" t="s">
        <v>625</v>
      </c>
      <c r="P487">
        <f>160*6</f>
        <v>960</v>
      </c>
      <c r="Q487" t="s">
        <v>626</v>
      </c>
      <c r="R487" s="184">
        <v>5</v>
      </c>
      <c r="S487" s="184">
        <f>R487/9.6</f>
        <v>0.52083333333333337</v>
      </c>
      <c r="T487" s="184">
        <f>'edible cooking yield factors'!F177</f>
        <v>1</v>
      </c>
    </row>
    <row r="488" spans="1:20" x14ac:dyDescent="0.25">
      <c r="A488" s="117" t="s">
        <v>614</v>
      </c>
      <c r="B488" s="117" t="s">
        <v>615</v>
      </c>
      <c r="C488" t="s">
        <v>616</v>
      </c>
      <c r="D488" t="s">
        <v>617</v>
      </c>
      <c r="E488" s="182">
        <v>191119</v>
      </c>
      <c r="F488" t="s">
        <v>618</v>
      </c>
      <c r="G488" t="s">
        <v>619</v>
      </c>
      <c r="H488" s="118" t="s">
        <v>620</v>
      </c>
      <c r="I488" t="s">
        <v>627</v>
      </c>
      <c r="J488" t="s">
        <v>622</v>
      </c>
      <c r="K488" t="s">
        <v>724</v>
      </c>
      <c r="L488" t="s">
        <v>378</v>
      </c>
      <c r="M488" s="183" t="s">
        <v>379</v>
      </c>
      <c r="N488" t="s">
        <v>636</v>
      </c>
      <c r="O488" t="s">
        <v>632</v>
      </c>
      <c r="P488">
        <f>170*6</f>
        <v>1020</v>
      </c>
      <c r="Q488" t="s">
        <v>626</v>
      </c>
      <c r="R488" s="184">
        <v>5.99</v>
      </c>
      <c r="S488" s="184">
        <f>R488/10.2</f>
        <v>0.58725490196078434</v>
      </c>
      <c r="T488" s="184">
        <f>'edible cooking yield factors'!F177</f>
        <v>1</v>
      </c>
    </row>
    <row r="489" spans="1:20" x14ac:dyDescent="0.25">
      <c r="A489" s="117" t="s">
        <v>614</v>
      </c>
      <c r="B489" s="117" t="s">
        <v>615</v>
      </c>
      <c r="C489" t="s">
        <v>616</v>
      </c>
      <c r="D489" t="s">
        <v>617</v>
      </c>
      <c r="E489" s="182">
        <v>191119</v>
      </c>
      <c r="F489" t="s">
        <v>618</v>
      </c>
      <c r="G489" t="s">
        <v>619</v>
      </c>
      <c r="H489" s="118" t="s">
        <v>620</v>
      </c>
      <c r="I489" t="s">
        <v>628</v>
      </c>
      <c r="J489" t="s">
        <v>622</v>
      </c>
      <c r="K489" t="s">
        <v>724</v>
      </c>
      <c r="L489" t="s">
        <v>378</v>
      </c>
      <c r="M489" s="183" t="s">
        <v>379</v>
      </c>
      <c r="N489" t="s">
        <v>725</v>
      </c>
      <c r="O489" t="s">
        <v>625</v>
      </c>
      <c r="P489">
        <f>160*6</f>
        <v>960</v>
      </c>
      <c r="Q489" t="s">
        <v>626</v>
      </c>
      <c r="R489" s="184">
        <v>6</v>
      </c>
      <c r="S489" s="184">
        <f>R489/9.6</f>
        <v>0.625</v>
      </c>
      <c r="T489" s="184">
        <f>'edible cooking yield factors'!F177</f>
        <v>1</v>
      </c>
    </row>
    <row r="490" spans="1:20" s="123" customFormat="1" x14ac:dyDescent="0.25">
      <c r="A490" s="117" t="s">
        <v>614</v>
      </c>
      <c r="B490" s="117" t="s">
        <v>615</v>
      </c>
      <c r="C490" s="123" t="s">
        <v>616</v>
      </c>
      <c r="D490" s="123" t="s">
        <v>617</v>
      </c>
      <c r="E490" s="182">
        <v>280220</v>
      </c>
      <c r="F490" s="123" t="s">
        <v>618</v>
      </c>
      <c r="G490" s="123" t="s">
        <v>619</v>
      </c>
      <c r="H490" s="123" t="s">
        <v>724</v>
      </c>
      <c r="I490" s="123" t="s">
        <v>726</v>
      </c>
      <c r="J490" s="123" t="s">
        <v>622</v>
      </c>
      <c r="K490" s="123" t="s">
        <v>724</v>
      </c>
      <c r="L490" s="123" t="s">
        <v>380</v>
      </c>
      <c r="M490" s="183" t="str">
        <f>'common foods'!D178</f>
        <v>10111</v>
      </c>
      <c r="N490" s="123" t="s">
        <v>726</v>
      </c>
      <c r="O490" s="123" t="s">
        <v>619</v>
      </c>
      <c r="P490" s="123">
        <v>300</v>
      </c>
      <c r="Q490" s="123" t="s">
        <v>626</v>
      </c>
      <c r="R490" s="184">
        <v>5</v>
      </c>
      <c r="S490" s="184">
        <f>R490/3</f>
        <v>1.6666666666666667</v>
      </c>
      <c r="T490" s="184">
        <f>S490*1</f>
        <v>1.6666666666666667</v>
      </c>
    </row>
    <row r="491" spans="1:20" s="123" customFormat="1" x14ac:dyDescent="0.25">
      <c r="A491" s="117" t="s">
        <v>614</v>
      </c>
      <c r="B491" s="117" t="s">
        <v>615</v>
      </c>
      <c r="C491" s="123" t="s">
        <v>616</v>
      </c>
      <c r="D491" s="123" t="s">
        <v>617</v>
      </c>
      <c r="E491" s="182">
        <v>280220</v>
      </c>
      <c r="F491" s="123" t="s">
        <v>618</v>
      </c>
      <c r="G491" s="123" t="s">
        <v>619</v>
      </c>
      <c r="H491" s="123" t="s">
        <v>724</v>
      </c>
      <c r="I491" s="123" t="s">
        <v>727</v>
      </c>
      <c r="J491" s="123" t="s">
        <v>622</v>
      </c>
      <c r="K491" s="123" t="s">
        <v>724</v>
      </c>
      <c r="L491" s="123" t="s">
        <v>382</v>
      </c>
      <c r="M491" s="183" t="str">
        <f>'common foods'!D179</f>
        <v>10112</v>
      </c>
      <c r="N491" s="123" t="s">
        <v>727</v>
      </c>
      <c r="O491" s="123" t="s">
        <v>619</v>
      </c>
      <c r="P491" s="123">
        <v>118</v>
      </c>
      <c r="Q491" s="123" t="s">
        <v>626</v>
      </c>
      <c r="R491" s="184">
        <v>1.8</v>
      </c>
      <c r="S491" s="184">
        <f>R491/1.18</f>
        <v>1.5254237288135595</v>
      </c>
      <c r="T491" s="184">
        <f>S491*1</f>
        <v>1.5254237288135595</v>
      </c>
    </row>
    <row r="492" spans="1:20" x14ac:dyDescent="0.25">
      <c r="A492" s="117" t="s">
        <v>614</v>
      </c>
      <c r="B492" s="117" t="s">
        <v>615</v>
      </c>
      <c r="C492" t="s">
        <v>616</v>
      </c>
      <c r="D492" t="s">
        <v>617</v>
      </c>
      <c r="E492" s="182">
        <v>280220</v>
      </c>
      <c r="F492" t="s">
        <v>618</v>
      </c>
      <c r="G492" t="s">
        <v>619</v>
      </c>
      <c r="H492" t="s">
        <v>724</v>
      </c>
      <c r="I492" t="s">
        <v>728</v>
      </c>
      <c r="J492" t="s">
        <v>622</v>
      </c>
      <c r="K492" t="s">
        <v>724</v>
      </c>
      <c r="L492" t="s">
        <v>384</v>
      </c>
      <c r="M492" s="183" t="str">
        <f>'common foods'!D180</f>
        <v>10113</v>
      </c>
      <c r="N492" t="s">
        <v>728</v>
      </c>
      <c r="O492" t="s">
        <v>619</v>
      </c>
      <c r="P492">
        <v>408</v>
      </c>
      <c r="Q492" t="s">
        <v>626</v>
      </c>
      <c r="R492" s="184">
        <v>5</v>
      </c>
      <c r="S492" s="184">
        <f>R492/4.08</f>
        <v>1.2254901960784315</v>
      </c>
      <c r="T492" s="184">
        <v>1.23</v>
      </c>
    </row>
    <row r="493" spans="1:20" s="123" customFormat="1" x14ac:dyDescent="0.25">
      <c r="A493" s="117" t="s">
        <v>614</v>
      </c>
      <c r="B493" s="117" t="s">
        <v>615</v>
      </c>
      <c r="C493" s="123" t="s">
        <v>616</v>
      </c>
      <c r="D493" s="123" t="s">
        <v>617</v>
      </c>
      <c r="E493" s="182">
        <v>280220</v>
      </c>
      <c r="F493" s="123" t="s">
        <v>618</v>
      </c>
      <c r="G493" s="123" t="s">
        <v>619</v>
      </c>
      <c r="H493" s="123" t="s">
        <v>724</v>
      </c>
      <c r="I493" s="123" t="s">
        <v>729</v>
      </c>
      <c r="J493" s="123" t="s">
        <v>622</v>
      </c>
      <c r="K493" s="123" t="s">
        <v>724</v>
      </c>
      <c r="L493" s="123" t="s">
        <v>384</v>
      </c>
      <c r="M493" s="183" t="s">
        <v>385</v>
      </c>
      <c r="N493" s="123" t="s">
        <v>729</v>
      </c>
      <c r="O493" s="123" t="s">
        <v>619</v>
      </c>
      <c r="P493" s="123">
        <v>410</v>
      </c>
      <c r="Q493" s="123" t="s">
        <v>626</v>
      </c>
      <c r="R493" s="184">
        <v>4.99</v>
      </c>
      <c r="S493" s="184">
        <f>R493/4.1</f>
        <v>1.2170731707317075</v>
      </c>
      <c r="T493" s="184">
        <v>1.22</v>
      </c>
    </row>
    <row r="494" spans="1:20" s="123" customFormat="1" x14ac:dyDescent="0.25">
      <c r="A494" s="117" t="s">
        <v>614</v>
      </c>
      <c r="B494" s="117" t="s">
        <v>615</v>
      </c>
      <c r="C494" s="123" t="s">
        <v>616</v>
      </c>
      <c r="D494" s="123" t="s">
        <v>617</v>
      </c>
      <c r="E494" s="182">
        <v>280220</v>
      </c>
      <c r="F494" s="123" t="s">
        <v>618</v>
      </c>
      <c r="G494" s="123" t="s">
        <v>619</v>
      </c>
      <c r="H494" s="123" t="s">
        <v>724</v>
      </c>
      <c r="I494" s="123" t="s">
        <v>730</v>
      </c>
      <c r="J494" s="123" t="s">
        <v>622</v>
      </c>
      <c r="K494" s="123" t="s">
        <v>724</v>
      </c>
      <c r="L494" s="123" t="s">
        <v>386</v>
      </c>
      <c r="M494" s="183" t="str">
        <f>'common foods'!D181</f>
        <v>10114</v>
      </c>
      <c r="N494" s="123" t="s">
        <v>730</v>
      </c>
      <c r="O494" s="123" t="s">
        <v>619</v>
      </c>
      <c r="P494" s="123">
        <v>169</v>
      </c>
      <c r="Q494" s="123" t="s">
        <v>626</v>
      </c>
      <c r="R494" s="184">
        <v>6.5</v>
      </c>
      <c r="S494" s="184">
        <f>R494/1.69</f>
        <v>3.8461538461538463</v>
      </c>
      <c r="T494" s="184">
        <f>S494/1</f>
        <v>3.8461538461538463</v>
      </c>
    </row>
    <row r="495" spans="1:20" s="123" customFormat="1" ht="16.5" customHeight="1" x14ac:dyDescent="0.25">
      <c r="A495" s="117" t="s">
        <v>614</v>
      </c>
      <c r="B495" s="117" t="s">
        <v>615</v>
      </c>
      <c r="C495" s="123" t="s">
        <v>616</v>
      </c>
      <c r="D495" s="123" t="s">
        <v>617</v>
      </c>
      <c r="E495" s="182">
        <v>280220</v>
      </c>
      <c r="F495" s="123" t="s">
        <v>618</v>
      </c>
      <c r="G495" s="123" t="s">
        <v>619</v>
      </c>
      <c r="H495" s="123" t="s">
        <v>724</v>
      </c>
      <c r="I495" s="123" t="s">
        <v>731</v>
      </c>
      <c r="J495" s="123" t="s">
        <v>622</v>
      </c>
      <c r="K495" s="123" t="s">
        <v>724</v>
      </c>
      <c r="L495" s="123" t="str">
        <f>'common foods'!C182</f>
        <v>Sandwich, subway</v>
      </c>
      <c r="M495" s="183" t="s">
        <v>389</v>
      </c>
      <c r="N495" s="123" t="s">
        <v>731</v>
      </c>
      <c r="O495" s="123" t="s">
        <v>619</v>
      </c>
      <c r="P495" s="123">
        <v>297</v>
      </c>
      <c r="Q495" s="123" t="s">
        <v>626</v>
      </c>
      <c r="R495" s="184">
        <v>6.5</v>
      </c>
      <c r="S495" s="184">
        <f>R495/2.97</f>
        <v>2.1885521885521886</v>
      </c>
      <c r="T495" s="184">
        <v>2.19</v>
      </c>
    </row>
    <row r="496" spans="1:20" s="123" customFormat="1" x14ac:dyDescent="0.25">
      <c r="A496" s="117" t="s">
        <v>614</v>
      </c>
      <c r="B496" s="117" t="s">
        <v>615</v>
      </c>
      <c r="C496" s="123" t="s">
        <v>616</v>
      </c>
      <c r="D496" s="123" t="s">
        <v>617</v>
      </c>
      <c r="E496" s="182">
        <v>280220</v>
      </c>
      <c r="F496" s="123" t="s">
        <v>618</v>
      </c>
      <c r="G496" s="123" t="s">
        <v>619</v>
      </c>
      <c r="H496" s="123" t="s">
        <v>724</v>
      </c>
      <c r="I496" s="123" t="s">
        <v>732</v>
      </c>
      <c r="J496" s="123" t="s">
        <v>622</v>
      </c>
      <c r="K496" s="123" t="s">
        <v>724</v>
      </c>
      <c r="L496" s="123" t="s">
        <v>392</v>
      </c>
      <c r="M496" s="183" t="str">
        <f>'common foods'!D184</f>
        <v>10117</v>
      </c>
      <c r="N496" s="123" t="s">
        <v>732</v>
      </c>
      <c r="O496" s="123" t="s">
        <v>619</v>
      </c>
      <c r="P496" s="123">
        <v>277</v>
      </c>
      <c r="Q496" s="123" t="s">
        <v>626</v>
      </c>
      <c r="R496" s="184">
        <v>9.1999999999999993</v>
      </c>
      <c r="S496" s="184">
        <f>R496/2.77</f>
        <v>3.3212996389891694</v>
      </c>
      <c r="T496" s="184">
        <v>3.32</v>
      </c>
    </row>
    <row r="497" spans="1:20" s="123" customFormat="1" x14ac:dyDescent="0.25">
      <c r="A497" s="117" t="s">
        <v>614</v>
      </c>
      <c r="B497" s="117" t="s">
        <v>615</v>
      </c>
      <c r="C497" s="123" t="s">
        <v>616</v>
      </c>
      <c r="D497" s="123" t="s">
        <v>617</v>
      </c>
      <c r="E497" s="182">
        <v>280220</v>
      </c>
      <c r="F497" s="123" t="s">
        <v>618</v>
      </c>
      <c r="G497" s="123" t="s">
        <v>619</v>
      </c>
      <c r="H497" s="123" t="s">
        <v>724</v>
      </c>
      <c r="I497" s="123" t="s">
        <v>732</v>
      </c>
      <c r="J497" s="123" t="s">
        <v>622</v>
      </c>
      <c r="K497" s="123" t="s">
        <v>724</v>
      </c>
      <c r="L497" s="123" t="s">
        <v>392</v>
      </c>
      <c r="M497" s="183" t="s">
        <v>393</v>
      </c>
      <c r="N497" s="123" t="s">
        <v>732</v>
      </c>
      <c r="O497" s="123" t="s">
        <v>619</v>
      </c>
      <c r="P497" s="123">
        <v>317</v>
      </c>
      <c r="Q497" s="123" t="s">
        <v>626</v>
      </c>
      <c r="R497" s="184">
        <v>10.4</v>
      </c>
      <c r="S497" s="184">
        <f>R497/3.17</f>
        <v>3.2807570977917981</v>
      </c>
      <c r="T497" s="184">
        <v>3.28</v>
      </c>
    </row>
    <row r="498" spans="1:20" s="123" customFormat="1" x14ac:dyDescent="0.25">
      <c r="A498" s="117" t="s">
        <v>614</v>
      </c>
      <c r="B498" s="117" t="s">
        <v>615</v>
      </c>
      <c r="C498" s="123" t="s">
        <v>616</v>
      </c>
      <c r="D498" s="123" t="s">
        <v>617</v>
      </c>
      <c r="E498" s="182">
        <v>280220</v>
      </c>
      <c r="F498" s="123" t="s">
        <v>674</v>
      </c>
      <c r="G498" s="123" t="s">
        <v>619</v>
      </c>
      <c r="H498" s="123" t="s">
        <v>724</v>
      </c>
      <c r="I498" s="123" t="s">
        <v>733</v>
      </c>
      <c r="J498" s="123" t="s">
        <v>622</v>
      </c>
      <c r="K498" s="123" t="s">
        <v>724</v>
      </c>
      <c r="L498" s="123" t="s">
        <v>734</v>
      </c>
      <c r="M498" s="183" t="str">
        <f>'common foods'!D185</f>
        <v>10118</v>
      </c>
      <c r="N498" s="123" t="s">
        <v>733</v>
      </c>
      <c r="O498" s="123" t="s">
        <v>619</v>
      </c>
      <c r="P498" s="123">
        <v>1036</v>
      </c>
      <c r="Q498" s="123" t="s">
        <v>626</v>
      </c>
      <c r="R498" s="184">
        <v>19.899999999999999</v>
      </c>
      <c r="S498" s="184">
        <f>R498/10.36</f>
        <v>1.9208494208494209</v>
      </c>
      <c r="T498" s="184">
        <f>'food prices'!S498*1</f>
        <v>1.9208494208494209</v>
      </c>
    </row>
    <row r="499" spans="1:20" s="123" customFormat="1" x14ac:dyDescent="0.25">
      <c r="A499" s="117" t="s">
        <v>614</v>
      </c>
      <c r="B499" s="117" t="s">
        <v>615</v>
      </c>
      <c r="C499" s="123" t="s">
        <v>616</v>
      </c>
      <c r="D499" s="123" t="s">
        <v>617</v>
      </c>
      <c r="E499" s="182">
        <v>280220</v>
      </c>
      <c r="F499" s="123" t="s">
        <v>674</v>
      </c>
      <c r="G499" s="123" t="s">
        <v>619</v>
      </c>
      <c r="H499" s="123" t="s">
        <v>724</v>
      </c>
      <c r="I499" s="123" t="s">
        <v>735</v>
      </c>
      <c r="J499" s="123" t="s">
        <v>622</v>
      </c>
      <c r="K499" s="123" t="s">
        <v>724</v>
      </c>
      <c r="L499" s="123" t="s">
        <v>734</v>
      </c>
      <c r="M499" s="183" t="str">
        <f>'common foods'!D186</f>
        <v>10119</v>
      </c>
      <c r="N499" s="123" t="s">
        <v>735</v>
      </c>
      <c r="O499" s="123" t="s">
        <v>619</v>
      </c>
      <c r="P499" s="123">
        <v>882</v>
      </c>
      <c r="Q499" s="123" t="s">
        <v>626</v>
      </c>
      <c r="R499" s="184">
        <v>15.9</v>
      </c>
      <c r="S499" s="184">
        <f>R499/8.82</f>
        <v>1.8027210884353742</v>
      </c>
      <c r="T499" s="184">
        <f>'food prices'!S499*1</f>
        <v>1.8027210884353742</v>
      </c>
    </row>
    <row r="500" spans="1:20" s="123" customFormat="1" x14ac:dyDescent="0.25">
      <c r="A500" s="117" t="s">
        <v>614</v>
      </c>
      <c r="B500" s="117" t="s">
        <v>615</v>
      </c>
      <c r="C500" s="123" t="s">
        <v>616</v>
      </c>
      <c r="D500" s="123" t="s">
        <v>617</v>
      </c>
      <c r="E500" s="182">
        <v>280220</v>
      </c>
      <c r="F500" s="123" t="s">
        <v>674</v>
      </c>
      <c r="G500" s="123" t="s">
        <v>619</v>
      </c>
      <c r="H500" s="123" t="s">
        <v>724</v>
      </c>
      <c r="I500" s="123" t="s">
        <v>736</v>
      </c>
      <c r="J500" s="123" t="s">
        <v>622</v>
      </c>
      <c r="K500" s="123" t="s">
        <v>724</v>
      </c>
      <c r="L500" s="123" t="s">
        <v>396</v>
      </c>
      <c r="M500" s="183" t="str">
        <f>'common foods'!D186</f>
        <v>10119</v>
      </c>
      <c r="N500" s="123" t="s">
        <v>736</v>
      </c>
      <c r="O500" s="123" t="s">
        <v>619</v>
      </c>
      <c r="P500" s="123">
        <v>657</v>
      </c>
      <c r="Q500" s="123" t="s">
        <v>626</v>
      </c>
      <c r="R500" s="184">
        <v>11.9</v>
      </c>
      <c r="S500" s="184">
        <f>R500/6.57</f>
        <v>1.8112633181126332</v>
      </c>
      <c r="T500" s="184">
        <f>'food prices'!S500*1</f>
        <v>1.8112633181126332</v>
      </c>
    </row>
    <row r="501" spans="1:20" s="123" customFormat="1" x14ac:dyDescent="0.25">
      <c r="A501" s="117" t="s">
        <v>614</v>
      </c>
      <c r="B501" s="117" t="s">
        <v>615</v>
      </c>
      <c r="C501" s="123" t="s">
        <v>616</v>
      </c>
      <c r="D501" s="123" t="s">
        <v>617</v>
      </c>
      <c r="E501" s="182">
        <v>280220</v>
      </c>
      <c r="F501" s="123" t="s">
        <v>674</v>
      </c>
      <c r="G501" s="123" t="s">
        <v>619</v>
      </c>
      <c r="H501" s="123" t="s">
        <v>724</v>
      </c>
      <c r="I501" s="118" t="s">
        <v>737</v>
      </c>
      <c r="J501" s="123" t="s">
        <v>622</v>
      </c>
      <c r="K501" s="123" t="s">
        <v>724</v>
      </c>
      <c r="L501" s="123" t="s">
        <v>398</v>
      </c>
      <c r="M501" s="183" t="str">
        <f>'common foods'!D187</f>
        <v>10120</v>
      </c>
      <c r="N501" s="118" t="s">
        <v>737</v>
      </c>
      <c r="O501" s="123" t="s">
        <v>619</v>
      </c>
      <c r="P501" s="123">
        <v>880</v>
      </c>
      <c r="Q501" s="123" t="s">
        <v>626</v>
      </c>
      <c r="R501" s="184">
        <v>18.989999999999998</v>
      </c>
      <c r="S501" s="184">
        <f>R501/8.8</f>
        <v>2.1579545454545452</v>
      </c>
      <c r="T501" s="184">
        <f>S501*1</f>
        <v>2.1579545454545452</v>
      </c>
    </row>
    <row r="502" spans="1:20" s="123" customFormat="1" x14ac:dyDescent="0.25">
      <c r="A502" s="117" t="s">
        <v>614</v>
      </c>
      <c r="B502" s="117" t="s">
        <v>615</v>
      </c>
      <c r="C502" s="123" t="s">
        <v>616</v>
      </c>
      <c r="D502" s="123" t="s">
        <v>617</v>
      </c>
      <c r="E502" s="182">
        <v>280220</v>
      </c>
      <c r="F502" s="123" t="s">
        <v>674</v>
      </c>
      <c r="G502" s="123" t="s">
        <v>619</v>
      </c>
      <c r="H502" s="123" t="s">
        <v>724</v>
      </c>
      <c r="I502" s="123" t="s">
        <v>738</v>
      </c>
      <c r="J502" s="123" t="s">
        <v>666</v>
      </c>
      <c r="K502" s="123" t="s">
        <v>724</v>
      </c>
      <c r="L502" s="123" t="str">
        <f>'common foods'!C183</f>
        <v>KFC snack box</v>
      </c>
      <c r="M502" s="183" t="str">
        <f>'common foods'!D183</f>
        <v>10116</v>
      </c>
      <c r="N502" s="123" t="s">
        <v>738</v>
      </c>
      <c r="O502" s="123" t="s">
        <v>619</v>
      </c>
      <c r="P502" s="123">
        <v>229</v>
      </c>
      <c r="Q502" s="123" t="s">
        <v>626</v>
      </c>
      <c r="R502" s="184">
        <v>4.95</v>
      </c>
      <c r="S502" s="184">
        <f>R502/2.29</f>
        <v>2.161572052401747</v>
      </c>
      <c r="T502" s="184">
        <f>'food prices'!S502*1</f>
        <v>2.161572052401747</v>
      </c>
    </row>
    <row r="503" spans="1:20" s="123" customFormat="1" x14ac:dyDescent="0.25">
      <c r="A503" s="117" t="s">
        <v>614</v>
      </c>
      <c r="B503" s="117" t="s">
        <v>615</v>
      </c>
      <c r="C503" s="123" t="s">
        <v>616</v>
      </c>
      <c r="D503" s="123" t="s">
        <v>617</v>
      </c>
      <c r="E503" s="182">
        <v>280220</v>
      </c>
      <c r="F503" s="123" t="s">
        <v>674</v>
      </c>
      <c r="G503" s="123" t="s">
        <v>619</v>
      </c>
      <c r="H503" s="123" t="s">
        <v>724</v>
      </c>
      <c r="I503" s="123" t="s">
        <v>738</v>
      </c>
      <c r="J503" s="123" t="s">
        <v>666</v>
      </c>
      <c r="K503" s="123" t="s">
        <v>724</v>
      </c>
      <c r="L503" s="123" t="s">
        <v>400</v>
      </c>
      <c r="M503" s="183" t="str">
        <f>'common foods'!D188</f>
        <v>10121</v>
      </c>
      <c r="N503" s="123" t="s">
        <v>738</v>
      </c>
      <c r="O503" s="123" t="s">
        <v>619</v>
      </c>
      <c r="P503" s="123">
        <v>1950</v>
      </c>
      <c r="Q503" s="123" t="s">
        <v>626</v>
      </c>
      <c r="R503" s="184">
        <v>27.5</v>
      </c>
      <c r="S503" s="184">
        <f>R503/19.5</f>
        <v>1.4102564102564104</v>
      </c>
      <c r="T503" s="184">
        <f>'food prices'!S503*1</f>
        <v>1.4102564102564104</v>
      </c>
    </row>
    <row r="504" spans="1:20" s="199" customFormat="1" x14ac:dyDescent="0.25">
      <c r="A504" s="186" t="s">
        <v>614</v>
      </c>
      <c r="B504" s="186" t="s">
        <v>615</v>
      </c>
      <c r="C504" s="199" t="s">
        <v>616</v>
      </c>
      <c r="D504" s="199" t="s">
        <v>617</v>
      </c>
      <c r="E504" s="203">
        <v>280220</v>
      </c>
      <c r="F504" s="199" t="s">
        <v>674</v>
      </c>
      <c r="G504" s="199" t="s">
        <v>619</v>
      </c>
      <c r="H504" s="199" t="s">
        <v>724</v>
      </c>
      <c r="I504" s="199" t="s">
        <v>739</v>
      </c>
      <c r="J504" s="123" t="s">
        <v>666</v>
      </c>
      <c r="K504" s="199" t="s">
        <v>724</v>
      </c>
      <c r="L504" s="199" t="s">
        <v>402</v>
      </c>
      <c r="M504" s="204" t="s">
        <v>403</v>
      </c>
      <c r="N504" s="199" t="s">
        <v>739</v>
      </c>
      <c r="O504" s="199" t="s">
        <v>619</v>
      </c>
      <c r="P504" s="199">
        <v>934</v>
      </c>
      <c r="Q504" s="199" t="s">
        <v>626</v>
      </c>
      <c r="R504" s="198">
        <v>20</v>
      </c>
      <c r="S504" s="198">
        <f>R504/9.34</f>
        <v>2.1413276231263385</v>
      </c>
      <c r="T504" s="198">
        <f>S504*1</f>
        <v>2.1413276231263385</v>
      </c>
    </row>
    <row r="505" spans="1:20" s="199" customFormat="1" x14ac:dyDescent="0.25">
      <c r="A505" s="186" t="s">
        <v>614</v>
      </c>
      <c r="B505" s="186" t="s">
        <v>615</v>
      </c>
      <c r="C505" s="199" t="s">
        <v>616</v>
      </c>
      <c r="D505" s="199" t="s">
        <v>617</v>
      </c>
      <c r="E505" s="203">
        <v>280220</v>
      </c>
      <c r="F505" s="199" t="s">
        <v>674</v>
      </c>
      <c r="G505" s="199" t="s">
        <v>619</v>
      </c>
      <c r="H505" s="199" t="s">
        <v>724</v>
      </c>
      <c r="I505" s="199" t="s">
        <v>739</v>
      </c>
      <c r="J505" s="123" t="s">
        <v>666</v>
      </c>
      <c r="K505" s="199" t="s">
        <v>724</v>
      </c>
      <c r="L505" s="199" t="s">
        <v>404</v>
      </c>
      <c r="M505" s="204" t="s">
        <v>405</v>
      </c>
      <c r="N505" s="199" t="s">
        <v>739</v>
      </c>
      <c r="O505" s="199" t="s">
        <v>619</v>
      </c>
      <c r="P505" s="199">
        <v>137</v>
      </c>
      <c r="Q505" s="199" t="s">
        <v>626</v>
      </c>
      <c r="R505" s="198">
        <v>3.7</v>
      </c>
      <c r="S505" s="198">
        <f>R505/1.37</f>
        <v>2.7007299270072993</v>
      </c>
      <c r="T505" s="198">
        <f>S505*1</f>
        <v>2.7007299270072993</v>
      </c>
    </row>
    <row r="506" spans="1:20" s="123" customFormat="1" x14ac:dyDescent="0.25">
      <c r="A506" s="117" t="s">
        <v>614</v>
      </c>
      <c r="B506" s="117" t="s">
        <v>615</v>
      </c>
      <c r="C506" s="123" t="s">
        <v>616</v>
      </c>
      <c r="D506" s="123" t="s">
        <v>617</v>
      </c>
      <c r="E506" s="182">
        <v>280220</v>
      </c>
      <c r="F506" s="123" t="s">
        <v>674</v>
      </c>
      <c r="G506" s="123" t="s">
        <v>619</v>
      </c>
      <c r="H506" s="118" t="s">
        <v>620</v>
      </c>
      <c r="I506" s="123" t="s">
        <v>621</v>
      </c>
      <c r="J506" s="123" t="s">
        <v>622</v>
      </c>
      <c r="K506" s="123" t="s">
        <v>740</v>
      </c>
      <c r="L506" s="117" t="s">
        <v>741</v>
      </c>
      <c r="M506" s="183" t="str">
        <f>'common foods'!D191</f>
        <v>11115</v>
      </c>
      <c r="N506" s="123" t="s">
        <v>742</v>
      </c>
      <c r="O506" s="123" t="s">
        <v>619</v>
      </c>
      <c r="P506" s="123">
        <v>750</v>
      </c>
      <c r="Q506" s="123" t="s">
        <v>626</v>
      </c>
      <c r="R506" s="184">
        <v>6.79</v>
      </c>
      <c r="S506" s="184">
        <f t="shared" ref="S506:S511" si="25">R506/7.5</f>
        <v>0.90533333333333332</v>
      </c>
      <c r="T506" s="184">
        <f>'food prices'!S506*1</f>
        <v>0.90533333333333332</v>
      </c>
    </row>
    <row r="507" spans="1:20" s="123" customFormat="1" x14ac:dyDescent="0.25">
      <c r="A507" s="117" t="s">
        <v>614</v>
      </c>
      <c r="B507" s="117" t="s">
        <v>615</v>
      </c>
      <c r="C507" s="123" t="s">
        <v>616</v>
      </c>
      <c r="D507" s="123" t="s">
        <v>617</v>
      </c>
      <c r="E507" s="182">
        <v>280220</v>
      </c>
      <c r="F507" s="123" t="s">
        <v>674</v>
      </c>
      <c r="G507" s="123" t="s">
        <v>619</v>
      </c>
      <c r="H507" s="118" t="s">
        <v>620</v>
      </c>
      <c r="I507" s="123" t="s">
        <v>627</v>
      </c>
      <c r="J507" s="123" t="s">
        <v>622</v>
      </c>
      <c r="K507" s="123" t="s">
        <v>740</v>
      </c>
      <c r="L507" s="117" t="s">
        <v>741</v>
      </c>
      <c r="M507" s="183" t="s">
        <v>408</v>
      </c>
      <c r="N507" s="123" t="s">
        <v>742</v>
      </c>
      <c r="O507" s="123" t="s">
        <v>619</v>
      </c>
      <c r="P507" s="123">
        <v>750</v>
      </c>
      <c r="Q507" s="123" t="s">
        <v>626</v>
      </c>
      <c r="R507" s="184">
        <v>6.99</v>
      </c>
      <c r="S507" s="184">
        <f t="shared" si="25"/>
        <v>0.93200000000000005</v>
      </c>
      <c r="T507" s="184">
        <f>'food prices'!S507*1</f>
        <v>0.93200000000000005</v>
      </c>
    </row>
    <row r="508" spans="1:20" s="123" customFormat="1" x14ac:dyDescent="0.25">
      <c r="A508" s="117" t="s">
        <v>614</v>
      </c>
      <c r="B508" s="117" t="s">
        <v>615</v>
      </c>
      <c r="C508" s="123" t="s">
        <v>616</v>
      </c>
      <c r="D508" s="123" t="s">
        <v>617</v>
      </c>
      <c r="E508" s="182">
        <v>280220</v>
      </c>
      <c r="F508" s="123" t="s">
        <v>674</v>
      </c>
      <c r="G508" s="123" t="s">
        <v>619</v>
      </c>
      <c r="H508" s="118" t="s">
        <v>620</v>
      </c>
      <c r="I508" s="123" t="s">
        <v>628</v>
      </c>
      <c r="J508" s="123" t="s">
        <v>622</v>
      </c>
      <c r="K508" s="123" t="s">
        <v>740</v>
      </c>
      <c r="L508" s="117" t="s">
        <v>741</v>
      </c>
      <c r="M508" s="183" t="s">
        <v>408</v>
      </c>
      <c r="N508" s="123" t="s">
        <v>742</v>
      </c>
      <c r="O508" s="123" t="s">
        <v>619</v>
      </c>
      <c r="P508" s="123">
        <v>750</v>
      </c>
      <c r="Q508" s="123" t="s">
        <v>626</v>
      </c>
      <c r="R508" s="184">
        <v>7</v>
      </c>
      <c r="S508" s="184">
        <f t="shared" si="25"/>
        <v>0.93333333333333335</v>
      </c>
      <c r="T508" s="184">
        <f>'food prices'!S508*1</f>
        <v>0.93333333333333335</v>
      </c>
    </row>
    <row r="509" spans="1:20" s="123" customFormat="1" x14ac:dyDescent="0.25">
      <c r="A509" s="117" t="s">
        <v>614</v>
      </c>
      <c r="B509" s="117" t="s">
        <v>615</v>
      </c>
      <c r="C509" s="123" t="s">
        <v>616</v>
      </c>
      <c r="D509" s="123" t="s">
        <v>617</v>
      </c>
      <c r="E509" s="182">
        <v>280220</v>
      </c>
      <c r="F509" s="123" t="s">
        <v>674</v>
      </c>
      <c r="G509" s="123" t="s">
        <v>619</v>
      </c>
      <c r="H509" s="118" t="s">
        <v>620</v>
      </c>
      <c r="I509" s="123" t="s">
        <v>621</v>
      </c>
      <c r="J509" s="123" t="s">
        <v>622</v>
      </c>
      <c r="K509" s="123" t="s">
        <v>740</v>
      </c>
      <c r="L509" s="123" t="s">
        <v>409</v>
      </c>
      <c r="M509" s="183" t="str">
        <f>'common foods'!D192</f>
        <v>11116</v>
      </c>
      <c r="N509" s="123" t="s">
        <v>743</v>
      </c>
      <c r="O509" s="123" t="s">
        <v>619</v>
      </c>
      <c r="P509" s="123">
        <v>750</v>
      </c>
      <c r="Q509" s="123" t="s">
        <v>626</v>
      </c>
      <c r="R509" s="184">
        <v>14.79</v>
      </c>
      <c r="S509" s="184">
        <f t="shared" si="25"/>
        <v>1.972</v>
      </c>
      <c r="T509" s="184">
        <f>'food prices'!S509*1</f>
        <v>1.972</v>
      </c>
    </row>
    <row r="510" spans="1:20" s="123" customFormat="1" x14ac:dyDescent="0.25">
      <c r="A510" s="117" t="s">
        <v>614</v>
      </c>
      <c r="B510" s="117" t="s">
        <v>615</v>
      </c>
      <c r="C510" s="123" t="s">
        <v>616</v>
      </c>
      <c r="D510" s="123" t="s">
        <v>617</v>
      </c>
      <c r="E510" s="182">
        <v>280220</v>
      </c>
      <c r="F510" s="123" t="s">
        <v>674</v>
      </c>
      <c r="G510" s="123" t="s">
        <v>619</v>
      </c>
      <c r="H510" s="118" t="s">
        <v>620</v>
      </c>
      <c r="I510" s="123" t="s">
        <v>627</v>
      </c>
      <c r="J510" s="123" t="s">
        <v>622</v>
      </c>
      <c r="K510" s="123" t="s">
        <v>740</v>
      </c>
      <c r="L510" s="123" t="s">
        <v>409</v>
      </c>
      <c r="M510" s="183" t="s">
        <v>410</v>
      </c>
      <c r="N510" s="123" t="s">
        <v>743</v>
      </c>
      <c r="O510" s="123" t="s">
        <v>619</v>
      </c>
      <c r="P510" s="123">
        <v>750</v>
      </c>
      <c r="Q510" s="123" t="s">
        <v>626</v>
      </c>
      <c r="R510" s="184">
        <v>14.99</v>
      </c>
      <c r="S510" s="184">
        <f t="shared" si="25"/>
        <v>1.9986666666666666</v>
      </c>
      <c r="T510" s="184">
        <f>'food prices'!S510*1</f>
        <v>1.9986666666666666</v>
      </c>
    </row>
    <row r="511" spans="1:20" s="123" customFormat="1" x14ac:dyDescent="0.25">
      <c r="A511" s="117" t="s">
        <v>614</v>
      </c>
      <c r="B511" s="117" t="s">
        <v>615</v>
      </c>
      <c r="C511" s="123" t="s">
        <v>616</v>
      </c>
      <c r="D511" s="123" t="s">
        <v>617</v>
      </c>
      <c r="E511" s="182">
        <v>280220</v>
      </c>
      <c r="F511" s="123" t="s">
        <v>674</v>
      </c>
      <c r="G511" s="123" t="s">
        <v>619</v>
      </c>
      <c r="H511" s="118" t="s">
        <v>620</v>
      </c>
      <c r="I511" s="123" t="s">
        <v>628</v>
      </c>
      <c r="J511" s="123" t="s">
        <v>622</v>
      </c>
      <c r="K511" s="123" t="s">
        <v>740</v>
      </c>
      <c r="L511" s="123" t="s">
        <v>409</v>
      </c>
      <c r="M511" s="183" t="s">
        <v>410</v>
      </c>
      <c r="N511" s="123" t="s">
        <v>743</v>
      </c>
      <c r="O511" s="123" t="s">
        <v>619</v>
      </c>
      <c r="P511" s="123">
        <v>750</v>
      </c>
      <c r="Q511" s="123" t="s">
        <v>626</v>
      </c>
      <c r="R511" s="184">
        <v>17</v>
      </c>
      <c r="S511" s="184">
        <f t="shared" si="25"/>
        <v>2.2666666666666666</v>
      </c>
      <c r="T511" s="184">
        <f>'food prices'!S511*1</f>
        <v>2.2666666666666666</v>
      </c>
    </row>
    <row r="512" spans="1:20" x14ac:dyDescent="0.25">
      <c r="I512" t="s">
        <v>621</v>
      </c>
      <c r="J512" t="s">
        <v>622</v>
      </c>
      <c r="K512" t="s">
        <v>635</v>
      </c>
      <c r="L512" t="str">
        <f>'common foods'!C119</f>
        <v>Masala vegetarian patty</v>
      </c>
      <c r="M512" s="183" t="str">
        <f>'common foods'!D119</f>
        <v>05106</v>
      </c>
      <c r="N512" t="s">
        <v>744</v>
      </c>
      <c r="O512" t="s">
        <v>625</v>
      </c>
      <c r="P512">
        <v>340</v>
      </c>
      <c r="Q512" s="123" t="s">
        <v>626</v>
      </c>
      <c r="R512" s="206">
        <v>7.69</v>
      </c>
      <c r="S512" s="206">
        <f>R512/3.4</f>
        <v>2.2617647058823529</v>
      </c>
      <c r="T512" s="206">
        <f>S512*1</f>
        <v>2.2617647058823529</v>
      </c>
    </row>
    <row r="513" spans="1:21" x14ac:dyDescent="0.25">
      <c r="I513" t="s">
        <v>627</v>
      </c>
      <c r="J513" t="s">
        <v>622</v>
      </c>
      <c r="K513" t="s">
        <v>635</v>
      </c>
      <c r="L513" t="s">
        <v>255</v>
      </c>
      <c r="M513" s="183" t="s">
        <v>256</v>
      </c>
      <c r="N513" t="s">
        <v>744</v>
      </c>
      <c r="O513" t="s">
        <v>625</v>
      </c>
      <c r="P513">
        <v>340</v>
      </c>
      <c r="Q513" s="123" t="s">
        <v>626</v>
      </c>
      <c r="R513" s="206">
        <v>7.89</v>
      </c>
      <c r="S513" s="206">
        <f>R513/3.4</f>
        <v>2.3205882352941174</v>
      </c>
      <c r="T513" s="206">
        <f>S513*1</f>
        <v>2.3205882352941174</v>
      </c>
    </row>
    <row r="514" spans="1:21" x14ac:dyDescent="0.25">
      <c r="I514" t="s">
        <v>628</v>
      </c>
      <c r="J514" t="s">
        <v>622</v>
      </c>
      <c r="K514" t="s">
        <v>635</v>
      </c>
      <c r="L514" t="s">
        <v>255</v>
      </c>
      <c r="M514" s="183" t="s">
        <v>256</v>
      </c>
      <c r="N514" t="s">
        <v>660</v>
      </c>
      <c r="O514" t="s">
        <v>632</v>
      </c>
      <c r="P514">
        <v>500</v>
      </c>
      <c r="Q514" s="123" t="s">
        <v>626</v>
      </c>
      <c r="R514" s="206">
        <v>6</v>
      </c>
      <c r="S514" s="206">
        <f>R514/5</f>
        <v>1.2</v>
      </c>
      <c r="T514" s="206">
        <f>S514*1</f>
        <v>1.2</v>
      </c>
    </row>
    <row r="515" spans="1:21" x14ac:dyDescent="0.25">
      <c r="A515" s="117" t="s">
        <v>614</v>
      </c>
      <c r="B515" s="117" t="s">
        <v>615</v>
      </c>
      <c r="C515" t="s">
        <v>616</v>
      </c>
      <c r="D515" t="s">
        <v>617</v>
      </c>
      <c r="E515" s="182">
        <v>191119</v>
      </c>
      <c r="F515" t="s">
        <v>618</v>
      </c>
      <c r="G515" t="s">
        <v>619</v>
      </c>
      <c r="H515" s="118" t="s">
        <v>620</v>
      </c>
      <c r="I515" t="s">
        <v>621</v>
      </c>
      <c r="J515" t="s">
        <v>622</v>
      </c>
      <c r="K515" t="s">
        <v>635</v>
      </c>
      <c r="L515" t="s">
        <v>257</v>
      </c>
      <c r="M515" s="183" t="str">
        <f>'common foods'!D120</f>
        <v>05107</v>
      </c>
      <c r="N515" t="s">
        <v>636</v>
      </c>
      <c r="O515" t="s">
        <v>632</v>
      </c>
      <c r="P515">
        <v>400</v>
      </c>
      <c r="Q515" t="s">
        <v>626</v>
      </c>
      <c r="R515" s="184">
        <v>3.79</v>
      </c>
      <c r="S515" s="184">
        <f>R515/4</f>
        <v>0.94750000000000001</v>
      </c>
      <c r="T515" s="184">
        <f>S515*'edible cooking yield factors'!F120</f>
        <v>0.94750000000000001</v>
      </c>
    </row>
    <row r="516" spans="1:21" x14ac:dyDescent="0.25">
      <c r="A516" s="117" t="s">
        <v>614</v>
      </c>
      <c r="B516" s="117" t="s">
        <v>615</v>
      </c>
      <c r="C516" t="s">
        <v>616</v>
      </c>
      <c r="D516" t="s">
        <v>617</v>
      </c>
      <c r="E516" s="182">
        <v>191119</v>
      </c>
      <c r="F516" t="s">
        <v>618</v>
      </c>
      <c r="G516" t="s">
        <v>619</v>
      </c>
      <c r="H516" s="118" t="s">
        <v>620</v>
      </c>
      <c r="I516" t="s">
        <v>627</v>
      </c>
      <c r="J516" t="s">
        <v>622</v>
      </c>
      <c r="K516" t="s">
        <v>635</v>
      </c>
      <c r="L516" t="s">
        <v>257</v>
      </c>
      <c r="M516" s="183" t="str">
        <f>'common foods'!D120</f>
        <v>05107</v>
      </c>
      <c r="N516" t="s">
        <v>636</v>
      </c>
      <c r="O516" t="s">
        <v>632</v>
      </c>
      <c r="P516">
        <v>400</v>
      </c>
      <c r="Q516" t="s">
        <v>626</v>
      </c>
      <c r="R516" s="184">
        <v>3.99</v>
      </c>
      <c r="S516" s="184">
        <f>R516/4</f>
        <v>0.99750000000000005</v>
      </c>
      <c r="T516" s="184">
        <f>S516*'edible cooking yield factors'!F120</f>
        <v>0.99750000000000005</v>
      </c>
    </row>
    <row r="517" spans="1:21" x14ac:dyDescent="0.25">
      <c r="A517" s="117" t="s">
        <v>614</v>
      </c>
      <c r="B517" s="117" t="s">
        <v>615</v>
      </c>
      <c r="C517" t="s">
        <v>616</v>
      </c>
      <c r="D517" t="s">
        <v>617</v>
      </c>
      <c r="E517" s="182">
        <v>191119</v>
      </c>
      <c r="F517" t="s">
        <v>618</v>
      </c>
      <c r="G517" t="s">
        <v>619</v>
      </c>
      <c r="H517" s="118" t="s">
        <v>620</v>
      </c>
      <c r="I517" t="s">
        <v>628</v>
      </c>
      <c r="J517" t="s">
        <v>622</v>
      </c>
      <c r="K517" t="s">
        <v>635</v>
      </c>
      <c r="L517" s="123" t="s">
        <v>257</v>
      </c>
      <c r="M517" s="183" t="str">
        <f>'common foods'!D120</f>
        <v>05107</v>
      </c>
      <c r="N517" s="123" t="s">
        <v>637</v>
      </c>
      <c r="O517" s="123" t="s">
        <v>625</v>
      </c>
      <c r="P517" s="123">
        <v>175</v>
      </c>
      <c r="Q517" s="123" t="s">
        <v>626</v>
      </c>
      <c r="R517" s="184">
        <v>1.8</v>
      </c>
      <c r="S517" s="184">
        <f>R517/1.75</f>
        <v>1.0285714285714287</v>
      </c>
      <c r="T517" s="184">
        <f>S517*'edible cooking yield factors'!F120</f>
        <v>1.0285714285714287</v>
      </c>
      <c r="U517" s="123"/>
    </row>
    <row r="518" spans="1:21" x14ac:dyDescent="0.25">
      <c r="A518" s="117" t="s">
        <v>614</v>
      </c>
      <c r="B518" s="117" t="s">
        <v>615</v>
      </c>
      <c r="C518" t="s">
        <v>616</v>
      </c>
      <c r="D518" t="s">
        <v>617</v>
      </c>
      <c r="E518" s="182">
        <v>191119</v>
      </c>
      <c r="F518" t="s">
        <v>618</v>
      </c>
      <c r="G518" t="s">
        <v>619</v>
      </c>
      <c r="H518" s="118" t="s">
        <v>620</v>
      </c>
      <c r="I518" t="s">
        <v>621</v>
      </c>
      <c r="J518" t="s">
        <v>622</v>
      </c>
      <c r="K518" t="s">
        <v>623</v>
      </c>
      <c r="L518" s="123" t="str">
        <f>'common foods'!C71</f>
        <v>Spaghetti Pasta, wholemeal</v>
      </c>
      <c r="M518" s="183" t="str">
        <f>'common foods'!D71</f>
        <v>03072</v>
      </c>
      <c r="N518" s="123" t="s">
        <v>644</v>
      </c>
      <c r="O518" s="123" t="s">
        <v>625</v>
      </c>
      <c r="P518" s="123">
        <v>500</v>
      </c>
      <c r="Q518" s="123" t="s">
        <v>626</v>
      </c>
      <c r="R518" s="184">
        <v>1.89</v>
      </c>
      <c r="S518" s="184">
        <f>R518/5</f>
        <v>0.378</v>
      </c>
      <c r="T518" s="184">
        <f>S518*'edible cooking yield factors'!F57</f>
        <v>0.90720000000000001</v>
      </c>
      <c r="U518" s="123"/>
    </row>
    <row r="519" spans="1:21" x14ac:dyDescent="0.25">
      <c r="A519" s="117" t="s">
        <v>614</v>
      </c>
      <c r="B519" s="117" t="s">
        <v>615</v>
      </c>
      <c r="C519" t="s">
        <v>616</v>
      </c>
      <c r="D519" t="s">
        <v>617</v>
      </c>
      <c r="E519" s="182">
        <v>191119</v>
      </c>
      <c r="F519" t="s">
        <v>618</v>
      </c>
      <c r="G519" t="s">
        <v>619</v>
      </c>
      <c r="H519" s="118" t="s">
        <v>620</v>
      </c>
      <c r="I519" t="s">
        <v>627</v>
      </c>
      <c r="J519" t="s">
        <v>622</v>
      </c>
      <c r="K519" t="s">
        <v>623</v>
      </c>
      <c r="L519" s="123" t="str">
        <f>'common foods'!C71</f>
        <v>Spaghetti Pasta, wholemeal</v>
      </c>
      <c r="M519" s="183" t="s">
        <v>156</v>
      </c>
      <c r="N519" s="123" t="s">
        <v>644</v>
      </c>
      <c r="O519" s="123" t="s">
        <v>625</v>
      </c>
      <c r="P519" s="123">
        <v>500</v>
      </c>
      <c r="Q519" s="123" t="s">
        <v>626</v>
      </c>
      <c r="R519" s="184">
        <v>1.79</v>
      </c>
      <c r="S519" s="184">
        <f>R519/5</f>
        <v>0.35799999999999998</v>
      </c>
      <c r="T519" s="184">
        <f>S519*'edible cooking yield factors'!F57</f>
        <v>0.85919999999999996</v>
      </c>
      <c r="U519" s="123"/>
    </row>
    <row r="520" spans="1:21" x14ac:dyDescent="0.25">
      <c r="A520" s="117" t="s">
        <v>614</v>
      </c>
      <c r="B520" s="117" t="s">
        <v>615</v>
      </c>
      <c r="C520" t="s">
        <v>616</v>
      </c>
      <c r="D520" t="s">
        <v>617</v>
      </c>
      <c r="E520" s="182">
        <v>191119</v>
      </c>
      <c r="F520" t="s">
        <v>618</v>
      </c>
      <c r="G520" t="s">
        <v>619</v>
      </c>
      <c r="H520" s="118" t="s">
        <v>620</v>
      </c>
      <c r="I520" t="s">
        <v>628</v>
      </c>
      <c r="J520" t="s">
        <v>622</v>
      </c>
      <c r="K520" t="s">
        <v>623</v>
      </c>
      <c r="L520" s="123" t="str">
        <f>'common foods'!C71</f>
        <v>Spaghetti Pasta, wholemeal</v>
      </c>
      <c r="M520" s="183" t="s">
        <v>156</v>
      </c>
      <c r="N520" s="123" t="s">
        <v>644</v>
      </c>
      <c r="O520" s="123" t="s">
        <v>625</v>
      </c>
      <c r="P520" s="123">
        <v>500</v>
      </c>
      <c r="Q520" s="123" t="s">
        <v>626</v>
      </c>
      <c r="R520" s="184">
        <v>2</v>
      </c>
      <c r="S520" s="184">
        <f>R520/5</f>
        <v>0.4</v>
      </c>
      <c r="T520" s="184">
        <f>S520*'edible cooking yield factors'!F57</f>
        <v>0.96</v>
      </c>
      <c r="U520" s="123"/>
    </row>
    <row r="521" spans="1:21" x14ac:dyDescent="0.25">
      <c r="A521" s="117" t="s">
        <v>614</v>
      </c>
      <c r="B521" s="117" t="s">
        <v>615</v>
      </c>
      <c r="C521" t="s">
        <v>616</v>
      </c>
      <c r="D521" t="s">
        <v>617</v>
      </c>
      <c r="E521" s="182">
        <v>191119</v>
      </c>
      <c r="F521" t="s">
        <v>618</v>
      </c>
      <c r="G521" t="s">
        <v>619</v>
      </c>
      <c r="H521" s="118" t="s">
        <v>620</v>
      </c>
      <c r="I521" t="s">
        <v>621</v>
      </c>
      <c r="J521" t="s">
        <v>622</v>
      </c>
      <c r="K521" t="s">
        <v>639</v>
      </c>
      <c r="L521" s="123" t="str">
        <f>'common foods'!C43</f>
        <v>Spring onion, fresh</v>
      </c>
      <c r="M521" s="183" t="str">
        <f>'common foods'!D43</f>
        <v>02044</v>
      </c>
      <c r="N521" s="123" t="s">
        <v>619</v>
      </c>
      <c r="O521" s="123" t="s">
        <v>619</v>
      </c>
      <c r="P521" s="123">
        <v>120</v>
      </c>
      <c r="Q521" s="123" t="s">
        <v>626</v>
      </c>
      <c r="R521" s="184">
        <v>1.29</v>
      </c>
      <c r="S521" s="184">
        <f>R521/1.2</f>
        <v>1.0750000000000002</v>
      </c>
      <c r="T521" s="184">
        <f>S521*'edible cooking yield factors'!F43</f>
        <v>0.91375000000000017</v>
      </c>
      <c r="U521" s="123"/>
    </row>
    <row r="522" spans="1:21" x14ac:dyDescent="0.25">
      <c r="A522" s="117" t="s">
        <v>614</v>
      </c>
      <c r="B522" s="117" t="s">
        <v>615</v>
      </c>
      <c r="C522" t="s">
        <v>616</v>
      </c>
      <c r="D522" t="s">
        <v>617</v>
      </c>
      <c r="E522" s="182">
        <v>191119</v>
      </c>
      <c r="F522" t="s">
        <v>618</v>
      </c>
      <c r="G522" t="s">
        <v>619</v>
      </c>
      <c r="H522" s="118" t="s">
        <v>620</v>
      </c>
      <c r="I522" t="s">
        <v>627</v>
      </c>
      <c r="J522" t="s">
        <v>622</v>
      </c>
      <c r="K522" t="s">
        <v>639</v>
      </c>
      <c r="L522" s="123" t="str">
        <f>'common foods'!C43</f>
        <v>Spring onion, fresh</v>
      </c>
      <c r="M522" s="183" t="s">
        <v>99</v>
      </c>
      <c r="N522" s="123" t="s">
        <v>619</v>
      </c>
      <c r="O522" s="123" t="s">
        <v>619</v>
      </c>
      <c r="P522" s="123">
        <v>120</v>
      </c>
      <c r="Q522" s="123" t="s">
        <v>626</v>
      </c>
      <c r="R522" s="184">
        <v>2.4900000000000002</v>
      </c>
      <c r="S522" s="184">
        <f>R522/1.2</f>
        <v>2.0750000000000002</v>
      </c>
      <c r="T522" s="184">
        <f>S522*'edible cooking yield factors'!F43</f>
        <v>1.7637500000000002</v>
      </c>
      <c r="U522" s="123"/>
    </row>
    <row r="523" spans="1:21" x14ac:dyDescent="0.25">
      <c r="A523" s="117" t="s">
        <v>614</v>
      </c>
      <c r="B523" s="117" t="s">
        <v>615</v>
      </c>
      <c r="C523" t="s">
        <v>616</v>
      </c>
      <c r="D523" t="s">
        <v>617</v>
      </c>
      <c r="E523" s="182">
        <v>191119</v>
      </c>
      <c r="F523" t="s">
        <v>618</v>
      </c>
      <c r="G523" t="s">
        <v>619</v>
      </c>
      <c r="H523" s="118" t="s">
        <v>620</v>
      </c>
      <c r="I523" t="s">
        <v>628</v>
      </c>
      <c r="J523" t="s">
        <v>622</v>
      </c>
      <c r="K523" t="s">
        <v>639</v>
      </c>
      <c r="L523" s="123" t="str">
        <f>'common foods'!C43</f>
        <v>Spring onion, fresh</v>
      </c>
      <c r="M523" s="183" t="s">
        <v>99</v>
      </c>
      <c r="N523" s="123" t="s">
        <v>619</v>
      </c>
      <c r="O523" s="123" t="s">
        <v>619</v>
      </c>
      <c r="P523" s="123">
        <v>120</v>
      </c>
      <c r="Q523" s="123" t="s">
        <v>626</v>
      </c>
      <c r="R523" s="184">
        <v>1.7</v>
      </c>
      <c r="S523" s="184">
        <f>R523/1.2</f>
        <v>1.4166666666666667</v>
      </c>
      <c r="T523" s="184">
        <f>S523*'edible cooking yield factors'!F43</f>
        <v>1.2041666666666666</v>
      </c>
      <c r="U523" s="123"/>
    </row>
    <row r="524" spans="1:21" x14ac:dyDescent="0.25">
      <c r="A524" s="117" t="s">
        <v>614</v>
      </c>
      <c r="B524" s="117" t="s">
        <v>615</v>
      </c>
      <c r="C524" t="s">
        <v>616</v>
      </c>
      <c r="D524" t="s">
        <v>617</v>
      </c>
      <c r="E524" s="182">
        <v>191119</v>
      </c>
      <c r="F524" t="s">
        <v>618</v>
      </c>
      <c r="G524" t="s">
        <v>619</v>
      </c>
      <c r="H524" s="118" t="s">
        <v>620</v>
      </c>
      <c r="I524" t="s">
        <v>621</v>
      </c>
      <c r="J524" t="s">
        <v>622</v>
      </c>
      <c r="K524" t="s">
        <v>639</v>
      </c>
      <c r="L524" s="123" t="str">
        <f>'common foods'!C46</f>
        <v>Broccoli and Cauliflower, frozen</v>
      </c>
      <c r="M524" s="183" t="str">
        <f>'common foods'!D46</f>
        <v>02053</v>
      </c>
      <c r="N524" s="123" t="s">
        <v>636</v>
      </c>
      <c r="O524" s="123" t="s">
        <v>632</v>
      </c>
      <c r="P524" s="123">
        <v>650</v>
      </c>
      <c r="Q524" s="123" t="s">
        <v>626</v>
      </c>
      <c r="R524" s="184">
        <v>3.69</v>
      </c>
      <c r="S524" s="184">
        <f>R524/6.5</f>
        <v>0.56769230769230772</v>
      </c>
      <c r="T524" s="184">
        <f>S524*'edible cooking yield factors'!F26</f>
        <v>0.56769230769230772</v>
      </c>
      <c r="U524" s="123"/>
    </row>
    <row r="525" spans="1:21" x14ac:dyDescent="0.25">
      <c r="A525" s="117" t="s">
        <v>614</v>
      </c>
      <c r="B525" s="117" t="s">
        <v>615</v>
      </c>
      <c r="C525" t="s">
        <v>616</v>
      </c>
      <c r="D525" t="s">
        <v>617</v>
      </c>
      <c r="E525" s="182">
        <v>191119</v>
      </c>
      <c r="F525" t="s">
        <v>618</v>
      </c>
      <c r="G525" t="s">
        <v>619</v>
      </c>
      <c r="H525" s="118" t="s">
        <v>620</v>
      </c>
      <c r="I525" t="s">
        <v>627</v>
      </c>
      <c r="J525" t="s">
        <v>622</v>
      </c>
      <c r="K525" t="s">
        <v>639</v>
      </c>
      <c r="L525" s="123" t="str">
        <f>'common foods'!C46</f>
        <v>Broccoli and Cauliflower, frozen</v>
      </c>
      <c r="M525" s="183" t="s">
        <v>105</v>
      </c>
      <c r="N525" s="123" t="s">
        <v>636</v>
      </c>
      <c r="O525" s="123" t="s">
        <v>632</v>
      </c>
      <c r="P525" s="123">
        <v>650</v>
      </c>
      <c r="Q525" s="123" t="s">
        <v>626</v>
      </c>
      <c r="R525" s="184">
        <v>3.99</v>
      </c>
      <c r="S525" s="184">
        <f>R525/6.5</f>
        <v>0.61384615384615393</v>
      </c>
      <c r="T525" s="184">
        <f>S525*'edible cooking yield factors'!F26</f>
        <v>0.61384615384615393</v>
      </c>
      <c r="U525" s="123"/>
    </row>
    <row r="526" spans="1:21" x14ac:dyDescent="0.25">
      <c r="A526" s="117" t="s">
        <v>614</v>
      </c>
      <c r="B526" s="117" t="s">
        <v>615</v>
      </c>
      <c r="C526" t="s">
        <v>616</v>
      </c>
      <c r="D526" t="s">
        <v>617</v>
      </c>
      <c r="E526" s="182">
        <v>191119</v>
      </c>
      <c r="F526" t="s">
        <v>618</v>
      </c>
      <c r="G526" t="s">
        <v>619</v>
      </c>
      <c r="H526" s="118" t="s">
        <v>620</v>
      </c>
      <c r="I526" t="s">
        <v>628</v>
      </c>
      <c r="J526" t="s">
        <v>622</v>
      </c>
      <c r="K526" t="s">
        <v>639</v>
      </c>
      <c r="L526" s="123" t="str">
        <f>'common foods'!C46</f>
        <v>Broccoli and Cauliflower, frozen</v>
      </c>
      <c r="M526" s="183" t="s">
        <v>105</v>
      </c>
      <c r="N526" s="123" t="s">
        <v>628</v>
      </c>
      <c r="O526" s="123" t="s">
        <v>632</v>
      </c>
      <c r="P526" s="123">
        <v>750</v>
      </c>
      <c r="Q526" s="123" t="s">
        <v>626</v>
      </c>
      <c r="R526" s="184">
        <v>3</v>
      </c>
      <c r="S526" s="184">
        <f>R526/7.5</f>
        <v>0.4</v>
      </c>
      <c r="T526" s="184">
        <f>S526*'edible cooking yield factors'!F26</f>
        <v>0.4</v>
      </c>
      <c r="U526" s="123"/>
    </row>
    <row r="527" spans="1:21" x14ac:dyDescent="0.25">
      <c r="A527" s="117" t="s">
        <v>614</v>
      </c>
      <c r="B527" s="117" t="s">
        <v>615</v>
      </c>
      <c r="C527" t="s">
        <v>616</v>
      </c>
      <c r="D527" t="s">
        <v>617</v>
      </c>
      <c r="E527" s="182">
        <v>191119</v>
      </c>
      <c r="F527" t="s">
        <v>618</v>
      </c>
      <c r="G527" t="s">
        <v>619</v>
      </c>
      <c r="H527" s="118" t="s">
        <v>620</v>
      </c>
      <c r="I527" t="s">
        <v>621</v>
      </c>
      <c r="J527" t="s">
        <v>622</v>
      </c>
      <c r="K527" t="s">
        <v>635</v>
      </c>
      <c r="L527" s="123" t="str">
        <f>'common foods'!C123</f>
        <v>Four Bean Mix, canned</v>
      </c>
      <c r="M527" s="183" t="str">
        <f>'common foods'!D123</f>
        <v>05110</v>
      </c>
      <c r="N527" s="123" t="s">
        <v>636</v>
      </c>
      <c r="O527" s="123" t="s">
        <v>632</v>
      </c>
      <c r="P527" s="123">
        <v>400</v>
      </c>
      <c r="Q527" s="123" t="s">
        <v>626</v>
      </c>
      <c r="R527" s="184">
        <v>0.89</v>
      </c>
      <c r="S527" s="184">
        <f>R527/4</f>
        <v>0.2225</v>
      </c>
      <c r="T527" s="184">
        <f>S527*'edible cooking yield factors'!F109</f>
        <v>0.13350000000000001</v>
      </c>
      <c r="U527" s="123" t="s">
        <v>745</v>
      </c>
    </row>
    <row r="528" spans="1:21" x14ac:dyDescent="0.25">
      <c r="A528" s="117" t="s">
        <v>614</v>
      </c>
      <c r="B528" s="117" t="s">
        <v>615</v>
      </c>
      <c r="C528" t="s">
        <v>616</v>
      </c>
      <c r="D528" t="s">
        <v>617</v>
      </c>
      <c r="E528" s="182">
        <v>191119</v>
      </c>
      <c r="F528" t="s">
        <v>618</v>
      </c>
      <c r="G528" t="s">
        <v>619</v>
      </c>
      <c r="H528" s="118" t="s">
        <v>620</v>
      </c>
      <c r="I528" t="s">
        <v>627</v>
      </c>
      <c r="J528" t="s">
        <v>622</v>
      </c>
      <c r="K528" t="s">
        <v>635</v>
      </c>
      <c r="L528" s="123" t="s">
        <v>263</v>
      </c>
      <c r="M528" s="183" t="str">
        <f>'common foods'!D123</f>
        <v>05110</v>
      </c>
      <c r="N528" s="123" t="s">
        <v>636</v>
      </c>
      <c r="O528" s="123" t="s">
        <v>632</v>
      </c>
      <c r="P528" s="123">
        <v>400</v>
      </c>
      <c r="Q528" s="123" t="s">
        <v>626</v>
      </c>
      <c r="R528" s="184">
        <v>1.0900000000000001</v>
      </c>
      <c r="S528" s="184">
        <f>R528/4</f>
        <v>0.27250000000000002</v>
      </c>
      <c r="T528" s="184">
        <f>S528*'edible cooking yield factors'!F109</f>
        <v>0.16350000000000001</v>
      </c>
      <c r="U528" s="123"/>
    </row>
    <row r="529" spans="1:21" x14ac:dyDescent="0.25">
      <c r="A529" s="117" t="s">
        <v>614</v>
      </c>
      <c r="B529" s="117" t="s">
        <v>615</v>
      </c>
      <c r="C529" t="s">
        <v>616</v>
      </c>
      <c r="D529" t="s">
        <v>617</v>
      </c>
      <c r="E529" s="182">
        <v>191119</v>
      </c>
      <c r="F529" t="s">
        <v>618</v>
      </c>
      <c r="G529" t="s">
        <v>619</v>
      </c>
      <c r="H529" s="118" t="s">
        <v>620</v>
      </c>
      <c r="I529" t="s">
        <v>628</v>
      </c>
      <c r="J529" t="s">
        <v>622</v>
      </c>
      <c r="K529" t="s">
        <v>635</v>
      </c>
      <c r="L529" s="123" t="s">
        <v>263</v>
      </c>
      <c r="M529" s="183" t="str">
        <f>'common foods'!D123</f>
        <v>05110</v>
      </c>
      <c r="N529" s="123" t="s">
        <v>746</v>
      </c>
      <c r="O529" s="123" t="s">
        <v>625</v>
      </c>
      <c r="P529" s="123">
        <v>400</v>
      </c>
      <c r="Q529" s="123" t="s">
        <v>626</v>
      </c>
      <c r="R529" s="184">
        <v>1.7</v>
      </c>
      <c r="S529" s="184">
        <f>R529/4</f>
        <v>0.42499999999999999</v>
      </c>
      <c r="T529" s="184">
        <f>S529*'edible cooking yield factors'!F109</f>
        <v>0.255</v>
      </c>
      <c r="U529" s="123"/>
    </row>
    <row r="530" spans="1:21" x14ac:dyDescent="0.25">
      <c r="A530" s="117" t="s">
        <v>614</v>
      </c>
      <c r="B530" s="117" t="s">
        <v>615</v>
      </c>
      <c r="C530" t="s">
        <v>616</v>
      </c>
      <c r="D530" t="s">
        <v>617</v>
      </c>
      <c r="E530" s="182">
        <v>191119</v>
      </c>
      <c r="F530" t="s">
        <v>618</v>
      </c>
      <c r="G530" t="s">
        <v>619</v>
      </c>
      <c r="H530" s="118" t="s">
        <v>620</v>
      </c>
      <c r="I530" t="s">
        <v>621</v>
      </c>
      <c r="J530" t="s">
        <v>622</v>
      </c>
      <c r="K530" t="s">
        <v>635</v>
      </c>
      <c r="L530" t="str">
        <f>'common foods'!C119</f>
        <v>Masala vegetarian patty</v>
      </c>
      <c r="M530" s="183" t="str">
        <f>'common foods'!D119</f>
        <v>05106</v>
      </c>
      <c r="N530" t="s">
        <v>744</v>
      </c>
      <c r="O530" t="s">
        <v>625</v>
      </c>
      <c r="P530">
        <v>340</v>
      </c>
      <c r="Q530" t="s">
        <v>626</v>
      </c>
      <c r="R530" s="184">
        <v>7.69</v>
      </c>
      <c r="S530" s="184">
        <f>R530/3.4</f>
        <v>2.2617647058823529</v>
      </c>
      <c r="T530" s="184">
        <f>S530*'edible cooking yield factors'!F119</f>
        <v>2.2617647058823529</v>
      </c>
    </row>
    <row r="531" spans="1:21" x14ac:dyDescent="0.25">
      <c r="A531" s="117" t="s">
        <v>614</v>
      </c>
      <c r="B531" s="117" t="s">
        <v>615</v>
      </c>
      <c r="C531" t="s">
        <v>616</v>
      </c>
      <c r="D531" t="s">
        <v>617</v>
      </c>
      <c r="E531" s="182">
        <v>191119</v>
      </c>
      <c r="F531" t="s">
        <v>618</v>
      </c>
      <c r="G531" t="s">
        <v>619</v>
      </c>
      <c r="H531" s="118" t="s">
        <v>620</v>
      </c>
      <c r="I531" t="s">
        <v>627</v>
      </c>
      <c r="J531" t="s">
        <v>622</v>
      </c>
      <c r="K531" t="s">
        <v>635</v>
      </c>
      <c r="L531" t="str">
        <f>'common foods'!C119</f>
        <v>Masala vegetarian patty</v>
      </c>
      <c r="M531" s="183" t="str">
        <f>'common foods'!D119</f>
        <v>05106</v>
      </c>
      <c r="N531" t="s">
        <v>744</v>
      </c>
      <c r="O531" t="s">
        <v>625</v>
      </c>
      <c r="P531">
        <v>340</v>
      </c>
      <c r="Q531" t="s">
        <v>626</v>
      </c>
      <c r="R531" s="184">
        <v>7.89</v>
      </c>
      <c r="S531" s="184">
        <f>R531/3.4</f>
        <v>2.3205882352941174</v>
      </c>
      <c r="T531" s="184">
        <f>S531*'edible cooking yield factors'!F119</f>
        <v>2.3205882352941174</v>
      </c>
    </row>
    <row r="532" spans="1:21" x14ac:dyDescent="0.25">
      <c r="A532" s="117" t="s">
        <v>614</v>
      </c>
      <c r="B532" s="117" t="s">
        <v>615</v>
      </c>
      <c r="C532" t="s">
        <v>616</v>
      </c>
      <c r="D532" t="s">
        <v>617</v>
      </c>
      <c r="E532" s="182">
        <v>191119</v>
      </c>
      <c r="F532" t="s">
        <v>618</v>
      </c>
      <c r="G532" t="s">
        <v>619</v>
      </c>
      <c r="H532" s="118" t="s">
        <v>620</v>
      </c>
      <c r="I532" t="s">
        <v>628</v>
      </c>
      <c r="J532" t="s">
        <v>622</v>
      </c>
      <c r="K532" t="s">
        <v>635</v>
      </c>
      <c r="L532" t="str">
        <f>'common foods'!C119</f>
        <v>Masala vegetarian patty</v>
      </c>
      <c r="M532" s="183" t="str">
        <f>'common foods'!D119</f>
        <v>05106</v>
      </c>
      <c r="N532" t="s">
        <v>660</v>
      </c>
      <c r="O532" t="s">
        <v>632</v>
      </c>
      <c r="P532">
        <v>500</v>
      </c>
      <c r="Q532" t="s">
        <v>626</v>
      </c>
      <c r="R532" s="184">
        <v>6</v>
      </c>
      <c r="S532" s="184" t="s">
        <v>747</v>
      </c>
      <c r="T532" s="184" t="e">
        <f>S532*'edible cooking yield factors'!F119</f>
        <v>#VALUE!</v>
      </c>
    </row>
    <row r="533" spans="1:21" x14ac:dyDescent="0.25">
      <c r="A533" s="117" t="s">
        <v>614</v>
      </c>
      <c r="B533" s="117" t="s">
        <v>615</v>
      </c>
      <c r="C533" t="s">
        <v>616</v>
      </c>
      <c r="D533" t="s">
        <v>617</v>
      </c>
      <c r="E533" s="182">
        <v>191119</v>
      </c>
      <c r="F533" t="s">
        <v>618</v>
      </c>
      <c r="G533" t="s">
        <v>619</v>
      </c>
      <c r="H533" s="118" t="s">
        <v>620</v>
      </c>
      <c r="I533" t="s">
        <v>621</v>
      </c>
      <c r="J533" t="s">
        <v>622</v>
      </c>
      <c r="K533" t="s">
        <v>623</v>
      </c>
      <c r="L533" t="str">
        <f>'common foods'!C69</f>
        <v>Wholegrain burger bun</v>
      </c>
      <c r="M533" s="183" t="str">
        <f>'common foods'!D69</f>
        <v>03070</v>
      </c>
      <c r="N533" t="s">
        <v>748</v>
      </c>
      <c r="O533" t="s">
        <v>625</v>
      </c>
      <c r="P533">
        <v>400</v>
      </c>
      <c r="Q533" t="s">
        <v>626</v>
      </c>
      <c r="R533" s="184">
        <v>3.69</v>
      </c>
      <c r="S533" s="184">
        <f>R533/4</f>
        <v>0.92249999999999999</v>
      </c>
      <c r="T533" s="184">
        <f>S533*'edible cooking yield factors'!F68</f>
        <v>0.92249999999999999</v>
      </c>
    </row>
    <row r="534" spans="1:21" x14ac:dyDescent="0.25">
      <c r="A534" s="117" t="s">
        <v>614</v>
      </c>
      <c r="B534" s="117" t="s">
        <v>615</v>
      </c>
      <c r="C534" t="s">
        <v>616</v>
      </c>
      <c r="D534" t="s">
        <v>617</v>
      </c>
      <c r="E534" s="182">
        <v>191119</v>
      </c>
      <c r="F534" t="s">
        <v>618</v>
      </c>
      <c r="G534" t="s">
        <v>619</v>
      </c>
      <c r="H534" s="118" t="s">
        <v>620</v>
      </c>
      <c r="I534" t="s">
        <v>627</v>
      </c>
      <c r="J534" t="s">
        <v>622</v>
      </c>
      <c r="K534" t="s">
        <v>623</v>
      </c>
      <c r="L534" t="str">
        <f>'common foods'!C69</f>
        <v>Wholegrain burger bun</v>
      </c>
      <c r="M534" s="183" t="s">
        <v>152</v>
      </c>
      <c r="N534" t="s">
        <v>748</v>
      </c>
      <c r="O534" t="s">
        <v>625</v>
      </c>
      <c r="P534">
        <v>400</v>
      </c>
      <c r="Q534" t="s">
        <v>626</v>
      </c>
      <c r="R534" s="184">
        <v>3.69</v>
      </c>
      <c r="S534" s="184">
        <f>R534/4</f>
        <v>0.92249999999999999</v>
      </c>
      <c r="T534" s="184">
        <f>S534*'edible cooking yield factors'!F68</f>
        <v>0.92249999999999999</v>
      </c>
    </row>
    <row r="535" spans="1:21" x14ac:dyDescent="0.25">
      <c r="A535" s="117" t="s">
        <v>614</v>
      </c>
      <c r="B535" s="117" t="s">
        <v>615</v>
      </c>
      <c r="C535" t="s">
        <v>616</v>
      </c>
      <c r="D535" t="s">
        <v>617</v>
      </c>
      <c r="E535" s="182">
        <v>191119</v>
      </c>
      <c r="F535" t="s">
        <v>618</v>
      </c>
      <c r="G535" t="s">
        <v>619</v>
      </c>
      <c r="H535" s="118" t="s">
        <v>620</v>
      </c>
      <c r="I535" t="s">
        <v>628</v>
      </c>
      <c r="J535" t="s">
        <v>622</v>
      </c>
      <c r="K535" t="s">
        <v>623</v>
      </c>
      <c r="L535" t="str">
        <f>'common foods'!C69</f>
        <v>Wholegrain burger bun</v>
      </c>
      <c r="M535" s="183" t="s">
        <v>152</v>
      </c>
      <c r="N535" t="s">
        <v>619</v>
      </c>
      <c r="O535" s="123" t="s">
        <v>619</v>
      </c>
      <c r="P535" s="123">
        <v>393.3</v>
      </c>
      <c r="Q535" s="123" t="s">
        <v>626</v>
      </c>
      <c r="R535" s="184">
        <v>4</v>
      </c>
      <c r="S535" s="184">
        <f>R535/3.933</f>
        <v>1.0170353419781337</v>
      </c>
      <c r="T535" s="184">
        <f>S535/1</f>
        <v>1.0170353419781337</v>
      </c>
    </row>
    <row r="536" spans="1:21" x14ac:dyDescent="0.25">
      <c r="A536" s="117" t="s">
        <v>614</v>
      </c>
      <c r="B536" s="117" t="s">
        <v>615</v>
      </c>
      <c r="C536" t="s">
        <v>616</v>
      </c>
      <c r="D536" t="s">
        <v>617</v>
      </c>
      <c r="E536" s="182">
        <v>191119</v>
      </c>
      <c r="F536" t="s">
        <v>618</v>
      </c>
      <c r="G536" t="s">
        <v>619</v>
      </c>
      <c r="H536" s="118" t="s">
        <v>620</v>
      </c>
      <c r="I536" t="s">
        <v>621</v>
      </c>
      <c r="J536" t="s">
        <v>622</v>
      </c>
      <c r="K536" t="s">
        <v>629</v>
      </c>
      <c r="L536" t="str">
        <f>'common foods'!C83</f>
        <v>Soy milk</v>
      </c>
      <c r="M536" s="183" t="str">
        <f>'common foods'!D83</f>
        <v>04068</v>
      </c>
      <c r="N536" t="s">
        <v>624</v>
      </c>
      <c r="O536" t="s">
        <v>625</v>
      </c>
      <c r="P536">
        <v>1000</v>
      </c>
      <c r="Q536" t="s">
        <v>626</v>
      </c>
      <c r="R536" s="184">
        <v>3.19</v>
      </c>
      <c r="S536" s="184">
        <f>R536/10</f>
        <v>0.31900000000000001</v>
      </c>
      <c r="T536" s="184">
        <f>S536*'edible cooking yield factors'!F82</f>
        <v>0.31900000000000001</v>
      </c>
    </row>
    <row r="537" spans="1:21" x14ac:dyDescent="0.25">
      <c r="A537" s="117" t="s">
        <v>614</v>
      </c>
      <c r="B537" s="117" t="s">
        <v>615</v>
      </c>
      <c r="C537" t="s">
        <v>616</v>
      </c>
      <c r="D537" t="s">
        <v>617</v>
      </c>
      <c r="E537" s="182">
        <v>191119</v>
      </c>
      <c r="F537" t="s">
        <v>618</v>
      </c>
      <c r="G537" t="s">
        <v>619</v>
      </c>
      <c r="H537" s="118" t="s">
        <v>620</v>
      </c>
      <c r="I537" t="s">
        <v>627</v>
      </c>
      <c r="J537" t="s">
        <v>622</v>
      </c>
      <c r="K537" t="s">
        <v>629</v>
      </c>
      <c r="L537" t="str">
        <f>'common foods'!C83</f>
        <v>Soy milk</v>
      </c>
      <c r="M537" s="183" t="s">
        <v>182</v>
      </c>
      <c r="N537" t="s">
        <v>624</v>
      </c>
      <c r="O537" t="s">
        <v>625</v>
      </c>
      <c r="P537">
        <v>1000</v>
      </c>
      <c r="Q537" t="s">
        <v>626</v>
      </c>
      <c r="R537" s="184">
        <v>3.39</v>
      </c>
      <c r="S537" s="184">
        <f>R537/10</f>
        <v>0.33900000000000002</v>
      </c>
      <c r="T537" s="184">
        <f>S537*'edible cooking yield factors'!F82</f>
        <v>0.33900000000000002</v>
      </c>
    </row>
    <row r="538" spans="1:21" x14ac:dyDescent="0.25">
      <c r="A538" s="117" t="s">
        <v>614</v>
      </c>
      <c r="B538" s="117" t="s">
        <v>615</v>
      </c>
      <c r="C538" t="s">
        <v>616</v>
      </c>
      <c r="D538" t="s">
        <v>617</v>
      </c>
      <c r="E538" s="182">
        <v>191119</v>
      </c>
      <c r="F538" t="s">
        <v>618</v>
      </c>
      <c r="G538" t="s">
        <v>619</v>
      </c>
      <c r="H538" s="118" t="s">
        <v>620</v>
      </c>
      <c r="I538" t="s">
        <v>628</v>
      </c>
      <c r="J538" t="s">
        <v>622</v>
      </c>
      <c r="K538" t="s">
        <v>629</v>
      </c>
      <c r="L538" t="str">
        <f>'common foods'!C83</f>
        <v>Soy milk</v>
      </c>
      <c r="M538" s="183" t="s">
        <v>182</v>
      </c>
      <c r="N538" t="s">
        <v>624</v>
      </c>
      <c r="O538" t="s">
        <v>625</v>
      </c>
      <c r="P538">
        <v>1000</v>
      </c>
      <c r="Q538" t="s">
        <v>626</v>
      </c>
      <c r="R538" s="184">
        <v>3.4</v>
      </c>
      <c r="S538" s="184">
        <f>R538/10</f>
        <v>0.33999999999999997</v>
      </c>
      <c r="T538" s="184">
        <f>S538*'edible cooking yield factors'!F82</f>
        <v>0.33999999999999997</v>
      </c>
    </row>
    <row r="539" spans="1:21" x14ac:dyDescent="0.25">
      <c r="A539" s="117" t="s">
        <v>614</v>
      </c>
      <c r="B539" s="117" t="s">
        <v>615</v>
      </c>
      <c r="C539" t="s">
        <v>616</v>
      </c>
      <c r="D539" t="s">
        <v>617</v>
      </c>
      <c r="E539" s="182">
        <v>191119</v>
      </c>
      <c r="F539" t="s">
        <v>618</v>
      </c>
      <c r="G539" t="s">
        <v>619</v>
      </c>
      <c r="H539" s="118" t="s">
        <v>620</v>
      </c>
      <c r="I539" t="s">
        <v>621</v>
      </c>
      <c r="J539" t="s">
        <v>622</v>
      </c>
      <c r="K539" t="s">
        <v>635</v>
      </c>
      <c r="L539" t="str">
        <f>'common foods'!C121</f>
        <v>Edamame, frozen</v>
      </c>
      <c r="M539" s="183" t="str">
        <f>'common foods'!D121</f>
        <v>05108</v>
      </c>
      <c r="N539" t="s">
        <v>749</v>
      </c>
      <c r="O539" t="s">
        <v>625</v>
      </c>
      <c r="P539">
        <v>450</v>
      </c>
      <c r="Q539" t="s">
        <v>626</v>
      </c>
      <c r="R539" s="184">
        <v>2.79</v>
      </c>
      <c r="S539" s="184">
        <f>R539/4.5</f>
        <v>0.62</v>
      </c>
      <c r="T539" s="184">
        <f>S539*'edible cooking yield factors'!F121</f>
        <v>0.62</v>
      </c>
    </row>
    <row r="540" spans="1:21" x14ac:dyDescent="0.25">
      <c r="A540" s="117" t="s">
        <v>614</v>
      </c>
      <c r="B540" s="117" t="s">
        <v>615</v>
      </c>
      <c r="C540" t="s">
        <v>616</v>
      </c>
      <c r="D540" t="s">
        <v>617</v>
      </c>
      <c r="E540" s="182">
        <v>191119</v>
      </c>
      <c r="F540" t="s">
        <v>618</v>
      </c>
      <c r="G540" t="s">
        <v>619</v>
      </c>
      <c r="H540" s="118" t="s">
        <v>620</v>
      </c>
      <c r="I540" t="s">
        <v>627</v>
      </c>
      <c r="J540" t="s">
        <v>622</v>
      </c>
      <c r="K540" t="s">
        <v>635</v>
      </c>
      <c r="L540" t="str">
        <f>'common foods'!C121</f>
        <v>Edamame, frozen</v>
      </c>
      <c r="M540" s="183" t="str">
        <f>'common foods'!D121</f>
        <v>05108</v>
      </c>
      <c r="N540" t="s">
        <v>749</v>
      </c>
      <c r="O540" t="s">
        <v>625</v>
      </c>
      <c r="P540">
        <v>450</v>
      </c>
      <c r="Q540" t="s">
        <v>626</v>
      </c>
      <c r="R540" s="184">
        <v>3.29</v>
      </c>
      <c r="S540" s="184">
        <f>R540/4.5</f>
        <v>0.73111111111111116</v>
      </c>
      <c r="T540" s="184">
        <f>S540*'edible cooking yield factors'!F121</f>
        <v>0.73111111111111116</v>
      </c>
    </row>
    <row r="541" spans="1:21" x14ac:dyDescent="0.25">
      <c r="A541" s="117" t="s">
        <v>614</v>
      </c>
      <c r="B541" s="117" t="s">
        <v>615</v>
      </c>
      <c r="C541" t="s">
        <v>616</v>
      </c>
      <c r="D541" t="s">
        <v>617</v>
      </c>
      <c r="E541" s="182">
        <v>191119</v>
      </c>
      <c r="F541" t="s">
        <v>618</v>
      </c>
      <c r="G541" t="s">
        <v>619</v>
      </c>
      <c r="H541" s="118" t="s">
        <v>620</v>
      </c>
      <c r="I541" t="s">
        <v>628</v>
      </c>
      <c r="J541" t="s">
        <v>622</v>
      </c>
      <c r="K541" t="s">
        <v>635</v>
      </c>
      <c r="L541" t="str">
        <f>'common foods'!C121</f>
        <v>Edamame, frozen</v>
      </c>
      <c r="M541" s="183" t="str">
        <f>'common foods'!D121</f>
        <v>05108</v>
      </c>
      <c r="N541" t="s">
        <v>749</v>
      </c>
      <c r="O541" t="s">
        <v>625</v>
      </c>
      <c r="P541">
        <v>450</v>
      </c>
      <c r="Q541" t="s">
        <v>626</v>
      </c>
      <c r="R541" s="184">
        <v>4.1900000000000004</v>
      </c>
      <c r="S541" s="184">
        <f>R541/4.5</f>
        <v>0.93111111111111122</v>
      </c>
      <c r="T541" s="184">
        <f>S541*'edible cooking yield factors'!F121</f>
        <v>0.93111111111111122</v>
      </c>
    </row>
    <row r="542" spans="1:21" x14ac:dyDescent="0.25">
      <c r="A542" s="117" t="s">
        <v>614</v>
      </c>
      <c r="B542" s="117" t="s">
        <v>615</v>
      </c>
      <c r="C542" t="s">
        <v>616</v>
      </c>
      <c r="D542" t="s">
        <v>617</v>
      </c>
      <c r="E542" s="182">
        <v>191119</v>
      </c>
      <c r="F542" t="s">
        <v>618</v>
      </c>
      <c r="G542" t="s">
        <v>619</v>
      </c>
      <c r="H542" s="118" t="s">
        <v>750</v>
      </c>
      <c r="I542" t="s">
        <v>751</v>
      </c>
      <c r="J542" t="s">
        <v>622</v>
      </c>
      <c r="K542" t="s">
        <v>752</v>
      </c>
      <c r="L542" t="str">
        <f>'common foods'!C193</f>
        <v>Vitamin B12</v>
      </c>
      <c r="M542" s="183">
        <f>'common foods'!D193</f>
        <v>12001</v>
      </c>
      <c r="N542" t="s">
        <v>753</v>
      </c>
      <c r="O542" t="s">
        <v>625</v>
      </c>
      <c r="P542">
        <v>100</v>
      </c>
      <c r="Q542" t="s">
        <v>626</v>
      </c>
      <c r="R542" s="184">
        <v>19.989999999999998</v>
      </c>
      <c r="S542" s="198">
        <f>R542/100</f>
        <v>0.19989999999999999</v>
      </c>
      <c r="T542" s="198">
        <f>S542/1</f>
        <v>0.19989999999999999</v>
      </c>
    </row>
    <row r="543" spans="1:21" s="199" customFormat="1" x14ac:dyDescent="0.25">
      <c r="A543" s="186" t="s">
        <v>614</v>
      </c>
      <c r="B543" s="186" t="s">
        <v>615</v>
      </c>
      <c r="C543" s="199" t="s">
        <v>616</v>
      </c>
      <c r="D543" s="199" t="s">
        <v>617</v>
      </c>
      <c r="E543" s="203">
        <v>280220</v>
      </c>
      <c r="F543" s="199" t="s">
        <v>674</v>
      </c>
      <c r="G543" s="199" t="s">
        <v>619</v>
      </c>
      <c r="H543" s="187" t="s">
        <v>620</v>
      </c>
      <c r="I543" s="199" t="s">
        <v>621</v>
      </c>
      <c r="J543" s="199" t="s">
        <v>622</v>
      </c>
      <c r="K543" s="199" t="s">
        <v>623</v>
      </c>
      <c r="L543" s="199" t="str">
        <f>'common foods'!C58</f>
        <v>Couscous, wholemeal wheat</v>
      </c>
      <c r="M543" s="204" t="str">
        <f>'common foods'!D58</f>
        <v>03089</v>
      </c>
      <c r="N543" s="199" t="s">
        <v>643</v>
      </c>
      <c r="O543" s="199" t="s">
        <v>625</v>
      </c>
      <c r="P543" s="199">
        <v>500</v>
      </c>
      <c r="Q543" s="199" t="s">
        <v>626</v>
      </c>
      <c r="R543" s="198">
        <v>2.59</v>
      </c>
      <c r="S543" s="198">
        <f>R543/5</f>
        <v>0.51800000000000002</v>
      </c>
      <c r="T543" s="198">
        <f>S543/2.4</f>
        <v>0.21583333333333335</v>
      </c>
    </row>
    <row r="544" spans="1:21" s="199" customFormat="1" x14ac:dyDescent="0.25">
      <c r="A544" s="186" t="s">
        <v>614</v>
      </c>
      <c r="B544" s="186" t="s">
        <v>615</v>
      </c>
      <c r="C544" s="199" t="s">
        <v>616</v>
      </c>
      <c r="D544" s="199" t="s">
        <v>617</v>
      </c>
      <c r="E544" s="203">
        <v>280220</v>
      </c>
      <c r="F544" s="199" t="s">
        <v>674</v>
      </c>
      <c r="G544" s="199" t="s">
        <v>619</v>
      </c>
      <c r="H544" s="187" t="s">
        <v>620</v>
      </c>
      <c r="I544" s="199" t="s">
        <v>627</v>
      </c>
      <c r="J544" s="199" t="s">
        <v>622</v>
      </c>
      <c r="K544" s="199" t="s">
        <v>623</v>
      </c>
      <c r="L544" s="199" t="s">
        <v>129</v>
      </c>
      <c r="M544" s="204" t="s">
        <v>130</v>
      </c>
      <c r="N544" s="199" t="s">
        <v>643</v>
      </c>
      <c r="O544" s="199" t="s">
        <v>625</v>
      </c>
      <c r="P544" s="199">
        <v>500</v>
      </c>
      <c r="Q544" s="199" t="s">
        <v>626</v>
      </c>
      <c r="R544" s="198">
        <v>2.4900000000000002</v>
      </c>
      <c r="S544" s="198">
        <f>R544/5</f>
        <v>0.49800000000000005</v>
      </c>
      <c r="T544" s="198">
        <f>S544/2.4</f>
        <v>0.20750000000000002</v>
      </c>
    </row>
    <row r="545" spans="1:20" s="199" customFormat="1" x14ac:dyDescent="0.25">
      <c r="A545" s="186" t="s">
        <v>614</v>
      </c>
      <c r="B545" s="186" t="s">
        <v>615</v>
      </c>
      <c r="C545" s="199" t="s">
        <v>616</v>
      </c>
      <c r="D545" s="199" t="s">
        <v>617</v>
      </c>
      <c r="E545" s="203">
        <v>280220</v>
      </c>
      <c r="F545" s="199" t="s">
        <v>674</v>
      </c>
      <c r="G545" s="199" t="s">
        <v>619</v>
      </c>
      <c r="H545" s="187" t="s">
        <v>620</v>
      </c>
      <c r="I545" s="199" t="s">
        <v>628</v>
      </c>
      <c r="J545" s="199" t="s">
        <v>622</v>
      </c>
      <c r="K545" s="199" t="s">
        <v>623</v>
      </c>
      <c r="L545" s="199" t="s">
        <v>129</v>
      </c>
      <c r="M545" s="204" t="s">
        <v>130</v>
      </c>
      <c r="N545" s="199" t="s">
        <v>619</v>
      </c>
      <c r="O545" s="199" t="s">
        <v>619</v>
      </c>
      <c r="P545" s="199">
        <v>500</v>
      </c>
      <c r="Q545" s="199" t="s">
        <v>626</v>
      </c>
      <c r="R545" s="198" t="s">
        <v>619</v>
      </c>
      <c r="S545" s="198" t="s">
        <v>619</v>
      </c>
      <c r="T545" s="198" t="s">
        <v>619</v>
      </c>
    </row>
    <row r="546" spans="1:20" s="199" customFormat="1" x14ac:dyDescent="0.25">
      <c r="A546" s="186" t="s">
        <v>614</v>
      </c>
      <c r="B546" s="186" t="s">
        <v>615</v>
      </c>
      <c r="C546" s="199" t="s">
        <v>616</v>
      </c>
      <c r="D546" s="199" t="s">
        <v>617</v>
      </c>
      <c r="E546" s="203">
        <v>280220</v>
      </c>
      <c r="F546" s="199" t="s">
        <v>674</v>
      </c>
      <c r="G546" s="199" t="s">
        <v>619</v>
      </c>
      <c r="H546" s="187" t="s">
        <v>620</v>
      </c>
      <c r="I546" s="199" t="s">
        <v>621</v>
      </c>
      <c r="J546" s="199" t="s">
        <v>622</v>
      </c>
      <c r="K546" s="199" t="s">
        <v>639</v>
      </c>
      <c r="L546" s="199" t="str">
        <f>'common foods'!C41</f>
        <v>Green banana</v>
      </c>
      <c r="M546" s="204" t="str">
        <f>'common foods'!D41</f>
        <v>02041</v>
      </c>
      <c r="N546" s="199" t="s">
        <v>619</v>
      </c>
      <c r="O546" s="199" t="s">
        <v>619</v>
      </c>
      <c r="P546" s="199">
        <v>1000</v>
      </c>
      <c r="Q546" s="199" t="s">
        <v>626</v>
      </c>
      <c r="R546" s="198">
        <v>2.69</v>
      </c>
      <c r="S546" s="198">
        <f t="shared" ref="S546:S553" si="26">R546/10</f>
        <v>0.26900000000000002</v>
      </c>
      <c r="T546" s="198">
        <f>S546*'edible cooking yield factors'!F41</f>
        <v>0.16140000000000002</v>
      </c>
    </row>
    <row r="547" spans="1:20" s="199" customFormat="1" x14ac:dyDescent="0.25">
      <c r="A547" s="186" t="s">
        <v>614</v>
      </c>
      <c r="B547" s="186" t="s">
        <v>615</v>
      </c>
      <c r="C547" s="199" t="s">
        <v>616</v>
      </c>
      <c r="D547" s="199" t="s">
        <v>617</v>
      </c>
      <c r="E547" s="203">
        <v>280220</v>
      </c>
      <c r="F547" s="199" t="s">
        <v>674</v>
      </c>
      <c r="G547" s="199" t="s">
        <v>619</v>
      </c>
      <c r="H547" s="187" t="s">
        <v>620</v>
      </c>
      <c r="I547" s="199" t="s">
        <v>627</v>
      </c>
      <c r="J547" s="199" t="s">
        <v>622</v>
      </c>
      <c r="K547" s="199" t="s">
        <v>639</v>
      </c>
      <c r="L547" s="199" t="s">
        <v>94</v>
      </c>
      <c r="M547" s="204" t="s">
        <v>95</v>
      </c>
      <c r="N547" s="199" t="s">
        <v>619</v>
      </c>
      <c r="O547" s="199" t="s">
        <v>619</v>
      </c>
      <c r="P547" s="199">
        <v>1000</v>
      </c>
      <c r="Q547" s="199" t="s">
        <v>626</v>
      </c>
      <c r="R547" s="198">
        <v>2.99</v>
      </c>
      <c r="S547" s="198">
        <f t="shared" si="26"/>
        <v>0.29900000000000004</v>
      </c>
      <c r="T547" s="198">
        <f>S547*0.6</f>
        <v>0.17940000000000003</v>
      </c>
    </row>
    <row r="548" spans="1:20" s="199" customFormat="1" x14ac:dyDescent="0.25">
      <c r="A548" s="186" t="s">
        <v>614</v>
      </c>
      <c r="B548" s="186" t="s">
        <v>615</v>
      </c>
      <c r="C548" s="199" t="s">
        <v>616</v>
      </c>
      <c r="D548" s="199" t="s">
        <v>617</v>
      </c>
      <c r="E548" s="203">
        <v>280220</v>
      </c>
      <c r="F548" s="199" t="s">
        <v>674</v>
      </c>
      <c r="G548" s="199" t="s">
        <v>619</v>
      </c>
      <c r="H548" s="187" t="s">
        <v>620</v>
      </c>
      <c r="I548" s="199" t="s">
        <v>628</v>
      </c>
      <c r="J548" s="199" t="s">
        <v>622</v>
      </c>
      <c r="K548" s="199" t="s">
        <v>639</v>
      </c>
      <c r="L548" s="199" t="s">
        <v>94</v>
      </c>
      <c r="M548" s="204" t="s">
        <v>95</v>
      </c>
      <c r="N548" s="199" t="s">
        <v>619</v>
      </c>
      <c r="O548" s="199" t="s">
        <v>619</v>
      </c>
      <c r="P548" s="199">
        <v>1000</v>
      </c>
      <c r="Q548" s="199" t="s">
        <v>626</v>
      </c>
      <c r="R548" s="198">
        <v>2.5</v>
      </c>
      <c r="S548" s="198">
        <f t="shared" si="26"/>
        <v>0.25</v>
      </c>
      <c r="T548" s="198">
        <f>S548*0.6</f>
        <v>0.15</v>
      </c>
    </row>
    <row r="549" spans="1:20" s="199" customFormat="1" x14ac:dyDescent="0.25">
      <c r="A549" s="186" t="s">
        <v>614</v>
      </c>
      <c r="B549" s="186" t="s">
        <v>615</v>
      </c>
      <c r="C549" s="199" t="s">
        <v>616</v>
      </c>
      <c r="D549" s="199" t="s">
        <v>617</v>
      </c>
      <c r="E549" s="203">
        <v>280220</v>
      </c>
      <c r="F549" s="199" t="s">
        <v>674</v>
      </c>
      <c r="G549" s="199" t="s">
        <v>619</v>
      </c>
      <c r="H549" s="187" t="s">
        <v>620</v>
      </c>
      <c r="I549" s="199" t="s">
        <v>621</v>
      </c>
      <c r="J549" s="199" t="s">
        <v>622</v>
      </c>
      <c r="K549" s="199" t="s">
        <v>635</v>
      </c>
      <c r="L549" s="199" t="str">
        <f>'common foods'!C98</f>
        <v>Lamb loin chop</v>
      </c>
      <c r="M549" s="204" t="str">
        <f>'common foods'!D98</f>
        <v>05090</v>
      </c>
      <c r="N549" s="199" t="s">
        <v>619</v>
      </c>
      <c r="O549" s="199" t="s">
        <v>619</v>
      </c>
      <c r="P549" s="199">
        <v>1000</v>
      </c>
      <c r="Q549" s="199" t="s">
        <v>626</v>
      </c>
      <c r="R549" s="198">
        <v>18.89</v>
      </c>
      <c r="S549" s="198">
        <f t="shared" si="26"/>
        <v>1.889</v>
      </c>
      <c r="T549" s="198">
        <f>S549*'edible cooking yield factors'!F107</f>
        <v>1.1334</v>
      </c>
    </row>
    <row r="550" spans="1:20" s="199" customFormat="1" x14ac:dyDescent="0.25">
      <c r="A550" s="186" t="s">
        <v>614</v>
      </c>
      <c r="B550" s="186" t="s">
        <v>615</v>
      </c>
      <c r="C550" s="199" t="s">
        <v>616</v>
      </c>
      <c r="D550" s="199" t="s">
        <v>617</v>
      </c>
      <c r="E550" s="203">
        <v>280220</v>
      </c>
      <c r="F550" s="199" t="s">
        <v>674</v>
      </c>
      <c r="G550" s="199" t="s">
        <v>619</v>
      </c>
      <c r="H550" s="187" t="s">
        <v>620</v>
      </c>
      <c r="I550" s="199" t="s">
        <v>627</v>
      </c>
      <c r="J550" s="199" t="s">
        <v>622</v>
      </c>
      <c r="K550" s="199" t="s">
        <v>635</v>
      </c>
      <c r="L550" s="199" t="s">
        <v>212</v>
      </c>
      <c r="M550" s="204" t="s">
        <v>213</v>
      </c>
      <c r="N550" s="199" t="s">
        <v>619</v>
      </c>
      <c r="O550" s="199" t="s">
        <v>619</v>
      </c>
      <c r="P550" s="199">
        <v>1000</v>
      </c>
      <c r="Q550" s="199" t="s">
        <v>626</v>
      </c>
      <c r="R550" s="198">
        <v>18.989999999999998</v>
      </c>
      <c r="S550" s="198">
        <f t="shared" si="26"/>
        <v>1.8989999999999998</v>
      </c>
      <c r="T550" s="198">
        <f>S549*'edible cooking yield factors'!F108</f>
        <v>1.37897</v>
      </c>
    </row>
    <row r="551" spans="1:20" s="199" customFormat="1" x14ac:dyDescent="0.25">
      <c r="A551" s="186" t="s">
        <v>614</v>
      </c>
      <c r="B551" s="186" t="s">
        <v>615</v>
      </c>
      <c r="C551" s="199" t="s">
        <v>616</v>
      </c>
      <c r="D551" s="199" t="s">
        <v>617</v>
      </c>
      <c r="E551" s="203">
        <v>280220</v>
      </c>
      <c r="F551" s="199" t="s">
        <v>674</v>
      </c>
      <c r="G551" s="199" t="s">
        <v>619</v>
      </c>
      <c r="H551" s="187" t="s">
        <v>620</v>
      </c>
      <c r="I551" s="199" t="s">
        <v>628</v>
      </c>
      <c r="J551" s="199" t="s">
        <v>622</v>
      </c>
      <c r="K551" s="199" t="s">
        <v>635</v>
      </c>
      <c r="L551" s="199" t="s">
        <v>212</v>
      </c>
      <c r="M551" s="204" t="s">
        <v>213</v>
      </c>
      <c r="N551" s="199" t="s">
        <v>619</v>
      </c>
      <c r="O551" s="199" t="s">
        <v>619</v>
      </c>
      <c r="P551" s="199">
        <v>1000</v>
      </c>
      <c r="Q551" s="199" t="s">
        <v>626</v>
      </c>
      <c r="R551" s="198">
        <v>22</v>
      </c>
      <c r="S551" s="198">
        <f t="shared" si="26"/>
        <v>2.2000000000000002</v>
      </c>
      <c r="T551" s="198">
        <f>S549*'edible cooking yield factors'!F109</f>
        <v>1.1334</v>
      </c>
    </row>
    <row r="552" spans="1:20" x14ac:dyDescent="0.25">
      <c r="A552" s="186" t="s">
        <v>614</v>
      </c>
      <c r="B552" s="186" t="s">
        <v>615</v>
      </c>
      <c r="C552" s="199" t="s">
        <v>616</v>
      </c>
      <c r="D552" s="199" t="s">
        <v>617</v>
      </c>
      <c r="E552" s="203">
        <v>280220</v>
      </c>
      <c r="F552" s="199" t="s">
        <v>674</v>
      </c>
      <c r="G552" s="199" t="s">
        <v>619</v>
      </c>
      <c r="H552" s="187" t="s">
        <v>620</v>
      </c>
      <c r="I552" s="199" t="s">
        <v>621</v>
      </c>
      <c r="J552" s="199" t="s">
        <v>622</v>
      </c>
      <c r="K552" s="199" t="s">
        <v>635</v>
      </c>
      <c r="L552" s="199" t="str">
        <f>'common foods'!C145</f>
        <v>lamb mutton flaps</v>
      </c>
      <c r="M552" s="204" t="str">
        <f>'common foods'!D145</f>
        <v>05099</v>
      </c>
      <c r="N552" s="199" t="s">
        <v>619</v>
      </c>
      <c r="O552" s="199" t="s">
        <v>619</v>
      </c>
      <c r="P552" s="199">
        <v>1000</v>
      </c>
      <c r="Q552" s="199" t="s">
        <v>626</v>
      </c>
      <c r="R552" s="198">
        <v>15.79</v>
      </c>
      <c r="S552" s="198">
        <f t="shared" si="26"/>
        <v>1.579</v>
      </c>
      <c r="T552" s="198">
        <f>S552*'edible cooking yield factors'!F145</f>
        <v>0.94739999999999991</v>
      </c>
    </row>
    <row r="553" spans="1:20" x14ac:dyDescent="0.25">
      <c r="A553" s="186" t="s">
        <v>614</v>
      </c>
      <c r="B553" s="186" t="s">
        <v>615</v>
      </c>
      <c r="C553" s="199" t="s">
        <v>616</v>
      </c>
      <c r="D553" s="199" t="s">
        <v>617</v>
      </c>
      <c r="E553" s="203">
        <v>280220</v>
      </c>
      <c r="F553" s="199" t="s">
        <v>674</v>
      </c>
      <c r="G553" s="199" t="s">
        <v>619</v>
      </c>
      <c r="H553" s="187" t="s">
        <v>620</v>
      </c>
      <c r="I553" s="199" t="s">
        <v>627</v>
      </c>
      <c r="J553" s="199" t="s">
        <v>622</v>
      </c>
      <c r="K553" s="199" t="s">
        <v>635</v>
      </c>
      <c r="L553" s="199" t="s">
        <v>310</v>
      </c>
      <c r="M553" s="204" t="s">
        <v>311</v>
      </c>
      <c r="N553" s="199" t="s">
        <v>619</v>
      </c>
      <c r="O553" s="199" t="s">
        <v>619</v>
      </c>
      <c r="P553" s="199">
        <v>1000</v>
      </c>
      <c r="Q553" s="199" t="s">
        <v>626</v>
      </c>
      <c r="R553" s="198">
        <v>17.989999999999998</v>
      </c>
      <c r="S553" s="198">
        <f t="shared" si="26"/>
        <v>1.7989999999999999</v>
      </c>
      <c r="T553" s="198">
        <f>S553*'edible cooking yield factors'!F145</f>
        <v>1.0793999999999999</v>
      </c>
    </row>
    <row r="554" spans="1:20" x14ac:dyDescent="0.25">
      <c r="A554" s="186" t="s">
        <v>614</v>
      </c>
      <c r="B554" s="186" t="s">
        <v>615</v>
      </c>
      <c r="C554" s="199" t="s">
        <v>616</v>
      </c>
      <c r="D554" s="199" t="s">
        <v>617</v>
      </c>
      <c r="E554" s="203">
        <v>280220</v>
      </c>
      <c r="F554" s="199" t="s">
        <v>674</v>
      </c>
      <c r="G554" s="199" t="s">
        <v>619</v>
      </c>
      <c r="H554" s="187" t="s">
        <v>620</v>
      </c>
      <c r="I554" s="199" t="s">
        <v>628</v>
      </c>
      <c r="J554" s="199" t="s">
        <v>622</v>
      </c>
      <c r="K554" s="199" t="s">
        <v>635</v>
      </c>
      <c r="L554" s="199" t="s">
        <v>310</v>
      </c>
      <c r="M554" s="204" t="s">
        <v>311</v>
      </c>
      <c r="N554" s="199" t="s">
        <v>619</v>
      </c>
      <c r="O554" s="199" t="s">
        <v>619</v>
      </c>
      <c r="P554" s="199" t="s">
        <v>619</v>
      </c>
      <c r="Q554" s="199" t="s">
        <v>619</v>
      </c>
      <c r="R554" s="198" t="s">
        <v>619</v>
      </c>
      <c r="S554" s="198" t="s">
        <v>619</v>
      </c>
      <c r="T554" s="198" t="s">
        <v>619</v>
      </c>
    </row>
    <row r="555" spans="1:20" s="199" customFormat="1" ht="20.25" customHeight="1" x14ac:dyDescent="0.25">
      <c r="A555" s="186" t="s">
        <v>614</v>
      </c>
      <c r="B555" s="186" t="s">
        <v>615</v>
      </c>
      <c r="C555" s="199" t="s">
        <v>616</v>
      </c>
      <c r="D555" s="199" t="s">
        <v>617</v>
      </c>
      <c r="E555" s="199">
        <v>301019</v>
      </c>
      <c r="F555" s="199" t="s">
        <v>618</v>
      </c>
      <c r="G555" s="199" t="s">
        <v>619</v>
      </c>
      <c r="H555" s="187" t="s">
        <v>620</v>
      </c>
      <c r="I555" s="199" t="s">
        <v>621</v>
      </c>
      <c r="J555" s="199" t="s">
        <v>622</v>
      </c>
      <c r="K555" s="199" t="s">
        <v>623</v>
      </c>
      <c r="L555" s="209" t="str">
        <f>'common foods'!C66</f>
        <v>Rye Crispbread</v>
      </c>
      <c r="M555" s="199" t="str">
        <f>'common foods'!D66</f>
        <v>03073</v>
      </c>
      <c r="N555" s="199" t="s">
        <v>654</v>
      </c>
      <c r="O555" s="199" t="s">
        <v>625</v>
      </c>
      <c r="P555" s="199">
        <v>250</v>
      </c>
      <c r="R555" s="210">
        <v>2.5</v>
      </c>
      <c r="S555" s="210">
        <f>R555/2.5</f>
        <v>1</v>
      </c>
      <c r="T555" s="210">
        <f t="shared" ref="T555:T562" si="27">S555/1</f>
        <v>1</v>
      </c>
    </row>
    <row r="556" spans="1:20" s="199" customFormat="1" x14ac:dyDescent="0.25">
      <c r="A556" s="186" t="s">
        <v>614</v>
      </c>
      <c r="B556" s="186" t="s">
        <v>615</v>
      </c>
      <c r="C556" s="199" t="s">
        <v>616</v>
      </c>
      <c r="D556" s="199" t="s">
        <v>617</v>
      </c>
      <c r="E556" s="199">
        <v>301019</v>
      </c>
      <c r="F556" s="199" t="s">
        <v>618</v>
      </c>
      <c r="G556" s="199" t="s">
        <v>619</v>
      </c>
      <c r="H556" s="187" t="s">
        <v>620</v>
      </c>
      <c r="I556" s="199" t="s">
        <v>627</v>
      </c>
      <c r="J556" s="199" t="s">
        <v>622</v>
      </c>
      <c r="K556" s="199" t="s">
        <v>623</v>
      </c>
      <c r="L556" s="209" t="s">
        <v>145</v>
      </c>
      <c r="M556" s="199" t="s">
        <v>146</v>
      </c>
      <c r="N556" s="199" t="s">
        <v>654</v>
      </c>
      <c r="O556" s="199" t="s">
        <v>625</v>
      </c>
      <c r="P556" s="199">
        <v>250</v>
      </c>
      <c r="R556" s="210">
        <v>3.49</v>
      </c>
      <c r="S556" s="210">
        <f>R556/2.5</f>
        <v>1.3960000000000001</v>
      </c>
      <c r="T556" s="210">
        <f t="shared" si="27"/>
        <v>1.3960000000000001</v>
      </c>
    </row>
    <row r="557" spans="1:20" s="199" customFormat="1" x14ac:dyDescent="0.25">
      <c r="A557" s="186" t="s">
        <v>614</v>
      </c>
      <c r="B557" s="186" t="s">
        <v>615</v>
      </c>
      <c r="C557" s="199" t="s">
        <v>616</v>
      </c>
      <c r="D557" s="199" t="s">
        <v>617</v>
      </c>
      <c r="E557" s="199">
        <v>301019</v>
      </c>
      <c r="F557" s="199" t="s">
        <v>618</v>
      </c>
      <c r="G557" s="199" t="s">
        <v>619</v>
      </c>
      <c r="H557" s="187" t="s">
        <v>620</v>
      </c>
      <c r="I557" s="199" t="s">
        <v>628</v>
      </c>
      <c r="J557" s="199" t="s">
        <v>622</v>
      </c>
      <c r="K557" s="199" t="s">
        <v>623</v>
      </c>
      <c r="L557" s="209" t="s">
        <v>145</v>
      </c>
      <c r="M557" s="199" t="s">
        <v>146</v>
      </c>
      <c r="N557" s="199" t="s">
        <v>654</v>
      </c>
      <c r="O557" s="199" t="s">
        <v>625</v>
      </c>
      <c r="P557" s="199">
        <v>250</v>
      </c>
      <c r="R557" s="210">
        <v>2.5</v>
      </c>
      <c r="S557" s="210">
        <f>R557/2.5</f>
        <v>1</v>
      </c>
      <c r="T557" s="210">
        <f t="shared" si="27"/>
        <v>1</v>
      </c>
    </row>
    <row r="558" spans="1:20" s="199" customFormat="1" x14ac:dyDescent="0.25">
      <c r="A558" s="186" t="s">
        <v>614</v>
      </c>
      <c r="B558" s="186" t="s">
        <v>615</v>
      </c>
      <c r="C558" s="199" t="s">
        <v>616</v>
      </c>
      <c r="D558" s="199" t="s">
        <v>617</v>
      </c>
      <c r="E558" s="199">
        <v>231019</v>
      </c>
      <c r="F558" s="199" t="s">
        <v>618</v>
      </c>
      <c r="G558" s="199" t="s">
        <v>619</v>
      </c>
      <c r="H558" s="187" t="s">
        <v>620</v>
      </c>
      <c r="I558" s="199" t="s">
        <v>621</v>
      </c>
      <c r="J558" s="199" t="s">
        <v>622</v>
      </c>
      <c r="K558" s="199" t="s">
        <v>623</v>
      </c>
      <c r="L558" s="209" t="str">
        <f>'common foods'!C67</f>
        <v>Mixed grain crackers</v>
      </c>
      <c r="M558" s="199" t="str">
        <f>'common foods'!D67</f>
        <v>03074</v>
      </c>
      <c r="N558" s="199" t="s">
        <v>656</v>
      </c>
      <c r="O558" s="199" t="s">
        <v>625</v>
      </c>
      <c r="P558" s="199">
        <v>250</v>
      </c>
      <c r="Q558" s="199" t="s">
        <v>626</v>
      </c>
      <c r="R558" s="210">
        <v>3.29</v>
      </c>
      <c r="S558" s="210">
        <v>1.32</v>
      </c>
      <c r="T558" s="210">
        <f t="shared" si="27"/>
        <v>1.32</v>
      </c>
    </row>
    <row r="559" spans="1:20" s="199" customFormat="1" x14ac:dyDescent="0.25">
      <c r="A559" s="186" t="s">
        <v>614</v>
      </c>
      <c r="B559" s="186" t="s">
        <v>615</v>
      </c>
      <c r="C559" s="199" t="s">
        <v>616</v>
      </c>
      <c r="D559" s="199" t="s">
        <v>617</v>
      </c>
      <c r="E559" s="199">
        <v>231019</v>
      </c>
      <c r="F559" s="199" t="s">
        <v>618</v>
      </c>
      <c r="G559" s="199" t="s">
        <v>619</v>
      </c>
      <c r="H559" s="187" t="s">
        <v>620</v>
      </c>
      <c r="I559" s="199" t="s">
        <v>627</v>
      </c>
      <c r="J559" s="199" t="s">
        <v>622</v>
      </c>
      <c r="K559" s="199" t="s">
        <v>623</v>
      </c>
      <c r="L559" s="209" t="s">
        <v>147</v>
      </c>
      <c r="M559" s="199" t="s">
        <v>148</v>
      </c>
      <c r="N559" s="199" t="s">
        <v>656</v>
      </c>
      <c r="O559" s="199" t="s">
        <v>625</v>
      </c>
      <c r="P559" s="199">
        <v>250</v>
      </c>
      <c r="Q559" s="199" t="s">
        <v>626</v>
      </c>
      <c r="R559" s="210">
        <v>2.99</v>
      </c>
      <c r="S559" s="210">
        <f>R559/2.5</f>
        <v>1.1960000000000002</v>
      </c>
      <c r="T559" s="210">
        <f t="shared" si="27"/>
        <v>1.1960000000000002</v>
      </c>
    </row>
    <row r="560" spans="1:20" s="199" customFormat="1" x14ac:dyDescent="0.25">
      <c r="A560" s="186" t="s">
        <v>614</v>
      </c>
      <c r="B560" s="186" t="s">
        <v>615</v>
      </c>
      <c r="C560" s="199" t="s">
        <v>616</v>
      </c>
      <c r="D560" s="199" t="s">
        <v>617</v>
      </c>
      <c r="E560" s="199">
        <v>231019</v>
      </c>
      <c r="F560" s="199" t="s">
        <v>618</v>
      </c>
      <c r="G560" s="199" t="s">
        <v>619</v>
      </c>
      <c r="H560" s="187" t="s">
        <v>620</v>
      </c>
      <c r="I560" s="199" t="s">
        <v>628</v>
      </c>
      <c r="J560" s="199" t="s">
        <v>622</v>
      </c>
      <c r="K560" s="199" t="s">
        <v>623</v>
      </c>
      <c r="L560" s="209" t="s">
        <v>147</v>
      </c>
      <c r="M560" s="199" t="s">
        <v>148</v>
      </c>
      <c r="N560" s="199" t="s">
        <v>656</v>
      </c>
      <c r="O560" s="199" t="s">
        <v>625</v>
      </c>
      <c r="P560" s="199">
        <v>250</v>
      </c>
      <c r="Q560" s="199" t="s">
        <v>626</v>
      </c>
      <c r="R560" s="210">
        <v>3.5</v>
      </c>
      <c r="S560" s="210">
        <f>R560/2.5</f>
        <v>1.4</v>
      </c>
      <c r="T560" s="210">
        <f t="shared" si="27"/>
        <v>1.4</v>
      </c>
    </row>
    <row r="561" spans="1:20" s="199" customFormat="1" x14ac:dyDescent="0.25">
      <c r="A561" s="186" t="s">
        <v>614</v>
      </c>
      <c r="B561" s="186" t="s">
        <v>615</v>
      </c>
      <c r="C561" s="199" t="s">
        <v>616</v>
      </c>
      <c r="D561" s="199" t="s">
        <v>617</v>
      </c>
      <c r="E561" s="203">
        <v>280220</v>
      </c>
      <c r="F561" s="199" t="s">
        <v>674</v>
      </c>
      <c r="G561" s="199" t="s">
        <v>619</v>
      </c>
      <c r="H561" s="187" t="s">
        <v>620</v>
      </c>
      <c r="I561" s="199" t="s">
        <v>621</v>
      </c>
      <c r="J561" s="199" t="s">
        <v>622</v>
      </c>
      <c r="K561" s="199" t="s">
        <v>639</v>
      </c>
      <c r="L561" s="199" t="str">
        <f>'common foods'!C26</f>
        <v>Mixed vegetables, frozen</v>
      </c>
      <c r="M561" s="204" t="str">
        <f>'common foods'!D26</f>
        <v>02022</v>
      </c>
      <c r="N561" s="199" t="s">
        <v>631</v>
      </c>
      <c r="O561" s="199" t="s">
        <v>632</v>
      </c>
      <c r="P561" s="199">
        <v>1000</v>
      </c>
      <c r="Q561" s="199" t="s">
        <v>626</v>
      </c>
      <c r="R561" s="198">
        <v>2.09</v>
      </c>
      <c r="S561" s="198">
        <f>R561/10</f>
        <v>0.20899999999999999</v>
      </c>
      <c r="T561" s="198">
        <f t="shared" si="27"/>
        <v>0.20899999999999999</v>
      </c>
    </row>
    <row r="562" spans="1:20" s="199" customFormat="1" x14ac:dyDescent="0.25">
      <c r="A562" s="186" t="s">
        <v>614</v>
      </c>
      <c r="B562" s="186" t="s">
        <v>615</v>
      </c>
      <c r="C562" s="199" t="s">
        <v>616</v>
      </c>
      <c r="D562" s="199" t="s">
        <v>617</v>
      </c>
      <c r="E562" s="203">
        <v>280220</v>
      </c>
      <c r="F562" s="199" t="s">
        <v>674</v>
      </c>
      <c r="G562" s="199" t="s">
        <v>619</v>
      </c>
      <c r="H562" s="187" t="s">
        <v>620</v>
      </c>
      <c r="I562" s="199" t="s">
        <v>627</v>
      </c>
      <c r="J562" s="199" t="s">
        <v>622</v>
      </c>
      <c r="K562" s="199" t="s">
        <v>639</v>
      </c>
      <c r="L562" s="199" t="s">
        <v>64</v>
      </c>
      <c r="M562" s="204" t="s">
        <v>65</v>
      </c>
      <c r="N562" s="199" t="s">
        <v>631</v>
      </c>
      <c r="O562" s="199" t="s">
        <v>632</v>
      </c>
      <c r="P562" s="199">
        <v>1000</v>
      </c>
      <c r="Q562" s="199" t="s">
        <v>626</v>
      </c>
      <c r="R562" s="198">
        <v>2.19</v>
      </c>
      <c r="S562" s="198">
        <f>R562/10</f>
        <v>0.219</v>
      </c>
      <c r="T562" s="198">
        <f t="shared" si="27"/>
        <v>0.219</v>
      </c>
    </row>
    <row r="563" spans="1:20" s="199" customFormat="1" x14ac:dyDescent="0.25">
      <c r="A563" s="186" t="s">
        <v>614</v>
      </c>
      <c r="B563" s="186" t="s">
        <v>615</v>
      </c>
      <c r="C563" s="199" t="s">
        <v>616</v>
      </c>
      <c r="D563" s="199" t="s">
        <v>617</v>
      </c>
      <c r="E563" s="203">
        <v>280220</v>
      </c>
      <c r="F563" s="199" t="s">
        <v>674</v>
      </c>
      <c r="G563" s="199" t="s">
        <v>619</v>
      </c>
      <c r="H563" s="187" t="s">
        <v>620</v>
      </c>
      <c r="I563" s="199" t="s">
        <v>628</v>
      </c>
      <c r="J563" s="199" t="s">
        <v>622</v>
      </c>
      <c r="K563" s="199" t="s">
        <v>639</v>
      </c>
      <c r="L563" s="199" t="s">
        <v>64</v>
      </c>
      <c r="M563" s="204" t="s">
        <v>65</v>
      </c>
      <c r="N563" s="199" t="s">
        <v>648</v>
      </c>
      <c r="O563" s="199" t="s">
        <v>632</v>
      </c>
      <c r="P563" s="199">
        <v>1000</v>
      </c>
      <c r="Q563" s="199" t="s">
        <v>626</v>
      </c>
      <c r="R563" s="198">
        <v>2.29</v>
      </c>
      <c r="S563" s="198">
        <f>R563/10</f>
        <v>0.22900000000000001</v>
      </c>
      <c r="T563" s="198">
        <f>S563*1</f>
        <v>0.22900000000000001</v>
      </c>
    </row>
    <row r="564" spans="1:20" s="199" customFormat="1" x14ac:dyDescent="0.25">
      <c r="A564" s="186" t="s">
        <v>614</v>
      </c>
      <c r="B564" s="186" t="s">
        <v>615</v>
      </c>
      <c r="C564" s="199" t="s">
        <v>616</v>
      </c>
      <c r="D564" s="199" t="s">
        <v>617</v>
      </c>
      <c r="E564" s="199">
        <v>231019</v>
      </c>
      <c r="F564" s="199" t="s">
        <v>618</v>
      </c>
      <c r="G564" s="199" t="s">
        <v>619</v>
      </c>
      <c r="H564" s="187" t="s">
        <v>620</v>
      </c>
      <c r="I564" s="199" t="s">
        <v>621</v>
      </c>
      <c r="J564" s="199" t="s">
        <v>622</v>
      </c>
      <c r="K564" s="199" t="s">
        <v>623</v>
      </c>
      <c r="L564" s="209" t="str">
        <f>'common foods'!C64</f>
        <v>Muesli, toasted</v>
      </c>
      <c r="M564" s="199" t="str">
        <f>'common foods'!D64</f>
        <v>03065</v>
      </c>
      <c r="N564" s="199" t="s">
        <v>668</v>
      </c>
      <c r="O564" s="199" t="s">
        <v>625</v>
      </c>
      <c r="P564" s="199">
        <v>425</v>
      </c>
      <c r="Q564" s="199" t="s">
        <v>626</v>
      </c>
      <c r="R564" s="210">
        <v>3.99</v>
      </c>
      <c r="S564" s="210">
        <v>0.94</v>
      </c>
      <c r="T564" s="210">
        <f>S564*1</f>
        <v>0.94</v>
      </c>
    </row>
    <row r="565" spans="1:20" s="199" customFormat="1" x14ac:dyDescent="0.25">
      <c r="A565" s="186" t="s">
        <v>614</v>
      </c>
      <c r="B565" s="186" t="s">
        <v>615</v>
      </c>
      <c r="C565" s="199" t="s">
        <v>616</v>
      </c>
      <c r="D565" s="199" t="s">
        <v>617</v>
      </c>
      <c r="E565" s="199">
        <v>231019</v>
      </c>
      <c r="F565" s="199" t="s">
        <v>618</v>
      </c>
      <c r="G565" s="199" t="s">
        <v>619</v>
      </c>
      <c r="H565" s="187" t="s">
        <v>620</v>
      </c>
      <c r="I565" s="199" t="s">
        <v>627</v>
      </c>
      <c r="J565" s="199" t="s">
        <v>622</v>
      </c>
      <c r="K565" s="199" t="s">
        <v>623</v>
      </c>
      <c r="L565" s="209" t="s">
        <v>141</v>
      </c>
      <c r="M565" s="199" t="s">
        <v>142</v>
      </c>
      <c r="N565" s="199" t="s">
        <v>668</v>
      </c>
      <c r="O565" s="199" t="s">
        <v>625</v>
      </c>
      <c r="P565" s="199">
        <v>525</v>
      </c>
      <c r="Q565" s="199" t="s">
        <v>626</v>
      </c>
      <c r="R565" s="210">
        <v>4.79</v>
      </c>
      <c r="S565" s="210">
        <v>0.91</v>
      </c>
      <c r="T565" s="210">
        <f>S565*1</f>
        <v>0.91</v>
      </c>
    </row>
    <row r="566" spans="1:20" s="199" customFormat="1" x14ac:dyDescent="0.25">
      <c r="A566" s="186" t="s">
        <v>614</v>
      </c>
      <c r="B566" s="186" t="s">
        <v>615</v>
      </c>
      <c r="C566" s="199" t="s">
        <v>616</v>
      </c>
      <c r="D566" s="199" t="s">
        <v>617</v>
      </c>
      <c r="E566" s="199">
        <v>231019</v>
      </c>
      <c r="F566" s="199" t="s">
        <v>618</v>
      </c>
      <c r="G566" s="199" t="s">
        <v>619</v>
      </c>
      <c r="H566" s="187" t="s">
        <v>620</v>
      </c>
      <c r="I566" s="199" t="s">
        <v>628</v>
      </c>
      <c r="J566" s="199" t="s">
        <v>622</v>
      </c>
      <c r="K566" s="199" t="s">
        <v>623</v>
      </c>
      <c r="L566" s="209" t="s">
        <v>141</v>
      </c>
      <c r="M566" s="199" t="s">
        <v>142</v>
      </c>
      <c r="N566" s="199" t="s">
        <v>680</v>
      </c>
      <c r="O566" s="199" t="s">
        <v>632</v>
      </c>
      <c r="P566" s="199">
        <v>750</v>
      </c>
      <c r="Q566" s="199" t="s">
        <v>626</v>
      </c>
      <c r="R566" s="210">
        <v>4</v>
      </c>
      <c r="S566" s="210">
        <v>0.53</v>
      </c>
      <c r="T566" s="210">
        <f>S566*1</f>
        <v>0.53</v>
      </c>
    </row>
    <row r="567" spans="1:20" s="199" customFormat="1" x14ac:dyDescent="0.25">
      <c r="A567" s="186" t="s">
        <v>614</v>
      </c>
      <c r="B567" s="186" t="s">
        <v>615</v>
      </c>
      <c r="C567" s="199" t="s">
        <v>616</v>
      </c>
      <c r="D567" s="199" t="s">
        <v>617</v>
      </c>
      <c r="E567" s="199">
        <v>231019</v>
      </c>
      <c r="F567" s="199" t="s">
        <v>618</v>
      </c>
      <c r="G567" s="199" t="s">
        <v>619</v>
      </c>
      <c r="H567" s="187" t="s">
        <v>620</v>
      </c>
      <c r="I567" s="199" t="s">
        <v>621</v>
      </c>
      <c r="J567" s="199" t="s">
        <v>622</v>
      </c>
      <c r="K567" s="199" t="s">
        <v>633</v>
      </c>
      <c r="L567" s="199" t="str">
        <f>'common foods'!C7</f>
        <v>Nectarines, fresh</v>
      </c>
      <c r="M567" s="204" t="str">
        <f>'common foods'!D7</f>
        <v>01006</v>
      </c>
      <c r="N567" s="199" t="s">
        <v>619</v>
      </c>
      <c r="O567" s="199" t="s">
        <v>619</v>
      </c>
      <c r="P567" s="199">
        <v>1000</v>
      </c>
      <c r="Q567" s="199" t="s">
        <v>626</v>
      </c>
      <c r="R567" s="198">
        <v>6.99</v>
      </c>
      <c r="S567" s="198">
        <f t="shared" ref="S567:S577" si="28">R567/10</f>
        <v>0.69900000000000007</v>
      </c>
      <c r="T567" s="198">
        <f>S567*'edible cooking yield factors'!F7</f>
        <v>0.6430800000000001</v>
      </c>
    </row>
    <row r="568" spans="1:20" s="199" customFormat="1" x14ac:dyDescent="0.25">
      <c r="A568" s="186" t="s">
        <v>614</v>
      </c>
      <c r="B568" s="186" t="s">
        <v>615</v>
      </c>
      <c r="C568" s="199" t="s">
        <v>616</v>
      </c>
      <c r="D568" s="199" t="s">
        <v>617</v>
      </c>
      <c r="E568" s="199">
        <v>231019</v>
      </c>
      <c r="F568" s="199" t="s">
        <v>618</v>
      </c>
      <c r="G568" s="199" t="s">
        <v>619</v>
      </c>
      <c r="H568" s="187" t="s">
        <v>620</v>
      </c>
      <c r="I568" s="199" t="s">
        <v>627</v>
      </c>
      <c r="J568" s="199" t="s">
        <v>622</v>
      </c>
      <c r="K568" s="199" t="s">
        <v>633</v>
      </c>
      <c r="L568" s="199" t="s">
        <v>23</v>
      </c>
      <c r="M568" s="204" t="s">
        <v>24</v>
      </c>
      <c r="N568" s="199" t="s">
        <v>619</v>
      </c>
      <c r="O568" s="199" t="s">
        <v>619</v>
      </c>
      <c r="P568" s="199">
        <v>1000</v>
      </c>
      <c r="Q568" s="199" t="s">
        <v>626</v>
      </c>
      <c r="R568" s="198">
        <v>6.99</v>
      </c>
      <c r="S568" s="198">
        <f t="shared" si="28"/>
        <v>0.69900000000000007</v>
      </c>
      <c r="T568" s="198">
        <f>S568*'edible cooking yield factors'!F7</f>
        <v>0.6430800000000001</v>
      </c>
    </row>
    <row r="569" spans="1:20" s="199" customFormat="1" x14ac:dyDescent="0.25">
      <c r="A569" s="186" t="s">
        <v>614</v>
      </c>
      <c r="B569" s="186" t="s">
        <v>615</v>
      </c>
      <c r="C569" s="199" t="s">
        <v>616</v>
      </c>
      <c r="D569" s="199" t="s">
        <v>617</v>
      </c>
      <c r="E569" s="199">
        <v>231019</v>
      </c>
      <c r="F569" s="199" t="s">
        <v>618</v>
      </c>
      <c r="G569" s="199" t="s">
        <v>619</v>
      </c>
      <c r="H569" s="187" t="s">
        <v>620</v>
      </c>
      <c r="I569" s="199" t="s">
        <v>628</v>
      </c>
      <c r="J569" s="199" t="s">
        <v>622</v>
      </c>
      <c r="K569" s="199" t="s">
        <v>633</v>
      </c>
      <c r="L569" s="199" t="s">
        <v>23</v>
      </c>
      <c r="M569" s="204" t="s">
        <v>24</v>
      </c>
      <c r="N569" s="199" t="s">
        <v>619</v>
      </c>
      <c r="O569" s="199" t="s">
        <v>619</v>
      </c>
      <c r="P569" s="199">
        <v>1000</v>
      </c>
      <c r="Q569" s="199" t="s">
        <v>626</v>
      </c>
      <c r="R569" s="198">
        <v>6.5</v>
      </c>
      <c r="S569" s="198">
        <f t="shared" si="28"/>
        <v>0.65</v>
      </c>
      <c r="T569" s="198">
        <f>S569*'edible cooking yield factors'!F7</f>
        <v>0.59800000000000009</v>
      </c>
    </row>
    <row r="570" spans="1:20" s="199" customFormat="1" x14ac:dyDescent="0.25">
      <c r="A570" s="186" t="s">
        <v>614</v>
      </c>
      <c r="B570" s="186" t="s">
        <v>615</v>
      </c>
      <c r="C570" s="199" t="s">
        <v>616</v>
      </c>
      <c r="D570" s="199" t="s">
        <v>617</v>
      </c>
      <c r="E570" s="203">
        <v>280220</v>
      </c>
      <c r="F570" s="199" t="s">
        <v>674</v>
      </c>
      <c r="G570" s="199" t="s">
        <v>619</v>
      </c>
      <c r="H570" s="187" t="s">
        <v>620</v>
      </c>
      <c r="I570" s="199" t="s">
        <v>621</v>
      </c>
      <c r="J570" s="199" t="s">
        <v>622</v>
      </c>
      <c r="K570" s="199" t="s">
        <v>635</v>
      </c>
      <c r="L570" s="199" t="str">
        <f>'common foods'!C100</f>
        <v>Pork loin chop</v>
      </c>
      <c r="M570" s="204" t="str">
        <f>'common foods'!D100</f>
        <v>05094</v>
      </c>
      <c r="N570" s="199" t="s">
        <v>619</v>
      </c>
      <c r="O570" s="199" t="s">
        <v>619</v>
      </c>
      <c r="P570" s="199">
        <v>1000</v>
      </c>
      <c r="Q570" s="199" t="s">
        <v>626</v>
      </c>
      <c r="R570" s="198">
        <v>14.99</v>
      </c>
      <c r="S570" s="198">
        <f t="shared" si="28"/>
        <v>1.4990000000000001</v>
      </c>
      <c r="T570" s="198">
        <f>S570*'edible cooking yield factors'!F111</f>
        <v>0.89939999999999998</v>
      </c>
    </row>
    <row r="571" spans="1:20" s="199" customFormat="1" x14ac:dyDescent="0.25">
      <c r="A571" s="186" t="s">
        <v>614</v>
      </c>
      <c r="B571" s="186" t="s">
        <v>615</v>
      </c>
      <c r="C571" s="199" t="s">
        <v>616</v>
      </c>
      <c r="D571" s="199" t="s">
        <v>617</v>
      </c>
      <c r="E571" s="203">
        <v>280220</v>
      </c>
      <c r="F571" s="199" t="s">
        <v>674</v>
      </c>
      <c r="G571" s="199" t="s">
        <v>619</v>
      </c>
      <c r="H571" s="187" t="s">
        <v>620</v>
      </c>
      <c r="I571" s="199" t="s">
        <v>627</v>
      </c>
      <c r="J571" s="199" t="s">
        <v>622</v>
      </c>
      <c r="K571" s="199" t="s">
        <v>635</v>
      </c>
      <c r="L571" s="199" t="s">
        <v>216</v>
      </c>
      <c r="M571" s="204" t="s">
        <v>217</v>
      </c>
      <c r="N571" s="199" t="s">
        <v>619</v>
      </c>
      <c r="O571" s="199" t="s">
        <v>619</v>
      </c>
      <c r="P571" s="199">
        <v>1000</v>
      </c>
      <c r="Q571" s="199" t="s">
        <v>626</v>
      </c>
      <c r="R571" s="198">
        <v>16.989999999999998</v>
      </c>
      <c r="S571" s="198">
        <f t="shared" si="28"/>
        <v>1.6989999999999998</v>
      </c>
      <c r="T571" s="198">
        <f>S571*'edible cooking yield factors'!F111</f>
        <v>1.0193999999999999</v>
      </c>
    </row>
    <row r="572" spans="1:20" s="199" customFormat="1" x14ac:dyDescent="0.25">
      <c r="A572" s="186" t="s">
        <v>614</v>
      </c>
      <c r="B572" s="186" t="s">
        <v>615</v>
      </c>
      <c r="C572" s="199" t="s">
        <v>616</v>
      </c>
      <c r="D572" s="199" t="s">
        <v>617</v>
      </c>
      <c r="E572" s="203">
        <v>280220</v>
      </c>
      <c r="F572" s="199" t="s">
        <v>674</v>
      </c>
      <c r="G572" s="199" t="s">
        <v>619</v>
      </c>
      <c r="H572" s="187" t="s">
        <v>620</v>
      </c>
      <c r="I572" s="199" t="s">
        <v>628</v>
      </c>
      <c r="J572" s="199" t="s">
        <v>622</v>
      </c>
      <c r="K572" s="199" t="s">
        <v>635</v>
      </c>
      <c r="L572" s="199" t="s">
        <v>216</v>
      </c>
      <c r="M572" s="204" t="s">
        <v>217</v>
      </c>
      <c r="N572" s="199" t="s">
        <v>619</v>
      </c>
      <c r="O572" s="199" t="s">
        <v>619</v>
      </c>
      <c r="P572" s="199">
        <v>1000</v>
      </c>
      <c r="Q572" s="199" t="s">
        <v>626</v>
      </c>
      <c r="R572" s="198">
        <v>22</v>
      </c>
      <c r="S572" s="198">
        <f t="shared" si="28"/>
        <v>2.2000000000000002</v>
      </c>
      <c r="T572" s="198">
        <f>S572*'edible cooking yield factors'!F111</f>
        <v>1.32</v>
      </c>
    </row>
    <row r="573" spans="1:20" s="199" customFormat="1" x14ac:dyDescent="0.25">
      <c r="A573" s="186" t="s">
        <v>614</v>
      </c>
      <c r="B573" s="186" t="s">
        <v>615</v>
      </c>
      <c r="C573" s="199" t="s">
        <v>616</v>
      </c>
      <c r="D573" s="199" t="s">
        <v>617</v>
      </c>
      <c r="E573" s="203">
        <v>280220</v>
      </c>
      <c r="F573" s="199" t="s">
        <v>674</v>
      </c>
      <c r="G573" s="199" t="s">
        <v>619</v>
      </c>
      <c r="H573" s="187" t="s">
        <v>620</v>
      </c>
      <c r="I573" s="199" t="s">
        <v>621</v>
      </c>
      <c r="J573" s="199" t="s">
        <v>622</v>
      </c>
      <c r="K573" s="199" t="s">
        <v>635</v>
      </c>
      <c r="L573" s="199" t="str">
        <f>'common foods'!C101</f>
        <v>Pork shoulder roast</v>
      </c>
      <c r="M573" s="204" t="str">
        <f>'common foods'!D101</f>
        <v>05097</v>
      </c>
      <c r="N573" s="199" t="s">
        <v>619</v>
      </c>
      <c r="O573" s="199" t="s">
        <v>619</v>
      </c>
      <c r="P573" s="199">
        <v>1000</v>
      </c>
      <c r="Q573" s="199" t="s">
        <v>626</v>
      </c>
      <c r="R573" s="198">
        <v>8.8800000000000008</v>
      </c>
      <c r="S573" s="198">
        <f t="shared" si="28"/>
        <v>0.88800000000000012</v>
      </c>
      <c r="T573" s="198">
        <f>S573*'edible cooking yield factors'!F112</f>
        <v>0.58608000000000016</v>
      </c>
    </row>
    <row r="574" spans="1:20" s="199" customFormat="1" x14ac:dyDescent="0.25">
      <c r="A574" s="186" t="s">
        <v>614</v>
      </c>
      <c r="B574" s="186" t="s">
        <v>615</v>
      </c>
      <c r="C574" s="199" t="s">
        <v>616</v>
      </c>
      <c r="D574" s="199" t="s">
        <v>617</v>
      </c>
      <c r="E574" s="203">
        <v>280220</v>
      </c>
      <c r="F574" s="199" t="s">
        <v>674</v>
      </c>
      <c r="G574" s="199" t="s">
        <v>619</v>
      </c>
      <c r="H574" s="187" t="s">
        <v>620</v>
      </c>
      <c r="I574" s="199" t="s">
        <v>627</v>
      </c>
      <c r="J574" s="199" t="s">
        <v>622</v>
      </c>
      <c r="K574" s="199" t="s">
        <v>635</v>
      </c>
      <c r="L574" s="199" t="s">
        <v>218</v>
      </c>
      <c r="M574" s="204" t="s">
        <v>219</v>
      </c>
      <c r="N574" s="199" t="s">
        <v>619</v>
      </c>
      <c r="O574" s="199" t="s">
        <v>619</v>
      </c>
      <c r="P574" s="199">
        <v>1000</v>
      </c>
      <c r="Q574" s="199" t="s">
        <v>626</v>
      </c>
      <c r="R574" s="198">
        <v>9.99</v>
      </c>
      <c r="S574" s="198">
        <f t="shared" si="28"/>
        <v>0.999</v>
      </c>
      <c r="T574" s="198">
        <f>S574*'edible cooking yield factors'!F112</f>
        <v>0.65934000000000004</v>
      </c>
    </row>
    <row r="575" spans="1:20" s="199" customFormat="1" x14ac:dyDescent="0.25">
      <c r="A575" s="186" t="s">
        <v>614</v>
      </c>
      <c r="B575" s="186" t="s">
        <v>615</v>
      </c>
      <c r="C575" s="199" t="s">
        <v>616</v>
      </c>
      <c r="D575" s="199" t="s">
        <v>617</v>
      </c>
      <c r="E575" s="203">
        <v>280220</v>
      </c>
      <c r="F575" s="199" t="s">
        <v>674</v>
      </c>
      <c r="G575" s="199" t="s">
        <v>619</v>
      </c>
      <c r="H575" s="187" t="s">
        <v>620</v>
      </c>
      <c r="I575" s="199" t="s">
        <v>628</v>
      </c>
      <c r="J575" s="199" t="s">
        <v>622</v>
      </c>
      <c r="K575" s="199" t="s">
        <v>635</v>
      </c>
      <c r="L575" s="199" t="s">
        <v>218</v>
      </c>
      <c r="M575" s="204" t="s">
        <v>219</v>
      </c>
      <c r="N575" s="199" t="s">
        <v>619</v>
      </c>
      <c r="O575" s="199" t="s">
        <v>619</v>
      </c>
      <c r="P575" s="199">
        <v>1000</v>
      </c>
      <c r="Q575" s="199" t="s">
        <v>626</v>
      </c>
      <c r="R575" s="198">
        <v>11</v>
      </c>
      <c r="S575" s="198">
        <f t="shared" si="28"/>
        <v>1.1000000000000001</v>
      </c>
      <c r="T575" s="198">
        <f>S575*'edible cooking yield factors'!F112</f>
        <v>0.72600000000000009</v>
      </c>
    </row>
    <row r="576" spans="1:20" s="199" customFormat="1" x14ac:dyDescent="0.25">
      <c r="A576" s="186" t="s">
        <v>614</v>
      </c>
      <c r="B576" s="186" t="s">
        <v>615</v>
      </c>
      <c r="C576" s="199" t="s">
        <v>616</v>
      </c>
      <c r="D576" s="199" t="s">
        <v>617</v>
      </c>
      <c r="E576" s="203">
        <v>280220</v>
      </c>
      <c r="F576" s="199" t="s">
        <v>674</v>
      </c>
      <c r="G576" s="199" t="s">
        <v>619</v>
      </c>
      <c r="H576" s="187" t="s">
        <v>620</v>
      </c>
      <c r="I576" s="199" t="s">
        <v>621</v>
      </c>
      <c r="J576" s="199" t="s">
        <v>622</v>
      </c>
      <c r="K576" s="199" t="s">
        <v>639</v>
      </c>
      <c r="L576" s="199" t="str">
        <f>'common foods'!C39</f>
        <v xml:space="preserve">Taro  </v>
      </c>
      <c r="M576" s="204" t="str">
        <f>'common foods'!D39</f>
        <v>02037</v>
      </c>
      <c r="N576" s="199" t="s">
        <v>619</v>
      </c>
      <c r="O576" s="199" t="s">
        <v>619</v>
      </c>
      <c r="P576" s="199">
        <v>1000</v>
      </c>
      <c r="Q576" s="199" t="s">
        <v>626</v>
      </c>
      <c r="R576" s="198">
        <v>6.99</v>
      </c>
      <c r="S576" s="198">
        <f t="shared" si="28"/>
        <v>0.69900000000000007</v>
      </c>
      <c r="T576" s="198">
        <f>S576*1</f>
        <v>0.69900000000000007</v>
      </c>
    </row>
    <row r="577" spans="1:20" s="199" customFormat="1" x14ac:dyDescent="0.25">
      <c r="A577" s="186" t="s">
        <v>614</v>
      </c>
      <c r="B577" s="186" t="s">
        <v>615</v>
      </c>
      <c r="C577" s="199" t="s">
        <v>616</v>
      </c>
      <c r="D577" s="199" t="s">
        <v>617</v>
      </c>
      <c r="E577" s="203">
        <v>280220</v>
      </c>
      <c r="F577" s="199" t="s">
        <v>674</v>
      </c>
      <c r="G577" s="199" t="s">
        <v>619</v>
      </c>
      <c r="H577" s="187" t="s">
        <v>620</v>
      </c>
      <c r="I577" s="199" t="s">
        <v>627</v>
      </c>
      <c r="J577" s="199" t="s">
        <v>622</v>
      </c>
      <c r="K577" s="199" t="s">
        <v>639</v>
      </c>
      <c r="L577" s="199" t="s">
        <v>90</v>
      </c>
      <c r="M577" s="204" t="s">
        <v>91</v>
      </c>
      <c r="N577" s="199" t="s">
        <v>619</v>
      </c>
      <c r="O577" s="199" t="s">
        <v>619</v>
      </c>
      <c r="P577" s="199">
        <v>1000</v>
      </c>
      <c r="Q577" s="199" t="s">
        <v>754</v>
      </c>
      <c r="R577" s="198">
        <v>6.99</v>
      </c>
      <c r="S577" s="198">
        <f t="shared" si="28"/>
        <v>0.69900000000000007</v>
      </c>
      <c r="T577" s="198">
        <f>S577*'edible cooking yield factors'!F37</f>
        <v>0.66405000000000003</v>
      </c>
    </row>
    <row r="578" spans="1:20" s="199" customFormat="1" x14ac:dyDescent="0.25">
      <c r="A578" s="186" t="s">
        <v>614</v>
      </c>
      <c r="B578" s="186" t="s">
        <v>615</v>
      </c>
      <c r="C578" s="199" t="s">
        <v>616</v>
      </c>
      <c r="D578" s="199" t="s">
        <v>617</v>
      </c>
      <c r="E578" s="203">
        <v>280220</v>
      </c>
      <c r="F578" s="199" t="s">
        <v>674</v>
      </c>
      <c r="G578" s="199" t="s">
        <v>619</v>
      </c>
      <c r="H578" s="187" t="s">
        <v>620</v>
      </c>
      <c r="I578" s="199" t="s">
        <v>628</v>
      </c>
      <c r="J578" s="199" t="s">
        <v>622</v>
      </c>
      <c r="K578" s="199" t="s">
        <v>639</v>
      </c>
      <c r="L578" s="199" t="s">
        <v>90</v>
      </c>
      <c r="M578" s="204" t="s">
        <v>91</v>
      </c>
      <c r="N578" s="199" t="s">
        <v>619</v>
      </c>
      <c r="O578" s="199" t="s">
        <v>619</v>
      </c>
      <c r="P578" s="199" t="s">
        <v>619</v>
      </c>
      <c r="Q578" s="199" t="s">
        <v>619</v>
      </c>
      <c r="R578" s="199" t="s">
        <v>619</v>
      </c>
      <c r="S578" s="199" t="s">
        <v>619</v>
      </c>
      <c r="T578" s="199" t="s">
        <v>619</v>
      </c>
    </row>
    <row r="579" spans="1:20" s="199" customFormat="1" x14ac:dyDescent="0.25">
      <c r="A579" s="186" t="s">
        <v>614</v>
      </c>
      <c r="B579" s="186" t="s">
        <v>615</v>
      </c>
      <c r="C579" s="199" t="s">
        <v>616</v>
      </c>
      <c r="D579" s="199" t="s">
        <v>617</v>
      </c>
      <c r="E579" s="203">
        <v>280220</v>
      </c>
      <c r="F579" s="199" t="s">
        <v>674</v>
      </c>
      <c r="G579" s="199" t="s">
        <v>619</v>
      </c>
      <c r="H579" s="187" t="s">
        <v>755</v>
      </c>
      <c r="I579" s="187" t="s">
        <v>756</v>
      </c>
      <c r="J579" s="199" t="s">
        <v>666</v>
      </c>
      <c r="K579" s="199" t="s">
        <v>639</v>
      </c>
      <c r="L579" s="199" t="str">
        <f>'common foods'!C40</f>
        <v>Taro leaves</v>
      </c>
      <c r="M579" s="204" t="str">
        <f>'common foods'!D40</f>
        <v>02038</v>
      </c>
      <c r="N579" s="199" t="s">
        <v>619</v>
      </c>
      <c r="O579" s="199" t="s">
        <v>619</v>
      </c>
      <c r="P579" s="199">
        <v>406</v>
      </c>
      <c r="Q579" s="199" t="s">
        <v>626</v>
      </c>
      <c r="R579" s="198">
        <v>4</v>
      </c>
      <c r="S579" s="207">
        <f>R579/4.06</f>
        <v>0.98522167487684742</v>
      </c>
      <c r="T579" s="198">
        <f>S579*'edible cooking yield factors'!F38</f>
        <v>0.83743842364532028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223</vt:i4>
      </vt:variant>
    </vt:vector>
  </HeadingPairs>
  <TitlesOfParts>
    <vt:vector size="234" baseType="lpstr">
      <vt:lpstr>common foods</vt:lpstr>
      <vt:lpstr>edible cooking yield factors</vt:lpstr>
      <vt:lpstr>nutrients</vt:lpstr>
      <vt:lpstr>nutrient targets</vt:lpstr>
      <vt:lpstr>Constraints Healthy</vt:lpstr>
      <vt:lpstr>Constraints Current</vt:lpstr>
      <vt:lpstr>Constraints Planetary_F</vt:lpstr>
      <vt:lpstr>Constraints Planetary_V</vt:lpstr>
      <vt:lpstr>food prices</vt:lpstr>
      <vt:lpstr>food prices to use</vt:lpstr>
      <vt:lpstr>food waste</vt:lpstr>
      <vt:lpstr>'nutrient targets'!_GoBack</vt:lpstr>
      <vt:lpstr>'food prices to use'!FL_10_12</vt:lpstr>
      <vt:lpstr>'food prices to use'!FL_100_12</vt:lpstr>
      <vt:lpstr>'food prices to use'!FL_101_12</vt:lpstr>
      <vt:lpstr>'food prices to use'!FL_102_12</vt:lpstr>
      <vt:lpstr>'food prices to use'!FL_103_12</vt:lpstr>
      <vt:lpstr>'food prices to use'!FL_104_12</vt:lpstr>
      <vt:lpstr>'food prices to use'!FL_105_12</vt:lpstr>
      <vt:lpstr>'food prices to use'!FL_106_12</vt:lpstr>
      <vt:lpstr>'food prices to use'!FL_107_12</vt:lpstr>
      <vt:lpstr>'food prices to use'!FL_108_12</vt:lpstr>
      <vt:lpstr>'food prices to use'!FL_109_12</vt:lpstr>
      <vt:lpstr>'food prices to use'!FL_11_12</vt:lpstr>
      <vt:lpstr>'food prices to use'!FL_110_12</vt:lpstr>
      <vt:lpstr>'food prices to use'!FL_111_12</vt:lpstr>
      <vt:lpstr>'food prices to use'!FL_112_12</vt:lpstr>
      <vt:lpstr>'food prices to use'!FL_113_12</vt:lpstr>
      <vt:lpstr>'food prices to use'!FL_114_12</vt:lpstr>
      <vt:lpstr>'food prices to use'!FL_115_12</vt:lpstr>
      <vt:lpstr>'food prices to use'!FL_117_12</vt:lpstr>
      <vt:lpstr>'food prices to use'!FL_118_12</vt:lpstr>
      <vt:lpstr>'food prices to use'!FL_119_12</vt:lpstr>
      <vt:lpstr>'food prices to use'!FL_12_12</vt:lpstr>
      <vt:lpstr>'food prices to use'!FL_120_12</vt:lpstr>
      <vt:lpstr>'food prices to use'!FL_121_12</vt:lpstr>
      <vt:lpstr>'food prices to use'!FL_122_12</vt:lpstr>
      <vt:lpstr>'food prices to use'!FL_123_12</vt:lpstr>
      <vt:lpstr>'food prices to use'!FL_124_12</vt:lpstr>
      <vt:lpstr>'food prices to use'!FL_125_12</vt:lpstr>
      <vt:lpstr>'food prices to use'!FL_126_12</vt:lpstr>
      <vt:lpstr>'food prices to use'!FL_127_12</vt:lpstr>
      <vt:lpstr>'food prices to use'!FL_128_12</vt:lpstr>
      <vt:lpstr>'food prices to use'!FL_129_12</vt:lpstr>
      <vt:lpstr>'food prices to use'!FL_13_12</vt:lpstr>
      <vt:lpstr>'food prices to use'!FL_130_12</vt:lpstr>
      <vt:lpstr>'food prices to use'!FL_132_12</vt:lpstr>
      <vt:lpstr>'food prices to use'!FL_133_12</vt:lpstr>
      <vt:lpstr>'food prices to use'!FL_134_12</vt:lpstr>
      <vt:lpstr>'food prices to use'!FL_135_12</vt:lpstr>
      <vt:lpstr>'food prices to use'!FL_136_12</vt:lpstr>
      <vt:lpstr>'food prices to use'!FL_137_12</vt:lpstr>
      <vt:lpstr>'food prices to use'!FL_138_12</vt:lpstr>
      <vt:lpstr>'food prices to use'!FL_139_12</vt:lpstr>
      <vt:lpstr>'food prices to use'!FL_14_12</vt:lpstr>
      <vt:lpstr>'food prices to use'!FL_140_12</vt:lpstr>
      <vt:lpstr>'food prices to use'!FL_141_12</vt:lpstr>
      <vt:lpstr>'food prices to use'!FL_142_12</vt:lpstr>
      <vt:lpstr>'food prices to use'!FL_143_12</vt:lpstr>
      <vt:lpstr>'food prices to use'!FL_144_12</vt:lpstr>
      <vt:lpstr>'food prices to use'!FL_145_12</vt:lpstr>
      <vt:lpstr>'food prices to use'!FL_146_12</vt:lpstr>
      <vt:lpstr>'food prices to use'!FL_147_12</vt:lpstr>
      <vt:lpstr>'food prices to use'!FL_148_12</vt:lpstr>
      <vt:lpstr>'food prices to use'!FL_149_12</vt:lpstr>
      <vt:lpstr>'food prices to use'!FL_15_12</vt:lpstr>
      <vt:lpstr>'food prices to use'!FL_150_12</vt:lpstr>
      <vt:lpstr>'food prices to use'!FL_151_12</vt:lpstr>
      <vt:lpstr>'food prices to use'!FL_152_12</vt:lpstr>
      <vt:lpstr>'food prices to use'!FL_153_12</vt:lpstr>
      <vt:lpstr>'food prices to use'!FL_154_12</vt:lpstr>
      <vt:lpstr>'food prices to use'!FL_155_12</vt:lpstr>
      <vt:lpstr>'food prices to use'!FL_156_12</vt:lpstr>
      <vt:lpstr>'food prices to use'!FL_158_12</vt:lpstr>
      <vt:lpstr>'food prices to use'!FL_159_12</vt:lpstr>
      <vt:lpstr>'food prices to use'!FL_16_12</vt:lpstr>
      <vt:lpstr>'food prices to use'!FL_160_12</vt:lpstr>
      <vt:lpstr>'food prices to use'!FL_161_12</vt:lpstr>
      <vt:lpstr>'food prices to use'!FL_162_12</vt:lpstr>
      <vt:lpstr>'food prices to use'!FL_163_12</vt:lpstr>
      <vt:lpstr>'food prices to use'!FL_164_12</vt:lpstr>
      <vt:lpstr>'food prices to use'!FL_165_12</vt:lpstr>
      <vt:lpstr>'food prices to use'!FL_166_12</vt:lpstr>
      <vt:lpstr>'food prices to use'!FL_167_12</vt:lpstr>
      <vt:lpstr>'food prices to use'!FL_168_12</vt:lpstr>
      <vt:lpstr>'food prices to use'!FL_169_12</vt:lpstr>
      <vt:lpstr>'food prices to use'!FL_17_12</vt:lpstr>
      <vt:lpstr>'food prices to use'!FL_170_12</vt:lpstr>
      <vt:lpstr>'food prices to use'!FL_171_12</vt:lpstr>
      <vt:lpstr>'food prices to use'!FL_172_12</vt:lpstr>
      <vt:lpstr>'food prices to use'!FL_173_12</vt:lpstr>
      <vt:lpstr>'food prices to use'!FL_174_12</vt:lpstr>
      <vt:lpstr>'food prices to use'!FL_175_12</vt:lpstr>
      <vt:lpstr>'food prices to use'!FL_176_12</vt:lpstr>
      <vt:lpstr>'food prices to use'!FL_177_12</vt:lpstr>
      <vt:lpstr>'food prices to use'!FL_178_12</vt:lpstr>
      <vt:lpstr>'food prices to use'!FL_179_12</vt:lpstr>
      <vt:lpstr>'food prices to use'!FL_18_12</vt:lpstr>
      <vt:lpstr>'food prices to use'!FL_180_12</vt:lpstr>
      <vt:lpstr>'food prices to use'!FL_181_12</vt:lpstr>
      <vt:lpstr>'food prices to use'!FL_182_12</vt:lpstr>
      <vt:lpstr>'food prices to use'!FL_183_12</vt:lpstr>
      <vt:lpstr>'food prices to use'!FL_184_12</vt:lpstr>
      <vt:lpstr>'food prices to use'!FL_185_12</vt:lpstr>
      <vt:lpstr>'food prices to use'!FL_186_12</vt:lpstr>
      <vt:lpstr>'food prices to use'!FL_187_12</vt:lpstr>
      <vt:lpstr>'food prices to use'!FL_189_12</vt:lpstr>
      <vt:lpstr>'food prices to use'!FL_19_12</vt:lpstr>
      <vt:lpstr>'food prices to use'!FL_190_12</vt:lpstr>
      <vt:lpstr>'food prices to use'!FL_191_12</vt:lpstr>
      <vt:lpstr>'food prices to use'!FL_192_12</vt:lpstr>
      <vt:lpstr>'food prices to use'!FL_193_12</vt:lpstr>
      <vt:lpstr>'food prices to use'!FL_194_12</vt:lpstr>
      <vt:lpstr>'food prices to use'!FL_195_12</vt:lpstr>
      <vt:lpstr>'food prices to use'!FL_196_12</vt:lpstr>
      <vt:lpstr>'food prices to use'!FL_197_12</vt:lpstr>
      <vt:lpstr>'food prices to use'!FL_198_12</vt:lpstr>
      <vt:lpstr>'food prices to use'!FL_199_12</vt:lpstr>
      <vt:lpstr>'food prices to use'!FL_20_12</vt:lpstr>
      <vt:lpstr>'food prices to use'!FL_200_12</vt:lpstr>
      <vt:lpstr>'food prices to use'!FL_201_12</vt:lpstr>
      <vt:lpstr>'food prices to use'!FL_202_12</vt:lpstr>
      <vt:lpstr>'food prices to use'!FL_203_12</vt:lpstr>
      <vt:lpstr>'food prices to use'!FL_204_12</vt:lpstr>
      <vt:lpstr>'food prices to use'!FL_205_12</vt:lpstr>
      <vt:lpstr>'food prices to use'!FL_206_12</vt:lpstr>
      <vt:lpstr>'food prices to use'!FL_207_12</vt:lpstr>
      <vt:lpstr>'food prices to use'!FL_208_12</vt:lpstr>
      <vt:lpstr>'food prices to use'!FL_209_12</vt:lpstr>
      <vt:lpstr>'food prices to use'!FL_21_12</vt:lpstr>
      <vt:lpstr>'food prices to use'!FL_210_12</vt:lpstr>
      <vt:lpstr>'food prices to use'!FL_211_12</vt:lpstr>
      <vt:lpstr>'food prices to use'!FL_212_12</vt:lpstr>
      <vt:lpstr>'food prices to use'!FL_213_12</vt:lpstr>
      <vt:lpstr>'food prices to use'!FL_214_12</vt:lpstr>
      <vt:lpstr>'food prices to use'!FL_215_12</vt:lpstr>
      <vt:lpstr>'food prices to use'!FL_216_12</vt:lpstr>
      <vt:lpstr>'food prices to use'!FL_217_12</vt:lpstr>
      <vt:lpstr>'food prices to use'!FL_218_12</vt:lpstr>
      <vt:lpstr>'food prices to use'!FL_219_12</vt:lpstr>
      <vt:lpstr>'food prices to use'!FL_22_12</vt:lpstr>
      <vt:lpstr>'food prices to use'!FL_220_12</vt:lpstr>
      <vt:lpstr>'food prices to use'!FL_221_12</vt:lpstr>
      <vt:lpstr>'food prices to use'!FL_222_12</vt:lpstr>
      <vt:lpstr>'food prices to use'!FL_223_12</vt:lpstr>
      <vt:lpstr>'food prices to use'!FL_224_12</vt:lpstr>
      <vt:lpstr>'food prices to use'!FL_225_12</vt:lpstr>
      <vt:lpstr>'food prices to use'!FL_226_12</vt:lpstr>
      <vt:lpstr>'food prices to use'!FL_227_12</vt:lpstr>
      <vt:lpstr>'food prices to use'!FL_228_12</vt:lpstr>
      <vt:lpstr>'food prices to use'!FL_229_12</vt:lpstr>
      <vt:lpstr>'food prices to use'!FL_23_12</vt:lpstr>
      <vt:lpstr>'food prices to use'!FL_230_12</vt:lpstr>
      <vt:lpstr>'food prices to use'!FL_231_12</vt:lpstr>
      <vt:lpstr>'food prices to use'!FL_232_12</vt:lpstr>
      <vt:lpstr>'food prices to use'!FL_233_12</vt:lpstr>
      <vt:lpstr>'food prices to use'!FL_234_12</vt:lpstr>
      <vt:lpstr>'food prices to use'!FL_235_12</vt:lpstr>
      <vt:lpstr>'food prices to use'!FL_236_12</vt:lpstr>
      <vt:lpstr>'food prices to use'!FL_237_12</vt:lpstr>
      <vt:lpstr>'food prices to use'!FL_238_12</vt:lpstr>
      <vt:lpstr>'food prices to use'!FL_239_12</vt:lpstr>
      <vt:lpstr>'food prices to use'!FL_240_12</vt:lpstr>
      <vt:lpstr>'food prices to use'!FL_241_12</vt:lpstr>
      <vt:lpstr>'food prices to use'!FL_242_12</vt:lpstr>
      <vt:lpstr>'food prices to use'!FL_243_12</vt:lpstr>
      <vt:lpstr>'food prices to use'!FL_244_12</vt:lpstr>
      <vt:lpstr>'food prices to use'!FL_245_12</vt:lpstr>
      <vt:lpstr>'food prices to use'!FL_246_12</vt:lpstr>
      <vt:lpstr>'food prices to use'!FL_247_12</vt:lpstr>
      <vt:lpstr>'food prices to use'!FL_25_12</vt:lpstr>
      <vt:lpstr>'food prices to use'!FL_26_12</vt:lpstr>
      <vt:lpstr>'food prices to use'!FL_27_12</vt:lpstr>
      <vt:lpstr>'food prices to use'!FL_28_12</vt:lpstr>
      <vt:lpstr>'food prices to use'!FL_29_12</vt:lpstr>
      <vt:lpstr>'food prices to use'!FL_3_12</vt:lpstr>
      <vt:lpstr>'food prices to use'!FL_31_12</vt:lpstr>
      <vt:lpstr>'food prices to use'!FL_32_12</vt:lpstr>
      <vt:lpstr>'food prices to use'!FL_33_12</vt:lpstr>
      <vt:lpstr>'food prices to use'!FL_35_12</vt:lpstr>
      <vt:lpstr>'food prices to use'!FL_36_12</vt:lpstr>
      <vt:lpstr>'food prices to use'!FL_37_12</vt:lpstr>
      <vt:lpstr>'food prices to use'!FL_38_12</vt:lpstr>
      <vt:lpstr>'food prices to use'!FL_39_12</vt:lpstr>
      <vt:lpstr>'food prices to use'!FL_4_12</vt:lpstr>
      <vt:lpstr>'food prices to use'!FL_40_12</vt:lpstr>
      <vt:lpstr>'food prices to use'!FL_41_12</vt:lpstr>
      <vt:lpstr>'food prices to use'!FL_42_12</vt:lpstr>
      <vt:lpstr>'food prices to use'!FL_44_12</vt:lpstr>
      <vt:lpstr>'food prices to use'!FL_45_12</vt:lpstr>
      <vt:lpstr>'food prices to use'!FL_46_12</vt:lpstr>
      <vt:lpstr>'food prices to use'!FL_48_12</vt:lpstr>
      <vt:lpstr>'food prices to use'!FL_49_12</vt:lpstr>
      <vt:lpstr>'food prices to use'!FL_5_12</vt:lpstr>
      <vt:lpstr>'food prices to use'!FL_50_12</vt:lpstr>
      <vt:lpstr>'food prices to use'!FL_52_12</vt:lpstr>
      <vt:lpstr>'food prices to use'!FL_53_12</vt:lpstr>
      <vt:lpstr>'food prices to use'!FL_54_12</vt:lpstr>
      <vt:lpstr>'food prices to use'!FL_56_12</vt:lpstr>
      <vt:lpstr>'food prices to use'!FL_57_12</vt:lpstr>
      <vt:lpstr>'food prices to use'!FL_6_12</vt:lpstr>
      <vt:lpstr>'food prices to use'!FL_62_12</vt:lpstr>
      <vt:lpstr>'food prices to use'!FL_63_12</vt:lpstr>
      <vt:lpstr>'food prices to use'!FL_65_12</vt:lpstr>
      <vt:lpstr>'food prices to use'!FL_66_12</vt:lpstr>
      <vt:lpstr>'food prices to use'!FL_67_12</vt:lpstr>
      <vt:lpstr>'food prices to use'!FL_7_12</vt:lpstr>
      <vt:lpstr>'food prices to use'!FL_72_12</vt:lpstr>
      <vt:lpstr>'food prices to use'!FL_74_12</vt:lpstr>
      <vt:lpstr>'food prices to use'!FL_75_12</vt:lpstr>
      <vt:lpstr>'food prices to use'!FL_76_12</vt:lpstr>
      <vt:lpstr>'food prices to use'!FL_77_12</vt:lpstr>
      <vt:lpstr>'food prices to use'!FL_78_12</vt:lpstr>
      <vt:lpstr>'food prices to use'!FL_79_12</vt:lpstr>
      <vt:lpstr>'food prices to use'!FL_80_12</vt:lpstr>
      <vt:lpstr>'food prices to use'!FL_82_12</vt:lpstr>
      <vt:lpstr>'food prices to use'!FL_83_12</vt:lpstr>
      <vt:lpstr>'food prices to use'!FL_84_12</vt:lpstr>
      <vt:lpstr>'food prices to use'!FL_85_12</vt:lpstr>
      <vt:lpstr>'food prices to use'!FL_86_12</vt:lpstr>
      <vt:lpstr>'food prices to use'!FL_87_12</vt:lpstr>
      <vt:lpstr>'food prices to use'!FL_88_12</vt:lpstr>
      <vt:lpstr>'food prices to use'!FL_89_12</vt:lpstr>
      <vt:lpstr>'food prices to use'!FL_9_12</vt:lpstr>
      <vt:lpstr>'food prices to use'!FL_90_12</vt:lpstr>
      <vt:lpstr>'food prices to use'!FL_91_12</vt:lpstr>
      <vt:lpstr>'food prices to use'!FL_92_12</vt:lpstr>
      <vt:lpstr>'food prices to use'!FL_93_12</vt:lpstr>
      <vt:lpstr>'food prices to use'!FL_94_12</vt:lpstr>
      <vt:lpstr>'food prices to use'!FL_95_12</vt:lpstr>
      <vt:lpstr>'food prices to use'!FL_96_12</vt:lpstr>
      <vt:lpstr>'food prices to use'!FL_97_12</vt:lpstr>
      <vt:lpstr>'food prices to use'!FL_98_12</vt:lpstr>
      <vt:lpstr>'food prices to use'!FL_99_12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dc:description/>
  <cp:lastModifiedBy>Bruce Kidd</cp:lastModifiedBy>
  <cp:revision>6</cp:revision>
  <cp:lastPrinted>2019-10-24T00:12:33Z</cp:lastPrinted>
  <dcterms:created xsi:type="dcterms:W3CDTF">2016-04-18T02:49:41Z</dcterms:created>
  <dcterms:modified xsi:type="dcterms:W3CDTF">2020-03-12T03:42:36Z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