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0783f96c4c0e/Documents/"/>
    </mc:Choice>
  </mc:AlternateContent>
  <xr:revisionPtr revIDLastSave="16" documentId="8_{543767AA-EEA9-43F0-99CB-AAFEA8C30574}" xr6:coauthVersionLast="36" xr6:coauthVersionMax="36" xr10:uidLastSave="{ED49D4BF-CCB5-40EE-BCB1-5E77957A22A6}"/>
  <bookViews>
    <workbookView xWindow="0" yWindow="0" windowWidth="23040" windowHeight="8940" xr2:uid="{6C165787-D598-42CE-B643-117172124F51}"/>
  </bookViews>
  <sheets>
    <sheet name="TAMO" sheetId="3" r:id="rId1"/>
    <sheet name="Tata steel statements " sheetId="1" r:id="rId2"/>
    <sheet name="Forecasting" sheetId="4" r:id="rId3"/>
    <sheet name="DCF Modelling " sheetId="5" r:id="rId4"/>
    <sheet name="Intrisic Growth" sheetId="6" r:id="rId5"/>
  </sheets>
  <externalReferences>
    <externalReference r:id="rId6"/>
    <externalReference r:id="rId7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B9" i="6"/>
  <c r="G9" i="6"/>
  <c r="H9" i="6"/>
  <c r="H13" i="6" s="1"/>
  <c r="I9" i="6"/>
  <c r="J9" i="6"/>
  <c r="K9" i="6"/>
  <c r="B10" i="6"/>
  <c r="G10" i="6"/>
  <c r="H10" i="6"/>
  <c r="I10" i="6"/>
  <c r="J10" i="6"/>
  <c r="J13" i="6" s="1"/>
  <c r="K10" i="6"/>
  <c r="B11" i="6"/>
  <c r="G11" i="6"/>
  <c r="H11" i="6"/>
  <c r="I11" i="6"/>
  <c r="J11" i="6"/>
  <c r="K11" i="6"/>
  <c r="B12" i="6"/>
  <c r="G12" i="6"/>
  <c r="H12" i="6"/>
  <c r="I12" i="6"/>
  <c r="J12" i="6"/>
  <c r="K12" i="6"/>
  <c r="B16" i="6"/>
  <c r="G16" i="6"/>
  <c r="H16" i="6"/>
  <c r="I16" i="6"/>
  <c r="J16" i="6"/>
  <c r="K16" i="6"/>
  <c r="B17" i="6"/>
  <c r="G17" i="6"/>
  <c r="H17" i="6"/>
  <c r="I17" i="6"/>
  <c r="J17" i="6"/>
  <c r="K17" i="6"/>
  <c r="B18" i="6"/>
  <c r="G18" i="6"/>
  <c r="H18" i="6"/>
  <c r="I18" i="6"/>
  <c r="J18" i="6"/>
  <c r="K18" i="6"/>
  <c r="G19" i="6"/>
  <c r="I19" i="6"/>
  <c r="K19" i="6"/>
  <c r="B24" i="6"/>
  <c r="G24" i="6"/>
  <c r="H24" i="6"/>
  <c r="I24" i="6"/>
  <c r="I33" i="6" s="1"/>
  <c r="I35" i="6" s="1"/>
  <c r="J24" i="6"/>
  <c r="K24" i="6"/>
  <c r="B25" i="6"/>
  <c r="G25" i="6"/>
  <c r="G33" i="6" s="1"/>
  <c r="G35" i="6" s="1"/>
  <c r="H25" i="6"/>
  <c r="I25" i="6"/>
  <c r="J25" i="6"/>
  <c r="K25" i="6"/>
  <c r="K33" i="6" s="1"/>
  <c r="K35" i="6" s="1"/>
  <c r="B26" i="6"/>
  <c r="G26" i="6"/>
  <c r="H26" i="6"/>
  <c r="I26" i="6"/>
  <c r="J26" i="6"/>
  <c r="K26" i="6"/>
  <c r="B27" i="6"/>
  <c r="G27" i="6"/>
  <c r="H27" i="6"/>
  <c r="I27" i="6"/>
  <c r="J27" i="6"/>
  <c r="K27" i="6"/>
  <c r="B28" i="6"/>
  <c r="G28" i="6"/>
  <c r="H28" i="6"/>
  <c r="I28" i="6"/>
  <c r="J28" i="6"/>
  <c r="K28" i="6"/>
  <c r="B29" i="6"/>
  <c r="G29" i="6"/>
  <c r="H29" i="6"/>
  <c r="I29" i="6"/>
  <c r="J29" i="6"/>
  <c r="K29" i="6"/>
  <c r="B30" i="6"/>
  <c r="G30" i="6"/>
  <c r="H30" i="6"/>
  <c r="I30" i="6"/>
  <c r="J30" i="6"/>
  <c r="K30" i="6"/>
  <c r="B31" i="6"/>
  <c r="G31" i="6"/>
  <c r="H31" i="6"/>
  <c r="I31" i="6"/>
  <c r="J31" i="6"/>
  <c r="K31" i="6"/>
  <c r="G34" i="6"/>
  <c r="H34" i="6"/>
  <c r="I34" i="6"/>
  <c r="J34" i="6"/>
  <c r="K34" i="6"/>
  <c r="G38" i="6"/>
  <c r="H38" i="6"/>
  <c r="I38" i="6"/>
  <c r="J38" i="6"/>
  <c r="K38" i="6"/>
  <c r="G43" i="6"/>
  <c r="H43" i="6"/>
  <c r="I43" i="6"/>
  <c r="J43" i="6"/>
  <c r="K43" i="6"/>
  <c r="G45" i="6"/>
  <c r="H45" i="6"/>
  <c r="I45" i="6"/>
  <c r="J45" i="6"/>
  <c r="K45" i="6"/>
  <c r="G48" i="6"/>
  <c r="G50" i="6" s="1"/>
  <c r="H48" i="6"/>
  <c r="I48" i="6"/>
  <c r="I50" i="6" s="1"/>
  <c r="J48" i="6"/>
  <c r="J50" i="6" s="1"/>
  <c r="K48" i="6"/>
  <c r="K50" i="6" s="1"/>
  <c r="H50" i="6"/>
  <c r="G59" i="6"/>
  <c r="H59" i="6"/>
  <c r="I59" i="6"/>
  <c r="J59" i="6"/>
  <c r="K59" i="6"/>
  <c r="G37" i="6" l="1"/>
  <c r="G40" i="6" s="1"/>
  <c r="J19" i="6"/>
  <c r="J21" i="6" s="1"/>
  <c r="H33" i="6"/>
  <c r="H35" i="6" s="1"/>
  <c r="K13" i="6"/>
  <c r="K21" i="6" s="1"/>
  <c r="K37" i="6" s="1"/>
  <c r="K40" i="6" s="1"/>
  <c r="K62" i="6" s="1"/>
  <c r="G13" i="6"/>
  <c r="G21" i="6" s="1"/>
  <c r="H19" i="6"/>
  <c r="H21" i="6" s="1"/>
  <c r="H46" i="6" s="1"/>
  <c r="H52" i="6" s="1"/>
  <c r="H54" i="6" s="1"/>
  <c r="H61" i="6" s="1"/>
  <c r="J33" i="6"/>
  <c r="J35" i="6" s="1"/>
  <c r="J37" i="6" s="1"/>
  <c r="J40" i="6" s="1"/>
  <c r="J62" i="6" s="1"/>
  <c r="I13" i="6"/>
  <c r="I21" i="6" s="1"/>
  <c r="I46" i="6" s="1"/>
  <c r="I52" i="6" s="1"/>
  <c r="I54" i="6" s="1"/>
  <c r="I61" i="6" s="1"/>
  <c r="H37" i="6"/>
  <c r="H40" i="6" s="1"/>
  <c r="H62" i="6" s="1"/>
  <c r="K46" i="6"/>
  <c r="K52" i="6" s="1"/>
  <c r="K54" i="6" s="1"/>
  <c r="K61" i="6" s="1"/>
  <c r="J46" i="6" l="1"/>
  <c r="J52" i="6" s="1"/>
  <c r="J54" i="6" s="1"/>
  <c r="J61" i="6" s="1"/>
  <c r="J64" i="6" s="1"/>
  <c r="I37" i="6"/>
  <c r="I40" i="6" s="1"/>
  <c r="I62" i="6" s="1"/>
  <c r="K64" i="6"/>
  <c r="K56" i="6"/>
  <c r="H64" i="6"/>
  <c r="I64" i="6"/>
  <c r="K57" i="6"/>
  <c r="K66" i="6" l="1"/>
  <c r="K67" i="6"/>
  <c r="G14" i="5" l="1"/>
  <c r="H14" i="5"/>
  <c r="J14" i="5"/>
  <c r="G15" i="5"/>
  <c r="H15" i="5"/>
  <c r="J15" i="5"/>
  <c r="G16" i="5"/>
  <c r="J16" i="5" s="1"/>
  <c r="H16" i="5"/>
  <c r="G17" i="5"/>
  <c r="J17" i="5" s="1"/>
  <c r="H17" i="5"/>
  <c r="H20" i="5" s="1"/>
  <c r="G18" i="5"/>
  <c r="H18" i="5"/>
  <c r="J18" i="5"/>
  <c r="F20" i="5"/>
  <c r="I20" i="5"/>
  <c r="F21" i="5"/>
  <c r="H21" i="5"/>
  <c r="I21" i="5"/>
  <c r="E28" i="5"/>
  <c r="I42" i="5" s="1"/>
  <c r="J36" i="5"/>
  <c r="C37" i="5"/>
  <c r="D36" i="5" s="1"/>
  <c r="J42" i="5"/>
  <c r="B2" i="4"/>
  <c r="G2" i="4"/>
  <c r="L2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D4" i="4" a="1"/>
  <c r="D4" i="4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I4" i="4" a="1"/>
  <c r="I5" i="4" s="1"/>
  <c r="M4" i="4"/>
  <c r="N4" i="4" a="1"/>
  <c r="N5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G5" i="4"/>
  <c r="L5" i="4"/>
  <c r="M5" i="4"/>
  <c r="G6" i="4"/>
  <c r="L6" i="4"/>
  <c r="M6" i="4"/>
  <c r="G7" i="4"/>
  <c r="L7" i="4"/>
  <c r="M7" i="4"/>
  <c r="G8" i="4"/>
  <c r="L8" i="4"/>
  <c r="M8" i="4"/>
  <c r="G9" i="4"/>
  <c r="L9" i="4"/>
  <c r="M9" i="4"/>
  <c r="G10" i="4"/>
  <c r="L10" i="4"/>
  <c r="M10" i="4"/>
  <c r="G11" i="4"/>
  <c r="L11" i="4"/>
  <c r="M11" i="4"/>
  <c r="G12" i="4"/>
  <c r="L12" i="4"/>
  <c r="M12" i="4"/>
  <c r="G13" i="4"/>
  <c r="L13" i="4"/>
  <c r="M13" i="4"/>
  <c r="G14" i="4"/>
  <c r="L14" i="4"/>
  <c r="M14" i="4"/>
  <c r="G15" i="4"/>
  <c r="M15" i="4"/>
  <c r="M16" i="4" s="1"/>
  <c r="M17" i="4" s="1"/>
  <c r="M18" i="4" s="1"/>
  <c r="G16" i="4"/>
  <c r="G17" i="4"/>
  <c r="G18" i="4"/>
  <c r="J20" i="5" l="1"/>
  <c r="D35" i="5"/>
  <c r="D39" i="5" s="1"/>
  <c r="G21" i="5"/>
  <c r="J21" i="5"/>
  <c r="J34" i="5" s="1"/>
  <c r="G20" i="5"/>
  <c r="D37" i="5"/>
  <c r="E37" i="5" s="1"/>
  <c r="E36" i="5" s="1"/>
  <c r="B15" i="4"/>
  <c r="L15" i="4"/>
  <c r="I4" i="4"/>
  <c r="N4" i="4"/>
  <c r="N13" i="4"/>
  <c r="I13" i="4"/>
  <c r="D13" i="4"/>
  <c r="E13" i="4" s="1"/>
  <c r="N12" i="4"/>
  <c r="I12" i="4"/>
  <c r="D12" i="4"/>
  <c r="N11" i="4"/>
  <c r="O11" i="4" s="1"/>
  <c r="I11" i="4"/>
  <c r="D11" i="4"/>
  <c r="N10" i="4"/>
  <c r="I10" i="4"/>
  <c r="J10" i="4" s="1"/>
  <c r="D10" i="4"/>
  <c r="N9" i="4"/>
  <c r="I9" i="4"/>
  <c r="D9" i="4"/>
  <c r="E9" i="4" s="1"/>
  <c r="N8" i="4"/>
  <c r="I8" i="4"/>
  <c r="D8" i="4"/>
  <c r="N7" i="4"/>
  <c r="O7" i="4" s="1"/>
  <c r="I7" i="4"/>
  <c r="I16" i="4" s="1"/>
  <c r="D7" i="4"/>
  <c r="N6" i="4"/>
  <c r="O6" i="4" s="1"/>
  <c r="I6" i="4"/>
  <c r="J6" i="4" s="1"/>
  <c r="D6" i="4"/>
  <c r="D5" i="4"/>
  <c r="E5" i="4" s="1"/>
  <c r="E6" i="4" l="1"/>
  <c r="N14" i="4"/>
  <c r="O14" i="4" s="1"/>
  <c r="I18" i="4"/>
  <c r="E8" i="4"/>
  <c r="J9" i="4"/>
  <c r="O10" i="4"/>
  <c r="E12" i="4"/>
  <c r="J13" i="4"/>
  <c r="E39" i="5"/>
  <c r="J35" i="5" s="1"/>
  <c r="J37" i="5" s="1"/>
  <c r="J28" i="5" s="1"/>
  <c r="J29" i="5" s="1"/>
  <c r="I43" i="5" s="1"/>
  <c r="J44" i="5" s="1"/>
  <c r="J43" i="5"/>
  <c r="J16" i="4"/>
  <c r="N15" i="4"/>
  <c r="O15" i="4" s="1"/>
  <c r="L16" i="4"/>
  <c r="I15" i="4"/>
  <c r="J5" i="4"/>
  <c r="E7" i="4"/>
  <c r="J8" i="4"/>
  <c r="O9" i="4"/>
  <c r="E11" i="4"/>
  <c r="J12" i="4"/>
  <c r="O13" i="4"/>
  <c r="O5" i="4"/>
  <c r="D15" i="4"/>
  <c r="B16" i="4"/>
  <c r="I14" i="4"/>
  <c r="J14" i="4" s="1"/>
  <c r="I17" i="4"/>
  <c r="J17" i="4" s="1"/>
  <c r="J7" i="4"/>
  <c r="O8" i="4"/>
  <c r="E10" i="4"/>
  <c r="J11" i="4"/>
  <c r="O12" i="4"/>
  <c r="D14" i="4"/>
  <c r="E14" i="4" s="1"/>
  <c r="N16" i="4" l="1"/>
  <c r="O16" i="4" s="1"/>
  <c r="L17" i="4"/>
  <c r="D16" i="4"/>
  <c r="E16" i="4" s="1"/>
  <c r="B17" i="4"/>
  <c r="E15" i="4"/>
  <c r="J15" i="4"/>
  <c r="J18" i="4"/>
  <c r="D17" i="4" l="1"/>
  <c r="E17" i="4" s="1"/>
  <c r="B18" i="4"/>
  <c r="D18" i="4" s="1"/>
  <c r="L18" i="4"/>
  <c r="N18" i="4" s="1"/>
  <c r="N17" i="4"/>
  <c r="O17" i="4" s="1"/>
  <c r="E18" i="4" l="1"/>
  <c r="O18" i="4"/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E4" i="3"/>
  <c r="E5" i="3"/>
  <c r="E6" i="3"/>
  <c r="E7" i="3"/>
  <c r="E8" i="3"/>
  <c r="E9" i="3"/>
  <c r="E10" i="3"/>
  <c r="E11" i="3"/>
  <c r="E12" i="3"/>
  <c r="E13" i="3"/>
  <c r="E14" i="3"/>
  <c r="D15" i="3" l="1"/>
  <c r="E15" i="3" s="1"/>
  <c r="B16" i="3"/>
  <c r="D16" i="3" l="1"/>
  <c r="E16" i="3" s="1"/>
  <c r="B17" i="3"/>
  <c r="D17" i="3" l="1"/>
  <c r="E17" i="3" s="1"/>
  <c r="B18" i="3"/>
  <c r="D18" i="3" l="1"/>
  <c r="E18" i="3" s="1"/>
  <c r="B19" i="3"/>
  <c r="D19" i="3" s="1"/>
  <c r="E19" i="3" s="1"/>
  <c r="E6" i="1" l="1"/>
  <c r="F6" i="1" s="1"/>
  <c r="G6" i="1" s="1"/>
  <c r="H6" i="1" s="1"/>
  <c r="I6" i="1" s="1"/>
  <c r="J6" i="1" s="1"/>
  <c r="B8" i="1"/>
  <c r="F9" i="1"/>
  <c r="G9" i="1" s="1"/>
  <c r="D11" i="1"/>
  <c r="D13" i="1" s="1"/>
  <c r="E11" i="1"/>
  <c r="E31" i="1" s="1"/>
  <c r="F12" i="1"/>
  <c r="G12" i="1"/>
  <c r="G45" i="1" s="1"/>
  <c r="H12" i="1"/>
  <c r="H45" i="1" s="1"/>
  <c r="I12" i="1"/>
  <c r="I45" i="1" s="1"/>
  <c r="J12" i="1"/>
  <c r="J45" i="1" s="1"/>
  <c r="F14" i="1"/>
  <c r="F34" i="1" s="1"/>
  <c r="F15" i="1"/>
  <c r="F48" i="1" s="1"/>
  <c r="G15" i="1"/>
  <c r="G48" i="1" s="1"/>
  <c r="H15" i="1"/>
  <c r="I15" i="1"/>
  <c r="J15" i="1"/>
  <c r="J48" i="1" s="1"/>
  <c r="B20" i="1"/>
  <c r="E21" i="1"/>
  <c r="D22" i="1"/>
  <c r="E22" i="1"/>
  <c r="D23" i="1"/>
  <c r="E23" i="1"/>
  <c r="D24" i="1"/>
  <c r="E24" i="1"/>
  <c r="D25" i="1"/>
  <c r="E25" i="1"/>
  <c r="B28" i="1"/>
  <c r="D29" i="1"/>
  <c r="E29" i="1"/>
  <c r="F29" i="1"/>
  <c r="D30" i="1"/>
  <c r="E30" i="1"/>
  <c r="D31" i="1"/>
  <c r="D32" i="1"/>
  <c r="E32" i="1"/>
  <c r="D34" i="1"/>
  <c r="E34" i="1"/>
  <c r="D35" i="1"/>
  <c r="E35" i="1"/>
  <c r="D37" i="1"/>
  <c r="E37" i="1"/>
  <c r="B40" i="1"/>
  <c r="D42" i="1"/>
  <c r="E42" i="1"/>
  <c r="D43" i="1"/>
  <c r="E43" i="1"/>
  <c r="D44" i="1"/>
  <c r="E44" i="1"/>
  <c r="D45" i="1"/>
  <c r="E45" i="1"/>
  <c r="D47" i="1"/>
  <c r="E47" i="1"/>
  <c r="F47" i="1"/>
  <c r="D48" i="1"/>
  <c r="E48" i="1"/>
  <c r="H48" i="1"/>
  <c r="I48" i="1"/>
  <c r="D50" i="1"/>
  <c r="E50" i="1"/>
  <c r="E13" i="1" l="1"/>
  <c r="E33" i="1" s="1"/>
  <c r="G29" i="1"/>
  <c r="G14" i="1"/>
  <c r="G10" i="1"/>
  <c r="G42" i="1"/>
  <c r="F42" i="1"/>
  <c r="F32" i="1"/>
  <c r="F10" i="1"/>
  <c r="F45" i="1"/>
  <c r="D46" i="1"/>
  <c r="D16" i="1"/>
  <c r="H9" i="1"/>
  <c r="G35" i="1"/>
  <c r="E16" i="1"/>
  <c r="E46" i="1"/>
  <c r="F35" i="1"/>
  <c r="D33" i="1"/>
  <c r="G32" i="1"/>
  <c r="F11" i="1" l="1"/>
  <c r="F43" i="1"/>
  <c r="F30" i="1"/>
  <c r="G11" i="1"/>
  <c r="G43" i="1"/>
  <c r="G47" i="1"/>
  <c r="G34" i="1"/>
  <c r="G30" i="1"/>
  <c r="H42" i="1"/>
  <c r="H32" i="1"/>
  <c r="H35" i="1"/>
  <c r="H10" i="1"/>
  <c r="H14" i="1"/>
  <c r="I9" i="1"/>
  <c r="H29" i="1"/>
  <c r="D49" i="1"/>
  <c r="D18" i="1"/>
  <c r="D36" i="1"/>
  <c r="E18" i="1"/>
  <c r="E49" i="1"/>
  <c r="E36" i="1"/>
  <c r="G31" i="1" l="1"/>
  <c r="G13" i="1"/>
  <c r="G44" i="1"/>
  <c r="F13" i="1"/>
  <c r="F44" i="1"/>
  <c r="F31" i="1"/>
  <c r="I29" i="1"/>
  <c r="I10" i="1"/>
  <c r="I11" i="1" s="1"/>
  <c r="I31" i="1" s="1"/>
  <c r="I35" i="1"/>
  <c r="I14" i="1"/>
  <c r="I42" i="1"/>
  <c r="J9" i="1"/>
  <c r="I32" i="1"/>
  <c r="D38" i="1"/>
  <c r="D51" i="1"/>
  <c r="H34" i="1"/>
  <c r="H47" i="1"/>
  <c r="H43" i="1"/>
  <c r="H30" i="1"/>
  <c r="H11" i="1"/>
  <c r="E51" i="1"/>
  <c r="E38" i="1"/>
  <c r="F16" i="1" l="1"/>
  <c r="F33" i="1"/>
  <c r="F46" i="1"/>
  <c r="G33" i="1"/>
  <c r="G16" i="1"/>
  <c r="G46" i="1"/>
  <c r="I13" i="1"/>
  <c r="I16" i="1" s="1"/>
  <c r="H31" i="1"/>
  <c r="H13" i="1"/>
  <c r="H44" i="1"/>
  <c r="J32" i="1"/>
  <c r="J35" i="1"/>
  <c r="J42" i="1"/>
  <c r="J29" i="1"/>
  <c r="J10" i="1"/>
  <c r="J11" i="1" s="1"/>
  <c r="J14" i="1"/>
  <c r="I30" i="1"/>
  <c r="I43" i="1"/>
  <c r="I44" i="1"/>
  <c r="I47" i="1"/>
  <c r="I34" i="1"/>
  <c r="I46" i="1"/>
  <c r="I33" i="1"/>
  <c r="G49" i="1" l="1"/>
  <c r="G36" i="1"/>
  <c r="G17" i="1"/>
  <c r="F36" i="1"/>
  <c r="F17" i="1"/>
  <c r="F49" i="1"/>
  <c r="J13" i="1"/>
  <c r="J44" i="1"/>
  <c r="J31" i="1"/>
  <c r="H16" i="1"/>
  <c r="H46" i="1"/>
  <c r="H33" i="1"/>
  <c r="J47" i="1"/>
  <c r="J34" i="1"/>
  <c r="J43" i="1"/>
  <c r="J30" i="1"/>
  <c r="I17" i="1"/>
  <c r="I18" i="1" s="1"/>
  <c r="I49" i="1"/>
  <c r="I36" i="1"/>
  <c r="G18" i="1" l="1"/>
  <c r="G50" i="1"/>
  <c r="G37" i="1"/>
  <c r="F18" i="1"/>
  <c r="F37" i="1"/>
  <c r="F50" i="1"/>
  <c r="H49" i="1"/>
  <c r="H36" i="1"/>
  <c r="H17" i="1"/>
  <c r="J33" i="1"/>
  <c r="J16" i="1"/>
  <c r="J46" i="1"/>
  <c r="I50" i="1"/>
  <c r="I37" i="1"/>
  <c r="I51" i="1"/>
  <c r="I38" i="1"/>
  <c r="F51" i="1" l="1"/>
  <c r="F38" i="1"/>
  <c r="G38" i="1"/>
  <c r="G51" i="1"/>
  <c r="H50" i="1"/>
  <c r="H37" i="1"/>
  <c r="J36" i="1"/>
  <c r="J49" i="1"/>
  <c r="J17" i="1"/>
  <c r="H18" i="1"/>
  <c r="H38" i="1" l="1"/>
  <c r="H51" i="1"/>
  <c r="J37" i="1"/>
  <c r="J50" i="1"/>
  <c r="J18" i="1"/>
  <c r="J38" i="1" l="1"/>
  <c r="J51" i="1"/>
</calcChain>
</file>

<file path=xl/sharedStrings.xml><?xml version="1.0" encoding="utf-8"?>
<sst xmlns="http://schemas.openxmlformats.org/spreadsheetml/2006/main" count="183" uniqueCount="123">
  <si>
    <t>Net Income</t>
  </si>
  <si>
    <t>Taxes</t>
  </si>
  <si>
    <t>EBT</t>
  </si>
  <si>
    <t>Interest</t>
  </si>
  <si>
    <t>Depreciation</t>
  </si>
  <si>
    <t>EBITDA</t>
  </si>
  <si>
    <t>Selling &amp; General Expenses</t>
  </si>
  <si>
    <t>Gross Profit</t>
  </si>
  <si>
    <t>COGS</t>
  </si>
  <si>
    <t>Revenue</t>
  </si>
  <si>
    <t>% Change</t>
  </si>
  <si>
    <t>#</t>
  </si>
  <si>
    <t>Depreciation % Sales</t>
  </si>
  <si>
    <t xml:space="preserve"> S&amp;G Expenses</t>
  </si>
  <si>
    <t>COGS % of Revenue</t>
  </si>
  <si>
    <t>NA</t>
  </si>
  <si>
    <t>Revenue Growth</t>
  </si>
  <si>
    <t>INR (Crores)</t>
  </si>
  <si>
    <t>Tata Steels</t>
  </si>
  <si>
    <t xml:space="preserve">FINANCIAL ANALYSIS OF TATA STEEL </t>
  </si>
  <si>
    <t>Median</t>
  </si>
  <si>
    <t>Year Weight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</si>
  <si>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</si>
  <si>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</si>
  <si>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</si>
  <si>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</si>
  <si>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</si>
  <si>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</si>
  <si>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</si>
  <si>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</si>
  <si>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</si>
  <si>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</si>
  <si>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</si>
  <si>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</si>
  <si>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</si>
  <si>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</si>
  <si>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</si>
  <si>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</si>
  <si>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</si>
  <si>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</si>
  <si>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</si>
  <si>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</si>
  <si>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</si>
  <si>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</si>
  <si>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</si>
  <si>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</si>
  <si>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Sales Growth</t>
  </si>
  <si>
    <t>Sales</t>
  </si>
  <si>
    <t>Year</t>
  </si>
  <si>
    <t>Tata Motors</t>
  </si>
  <si>
    <t>Weighted Average Cost of Capital</t>
  </si>
  <si>
    <t>4. Levered Beta = Unlevered Beta*(1+(1-Tax Rate) x Debt/Equity)</t>
  </si>
  <si>
    <t>Equity Capital</t>
  </si>
  <si>
    <t>3. Unlevered Beta = Levered Beta/(1+(1-Tax Rate) x Debt/Equity)</t>
  </si>
  <si>
    <t xml:space="preserve"> </t>
  </si>
  <si>
    <t>Debt Capital</t>
  </si>
  <si>
    <t>2. Levered Beta is based on 5 year monthly data</t>
  </si>
  <si>
    <t>Total Weight</t>
  </si>
  <si>
    <t>Total Cost</t>
  </si>
  <si>
    <t>1. Tax Rate considered as Marginal Tax Rate for the country</t>
  </si>
  <si>
    <t>Debt / Equity</t>
  </si>
  <si>
    <t>Levered Beta</t>
  </si>
  <si>
    <t>Total Capitalization</t>
  </si>
  <si>
    <t>Tax Rate</t>
  </si>
  <si>
    <t>Market Capitalization</t>
  </si>
  <si>
    <t xml:space="preserve">Target Debt/ Equity  </t>
  </si>
  <si>
    <t>Total Debt</t>
  </si>
  <si>
    <t>Comps Median Unlevered Beta</t>
  </si>
  <si>
    <t>Target</t>
  </si>
  <si>
    <t>Current</t>
  </si>
  <si>
    <t xml:space="preserve">Levered Beta </t>
  </si>
  <si>
    <t>Capital Structure</t>
  </si>
  <si>
    <t>Cost of Equity</t>
  </si>
  <si>
    <r>
      <rPr>
        <sz val="11"/>
        <color theme="1"/>
        <rFont val="calibri"/>
        <family val="2"/>
      </rP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</si>
  <si>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After Tax Cost of Debt</t>
  </si>
  <si>
    <t>Equity Risk Premium</t>
  </si>
  <si>
    <t>Risk Free Rate</t>
  </si>
  <si>
    <t>Pre-tax Cost of Debt</t>
  </si>
  <si>
    <t>Cost of Debt</t>
  </si>
  <si>
    <t>Average</t>
  </si>
  <si>
    <t>India</t>
  </si>
  <si>
    <t>Dabur India</t>
  </si>
  <si>
    <t>Godrej Consumer</t>
  </si>
  <si>
    <t>Britannia Inds.</t>
  </si>
  <si>
    <t>Nestle India</t>
  </si>
  <si>
    <t>Hind. Unilever</t>
  </si>
  <si>
    <r>
      <rPr>
        <sz val="11"/>
        <color theme="1"/>
        <rFont val="calibri"/>
        <family val="2"/>
      </rP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</si>
  <si>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rPr>
        <sz val="11"/>
        <color theme="1"/>
        <rFont val="calibri"/>
        <family val="2"/>
      </rPr>
      <t xml:space="preserve">Beta </t>
    </r>
    <r>
      <rPr>
        <vertAlign val="superscript"/>
        <sz val="11"/>
        <color theme="1"/>
        <rFont val="Calibri"/>
        <family val="2"/>
      </rPr>
      <t>2</t>
    </r>
  </si>
  <si>
    <t>Capital</t>
  </si>
  <si>
    <t>Equity</t>
  </si>
  <si>
    <r>
      <rPr>
        <sz val="11"/>
        <color theme="1"/>
        <rFont val="calibri"/>
        <family val="2"/>
      </rP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</si>
  <si>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Total Equity</t>
  </si>
  <si>
    <t>Country</t>
  </si>
  <si>
    <t>Name</t>
  </si>
  <si>
    <t>Unlevered</t>
  </si>
  <si>
    <t>Levered</t>
  </si>
  <si>
    <t>Debt/</t>
  </si>
  <si>
    <t>Peer Comps</t>
  </si>
  <si>
    <t>All figures are in INR unless stated otherwise.</t>
  </si>
  <si>
    <t>4 Year Median</t>
  </si>
  <si>
    <t>4 Year Average</t>
  </si>
  <si>
    <t>Intrinsic Growth</t>
  </si>
  <si>
    <t>ROIC</t>
  </si>
  <si>
    <t>Reinvestment Rate</t>
  </si>
  <si>
    <t>Calculation of Growth Rate</t>
  </si>
  <si>
    <t>Reinvestment</t>
  </si>
  <si>
    <t>EBIT(1-T)</t>
  </si>
  <si>
    <t>Marginal Tax Rate</t>
  </si>
  <si>
    <t>EBIT</t>
  </si>
  <si>
    <t>Change in Working Capital</t>
  </si>
  <si>
    <t>Net Capex</t>
  </si>
  <si>
    <t>Calculation of Reinvestment Rate</t>
  </si>
  <si>
    <t>Invested Capital</t>
  </si>
  <si>
    <t>Net Non Current Assets</t>
  </si>
  <si>
    <t>Accumulated Depreciation</t>
  </si>
  <si>
    <t>Gross Block</t>
  </si>
  <si>
    <t>Non Current Assets</t>
  </si>
  <si>
    <t>Net Working Capital</t>
  </si>
  <si>
    <t>Total Current Liabilities</t>
  </si>
  <si>
    <t>Current Liabilities</t>
  </si>
  <si>
    <t>Total Current Assets</t>
  </si>
  <si>
    <t>Current Assets</t>
  </si>
  <si>
    <t>Calculation of 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</si>
</sst>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,##0.0;\(\-#,##0.0\)"/>
    <numFmt numFmtId="166" formatCode="0&quot;E&quot;"/>
    <numFmt numFmtId="167" formatCode="0&quot;A&quot;"/>
    <numFmt numFmtId="168" formatCode="#,##0.0"/>
    <numFmt numFmtId="169" formatCode="yyyy&quot;E&quot;"/>
    <numFmt numFmtId="170" formatCode="yyyy&quot;A&quot;"/>
    <numFmt numFmtId="171" formatCode="0.000000000000000%"/>
    <numFmt numFmtId="172" formatCode="#,##0.0;\(#,##0.0\);\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</font>
    <font>
      <sz val="11"/>
      <color rgb="FF3333FF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/>
    <xf numFmtId="164" fontId="3" fillId="0" borderId="0" xfId="0" applyNumberFormat="1" applyFont="1"/>
    <xf numFmtId="0" fontId="3" fillId="0" borderId="0" xfId="0" applyFont="1"/>
    <xf numFmtId="9" fontId="5" fillId="0" borderId="0" xfId="0" applyNumberFormat="1" applyFont="1" applyAlignment="1">
      <alignment horizontal="right"/>
    </xf>
    <xf numFmtId="0" fontId="0" fillId="2" borderId="0" xfId="0" applyFill="1"/>
    <xf numFmtId="0" fontId="3" fillId="2" borderId="0" xfId="0" applyFont="1" applyFill="1"/>
    <xf numFmtId="10" fontId="0" fillId="0" borderId="0" xfId="1" applyNumberFormat="1" applyFont="1"/>
    <xf numFmtId="9" fontId="5" fillId="0" borderId="0" xfId="0" applyNumberFormat="1" applyFont="1"/>
    <xf numFmtId="9" fontId="0" fillId="0" borderId="0" xfId="0" applyNumberFormat="1"/>
    <xf numFmtId="165" fontId="5" fillId="0" borderId="0" xfId="0" applyNumberFormat="1" applyFont="1"/>
    <xf numFmtId="165" fontId="0" fillId="0" borderId="0" xfId="0" applyNumberFormat="1"/>
    <xf numFmtId="10" fontId="5" fillId="0" borderId="0" xfId="0" applyNumberFormat="1" applyFont="1"/>
    <xf numFmtId="10" fontId="5" fillId="0" borderId="0" xfId="1" applyNumberFormat="1" applyFont="1"/>
    <xf numFmtId="165" fontId="3" fillId="0" borderId="1" xfId="0" applyNumberFormat="1" applyFont="1" applyBorder="1"/>
    <xf numFmtId="165" fontId="0" fillId="0" borderId="2" xfId="0" applyNumberFormat="1" applyBorder="1"/>
    <xf numFmtId="165" fontId="3" fillId="0" borderId="0" xfId="0" applyNumberFormat="1" applyFont="1"/>
    <xf numFmtId="165" fontId="6" fillId="0" borderId="0" xfId="0" applyNumberFormat="1" applyFont="1"/>
    <xf numFmtId="166" fontId="2" fillId="3" borderId="0" xfId="0" applyNumberFormat="1" applyFont="1" applyFill="1"/>
    <xf numFmtId="167" fontId="2" fillId="3" borderId="0" xfId="0" applyNumberFormat="1" applyFont="1" applyFill="1"/>
    <xf numFmtId="0" fontId="4" fillId="3" borderId="0" xfId="0" applyFont="1" applyFill="1"/>
    <xf numFmtId="0" fontId="2" fillId="4" borderId="0" xfId="0" applyFont="1" applyFill="1"/>
    <xf numFmtId="0" fontId="7" fillId="0" borderId="0" xfId="0" applyFont="1"/>
    <xf numFmtId="0" fontId="8" fillId="0" borderId="0" xfId="2"/>
    <xf numFmtId="0" fontId="8" fillId="0" borderId="3" xfId="2" applyFill="1" applyBorder="1" applyAlignment="1"/>
    <xf numFmtId="0" fontId="8" fillId="0" borderId="0" xfId="2" applyFill="1" applyBorder="1" applyAlignment="1"/>
    <xf numFmtId="0" fontId="10" fillId="0" borderId="4" xfId="2" applyFont="1" applyFill="1" applyBorder="1" applyAlignment="1">
      <alignment horizontal="center"/>
    </xf>
    <xf numFmtId="10" fontId="0" fillId="0" borderId="0" xfId="3" applyNumberFormat="1" applyFont="1"/>
    <xf numFmtId="168" fontId="8" fillId="0" borderId="0" xfId="2" applyNumberFormat="1" applyFont="1" applyAlignment="1">
      <alignment horizontal="right"/>
    </xf>
    <xf numFmtId="166" fontId="8" fillId="0" borderId="0" xfId="2" applyNumberFormat="1" applyAlignment="1">
      <alignment horizontal="right"/>
    </xf>
    <xf numFmtId="0" fontId="8" fillId="0" borderId="0" xfId="2" applyAlignment="1">
      <alignment horizontal="left"/>
    </xf>
    <xf numFmtId="0" fontId="10" fillId="0" borderId="4" xfId="2" applyFont="1" applyFill="1" applyBorder="1" applyAlignment="1">
      <alignment horizontal="centerContinuous"/>
    </xf>
    <xf numFmtId="168" fontId="11" fillId="0" borderId="0" xfId="2" applyNumberFormat="1" applyFont="1" applyAlignment="1">
      <alignment horizontal="right"/>
    </xf>
    <xf numFmtId="167" fontId="8" fillId="0" borderId="0" xfId="2" applyNumberFormat="1" applyAlignment="1">
      <alignment horizontal="right"/>
    </xf>
    <xf numFmtId="0" fontId="9" fillId="5" borderId="0" xfId="2" applyFont="1" applyFill="1" applyAlignment="1">
      <alignment horizontal="right"/>
    </xf>
    <xf numFmtId="0" fontId="9" fillId="5" borderId="0" xfId="2" applyFont="1" applyFill="1"/>
    <xf numFmtId="10" fontId="0" fillId="6" borderId="0" xfId="3" applyNumberFormat="1" applyFont="1" applyFill="1"/>
    <xf numFmtId="168" fontId="8" fillId="6" borderId="0" xfId="2" applyNumberFormat="1" applyFill="1"/>
    <xf numFmtId="169" fontId="8" fillId="6" borderId="0" xfId="2" applyNumberFormat="1" applyFill="1" applyAlignment="1">
      <alignment horizontal="right"/>
    </xf>
    <xf numFmtId="0" fontId="8" fillId="6" borderId="0" xfId="2" applyFill="1" applyAlignment="1">
      <alignment horizontal="left"/>
    </xf>
    <xf numFmtId="168" fontId="8" fillId="0" borderId="0" xfId="2" applyNumberFormat="1"/>
    <xf numFmtId="170" fontId="8" fillId="0" borderId="0" xfId="2" applyNumberFormat="1" applyAlignment="1">
      <alignment horizontal="right"/>
    </xf>
    <xf numFmtId="0" fontId="0" fillId="0" borderId="0" xfId="0" applyFont="1" applyAlignment="1"/>
    <xf numFmtId="0" fontId="8" fillId="0" borderId="0" xfId="0" applyFont="1"/>
    <xf numFmtId="10" fontId="8" fillId="7" borderId="5" xfId="0" applyNumberFormat="1" applyFont="1" applyFill="1" applyBorder="1"/>
    <xf numFmtId="10" fontId="8" fillId="0" borderId="5" xfId="0" applyNumberFormat="1" applyFont="1" applyBorder="1"/>
    <xf numFmtId="0" fontId="8" fillId="0" borderId="5" xfId="0" applyFont="1" applyBorder="1"/>
    <xf numFmtId="0" fontId="8" fillId="0" borderId="0" xfId="0" applyFont="1" applyAlignment="1">
      <alignment vertical="top"/>
    </xf>
    <xf numFmtId="0" fontId="13" fillId="0" borderId="0" xfId="0" applyFont="1" applyAlignment="1">
      <alignment vertical="top"/>
    </xf>
    <xf numFmtId="10" fontId="8" fillId="0" borderId="0" xfId="0" applyNumberFormat="1" applyFont="1"/>
    <xf numFmtId="0" fontId="8" fillId="0" borderId="6" xfId="0" applyFont="1" applyBorder="1"/>
    <xf numFmtId="10" fontId="8" fillId="0" borderId="6" xfId="0" applyNumberFormat="1" applyFont="1" applyBorder="1"/>
    <xf numFmtId="0" fontId="13" fillId="0" borderId="0" xfId="0" applyFont="1"/>
    <xf numFmtId="2" fontId="8" fillId="0" borderId="0" xfId="0" applyNumberFormat="1" applyFont="1"/>
    <xf numFmtId="0" fontId="8" fillId="0" borderId="7" xfId="0" applyFont="1" applyBorder="1"/>
    <xf numFmtId="0" fontId="12" fillId="0" borderId="7" xfId="0" applyFont="1" applyBorder="1"/>
    <xf numFmtId="10" fontId="8" fillId="7" borderId="0" xfId="0" applyNumberFormat="1" applyFont="1" applyFill="1" applyBorder="1"/>
    <xf numFmtId="2" fontId="8" fillId="0" borderId="5" xfId="0" applyNumberFormat="1" applyFont="1" applyBorder="1"/>
    <xf numFmtId="168" fontId="8" fillId="0" borderId="5" xfId="0" applyNumberFormat="1" applyFont="1" applyBorder="1"/>
    <xf numFmtId="168" fontId="11" fillId="0" borderId="0" xfId="0" applyNumberFormat="1" applyFont="1"/>
    <xf numFmtId="10" fontId="11" fillId="0" borderId="0" xfId="0" applyNumberFormat="1" applyFont="1"/>
    <xf numFmtId="0" fontId="12" fillId="0" borderId="7" xfId="0" applyFont="1" applyBorder="1" applyAlignment="1">
      <alignment horizontal="right"/>
    </xf>
    <xf numFmtId="0" fontId="12" fillId="0" borderId="0" xfId="0" applyFont="1"/>
    <xf numFmtId="2" fontId="8" fillId="7" borderId="0" xfId="0" applyNumberFormat="1" applyFont="1" applyFill="1" applyBorder="1"/>
    <xf numFmtId="2" fontId="8" fillId="0" borderId="7" xfId="0" applyNumberFormat="1" applyFont="1" applyBorder="1"/>
    <xf numFmtId="10" fontId="8" fillId="0" borderId="7" xfId="0" applyNumberFormat="1" applyFont="1" applyBorder="1"/>
    <xf numFmtId="2" fontId="8" fillId="0" borderId="8" xfId="0" applyNumberFormat="1" applyFont="1" applyBorder="1"/>
    <xf numFmtId="10" fontId="8" fillId="0" borderId="8" xfId="0" applyNumberFormat="1" applyFont="1" applyBorder="1"/>
    <xf numFmtId="0" fontId="12" fillId="0" borderId="8" xfId="0" applyFont="1" applyBorder="1"/>
    <xf numFmtId="2" fontId="11" fillId="0" borderId="0" xfId="0" applyNumberFormat="1" applyFont="1"/>
    <xf numFmtId="10" fontId="11" fillId="0" borderId="0" xfId="0" applyNumberFormat="1" applyFont="1" applyAlignment="1">
      <alignment vertical="top"/>
    </xf>
    <xf numFmtId="0" fontId="11" fillId="0" borderId="0" xfId="0" applyFont="1" applyAlignment="1">
      <alignment horizontal="right"/>
    </xf>
    <xf numFmtId="0" fontId="11" fillId="0" borderId="0" xfId="0" applyFont="1"/>
    <xf numFmtId="0" fontId="8" fillId="0" borderId="9" xfId="0" applyFont="1" applyBorder="1" applyAlignment="1">
      <alignment horizontal="right"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horizontal="right"/>
    </xf>
    <xf numFmtId="0" fontId="8" fillId="0" borderId="10" xfId="0" applyFont="1" applyBorder="1"/>
    <xf numFmtId="0" fontId="15" fillId="0" borderId="0" xfId="0" applyFont="1"/>
    <xf numFmtId="0" fontId="8" fillId="8" borderId="0" xfId="0" applyFont="1" applyFill="1" applyBorder="1"/>
    <xf numFmtId="0" fontId="16" fillId="8" borderId="0" xfId="0" applyFont="1" applyFill="1" applyBorder="1"/>
    <xf numFmtId="0" fontId="17" fillId="8" borderId="0" xfId="0" applyFont="1" applyFill="1" applyBorder="1"/>
    <xf numFmtId="0" fontId="8" fillId="9" borderId="0" xfId="0" applyFont="1" applyFill="1" applyBorder="1"/>
    <xf numFmtId="10" fontId="12" fillId="6" borderId="0" xfId="2" applyNumberFormat="1" applyFont="1" applyFill="1"/>
    <xf numFmtId="0" fontId="12" fillId="6" borderId="0" xfId="2" applyFont="1" applyFill="1"/>
    <xf numFmtId="171" fontId="8" fillId="0" borderId="0" xfId="2" applyNumberFormat="1"/>
    <xf numFmtId="10" fontId="12" fillId="0" borderId="11" xfId="2" applyNumberFormat="1" applyFont="1" applyBorder="1"/>
    <xf numFmtId="0" fontId="12" fillId="0" borderId="11" xfId="2" applyFont="1" applyBorder="1"/>
    <xf numFmtId="10" fontId="8" fillId="0" borderId="12" xfId="2" applyNumberFormat="1" applyBorder="1"/>
    <xf numFmtId="0" fontId="8" fillId="0" borderId="12" xfId="2" applyBorder="1"/>
    <xf numFmtId="17" fontId="9" fillId="5" borderId="0" xfId="2" applyNumberFormat="1" applyFont="1" applyFill="1"/>
    <xf numFmtId="0" fontId="18" fillId="5" borderId="0" xfId="2" applyFont="1" applyFill="1"/>
    <xf numFmtId="10" fontId="12" fillId="0" borderId="11" xfId="3" applyNumberFormat="1" applyFont="1" applyBorder="1"/>
    <xf numFmtId="3" fontId="8" fillId="0" borderId="0" xfId="2" applyNumberFormat="1"/>
    <xf numFmtId="172" fontId="8" fillId="0" borderId="12" xfId="2" applyNumberFormat="1" applyBorder="1"/>
    <xf numFmtId="172" fontId="19" fillId="0" borderId="12" xfId="2" applyNumberFormat="1" applyFont="1" applyBorder="1"/>
    <xf numFmtId="10" fontId="11" fillId="0" borderId="12" xfId="2" applyNumberFormat="1" applyFont="1" applyBorder="1"/>
    <xf numFmtId="0" fontId="8" fillId="0" borderId="11" xfId="2" applyBorder="1"/>
    <xf numFmtId="172" fontId="12" fillId="0" borderId="0" xfId="2" applyNumberFormat="1" applyFont="1"/>
    <xf numFmtId="0" fontId="12" fillId="0" borderId="0" xfId="2" applyFont="1"/>
    <xf numFmtId="0" fontId="12" fillId="0" borderId="0" xfId="2" applyFont="1" applyFill="1" applyBorder="1"/>
    <xf numFmtId="172" fontId="8" fillId="0" borderId="0" xfId="2" applyNumberFormat="1"/>
    <xf numFmtId="172" fontId="12" fillId="0" borderId="11" xfId="2" applyNumberFormat="1" applyFont="1" applyBorder="1"/>
    <xf numFmtId="172" fontId="12" fillId="0" borderId="10" xfId="2" applyNumberFormat="1" applyFont="1" applyBorder="1"/>
    <xf numFmtId="0" fontId="8" fillId="0" borderId="10" xfId="2" applyBorder="1"/>
    <xf numFmtId="0" fontId="12" fillId="0" borderId="10" xfId="2" applyFont="1" applyBorder="1"/>
    <xf numFmtId="0" fontId="12" fillId="0" borderId="0" xfId="2" applyFont="1" applyAlignment="1">
      <alignment horizontal="center"/>
    </xf>
    <xf numFmtId="0" fontId="8" fillId="0" borderId="0" xfId="2" applyBorder="1"/>
    <xf numFmtId="0" fontId="8" fillId="10" borderId="0" xfId="2" applyFill="1"/>
  </cellXfs>
  <cellStyles count="4">
    <cellStyle name="Normal" xfId="0" builtinId="0"/>
    <cellStyle name="Normal 2" xfId="2" xr:uid="{60FBDF3A-3D8F-4640-AA59-BE71BEC13D0A}"/>
    <cellStyle name="Percent" xfId="1" builtinId="5"/>
    <cellStyle name="Percent 2" xfId="3" xr:uid="{E963E0CE-C8CD-49F8-AD5E-A35B587B7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TAMO!$D$2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TAMO!$C$3:$C$14</c:f>
              <c:numCache>
                <c:formatCode>0"A"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xVal>
          <c:yVal>
            <c:numRef>
              <c:f>TAMO!$D$3:$D$14</c:f>
              <c:numCache>
                <c:formatCode>#,##0.0</c:formatCode>
                <c:ptCount val="12"/>
                <c:pt idx="0">
                  <c:v>122128</c:v>
                </c:pt>
                <c:pt idx="1">
                  <c:v>165654</c:v>
                </c:pt>
                <c:pt idx="2">
                  <c:v>188793</c:v>
                </c:pt>
                <c:pt idx="3">
                  <c:v>232834</c:v>
                </c:pt>
                <c:pt idx="4">
                  <c:v>263159</c:v>
                </c:pt>
                <c:pt idx="5">
                  <c:v>273046</c:v>
                </c:pt>
                <c:pt idx="6">
                  <c:v>269693</c:v>
                </c:pt>
                <c:pt idx="7">
                  <c:v>291550</c:v>
                </c:pt>
                <c:pt idx="8">
                  <c:v>301938</c:v>
                </c:pt>
                <c:pt idx="9">
                  <c:v>261068</c:v>
                </c:pt>
                <c:pt idx="10">
                  <c:v>249795</c:v>
                </c:pt>
                <c:pt idx="11">
                  <c:v>278454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6D-4B1E-8241-92E6EAF0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225736"/>
        <c:axId val="1004225080"/>
      </c:scatterChart>
      <c:valAx>
        <c:axId val="100422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25080"/>
        <c:crosses val="autoZero"/>
        <c:crossBetween val="midCat"/>
      </c:valAx>
      <c:valAx>
        <c:axId val="100422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2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0</xdr:row>
      <xdr:rowOff>149224</xdr:rowOff>
    </xdr:from>
    <xdr:to>
      <xdr:col>11</xdr:col>
      <xdr:colOff>498474</xdr:colOff>
      <xdr:row>11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DB631-D453-4F07-A5BE-9D04A1529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pasn\Downloads\TAMO-%20Foreca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pasn\Downloads\DCF%20Modelling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&gt;"/>
      <sheetName val="HistoricalFS"/>
      <sheetName val="Ratio Analysis"/>
      <sheetName val="Forecasting"/>
      <sheetName val="Peer Analysis"/>
      <sheetName val="Data&gt;"/>
      <sheetName val="Data Sheet"/>
    </sheetNames>
    <sheetDataSet>
      <sheetData sheetId="0"/>
      <sheetData sheetId="1">
        <row r="38">
          <cell r="B38" t="str">
            <v>Earnings per Share</v>
          </cell>
          <cell r="C38">
            <v>33.80158896822067</v>
          </cell>
          <cell r="D38">
            <v>49.390351180993186</v>
          </cell>
          <cell r="E38">
            <v>46.220198102098706</v>
          </cell>
          <cell r="F38">
            <v>47.694444444444336</v>
          </cell>
          <cell r="G38">
            <v>14.527274616423808</v>
          </cell>
          <cell r="H38">
            <v>3.049111626779315</v>
          </cell>
          <cell r="I38">
            <v>-7.7839157690575265</v>
          </cell>
          <cell r="J38">
            <v>-35.859307219164904</v>
          </cell>
          <cell r="K38">
            <v>-5.7172845827184542</v>
          </cell>
          <cell r="L38">
            <v>-41.132140813683833</v>
          </cell>
        </row>
      </sheetData>
      <sheetData sheetId="2"/>
      <sheetData sheetId="3"/>
      <sheetData sheetId="4"/>
      <sheetData sheetId="5"/>
      <sheetData sheetId="6">
        <row r="1">
          <cell r="B1" t="str">
            <v>TATA MOTORS LTD</v>
          </cell>
        </row>
        <row r="16">
          <cell r="B16">
            <v>41364</v>
          </cell>
        </row>
        <row r="17">
          <cell r="A17" t="str">
            <v>Sales</v>
          </cell>
          <cell r="B17">
            <v>188792.69</v>
          </cell>
          <cell r="C17">
            <v>232833.66</v>
          </cell>
          <cell r="D17">
            <v>263158.98</v>
          </cell>
          <cell r="E17">
            <v>273045.59999999998</v>
          </cell>
          <cell r="F17">
            <v>269692.51</v>
          </cell>
          <cell r="G17">
            <v>291550.48</v>
          </cell>
          <cell r="H17">
            <v>301938.40000000002</v>
          </cell>
          <cell r="I17">
            <v>261067.97</v>
          </cell>
          <cell r="J17">
            <v>249794.75</v>
          </cell>
          <cell r="K17">
            <v>278453.62</v>
          </cell>
        </row>
        <row r="34">
          <cell r="A34" t="str">
            <v>EBITDA</v>
          </cell>
          <cell r="B34">
            <v>24830.799999999999</v>
          </cell>
          <cell r="C34">
            <v>34583.410000000003</v>
          </cell>
          <cell r="D34">
            <v>39879.32</v>
          </cell>
          <cell r="E34">
            <v>36204.22</v>
          </cell>
          <cell r="F34">
            <v>32848.590000000004</v>
          </cell>
          <cell r="G34">
            <v>39566.22</v>
          </cell>
          <cell r="H34">
            <v>-1914.4500000000007</v>
          </cell>
          <cell r="I34">
            <v>16993.16</v>
          </cell>
          <cell r="J34">
            <v>20734.349999999999</v>
          </cell>
          <cell r="K34">
            <v>26937.37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&gt;"/>
      <sheetName val="WACC"/>
      <sheetName val="Data&gt;"/>
      <sheetName val="Beta - Regression"/>
      <sheetName val="Beta - Comps"/>
      <sheetName val="Rm"/>
      <sheetName val="Raw FS"/>
      <sheetName val="HistoricalFS"/>
      <sheetName val="Data Room&gt;"/>
      <sheetName val="Data Shee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J2">
            <v>43160</v>
          </cell>
          <cell r="K2">
            <v>43525</v>
          </cell>
          <cell r="L2">
            <v>43891</v>
          </cell>
          <cell r="M2">
            <v>44256</v>
          </cell>
          <cell r="N2">
            <v>44621</v>
          </cell>
        </row>
        <row r="13">
          <cell r="B13" t="str">
            <v>Trade Payables</v>
          </cell>
          <cell r="J13">
            <v>2160</v>
          </cell>
          <cell r="K13">
            <v>2394</v>
          </cell>
          <cell r="L13">
            <v>2137</v>
          </cell>
          <cell r="M13">
            <v>3379</v>
          </cell>
          <cell r="N13">
            <v>4164</v>
          </cell>
        </row>
        <row r="14">
          <cell r="B14" t="str">
            <v>Advance from Customers</v>
          </cell>
          <cell r="J14">
            <v>16</v>
          </cell>
          <cell r="K14">
            <v>13</v>
          </cell>
          <cell r="L14">
            <v>29</v>
          </cell>
          <cell r="M14">
            <v>41</v>
          </cell>
          <cell r="N14">
            <v>76</v>
          </cell>
        </row>
        <row r="15">
          <cell r="B15" t="str">
            <v>Other liability items</v>
          </cell>
          <cell r="J15">
            <v>2316</v>
          </cell>
          <cell r="K15">
            <v>2690</v>
          </cell>
          <cell r="L15">
            <v>2320</v>
          </cell>
          <cell r="M15">
            <v>2613</v>
          </cell>
          <cell r="N15">
            <v>2932</v>
          </cell>
        </row>
        <row r="19">
          <cell r="B19" t="str">
            <v>Land</v>
          </cell>
          <cell r="J19">
            <v>586</v>
          </cell>
          <cell r="K19">
            <v>605</v>
          </cell>
          <cell r="L19">
            <v>640</v>
          </cell>
          <cell r="M19">
            <v>644</v>
          </cell>
          <cell r="N19">
            <v>644</v>
          </cell>
        </row>
        <row r="20">
          <cell r="B20" t="str">
            <v>Building</v>
          </cell>
          <cell r="J20">
            <v>957</v>
          </cell>
          <cell r="K20">
            <v>2402</v>
          </cell>
          <cell r="L20">
            <v>2257</v>
          </cell>
          <cell r="M20">
            <v>2249</v>
          </cell>
          <cell r="N20">
            <v>2325</v>
          </cell>
        </row>
        <row r="21">
          <cell r="B21" t="str">
            <v>Plant Machinery</v>
          </cell>
          <cell r="J21">
            <v>2157</v>
          </cell>
          <cell r="K21">
            <v>4006</v>
          </cell>
          <cell r="L21">
            <v>4208</v>
          </cell>
          <cell r="M21">
            <v>4340</v>
          </cell>
          <cell r="N21">
            <v>4531</v>
          </cell>
        </row>
        <row r="22">
          <cell r="B22" t="str">
            <v>Equipments</v>
          </cell>
          <cell r="J22">
            <v>200</v>
          </cell>
          <cell r="K22">
            <v>221</v>
          </cell>
          <cell r="L22">
            <v>241</v>
          </cell>
          <cell r="M22">
            <v>243</v>
          </cell>
          <cell r="N22">
            <v>253</v>
          </cell>
        </row>
        <row r="23">
          <cell r="B23" t="str">
            <v>Furniture n fittings</v>
          </cell>
          <cell r="J23">
            <v>72</v>
          </cell>
          <cell r="K23">
            <v>88</v>
          </cell>
          <cell r="L23">
            <v>94</v>
          </cell>
          <cell r="M23">
            <v>99</v>
          </cell>
          <cell r="N23">
            <v>113</v>
          </cell>
        </row>
        <row r="24">
          <cell r="B24" t="str">
            <v>Vehicles</v>
          </cell>
          <cell r="J24">
            <v>27</v>
          </cell>
          <cell r="K24">
            <v>47</v>
          </cell>
          <cell r="L24">
            <v>43</v>
          </cell>
          <cell r="M24">
            <v>38</v>
          </cell>
          <cell r="N24">
            <v>32</v>
          </cell>
        </row>
        <row r="25">
          <cell r="B25" t="str">
            <v>Intangible Assets</v>
          </cell>
          <cell r="J25">
            <v>468</v>
          </cell>
          <cell r="K25">
            <v>512</v>
          </cell>
          <cell r="L25">
            <v>505</v>
          </cell>
          <cell r="M25">
            <v>476</v>
          </cell>
          <cell r="N25">
            <v>411</v>
          </cell>
        </row>
        <row r="26">
          <cell r="B26" t="str">
            <v>Other fixed assets</v>
          </cell>
          <cell r="J26">
            <v>238</v>
          </cell>
          <cell r="K26">
            <v>261</v>
          </cell>
          <cell r="L26">
            <v>293</v>
          </cell>
          <cell r="M26">
            <v>302</v>
          </cell>
          <cell r="N26">
            <v>294</v>
          </cell>
        </row>
        <row r="28">
          <cell r="J28">
            <v>973</v>
          </cell>
          <cell r="K28">
            <v>1592</v>
          </cell>
          <cell r="L28">
            <v>2010</v>
          </cell>
          <cell r="M28">
            <v>2533</v>
          </cell>
          <cell r="N28">
            <v>3085</v>
          </cell>
        </row>
        <row r="35">
          <cell r="B35" t="str">
            <v>Inventories</v>
          </cell>
          <cell r="J35">
            <v>2658</v>
          </cell>
          <cell r="K35">
            <v>3150</v>
          </cell>
          <cell r="L35">
            <v>3390</v>
          </cell>
          <cell r="M35">
            <v>3799</v>
          </cell>
          <cell r="N35">
            <v>6153</v>
          </cell>
        </row>
        <row r="36">
          <cell r="B36" t="str">
            <v>Trade receivables</v>
          </cell>
          <cell r="J36">
            <v>1731</v>
          </cell>
          <cell r="K36">
            <v>1907</v>
          </cell>
          <cell r="L36">
            <v>1795</v>
          </cell>
          <cell r="M36">
            <v>2602</v>
          </cell>
          <cell r="N36">
            <v>3871</v>
          </cell>
        </row>
        <row r="38">
          <cell r="B38" t="str">
            <v>Loans n Advances</v>
          </cell>
          <cell r="J38">
            <v>1141</v>
          </cell>
          <cell r="K38">
            <v>1058</v>
          </cell>
          <cell r="L38">
            <v>1177</v>
          </cell>
          <cell r="M38">
            <v>1846</v>
          </cell>
          <cell r="N38">
            <v>2216</v>
          </cell>
        </row>
        <row r="39">
          <cell r="B39" t="str">
            <v>Other asset items</v>
          </cell>
          <cell r="J39">
            <v>551</v>
          </cell>
          <cell r="K39">
            <v>414</v>
          </cell>
          <cell r="L39">
            <v>561</v>
          </cell>
          <cell r="M39">
            <v>720</v>
          </cell>
          <cell r="N39">
            <v>661</v>
          </cell>
        </row>
        <row r="54">
          <cell r="J54">
            <v>-1426</v>
          </cell>
          <cell r="K54">
            <v>-1151</v>
          </cell>
          <cell r="L54">
            <v>-404</v>
          </cell>
          <cell r="M54">
            <v>-282</v>
          </cell>
          <cell r="N54">
            <v>-538</v>
          </cell>
        </row>
        <row r="55">
          <cell r="J55">
            <v>17</v>
          </cell>
          <cell r="K55">
            <v>17</v>
          </cell>
          <cell r="L55">
            <v>37</v>
          </cell>
          <cell r="M55">
            <v>28</v>
          </cell>
          <cell r="N55">
            <v>40</v>
          </cell>
        </row>
      </sheetData>
      <sheetData sheetId="7">
        <row r="21">
          <cell r="H21">
            <v>4681.79</v>
          </cell>
          <cell r="I21">
            <v>5758.6</v>
          </cell>
          <cell r="J21">
            <v>7243.33</v>
          </cell>
          <cell r="K21">
            <v>8097.17</v>
          </cell>
          <cell r="L21">
            <v>9311.86</v>
          </cell>
        </row>
        <row r="27">
          <cell r="H27">
            <v>5222.299999999992</v>
          </cell>
          <cell r="I27">
            <v>-4684.8999999999796</v>
          </cell>
          <cell r="J27">
            <v>-10681.690000000039</v>
          </cell>
          <cell r="K27">
            <v>643.549999999992</v>
          </cell>
          <cell r="L27">
            <v>-9427.4599999999882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0C66-99A9-4A20-AFF2-EA56133A47ED}">
  <dimension ref="B1:O30"/>
  <sheetViews>
    <sheetView showGridLines="0" tabSelected="1" topLeftCell="A7" zoomScaleNormal="100" workbookViewId="0">
      <selection activeCell="G8" sqref="G8"/>
    </sheetView>
  </sheetViews>
  <sheetFormatPr defaultRowHeight="14.4" x14ac:dyDescent="0.3"/>
  <cols>
    <col min="1" max="1" width="1.88671875" style="28" customWidth="1"/>
    <col min="2" max="2" width="12" style="28" bestFit="1" customWidth="1"/>
    <col min="3" max="3" width="7" style="28" customWidth="1"/>
    <col min="4" max="4" width="12.5546875" style="28" customWidth="1"/>
    <col min="5" max="5" width="12.6640625" style="28" bestFit="1" customWidth="1"/>
    <col min="6" max="6" width="10.88671875" style="28" bestFit="1" customWidth="1"/>
    <col min="7" max="7" width="18.109375" style="28" bestFit="1" customWidth="1"/>
    <col min="8" max="8" width="12.44140625" style="28" bestFit="1" customWidth="1"/>
    <col min="9" max="9" width="14.5546875" style="28" bestFit="1" customWidth="1"/>
    <col min="10" max="11" width="12.44140625" style="28" bestFit="1" customWidth="1"/>
    <col min="12" max="12" width="13.44140625" style="28" bestFit="1" customWidth="1"/>
    <col min="13" max="13" width="12.44140625" style="28" bestFit="1" customWidth="1"/>
    <col min="14" max="15" width="12.5546875" style="28" bestFit="1" customWidth="1"/>
    <col min="16" max="16384" width="8.88671875" style="28"/>
  </cols>
  <sheetData>
    <row r="1" spans="2:8" x14ac:dyDescent="0.3">
      <c r="B1" s="110" t="s">
        <v>49</v>
      </c>
      <c r="C1" s="110"/>
      <c r="D1" s="110"/>
      <c r="E1" s="110"/>
    </row>
    <row r="2" spans="2:8" x14ac:dyDescent="0.3">
      <c r="B2" s="40" t="s">
        <v>21</v>
      </c>
      <c r="C2" s="39" t="s">
        <v>48</v>
      </c>
      <c r="D2" s="39" t="s">
        <v>47</v>
      </c>
      <c r="E2" s="39" t="s">
        <v>46</v>
      </c>
    </row>
    <row r="3" spans="2:8" x14ac:dyDescent="0.3">
      <c r="B3" s="35">
        <v>1</v>
      </c>
      <c r="C3" s="38">
        <v>2011</v>
      </c>
      <c r="D3" s="37">
        <v>122128</v>
      </c>
    </row>
    <row r="4" spans="2:8" x14ac:dyDescent="0.3">
      <c r="B4" s="35">
        <f t="shared" ref="B4:B19" si="0">B3+1</f>
        <v>2</v>
      </c>
      <c r="C4" s="38">
        <f t="shared" ref="C4:C19" si="1">C3+1</f>
        <v>2012</v>
      </c>
      <c r="D4" s="37">
        <v>165654</v>
      </c>
      <c r="E4" s="32">
        <f t="shared" ref="E4:E19" si="2">D4/D3-1</f>
        <v>0.35639656753570015</v>
      </c>
    </row>
    <row r="5" spans="2:8" x14ac:dyDescent="0.3">
      <c r="B5" s="35">
        <f t="shared" si="0"/>
        <v>3</v>
      </c>
      <c r="C5" s="38">
        <f t="shared" si="1"/>
        <v>2013</v>
      </c>
      <c r="D5" s="37">
        <v>188793</v>
      </c>
      <c r="E5" s="32">
        <f t="shared" si="2"/>
        <v>0.13968271215907846</v>
      </c>
    </row>
    <row r="6" spans="2:8" x14ac:dyDescent="0.3">
      <c r="B6" s="35">
        <f t="shared" si="0"/>
        <v>4</v>
      </c>
      <c r="C6" s="38">
        <f t="shared" si="1"/>
        <v>2014</v>
      </c>
      <c r="D6" s="37">
        <v>232834</v>
      </c>
      <c r="E6" s="32">
        <f t="shared" si="2"/>
        <v>0.23327665750319126</v>
      </c>
    </row>
    <row r="7" spans="2:8" x14ac:dyDescent="0.3">
      <c r="B7" s="35">
        <f t="shared" si="0"/>
        <v>5</v>
      </c>
      <c r="C7" s="38">
        <f t="shared" si="1"/>
        <v>2015</v>
      </c>
      <c r="D7" s="37">
        <v>263159</v>
      </c>
      <c r="E7" s="32">
        <f t="shared" si="2"/>
        <v>0.13024300574658332</v>
      </c>
    </row>
    <row r="8" spans="2:8" x14ac:dyDescent="0.3">
      <c r="B8" s="35">
        <f t="shared" si="0"/>
        <v>6</v>
      </c>
      <c r="C8" s="38">
        <f t="shared" si="1"/>
        <v>2016</v>
      </c>
      <c r="D8" s="37">
        <v>273046</v>
      </c>
      <c r="E8" s="32">
        <f t="shared" si="2"/>
        <v>3.757044220414274E-2</v>
      </c>
    </row>
    <row r="9" spans="2:8" x14ac:dyDescent="0.3">
      <c r="B9" s="35">
        <f t="shared" si="0"/>
        <v>7</v>
      </c>
      <c r="C9" s="38">
        <f t="shared" si="1"/>
        <v>2017</v>
      </c>
      <c r="D9" s="37">
        <v>269693</v>
      </c>
      <c r="E9" s="32">
        <f t="shared" si="2"/>
        <v>-1.2279982127553546E-2</v>
      </c>
    </row>
    <row r="10" spans="2:8" x14ac:dyDescent="0.3">
      <c r="B10" s="35">
        <f t="shared" si="0"/>
        <v>8</v>
      </c>
      <c r="C10" s="38">
        <f t="shared" si="1"/>
        <v>2018</v>
      </c>
      <c r="D10" s="37">
        <v>291550</v>
      </c>
      <c r="E10" s="32">
        <f t="shared" si="2"/>
        <v>8.1044001883623151E-2</v>
      </c>
    </row>
    <row r="11" spans="2:8" x14ac:dyDescent="0.3">
      <c r="B11" s="35">
        <f t="shared" si="0"/>
        <v>9</v>
      </c>
      <c r="C11" s="38">
        <f t="shared" si="1"/>
        <v>2019</v>
      </c>
      <c r="D11" s="37">
        <v>301938</v>
      </c>
      <c r="E11" s="32">
        <f t="shared" si="2"/>
        <v>3.5630252100840254E-2</v>
      </c>
    </row>
    <row r="12" spans="2:8" x14ac:dyDescent="0.3">
      <c r="B12" s="35">
        <f t="shared" si="0"/>
        <v>10</v>
      </c>
      <c r="C12" s="38">
        <f t="shared" si="1"/>
        <v>2020</v>
      </c>
      <c r="D12" s="37">
        <v>261068</v>
      </c>
      <c r="E12" s="32">
        <f t="shared" si="2"/>
        <v>-0.13535891474408657</v>
      </c>
    </row>
    <row r="13" spans="2:8" x14ac:dyDescent="0.3">
      <c r="B13" s="35">
        <f t="shared" si="0"/>
        <v>11</v>
      </c>
      <c r="C13" s="38">
        <f t="shared" si="1"/>
        <v>2021</v>
      </c>
      <c r="D13" s="37">
        <v>249795</v>
      </c>
      <c r="E13" s="32">
        <f t="shared" si="2"/>
        <v>-4.3180320835950803E-2</v>
      </c>
      <c r="G13" s="28" t="s">
        <v>45</v>
      </c>
    </row>
    <row r="14" spans="2:8" ht="15" thickBot="1" x14ac:dyDescent="0.35">
      <c r="B14" s="35">
        <f t="shared" si="0"/>
        <v>12</v>
      </c>
      <c r="C14" s="38">
        <f t="shared" si="1"/>
        <v>2022</v>
      </c>
      <c r="D14" s="37">
        <v>278454</v>
      </c>
      <c r="E14" s="32">
        <f t="shared" si="2"/>
        <v>0.11473007866450491</v>
      </c>
    </row>
    <row r="15" spans="2:8" x14ac:dyDescent="0.3">
      <c r="B15" s="35">
        <f t="shared" si="0"/>
        <v>13</v>
      </c>
      <c r="C15" s="34">
        <f t="shared" si="1"/>
        <v>2023</v>
      </c>
      <c r="D15" s="33">
        <f>FORECAST(B15,$D$3:$D$14,$B$3:$B$14)</f>
        <v>319012.06060606067</v>
      </c>
      <c r="E15" s="32">
        <f t="shared" si="2"/>
        <v>0.14565443702033609</v>
      </c>
      <c r="G15" s="36" t="s">
        <v>44</v>
      </c>
      <c r="H15" s="36"/>
    </row>
    <row r="16" spans="2:8" x14ac:dyDescent="0.3">
      <c r="B16" s="35">
        <f t="shared" si="0"/>
        <v>14</v>
      </c>
      <c r="C16" s="34">
        <f t="shared" si="1"/>
        <v>2024</v>
      </c>
      <c r="D16" s="33">
        <f>FORECAST(B16,$D$3:$D$14,$B$3:$B$14)</f>
        <v>330935.55710955715</v>
      </c>
      <c r="E16" s="32">
        <f t="shared" si="2"/>
        <v>3.7376318879117409E-2</v>
      </c>
      <c r="G16" s="30" t="s">
        <v>43</v>
      </c>
      <c r="H16" s="30">
        <v>0.78383734846045428</v>
      </c>
    </row>
    <row r="17" spans="2:15" x14ac:dyDescent="0.3">
      <c r="B17" s="35">
        <f t="shared" si="0"/>
        <v>15</v>
      </c>
      <c r="C17" s="34">
        <f t="shared" si="1"/>
        <v>2025</v>
      </c>
      <c r="D17" s="33">
        <f>FORECAST(B17,$D$3:$D$14,$B$3:$B$14)</f>
        <v>342859.05361305363</v>
      </c>
      <c r="E17" s="32">
        <f t="shared" si="2"/>
        <v>3.6029662716325017E-2</v>
      </c>
      <c r="G17" s="30" t="s">
        <v>42</v>
      </c>
      <c r="H17" s="30">
        <v>0.61440098884151562</v>
      </c>
    </row>
    <row r="18" spans="2:15" x14ac:dyDescent="0.3">
      <c r="B18" s="35">
        <f t="shared" si="0"/>
        <v>16</v>
      </c>
      <c r="C18" s="34">
        <f t="shared" si="1"/>
        <v>2026</v>
      </c>
      <c r="D18" s="33">
        <f>FORECAST(B18,$D$3:$D$14,$B$3:$B$14)</f>
        <v>354782.55011655018</v>
      </c>
      <c r="E18" s="32">
        <f t="shared" si="2"/>
        <v>3.4776670990153358E-2</v>
      </c>
      <c r="G18" s="30" t="s">
        <v>41</v>
      </c>
      <c r="H18" s="30">
        <v>0.57584108772566722</v>
      </c>
    </row>
    <row r="19" spans="2:15" x14ac:dyDescent="0.3">
      <c r="B19" s="35">
        <f t="shared" si="0"/>
        <v>17</v>
      </c>
      <c r="C19" s="34">
        <f t="shared" si="1"/>
        <v>2027</v>
      </c>
      <c r="D19" s="33">
        <f>FORECAST(B19,$D$3:$D$14,$B$3:$B$14)</f>
        <v>366706.04662004666</v>
      </c>
      <c r="E19" s="32">
        <f t="shared" si="2"/>
        <v>3.3607900105513844E-2</v>
      </c>
      <c r="G19" s="30" t="s">
        <v>29</v>
      </c>
      <c r="H19" s="30">
        <v>35720.180943571562</v>
      </c>
    </row>
    <row r="20" spans="2:15" ht="15" thickBot="1" x14ac:dyDescent="0.35">
      <c r="G20" s="29" t="s">
        <v>40</v>
      </c>
      <c r="H20" s="29">
        <v>12</v>
      </c>
    </row>
    <row r="22" spans="2:15" ht="15" thickBot="1" x14ac:dyDescent="0.35">
      <c r="G22" s="28" t="s">
        <v>39</v>
      </c>
    </row>
    <row r="23" spans="2:15" x14ac:dyDescent="0.3">
      <c r="B23" s="35">
        <v>13</v>
      </c>
      <c r="C23" s="34">
        <v>2023</v>
      </c>
      <c r="D23" s="33">
        <v>319012.06060606067</v>
      </c>
      <c r="E23" s="32">
        <v>0.14565443702033609</v>
      </c>
      <c r="G23" s="31"/>
      <c r="H23" s="31" t="s">
        <v>38</v>
      </c>
      <c r="I23" s="31" t="s">
        <v>37</v>
      </c>
      <c r="J23" s="31" t="s">
        <v>36</v>
      </c>
      <c r="K23" s="31" t="s">
        <v>35</v>
      </c>
      <c r="L23" s="31" t="s">
        <v>34</v>
      </c>
    </row>
    <row r="24" spans="2:15" x14ac:dyDescent="0.3">
      <c r="B24" s="35">
        <v>14</v>
      </c>
      <c r="C24" s="34">
        <v>2024</v>
      </c>
      <c r="D24" s="33">
        <v>330935.55710955715</v>
      </c>
      <c r="E24" s="32">
        <v>3.7376318879117409E-2</v>
      </c>
      <c r="G24" s="30" t="s">
        <v>33</v>
      </c>
      <c r="H24" s="30">
        <v>1</v>
      </c>
      <c r="I24" s="30">
        <v>20330276948.251736</v>
      </c>
      <c r="J24" s="30">
        <v>20330276948.251736</v>
      </c>
      <c r="K24" s="30">
        <v>15.933676463423076</v>
      </c>
      <c r="L24" s="30">
        <v>2.5522818145365818E-3</v>
      </c>
    </row>
    <row r="25" spans="2:15" x14ac:dyDescent="0.3">
      <c r="B25" s="35">
        <v>15</v>
      </c>
      <c r="C25" s="34">
        <v>2025</v>
      </c>
      <c r="D25" s="33">
        <v>342859.05361305363</v>
      </c>
      <c r="E25" s="32">
        <v>3.6029662716325017E-2</v>
      </c>
      <c r="G25" s="30" t="s">
        <v>32</v>
      </c>
      <c r="H25" s="30">
        <v>10</v>
      </c>
      <c r="I25" s="30">
        <v>12759313266.414928</v>
      </c>
      <c r="J25" s="30">
        <v>1275931326.6414928</v>
      </c>
      <c r="K25" s="30"/>
      <c r="L25" s="30"/>
    </row>
    <row r="26" spans="2:15" ht="15" thickBot="1" x14ac:dyDescent="0.35">
      <c r="B26" s="35">
        <v>16</v>
      </c>
      <c r="C26" s="34">
        <v>2026</v>
      </c>
      <c r="D26" s="33">
        <v>354782.55011655018</v>
      </c>
      <c r="E26" s="32">
        <v>3.4776670990153358E-2</v>
      </c>
      <c r="G26" s="29" t="s">
        <v>31</v>
      </c>
      <c r="H26" s="29">
        <v>11</v>
      </c>
      <c r="I26" s="29">
        <v>33089590214.666664</v>
      </c>
      <c r="J26" s="29"/>
      <c r="K26" s="29"/>
      <c r="L26" s="29"/>
    </row>
    <row r="27" spans="2:15" ht="15" thickBot="1" x14ac:dyDescent="0.35">
      <c r="B27" s="35">
        <v>17</v>
      </c>
      <c r="C27" s="34">
        <v>2027</v>
      </c>
      <c r="D27" s="33">
        <v>366706.04662004672</v>
      </c>
      <c r="E27" s="32">
        <v>3.3607900105514066E-2</v>
      </c>
    </row>
    <row r="28" spans="2:15" x14ac:dyDescent="0.3">
      <c r="G28" s="31"/>
      <c r="H28" s="31" t="s">
        <v>30</v>
      </c>
      <c r="I28" s="31" t="s">
        <v>29</v>
      </c>
      <c r="J28" s="31" t="s">
        <v>28</v>
      </c>
      <c r="K28" s="31" t="s">
        <v>27</v>
      </c>
      <c r="L28" s="31" t="s">
        <v>26</v>
      </c>
      <c r="M28" s="31" t="s">
        <v>25</v>
      </c>
      <c r="N28" s="31" t="s">
        <v>24</v>
      </c>
      <c r="O28" s="31" t="s">
        <v>23</v>
      </c>
    </row>
    <row r="29" spans="2:15" x14ac:dyDescent="0.3">
      <c r="G29" s="30" t="s">
        <v>22</v>
      </c>
      <c r="H29" s="30">
        <v>164006.60606060602</v>
      </c>
      <c r="I29" s="30">
        <v>21984.251651978862</v>
      </c>
      <c r="J29" s="30">
        <v>7.4601859848089642</v>
      </c>
      <c r="K29" s="30">
        <v>2.1594997224655504E-5</v>
      </c>
      <c r="L29" s="30">
        <v>115022.64082298848</v>
      </c>
      <c r="M29" s="30">
        <v>212990.57129822357</v>
      </c>
      <c r="N29" s="30">
        <v>115022.64082298848</v>
      </c>
      <c r="O29" s="30">
        <v>212990.57129822357</v>
      </c>
    </row>
    <row r="30" spans="2:15" ht="15" thickBot="1" x14ac:dyDescent="0.35">
      <c r="G30" s="29" t="s">
        <v>21</v>
      </c>
      <c r="H30" s="29">
        <v>11923.49650349651</v>
      </c>
      <c r="I30" s="29">
        <v>2987.0715910069262</v>
      </c>
      <c r="J30" s="29">
        <v>3.9917009486462165</v>
      </c>
      <c r="K30" s="29">
        <v>2.5522818145365654E-3</v>
      </c>
      <c r="L30" s="29">
        <v>5267.8862379095235</v>
      </c>
      <c r="M30" s="29">
        <v>18579.106769083497</v>
      </c>
      <c r="N30" s="29">
        <v>5267.8862379095235</v>
      </c>
      <c r="O30" s="29">
        <v>18579.106769083497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6A4D-0735-4BA3-AB32-37C7AC7C0587}">
  <dimension ref="A2:J5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14" sqref="L14"/>
    </sheetView>
  </sheetViews>
  <sheetFormatPr defaultRowHeight="14.4" outlineLevelRow="1" x14ac:dyDescent="0.3"/>
  <cols>
    <col min="1" max="1" width="1.88671875" style="1" customWidth="1"/>
    <col min="2" max="10" width="12.6640625" customWidth="1"/>
    <col min="11" max="11" width="6.88671875" customWidth="1"/>
    <col min="12" max="12" width="11" customWidth="1"/>
  </cols>
  <sheetData>
    <row r="2" spans="1:10" x14ac:dyDescent="0.3">
      <c r="B2" s="26" t="s">
        <v>19</v>
      </c>
      <c r="C2" s="26"/>
      <c r="D2" s="26"/>
    </row>
    <row r="5" spans="1:10" ht="19.5" customHeight="1" x14ac:dyDescent="0.3">
      <c r="B5" s="27" t="s">
        <v>18</v>
      </c>
    </row>
    <row r="6" spans="1:10" x14ac:dyDescent="0.3">
      <c r="B6" s="25" t="s">
        <v>17</v>
      </c>
      <c r="C6" s="25"/>
      <c r="D6" s="24">
        <v>2020</v>
      </c>
      <c r="E6" s="24">
        <f t="shared" ref="E6:J6" si="0">+D6+1</f>
        <v>2021</v>
      </c>
      <c r="F6" s="23">
        <f t="shared" si="0"/>
        <v>2022</v>
      </c>
      <c r="G6" s="23">
        <f t="shared" si="0"/>
        <v>2023</v>
      </c>
      <c r="H6" s="23">
        <f t="shared" si="0"/>
        <v>2024</v>
      </c>
      <c r="I6" s="23">
        <f t="shared" si="0"/>
        <v>2025</v>
      </c>
      <c r="J6" s="23">
        <f t="shared" si="0"/>
        <v>2026</v>
      </c>
    </row>
    <row r="8" spans="1:10" x14ac:dyDescent="0.3">
      <c r="A8" s="1" t="s">
        <v>11</v>
      </c>
      <c r="B8" s="11" t="str">
        <f>"Income Statement "&amp;"of "&amp; B5</f>
        <v>Income Statement of Tata Steels</v>
      </c>
      <c r="C8" s="10"/>
      <c r="D8" s="10"/>
      <c r="E8" s="10"/>
      <c r="F8" s="10"/>
      <c r="G8" s="10"/>
      <c r="H8" s="10"/>
      <c r="I8" s="10"/>
      <c r="J8" s="10"/>
    </row>
    <row r="9" spans="1:10" outlineLevel="1" x14ac:dyDescent="0.3">
      <c r="B9" s="8" t="s">
        <v>9</v>
      </c>
      <c r="C9" s="8"/>
      <c r="D9" s="22">
        <v>20000</v>
      </c>
      <c r="E9" s="22">
        <v>22500</v>
      </c>
      <c r="F9" s="21">
        <f>E9*(1+F21)</f>
        <v>24750.000000000004</v>
      </c>
      <c r="G9" s="21">
        <f>F9*(1+G21)</f>
        <v>27225.000000000007</v>
      </c>
      <c r="H9" s="21">
        <f>G9*(1+H21)</f>
        <v>29947.500000000011</v>
      </c>
      <c r="I9" s="21">
        <f>H9*(1+I21)</f>
        <v>32942.250000000015</v>
      </c>
      <c r="J9" s="21">
        <f>I9*(1+J21)</f>
        <v>36236.47500000002</v>
      </c>
    </row>
    <row r="10" spans="1:10" outlineLevel="1" x14ac:dyDescent="0.3">
      <c r="B10" t="s">
        <v>8</v>
      </c>
      <c r="D10" s="15">
        <v>8000</v>
      </c>
      <c r="E10" s="15">
        <v>9000</v>
      </c>
      <c r="F10" s="16">
        <f>F9*F22</f>
        <v>9900.0000000000018</v>
      </c>
      <c r="G10" s="16">
        <f>G9*G22</f>
        <v>10890.000000000004</v>
      </c>
      <c r="H10" s="16">
        <f>H9*H22</f>
        <v>11979.000000000005</v>
      </c>
      <c r="I10" s="16">
        <f>I9*I22</f>
        <v>13176.900000000007</v>
      </c>
      <c r="J10" s="16">
        <f>J9*J22</f>
        <v>14494.590000000009</v>
      </c>
    </row>
    <row r="11" spans="1:10" outlineLevel="1" x14ac:dyDescent="0.3">
      <c r="B11" s="6" t="s">
        <v>7</v>
      </c>
      <c r="C11" s="6"/>
      <c r="D11" s="20">
        <f t="shared" ref="D11:J11" si="1">D9-D10</f>
        <v>12000</v>
      </c>
      <c r="E11" s="20">
        <f t="shared" si="1"/>
        <v>13500</v>
      </c>
      <c r="F11" s="20">
        <f t="shared" si="1"/>
        <v>14850.000000000002</v>
      </c>
      <c r="G11" s="20">
        <f t="shared" si="1"/>
        <v>16335.000000000004</v>
      </c>
      <c r="H11" s="20">
        <f t="shared" si="1"/>
        <v>17968.500000000007</v>
      </c>
      <c r="I11" s="20">
        <f t="shared" si="1"/>
        <v>19765.350000000006</v>
      </c>
      <c r="J11" s="20">
        <f t="shared" si="1"/>
        <v>21741.885000000009</v>
      </c>
    </row>
    <row r="12" spans="1:10" outlineLevel="1" x14ac:dyDescent="0.3">
      <c r="B12" t="s">
        <v>6</v>
      </c>
      <c r="D12" s="15">
        <v>2000</v>
      </c>
      <c r="E12" s="15">
        <v>2250</v>
      </c>
      <c r="F12" s="16">
        <f>F23</f>
        <v>2500</v>
      </c>
      <c r="G12" s="16">
        <f>G23</f>
        <v>2500</v>
      </c>
      <c r="H12" s="16">
        <f>H23</f>
        <v>2500</v>
      </c>
      <c r="I12" s="16">
        <f>I23</f>
        <v>2500</v>
      </c>
      <c r="J12" s="16">
        <f>J23</f>
        <v>2500</v>
      </c>
    </row>
    <row r="13" spans="1:10" outlineLevel="1" x14ac:dyDescent="0.3">
      <c r="B13" s="6" t="s">
        <v>5</v>
      </c>
      <c r="C13" s="6"/>
      <c r="D13" s="20">
        <f t="shared" ref="D13:J13" si="2">D11-D12</f>
        <v>10000</v>
      </c>
      <c r="E13" s="20">
        <f t="shared" si="2"/>
        <v>11250</v>
      </c>
      <c r="F13" s="20">
        <f t="shared" si="2"/>
        <v>12350.000000000002</v>
      </c>
      <c r="G13" s="20">
        <f t="shared" si="2"/>
        <v>13835.000000000004</v>
      </c>
      <c r="H13" s="20">
        <f t="shared" si="2"/>
        <v>15468.500000000007</v>
      </c>
      <c r="I13" s="20">
        <f t="shared" si="2"/>
        <v>17265.350000000006</v>
      </c>
      <c r="J13" s="20">
        <f t="shared" si="2"/>
        <v>19241.885000000009</v>
      </c>
    </row>
    <row r="14" spans="1:10" outlineLevel="1" x14ac:dyDescent="0.3">
      <c r="B14" t="s">
        <v>4</v>
      </c>
      <c r="D14" s="15">
        <v>800</v>
      </c>
      <c r="E14" s="15">
        <v>900</v>
      </c>
      <c r="F14" s="16">
        <f>F24*F9</f>
        <v>1237.5000000000002</v>
      </c>
      <c r="G14" s="16">
        <f>G24*G9</f>
        <v>1361.2500000000005</v>
      </c>
      <c r="H14" s="16">
        <f>H24*H9</f>
        <v>1497.3750000000007</v>
      </c>
      <c r="I14" s="16">
        <f>I24*I9</f>
        <v>1647.1125000000009</v>
      </c>
      <c r="J14" s="16">
        <f>J24*J9</f>
        <v>1811.8237500000012</v>
      </c>
    </row>
    <row r="15" spans="1:10" outlineLevel="1" x14ac:dyDescent="0.3">
      <c r="B15" t="s">
        <v>3</v>
      </c>
      <c r="D15" s="15">
        <v>200</v>
      </c>
      <c r="E15" s="15">
        <v>225</v>
      </c>
      <c r="F15" s="16">
        <f>F25</f>
        <v>250</v>
      </c>
      <c r="G15" s="16">
        <f>G25</f>
        <v>250</v>
      </c>
      <c r="H15" s="16">
        <f>H25</f>
        <v>250</v>
      </c>
      <c r="I15" s="16">
        <f>I25</f>
        <v>250</v>
      </c>
      <c r="J15" s="16">
        <f>J25</f>
        <v>250</v>
      </c>
    </row>
    <row r="16" spans="1:10" outlineLevel="1" x14ac:dyDescent="0.3">
      <c r="B16" s="6" t="s">
        <v>2</v>
      </c>
      <c r="C16" s="6"/>
      <c r="D16" s="20">
        <f t="shared" ref="D16:J16" si="3">D13-SUM(D14:D15)</f>
        <v>9000</v>
      </c>
      <c r="E16" s="20">
        <f t="shared" si="3"/>
        <v>10125</v>
      </c>
      <c r="F16" s="20">
        <f t="shared" si="3"/>
        <v>10862.500000000002</v>
      </c>
      <c r="G16" s="20">
        <f t="shared" si="3"/>
        <v>12223.750000000004</v>
      </c>
      <c r="H16" s="20">
        <f t="shared" si="3"/>
        <v>13721.125000000007</v>
      </c>
      <c r="I16" s="20">
        <f t="shared" si="3"/>
        <v>15368.237500000005</v>
      </c>
      <c r="J16" s="20">
        <f t="shared" si="3"/>
        <v>17180.061250000006</v>
      </c>
    </row>
    <row r="17" spans="1:10" outlineLevel="1" x14ac:dyDescent="0.3">
      <c r="B17" t="s">
        <v>1</v>
      </c>
      <c r="D17" s="15">
        <v>2700</v>
      </c>
      <c r="E17" s="15">
        <v>3037.5</v>
      </c>
      <c r="F17" s="16">
        <f>F16*F26</f>
        <v>3258.7500000000005</v>
      </c>
      <c r="G17" s="16">
        <f>G16*G26</f>
        <v>3667.1250000000009</v>
      </c>
      <c r="H17" s="16">
        <f>H16*H26</f>
        <v>4116.3375000000024</v>
      </c>
      <c r="I17" s="16">
        <f>I16*I26</f>
        <v>4610.4712500000014</v>
      </c>
      <c r="J17" s="16">
        <f>J16*J26</f>
        <v>5154.0183750000015</v>
      </c>
    </row>
    <row r="18" spans="1:10" ht="15" outlineLevel="1" thickBot="1" x14ac:dyDescent="0.35">
      <c r="B18" s="3" t="s">
        <v>0</v>
      </c>
      <c r="C18" s="3"/>
      <c r="D18" s="19">
        <f t="shared" ref="D18:J18" si="4">D16-D17</f>
        <v>6300</v>
      </c>
      <c r="E18" s="19">
        <f t="shared" si="4"/>
        <v>7087.5</v>
      </c>
      <c r="F18" s="19">
        <f t="shared" si="4"/>
        <v>7603.7500000000018</v>
      </c>
      <c r="G18" s="19">
        <f t="shared" si="4"/>
        <v>8556.6250000000036</v>
      </c>
      <c r="H18" s="19">
        <f t="shared" si="4"/>
        <v>9604.7875000000058</v>
      </c>
      <c r="I18" s="19">
        <f t="shared" si="4"/>
        <v>10757.766250000004</v>
      </c>
      <c r="J18" s="19">
        <f t="shared" si="4"/>
        <v>12026.042875000005</v>
      </c>
    </row>
    <row r="19" spans="1:10" ht="15" thickTop="1" x14ac:dyDescent="0.3"/>
    <row r="20" spans="1:10" x14ac:dyDescent="0.3">
      <c r="A20" s="1" t="s">
        <v>11</v>
      </c>
      <c r="B20" s="11" t="str">
        <f>"Assumptions Drivers"&amp;" of "&amp;B5</f>
        <v>Assumptions Drivers of Tata Steels</v>
      </c>
      <c r="C20" s="10"/>
      <c r="D20" s="10"/>
      <c r="E20" s="10"/>
      <c r="F20" s="10"/>
      <c r="G20" s="10"/>
      <c r="H20" s="10"/>
      <c r="I20" s="10"/>
      <c r="J20" s="10"/>
    </row>
    <row r="21" spans="1:10" outlineLevel="1" x14ac:dyDescent="0.3">
      <c r="B21" t="s">
        <v>16</v>
      </c>
      <c r="D21" s="1" t="s">
        <v>15</v>
      </c>
      <c r="E21" s="12">
        <f>E9/D9-1</f>
        <v>0.125</v>
      </c>
      <c r="F21" s="18">
        <v>0.1</v>
      </c>
      <c r="G21" s="18">
        <v>0.1</v>
      </c>
      <c r="H21" s="18">
        <v>0.1</v>
      </c>
      <c r="I21" s="18">
        <v>0.1</v>
      </c>
      <c r="J21" s="18">
        <v>0.1</v>
      </c>
    </row>
    <row r="22" spans="1:10" outlineLevel="1" x14ac:dyDescent="0.3">
      <c r="B22" t="s">
        <v>14</v>
      </c>
      <c r="D22" s="12">
        <f>D10/D9</f>
        <v>0.4</v>
      </c>
      <c r="E22" s="12">
        <f>E10/E9</f>
        <v>0.4</v>
      </c>
      <c r="F22" s="18">
        <v>0.4</v>
      </c>
      <c r="G22" s="18">
        <v>0.4</v>
      </c>
      <c r="H22" s="18">
        <v>0.4</v>
      </c>
      <c r="I22" s="18">
        <v>0.4</v>
      </c>
      <c r="J22" s="18">
        <v>0.4</v>
      </c>
    </row>
    <row r="23" spans="1:10" outlineLevel="1" x14ac:dyDescent="0.3">
      <c r="B23" t="s">
        <v>13</v>
      </c>
      <c r="D23" s="16">
        <f>D12</f>
        <v>2000</v>
      </c>
      <c r="E23" s="16">
        <f>E12</f>
        <v>2250</v>
      </c>
      <c r="F23" s="15">
        <v>2500</v>
      </c>
      <c r="G23" s="15">
        <v>2500</v>
      </c>
      <c r="H23" s="15">
        <v>2500</v>
      </c>
      <c r="I23" s="15">
        <v>2500</v>
      </c>
      <c r="J23" s="15">
        <v>2500</v>
      </c>
    </row>
    <row r="24" spans="1:10" outlineLevel="1" x14ac:dyDescent="0.3">
      <c r="B24" t="s">
        <v>12</v>
      </c>
      <c r="D24" s="12">
        <f>D14/D9</f>
        <v>0.04</v>
      </c>
      <c r="E24" s="12">
        <f>E14/E9</f>
        <v>0.04</v>
      </c>
      <c r="F24" s="17">
        <v>0.05</v>
      </c>
      <c r="G24" s="17">
        <v>0.05</v>
      </c>
      <c r="H24" s="17">
        <v>0.05</v>
      </c>
      <c r="I24" s="17">
        <v>0.05</v>
      </c>
      <c r="J24" s="17">
        <v>0.05</v>
      </c>
    </row>
    <row r="25" spans="1:10" outlineLevel="1" x14ac:dyDescent="0.3">
      <c r="B25" t="s">
        <v>3</v>
      </c>
      <c r="D25" s="16">
        <f>D15</f>
        <v>200</v>
      </c>
      <c r="E25" s="16">
        <f>E15</f>
        <v>225</v>
      </c>
      <c r="F25" s="15">
        <v>250</v>
      </c>
      <c r="G25" s="15">
        <v>250</v>
      </c>
      <c r="H25" s="15">
        <v>250</v>
      </c>
      <c r="I25" s="15">
        <v>250</v>
      </c>
      <c r="J25" s="15">
        <v>250</v>
      </c>
    </row>
    <row r="26" spans="1:10" outlineLevel="1" x14ac:dyDescent="0.3">
      <c r="B26" t="s">
        <v>1</v>
      </c>
      <c r="D26" s="14">
        <v>0.3</v>
      </c>
      <c r="E26" s="14">
        <v>0.3</v>
      </c>
      <c r="F26" s="13">
        <v>0.3</v>
      </c>
      <c r="G26" s="13">
        <v>0.3</v>
      </c>
      <c r="H26" s="13">
        <v>0.3</v>
      </c>
      <c r="I26" s="13">
        <v>0.3</v>
      </c>
      <c r="J26" s="13">
        <v>0.3</v>
      </c>
    </row>
    <row r="28" spans="1:10" x14ac:dyDescent="0.3">
      <c r="A28" s="1" t="s">
        <v>11</v>
      </c>
      <c r="B28" s="11" t="str">
        <f>"Common Size Statement"&amp;" of "&amp;B5</f>
        <v>Common Size Statement of Tata Steels</v>
      </c>
      <c r="C28" s="10"/>
      <c r="D28" s="10"/>
      <c r="E28" s="10"/>
      <c r="F28" s="10"/>
      <c r="G28" s="10"/>
      <c r="H28" s="10"/>
      <c r="I28" s="10"/>
      <c r="J28" s="10"/>
    </row>
    <row r="29" spans="1:10" outlineLevel="1" x14ac:dyDescent="0.3">
      <c r="B29" t="s">
        <v>9</v>
      </c>
      <c r="D29" s="12">
        <f t="shared" ref="D29:J38" si="5">D9/D$9</f>
        <v>1</v>
      </c>
      <c r="E29" s="12">
        <f t="shared" si="5"/>
        <v>1</v>
      </c>
      <c r="F29" s="12">
        <f t="shared" si="5"/>
        <v>1</v>
      </c>
      <c r="G29" s="12">
        <f t="shared" si="5"/>
        <v>1</v>
      </c>
      <c r="H29" s="12">
        <f t="shared" si="5"/>
        <v>1</v>
      </c>
      <c r="I29" s="12">
        <f t="shared" si="5"/>
        <v>1</v>
      </c>
      <c r="J29" s="12">
        <f t="shared" si="5"/>
        <v>1</v>
      </c>
    </row>
    <row r="30" spans="1:10" outlineLevel="1" x14ac:dyDescent="0.3">
      <c r="B30" t="s">
        <v>8</v>
      </c>
      <c r="D30" s="12">
        <f t="shared" si="5"/>
        <v>0.4</v>
      </c>
      <c r="E30" s="12">
        <f t="shared" si="5"/>
        <v>0.4</v>
      </c>
      <c r="F30" s="12">
        <f t="shared" si="5"/>
        <v>0.4</v>
      </c>
      <c r="G30" s="12">
        <f t="shared" si="5"/>
        <v>0.4</v>
      </c>
      <c r="H30" s="12">
        <f t="shared" si="5"/>
        <v>0.4</v>
      </c>
      <c r="I30" s="12">
        <f t="shared" si="5"/>
        <v>0.4</v>
      </c>
      <c r="J30" s="12">
        <f t="shared" si="5"/>
        <v>0.4</v>
      </c>
    </row>
    <row r="31" spans="1:10" outlineLevel="1" x14ac:dyDescent="0.3">
      <c r="B31" t="s">
        <v>7</v>
      </c>
      <c r="D31" s="12">
        <f t="shared" si="5"/>
        <v>0.6</v>
      </c>
      <c r="E31" s="12">
        <f t="shared" si="5"/>
        <v>0.6</v>
      </c>
      <c r="F31" s="12">
        <f t="shared" si="5"/>
        <v>0.6</v>
      </c>
      <c r="G31" s="12">
        <f t="shared" si="5"/>
        <v>0.6</v>
      </c>
      <c r="H31" s="12">
        <f t="shared" si="5"/>
        <v>0.6</v>
      </c>
      <c r="I31" s="12">
        <f t="shared" si="5"/>
        <v>0.59999999999999987</v>
      </c>
      <c r="J31" s="12">
        <f t="shared" si="5"/>
        <v>0.59999999999999987</v>
      </c>
    </row>
    <row r="32" spans="1:10" outlineLevel="1" x14ac:dyDescent="0.3">
      <c r="B32" t="s">
        <v>6</v>
      </c>
      <c r="D32" s="12">
        <f t="shared" si="5"/>
        <v>0.1</v>
      </c>
      <c r="E32" s="12">
        <f t="shared" si="5"/>
        <v>0.1</v>
      </c>
      <c r="F32" s="12">
        <f t="shared" si="5"/>
        <v>0.10101010101010099</v>
      </c>
      <c r="G32" s="12">
        <f t="shared" si="5"/>
        <v>9.1827364554637261E-2</v>
      </c>
      <c r="H32" s="12">
        <f t="shared" si="5"/>
        <v>8.3479422322397495E-2</v>
      </c>
      <c r="I32" s="12">
        <f t="shared" si="5"/>
        <v>7.5890383929452271E-2</v>
      </c>
      <c r="J32" s="12">
        <f t="shared" si="5"/>
        <v>6.8991258117683876E-2</v>
      </c>
    </row>
    <row r="33" spans="1:10" outlineLevel="1" x14ac:dyDescent="0.3">
      <c r="B33" t="s">
        <v>5</v>
      </c>
      <c r="D33" s="12">
        <f t="shared" si="5"/>
        <v>0.5</v>
      </c>
      <c r="E33" s="12">
        <f t="shared" si="5"/>
        <v>0.5</v>
      </c>
      <c r="F33" s="12">
        <f t="shared" si="5"/>
        <v>0.49898989898989898</v>
      </c>
      <c r="G33" s="12">
        <f t="shared" si="5"/>
        <v>0.50817263544536273</v>
      </c>
      <c r="H33" s="12">
        <f t="shared" si="5"/>
        <v>0.51652057767760251</v>
      </c>
      <c r="I33" s="12">
        <f t="shared" si="5"/>
        <v>0.52410961607054762</v>
      </c>
      <c r="J33" s="12">
        <f t="shared" si="5"/>
        <v>0.53100874188231606</v>
      </c>
    </row>
    <row r="34" spans="1:10" outlineLevel="1" x14ac:dyDescent="0.3">
      <c r="B34" t="s">
        <v>4</v>
      </c>
      <c r="D34" s="12">
        <f t="shared" si="5"/>
        <v>0.04</v>
      </c>
      <c r="E34" s="12">
        <f t="shared" si="5"/>
        <v>0.04</v>
      </c>
      <c r="F34" s="12">
        <f t="shared" si="5"/>
        <v>0.05</v>
      </c>
      <c r="G34" s="12">
        <f t="shared" si="5"/>
        <v>0.05</v>
      </c>
      <c r="H34" s="12">
        <f t="shared" si="5"/>
        <v>0.05</v>
      </c>
      <c r="I34" s="12">
        <f t="shared" si="5"/>
        <v>0.05</v>
      </c>
      <c r="J34" s="12">
        <f t="shared" si="5"/>
        <v>0.05</v>
      </c>
    </row>
    <row r="35" spans="1:10" outlineLevel="1" x14ac:dyDescent="0.3">
      <c r="B35" t="s">
        <v>3</v>
      </c>
      <c r="D35" s="12">
        <f t="shared" si="5"/>
        <v>0.01</v>
      </c>
      <c r="E35" s="12">
        <f t="shared" si="5"/>
        <v>0.01</v>
      </c>
      <c r="F35" s="12">
        <f t="shared" si="5"/>
        <v>1.01010101010101E-2</v>
      </c>
      <c r="G35" s="12">
        <f t="shared" si="5"/>
        <v>9.1827364554637261E-3</v>
      </c>
      <c r="H35" s="12">
        <f t="shared" si="5"/>
        <v>8.3479422322397506E-3</v>
      </c>
      <c r="I35" s="12">
        <f t="shared" si="5"/>
        <v>7.5890383929452269E-3</v>
      </c>
      <c r="J35" s="12">
        <f t="shared" si="5"/>
        <v>6.8991258117683868E-3</v>
      </c>
    </row>
    <row r="36" spans="1:10" outlineLevel="1" x14ac:dyDescent="0.3">
      <c r="B36" t="s">
        <v>2</v>
      </c>
      <c r="D36" s="12">
        <f t="shared" si="5"/>
        <v>0.45</v>
      </c>
      <c r="E36" s="12">
        <f t="shared" si="5"/>
        <v>0.45</v>
      </c>
      <c r="F36" s="12">
        <f t="shared" si="5"/>
        <v>0.43888888888888888</v>
      </c>
      <c r="G36" s="12">
        <f t="shared" si="5"/>
        <v>0.44898989898989899</v>
      </c>
      <c r="H36" s="12">
        <f t="shared" si="5"/>
        <v>0.4581726354453628</v>
      </c>
      <c r="I36" s="12">
        <f t="shared" si="5"/>
        <v>0.46652057767760241</v>
      </c>
      <c r="J36" s="12">
        <f t="shared" si="5"/>
        <v>0.47410961607054758</v>
      </c>
    </row>
    <row r="37" spans="1:10" outlineLevel="1" x14ac:dyDescent="0.3">
      <c r="B37" t="s">
        <v>1</v>
      </c>
      <c r="D37" s="12">
        <f t="shared" si="5"/>
        <v>0.13500000000000001</v>
      </c>
      <c r="E37" s="12">
        <f t="shared" si="5"/>
        <v>0.13500000000000001</v>
      </c>
      <c r="F37" s="12">
        <f t="shared" si="5"/>
        <v>0.13166666666666665</v>
      </c>
      <c r="G37" s="12">
        <f t="shared" si="5"/>
        <v>0.1346969696969697</v>
      </c>
      <c r="H37" s="12">
        <f t="shared" si="5"/>
        <v>0.13745179063360885</v>
      </c>
      <c r="I37" s="12">
        <f t="shared" si="5"/>
        <v>0.13995617330328072</v>
      </c>
      <c r="J37" s="12">
        <f t="shared" si="5"/>
        <v>0.14223288482116428</v>
      </c>
    </row>
    <row r="38" spans="1:10" outlineLevel="1" x14ac:dyDescent="0.3">
      <c r="B38" t="s">
        <v>0</v>
      </c>
      <c r="D38" s="12">
        <f t="shared" si="5"/>
        <v>0.315</v>
      </c>
      <c r="E38" s="12">
        <f t="shared" si="5"/>
        <v>0.315</v>
      </c>
      <c r="F38" s="12">
        <f t="shared" si="5"/>
        <v>0.30722222222222223</v>
      </c>
      <c r="G38" s="12">
        <f t="shared" si="5"/>
        <v>0.31429292929292935</v>
      </c>
      <c r="H38" s="12">
        <f t="shared" si="5"/>
        <v>0.320720844811754</v>
      </c>
      <c r="I38" s="12">
        <f t="shared" si="5"/>
        <v>0.32656440437432172</v>
      </c>
      <c r="J38" s="12">
        <f t="shared" si="5"/>
        <v>0.33187673124938333</v>
      </c>
    </row>
    <row r="40" spans="1:10" x14ac:dyDescent="0.3">
      <c r="A40" s="1" t="s">
        <v>11</v>
      </c>
      <c r="B40" s="11" t="str">
        <f>"Change Analysis"&amp;" of "&amp;B5</f>
        <v>Change Analysis of Tata Steels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B41" s="8" t="s">
        <v>10</v>
      </c>
      <c r="C41" s="9">
        <v>0.1</v>
      </c>
    </row>
    <row r="42" spans="1:10" x14ac:dyDescent="0.3">
      <c r="B42" s="8" t="s">
        <v>9</v>
      </c>
      <c r="C42" s="8"/>
      <c r="D42" s="7">
        <f t="shared" ref="D42:J51" si="6">D9*(1+$C$41)</f>
        <v>22000</v>
      </c>
      <c r="E42" s="7">
        <f t="shared" si="6"/>
        <v>24750.000000000004</v>
      </c>
      <c r="F42" s="7">
        <f t="shared" si="6"/>
        <v>27225.000000000007</v>
      </c>
      <c r="G42" s="7">
        <f t="shared" si="6"/>
        <v>29947.500000000011</v>
      </c>
      <c r="H42" s="7">
        <f t="shared" si="6"/>
        <v>32942.250000000015</v>
      </c>
      <c r="I42" s="7">
        <f t="shared" si="6"/>
        <v>36236.47500000002</v>
      </c>
      <c r="J42" s="7">
        <f t="shared" si="6"/>
        <v>39860.122500000027</v>
      </c>
    </row>
    <row r="43" spans="1:10" x14ac:dyDescent="0.3">
      <c r="B43" t="s">
        <v>8</v>
      </c>
      <c r="D43" s="4">
        <f t="shared" si="6"/>
        <v>8800</v>
      </c>
      <c r="E43" s="4">
        <f t="shared" si="6"/>
        <v>9900</v>
      </c>
      <c r="F43" s="4">
        <f t="shared" si="6"/>
        <v>10890.000000000004</v>
      </c>
      <c r="G43" s="4">
        <f t="shared" si="6"/>
        <v>11979.000000000005</v>
      </c>
      <c r="H43" s="4">
        <f t="shared" si="6"/>
        <v>13176.900000000007</v>
      </c>
      <c r="I43" s="4">
        <f t="shared" si="6"/>
        <v>14494.590000000009</v>
      </c>
      <c r="J43" s="4">
        <f t="shared" si="6"/>
        <v>15944.049000000012</v>
      </c>
    </row>
    <row r="44" spans="1:10" x14ac:dyDescent="0.3">
      <c r="B44" s="6" t="s">
        <v>7</v>
      </c>
      <c r="C44" s="6"/>
      <c r="D44" s="5">
        <f t="shared" si="6"/>
        <v>13200.000000000002</v>
      </c>
      <c r="E44" s="5">
        <f t="shared" si="6"/>
        <v>14850.000000000002</v>
      </c>
      <c r="F44" s="5">
        <f t="shared" si="6"/>
        <v>16335.000000000004</v>
      </c>
      <c r="G44" s="5">
        <f t="shared" si="6"/>
        <v>17968.500000000004</v>
      </c>
      <c r="H44" s="5">
        <f t="shared" si="6"/>
        <v>19765.350000000009</v>
      </c>
      <c r="I44" s="5">
        <f t="shared" si="6"/>
        <v>21741.885000000009</v>
      </c>
      <c r="J44" s="5">
        <f t="shared" si="6"/>
        <v>23916.073500000013</v>
      </c>
    </row>
    <row r="45" spans="1:10" x14ac:dyDescent="0.3">
      <c r="B45" t="s">
        <v>6</v>
      </c>
      <c r="D45" s="4">
        <f t="shared" si="6"/>
        <v>2200</v>
      </c>
      <c r="E45" s="4">
        <f t="shared" si="6"/>
        <v>2475</v>
      </c>
      <c r="F45" s="4">
        <f t="shared" si="6"/>
        <v>2750</v>
      </c>
      <c r="G45" s="4">
        <f t="shared" si="6"/>
        <v>2750</v>
      </c>
      <c r="H45" s="4">
        <f t="shared" si="6"/>
        <v>2750</v>
      </c>
      <c r="I45" s="4">
        <f t="shared" si="6"/>
        <v>2750</v>
      </c>
      <c r="J45" s="4">
        <f t="shared" si="6"/>
        <v>2750</v>
      </c>
    </row>
    <row r="46" spans="1:10" x14ac:dyDescent="0.3">
      <c r="B46" s="6" t="s">
        <v>5</v>
      </c>
      <c r="C46" s="6"/>
      <c r="D46" s="5">
        <f t="shared" si="6"/>
        <v>11000</v>
      </c>
      <c r="E46" s="5">
        <f t="shared" si="6"/>
        <v>12375.000000000002</v>
      </c>
      <c r="F46" s="5">
        <f t="shared" si="6"/>
        <v>13585.000000000004</v>
      </c>
      <c r="G46" s="5">
        <f t="shared" si="6"/>
        <v>15218.500000000005</v>
      </c>
      <c r="H46" s="5">
        <f t="shared" si="6"/>
        <v>17015.350000000009</v>
      </c>
      <c r="I46" s="5">
        <f t="shared" si="6"/>
        <v>18991.885000000009</v>
      </c>
      <c r="J46" s="5">
        <f t="shared" si="6"/>
        <v>21166.073500000013</v>
      </c>
    </row>
    <row r="47" spans="1:10" x14ac:dyDescent="0.3">
      <c r="B47" t="s">
        <v>4</v>
      </c>
      <c r="D47" s="4">
        <f t="shared" si="6"/>
        <v>880.00000000000011</v>
      </c>
      <c r="E47" s="4">
        <f t="shared" si="6"/>
        <v>990.00000000000011</v>
      </c>
      <c r="F47" s="4">
        <f t="shared" si="6"/>
        <v>1361.2500000000005</v>
      </c>
      <c r="G47" s="4">
        <f t="shared" si="6"/>
        <v>1497.3750000000007</v>
      </c>
      <c r="H47" s="4">
        <f t="shared" si="6"/>
        <v>1647.1125000000009</v>
      </c>
      <c r="I47" s="4">
        <f t="shared" si="6"/>
        <v>1811.8237500000012</v>
      </c>
      <c r="J47" s="4">
        <f t="shared" si="6"/>
        <v>1993.0061250000015</v>
      </c>
    </row>
    <row r="48" spans="1:10" x14ac:dyDescent="0.3">
      <c r="B48" t="s">
        <v>3</v>
      </c>
      <c r="D48" s="4">
        <f t="shared" si="6"/>
        <v>220.00000000000003</v>
      </c>
      <c r="E48" s="4">
        <f t="shared" si="6"/>
        <v>247.50000000000003</v>
      </c>
      <c r="F48" s="4">
        <f t="shared" si="6"/>
        <v>275</v>
      </c>
      <c r="G48" s="4">
        <f t="shared" si="6"/>
        <v>275</v>
      </c>
      <c r="H48" s="4">
        <f t="shared" si="6"/>
        <v>275</v>
      </c>
      <c r="I48" s="4">
        <f t="shared" si="6"/>
        <v>275</v>
      </c>
      <c r="J48" s="4">
        <f t="shared" si="6"/>
        <v>275</v>
      </c>
    </row>
    <row r="49" spans="2:10" x14ac:dyDescent="0.3">
      <c r="B49" s="6" t="s">
        <v>2</v>
      </c>
      <c r="C49" s="6"/>
      <c r="D49" s="5">
        <f t="shared" si="6"/>
        <v>9900</v>
      </c>
      <c r="E49" s="5">
        <f t="shared" si="6"/>
        <v>11137.5</v>
      </c>
      <c r="F49" s="5">
        <f t="shared" si="6"/>
        <v>11948.750000000004</v>
      </c>
      <c r="G49" s="5">
        <f t="shared" si="6"/>
        <v>13446.125000000005</v>
      </c>
      <c r="H49" s="5">
        <f t="shared" si="6"/>
        <v>15093.237500000008</v>
      </c>
      <c r="I49" s="5">
        <f t="shared" si="6"/>
        <v>16905.061250000006</v>
      </c>
      <c r="J49" s="5">
        <f t="shared" si="6"/>
        <v>18898.06737500001</v>
      </c>
    </row>
    <row r="50" spans="2:10" x14ac:dyDescent="0.3">
      <c r="B50" t="s">
        <v>1</v>
      </c>
      <c r="D50" s="4">
        <f t="shared" si="6"/>
        <v>2970.0000000000005</v>
      </c>
      <c r="E50" s="4">
        <f t="shared" si="6"/>
        <v>3341.2500000000005</v>
      </c>
      <c r="F50" s="4">
        <f t="shared" si="6"/>
        <v>3584.6250000000009</v>
      </c>
      <c r="G50" s="4">
        <f t="shared" si="6"/>
        <v>4033.8375000000015</v>
      </c>
      <c r="H50" s="4">
        <f t="shared" si="6"/>
        <v>4527.9712500000032</v>
      </c>
      <c r="I50" s="4">
        <f t="shared" si="6"/>
        <v>5071.5183750000024</v>
      </c>
      <c r="J50" s="4">
        <f t="shared" si="6"/>
        <v>5669.420212500002</v>
      </c>
    </row>
    <row r="51" spans="2:10" ht="15" thickBot="1" x14ac:dyDescent="0.35">
      <c r="B51" s="3" t="s">
        <v>0</v>
      </c>
      <c r="C51" s="3"/>
      <c r="D51" s="2">
        <f t="shared" si="6"/>
        <v>6930.0000000000009</v>
      </c>
      <c r="E51" s="2">
        <f t="shared" si="6"/>
        <v>7796.2500000000009</v>
      </c>
      <c r="F51" s="2">
        <f t="shared" si="6"/>
        <v>8364.1250000000018</v>
      </c>
      <c r="G51" s="2">
        <f t="shared" si="6"/>
        <v>9412.287500000004</v>
      </c>
      <c r="H51" s="2">
        <f t="shared" si="6"/>
        <v>10565.266250000008</v>
      </c>
      <c r="I51" s="2">
        <f t="shared" si="6"/>
        <v>11833.542875000006</v>
      </c>
      <c r="J51" s="2">
        <f t="shared" si="6"/>
        <v>13228.647162500007</v>
      </c>
    </row>
    <row r="52" spans="2:10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D92D-BF4B-4137-806C-79F42F3537BA}">
  <dimension ref="B2:O20"/>
  <sheetViews>
    <sheetView showGridLines="0" workbookViewId="0">
      <selection activeCell="E7" sqref="E7"/>
    </sheetView>
  </sheetViews>
  <sheetFormatPr defaultRowHeight="14.4" x14ac:dyDescent="0.3"/>
  <cols>
    <col min="1" max="1" width="1.88671875" style="28" customWidth="1"/>
    <col min="2" max="2" width="12" style="28" bestFit="1" customWidth="1"/>
    <col min="3" max="3" width="10" style="28" bestFit="1" customWidth="1"/>
    <col min="4" max="4" width="11.6640625" style="28" customWidth="1"/>
    <col min="5" max="5" width="12.6640625" style="28" bestFit="1" customWidth="1"/>
    <col min="6" max="6" width="2.6640625" style="28" customWidth="1"/>
    <col min="7" max="7" width="12" style="28" bestFit="1" customWidth="1"/>
    <col min="8" max="8" width="6.33203125" style="28" bestFit="1" customWidth="1"/>
    <col min="9" max="9" width="9.6640625" style="28" bestFit="1" customWidth="1"/>
    <col min="10" max="10" width="12.6640625" style="28" bestFit="1" customWidth="1"/>
    <col min="11" max="11" width="2.6640625" style="28" customWidth="1"/>
    <col min="12" max="12" width="17.109375" style="28" customWidth="1"/>
    <col min="13" max="13" width="6.33203125" style="28" bestFit="1" customWidth="1"/>
    <col min="14" max="14" width="8.33203125" style="28" bestFit="1" customWidth="1"/>
    <col min="15" max="15" width="17.44140625" style="28" customWidth="1"/>
    <col min="16" max="16384" width="8.88671875" style="28"/>
  </cols>
  <sheetData>
    <row r="2" spans="2:15" x14ac:dyDescent="0.3">
      <c r="B2" s="110" t="str">
        <f>'[1]Data Sheet'!$B$1&amp;" - "&amp;'[1]Data Sheet'!A17&amp;" Forecasting"</f>
        <v>TATA MOTORS LTD - Sales Forecasting</v>
      </c>
      <c r="C2" s="110"/>
      <c r="D2" s="110"/>
      <c r="E2" s="110"/>
      <c r="G2" s="110" t="str">
        <f>'[1]Data Sheet'!$B$1&amp;" - "&amp;'[1]Data Sheet'!A34&amp;" Forecasting"</f>
        <v>TATA MOTORS LTD - EBITDA Forecasting</v>
      </c>
      <c r="H2" s="110"/>
      <c r="I2" s="110"/>
      <c r="J2" s="110"/>
      <c r="L2" s="110" t="str">
        <f>'[1]Data Sheet'!$B$1&amp;" - "&amp;[1]HistoricalFS!B38&amp;" Forecasting"</f>
        <v>TATA MOTORS LTD - Earnings per Share Forecasting</v>
      </c>
      <c r="M2" s="110"/>
      <c r="N2" s="110"/>
      <c r="O2" s="110"/>
    </row>
    <row r="3" spans="2:15" x14ac:dyDescent="0.3">
      <c r="B3" s="40" t="s">
        <v>21</v>
      </c>
      <c r="C3" s="39" t="s">
        <v>48</v>
      </c>
      <c r="D3" s="39" t="s">
        <v>47</v>
      </c>
      <c r="E3" s="39" t="s">
        <v>46</v>
      </c>
      <c r="G3" s="40" t="s">
        <v>21</v>
      </c>
      <c r="H3" s="39" t="s">
        <v>48</v>
      </c>
      <c r="I3" s="39" t="s">
        <v>47</v>
      </c>
      <c r="J3" s="39" t="s">
        <v>46</v>
      </c>
      <c r="L3" s="40" t="s">
        <v>21</v>
      </c>
      <c r="M3" s="39" t="s">
        <v>48</v>
      </c>
      <c r="N3" s="39" t="s">
        <v>47</v>
      </c>
      <c r="O3" s="39" t="s">
        <v>46</v>
      </c>
    </row>
    <row r="4" spans="2:15" x14ac:dyDescent="0.3">
      <c r="B4" s="35">
        <v>1</v>
      </c>
      <c r="C4" s="46">
        <f>'[1]Data Sheet'!$B$16</f>
        <v>41364</v>
      </c>
      <c r="D4" s="45">
        <f t="array" ref="D4:D13">TRANSPOSE('[1]Data Sheet'!B17:K17)</f>
        <v>188792.69</v>
      </c>
      <c r="G4" s="35">
        <v>1</v>
      </c>
      <c r="H4" s="46">
        <f>'[1]Data Sheet'!$B$16</f>
        <v>41364</v>
      </c>
      <c r="I4" s="45">
        <f t="array" ref="I4:I13">TRANSPOSE('[1]Data Sheet'!B34:K34)</f>
        <v>24830.799999999999</v>
      </c>
      <c r="L4" s="35">
        <v>1</v>
      </c>
      <c r="M4" s="46">
        <f>'[1]Data Sheet'!$B$16</f>
        <v>41364</v>
      </c>
      <c r="N4" s="45">
        <f t="array" ref="N4:N13">TRANSPOSE([1]HistoricalFS!C38:L38)</f>
        <v>33.80158896822067</v>
      </c>
    </row>
    <row r="5" spans="2:15" x14ac:dyDescent="0.3">
      <c r="B5" s="35">
        <f t="shared" ref="B5:B18" si="0">B4+1</f>
        <v>2</v>
      </c>
      <c r="C5" s="46">
        <f t="shared" ref="C5:C18" si="1">C4+365</f>
        <v>41729</v>
      </c>
      <c r="D5" s="45">
        <v>232833.66</v>
      </c>
      <c r="E5" s="32">
        <f t="shared" ref="E5:E18" si="2">D5/D4-1</f>
        <v>0.23327688164197458</v>
      </c>
      <c r="G5" s="35">
        <f t="shared" ref="G5:G18" si="3">G4+1</f>
        <v>2</v>
      </c>
      <c r="H5" s="46">
        <f t="shared" ref="H5:H18" si="4">H4+365</f>
        <v>41729</v>
      </c>
      <c r="I5" s="45">
        <v>34583.410000000003</v>
      </c>
      <c r="J5" s="32">
        <f t="shared" ref="J5:J18" si="5">I5/I4-1</f>
        <v>0.39276261739452623</v>
      </c>
      <c r="L5" s="35">
        <f t="shared" ref="L5:L18" si="6">L4+1</f>
        <v>2</v>
      </c>
      <c r="M5" s="46">
        <f t="shared" ref="M5:M18" si="7">M4+365</f>
        <v>41729</v>
      </c>
      <c r="N5" s="45">
        <v>49.390351180993186</v>
      </c>
      <c r="O5" s="32">
        <f t="shared" ref="O5:O18" si="8">N5/N4-1</f>
        <v>0.46118430194002547</v>
      </c>
    </row>
    <row r="6" spans="2:15" x14ac:dyDescent="0.3">
      <c r="B6" s="35">
        <f t="shared" si="0"/>
        <v>3</v>
      </c>
      <c r="C6" s="46">
        <f t="shared" si="1"/>
        <v>42094</v>
      </c>
      <c r="D6" s="45">
        <v>263158.98</v>
      </c>
      <c r="E6" s="32">
        <f t="shared" si="2"/>
        <v>0.13024457030826198</v>
      </c>
      <c r="G6" s="35">
        <f t="shared" si="3"/>
        <v>3</v>
      </c>
      <c r="H6" s="46">
        <f t="shared" si="4"/>
        <v>42094</v>
      </c>
      <c r="I6" s="45">
        <v>39879.32</v>
      </c>
      <c r="J6" s="32">
        <f t="shared" si="5"/>
        <v>0.1531344075092651</v>
      </c>
      <c r="L6" s="35">
        <f t="shared" si="6"/>
        <v>3</v>
      </c>
      <c r="M6" s="46">
        <f t="shared" si="7"/>
        <v>42094</v>
      </c>
      <c r="N6" s="45">
        <v>46.220198102098706</v>
      </c>
      <c r="O6" s="32">
        <f t="shared" si="8"/>
        <v>-6.4185676009415493E-2</v>
      </c>
    </row>
    <row r="7" spans="2:15" x14ac:dyDescent="0.3">
      <c r="B7" s="35">
        <f t="shared" si="0"/>
        <v>4</v>
      </c>
      <c r="C7" s="46">
        <f t="shared" si="1"/>
        <v>42459</v>
      </c>
      <c r="D7" s="45">
        <v>273045.59999999998</v>
      </c>
      <c r="E7" s="32">
        <f t="shared" si="2"/>
        <v>3.75690010654397E-2</v>
      </c>
      <c r="G7" s="35">
        <f t="shared" si="3"/>
        <v>4</v>
      </c>
      <c r="H7" s="46">
        <f t="shared" si="4"/>
        <v>42459</v>
      </c>
      <c r="I7" s="45">
        <v>36204.22</v>
      </c>
      <c r="J7" s="32">
        <f t="shared" si="5"/>
        <v>-9.215553324379655E-2</v>
      </c>
      <c r="L7" s="35">
        <f t="shared" si="6"/>
        <v>4</v>
      </c>
      <c r="M7" s="46">
        <f t="shared" si="7"/>
        <v>42459</v>
      </c>
      <c r="N7" s="45">
        <v>47.694444444444336</v>
      </c>
      <c r="O7" s="32">
        <f t="shared" si="8"/>
        <v>3.189614936502605E-2</v>
      </c>
    </row>
    <row r="8" spans="2:15" x14ac:dyDescent="0.3">
      <c r="B8" s="35">
        <f t="shared" si="0"/>
        <v>5</v>
      </c>
      <c r="C8" s="46">
        <f t="shared" si="1"/>
        <v>42824</v>
      </c>
      <c r="D8" s="45">
        <v>269692.51</v>
      </c>
      <c r="E8" s="32">
        <f t="shared" si="2"/>
        <v>-1.2280329732469508E-2</v>
      </c>
      <c r="G8" s="35">
        <f t="shared" si="3"/>
        <v>5</v>
      </c>
      <c r="H8" s="46">
        <f t="shared" si="4"/>
        <v>42824</v>
      </c>
      <c r="I8" s="45">
        <v>32848.590000000004</v>
      </c>
      <c r="J8" s="32">
        <f t="shared" si="5"/>
        <v>-9.2686156475681458E-2</v>
      </c>
      <c r="L8" s="35">
        <f t="shared" si="6"/>
        <v>5</v>
      </c>
      <c r="M8" s="46">
        <f t="shared" si="7"/>
        <v>42824</v>
      </c>
      <c r="N8" s="45">
        <v>14.527274616423808</v>
      </c>
      <c r="O8" s="32">
        <f t="shared" si="8"/>
        <v>-0.69540950134463697</v>
      </c>
    </row>
    <row r="9" spans="2:15" x14ac:dyDescent="0.3">
      <c r="B9" s="35">
        <f t="shared" si="0"/>
        <v>6</v>
      </c>
      <c r="C9" s="46">
        <f t="shared" si="1"/>
        <v>43189</v>
      </c>
      <c r="D9" s="45">
        <v>291550.48</v>
      </c>
      <c r="E9" s="32">
        <f t="shared" si="2"/>
        <v>8.104774581985974E-2</v>
      </c>
      <c r="G9" s="35">
        <f t="shared" si="3"/>
        <v>6</v>
      </c>
      <c r="H9" s="46">
        <f t="shared" si="4"/>
        <v>43189</v>
      </c>
      <c r="I9" s="45">
        <v>39566.22</v>
      </c>
      <c r="J9" s="32">
        <f t="shared" si="5"/>
        <v>0.20450284167448274</v>
      </c>
      <c r="L9" s="35">
        <f t="shared" si="6"/>
        <v>6</v>
      </c>
      <c r="M9" s="46">
        <f t="shared" si="7"/>
        <v>43189</v>
      </c>
      <c r="N9" s="45">
        <v>3.049111626779315</v>
      </c>
      <c r="O9" s="32">
        <f t="shared" si="8"/>
        <v>-0.79011124197155724</v>
      </c>
    </row>
    <row r="10" spans="2:15" x14ac:dyDescent="0.3">
      <c r="B10" s="35">
        <f t="shared" si="0"/>
        <v>7</v>
      </c>
      <c r="C10" s="46">
        <f t="shared" si="1"/>
        <v>43554</v>
      </c>
      <c r="D10" s="45">
        <v>301938.40000000002</v>
      </c>
      <c r="E10" s="32">
        <f t="shared" si="2"/>
        <v>3.5629919045237157E-2</v>
      </c>
      <c r="G10" s="35">
        <f t="shared" si="3"/>
        <v>7</v>
      </c>
      <c r="H10" s="46">
        <f t="shared" si="4"/>
        <v>43554</v>
      </c>
      <c r="I10" s="45">
        <v>-1914.4500000000007</v>
      </c>
      <c r="J10" s="32">
        <f t="shared" si="5"/>
        <v>-1.0483859716697728</v>
      </c>
      <c r="L10" s="35">
        <f t="shared" si="6"/>
        <v>7</v>
      </c>
      <c r="M10" s="46">
        <f t="shared" si="7"/>
        <v>43554</v>
      </c>
      <c r="N10" s="45">
        <v>-7.7839157690575265</v>
      </c>
      <c r="O10" s="32">
        <f t="shared" si="8"/>
        <v>-3.5528470983790919</v>
      </c>
    </row>
    <row r="11" spans="2:15" x14ac:dyDescent="0.3">
      <c r="B11" s="35">
        <f t="shared" si="0"/>
        <v>8</v>
      </c>
      <c r="C11" s="46">
        <f t="shared" si="1"/>
        <v>43919</v>
      </c>
      <c r="D11" s="45">
        <v>261067.97</v>
      </c>
      <c r="E11" s="32">
        <f t="shared" si="2"/>
        <v>-0.135360159555724</v>
      </c>
      <c r="G11" s="35">
        <f t="shared" si="3"/>
        <v>8</v>
      </c>
      <c r="H11" s="46">
        <f t="shared" si="4"/>
        <v>43919</v>
      </c>
      <c r="I11" s="45">
        <v>16993.16</v>
      </c>
      <c r="J11" s="32">
        <f t="shared" si="5"/>
        <v>-9.8762621118336824</v>
      </c>
      <c r="L11" s="35">
        <f t="shared" si="6"/>
        <v>8</v>
      </c>
      <c r="M11" s="46">
        <f t="shared" si="7"/>
        <v>43919</v>
      </c>
      <c r="N11" s="45">
        <v>-35.859307219164904</v>
      </c>
      <c r="O11" s="32">
        <f t="shared" si="8"/>
        <v>3.6068467700681115</v>
      </c>
    </row>
    <row r="12" spans="2:15" x14ac:dyDescent="0.3">
      <c r="B12" s="35">
        <f t="shared" si="0"/>
        <v>9</v>
      </c>
      <c r="C12" s="46">
        <f t="shared" si="1"/>
        <v>44284</v>
      </c>
      <c r="D12" s="45">
        <v>249794.75</v>
      </c>
      <c r="E12" s="32">
        <f t="shared" si="2"/>
        <v>-4.3181168490336042E-2</v>
      </c>
      <c r="G12" s="35">
        <f t="shared" si="3"/>
        <v>9</v>
      </c>
      <c r="H12" s="46">
        <f t="shared" si="4"/>
        <v>44284</v>
      </c>
      <c r="I12" s="45">
        <v>20734.349999999999</v>
      </c>
      <c r="J12" s="32">
        <f t="shared" si="5"/>
        <v>0.22015858145277267</v>
      </c>
      <c r="L12" s="35">
        <f t="shared" si="6"/>
        <v>9</v>
      </c>
      <c r="M12" s="46">
        <f t="shared" si="7"/>
        <v>44284</v>
      </c>
      <c r="N12" s="45">
        <v>-5.7172845827184542</v>
      </c>
      <c r="O12" s="32">
        <f t="shared" si="8"/>
        <v>-0.84056344011958861</v>
      </c>
    </row>
    <row r="13" spans="2:15" x14ac:dyDescent="0.3">
      <c r="B13" s="35">
        <f t="shared" si="0"/>
        <v>10</v>
      </c>
      <c r="C13" s="46">
        <f t="shared" si="1"/>
        <v>44649</v>
      </c>
      <c r="D13" s="45">
        <v>278453.62</v>
      </c>
      <c r="E13" s="32">
        <f t="shared" si="2"/>
        <v>0.11472967306158344</v>
      </c>
      <c r="G13" s="35">
        <f t="shared" si="3"/>
        <v>10</v>
      </c>
      <c r="H13" s="46">
        <f t="shared" si="4"/>
        <v>44649</v>
      </c>
      <c r="I13" s="45">
        <v>26937.37</v>
      </c>
      <c r="J13" s="32">
        <f t="shared" si="5"/>
        <v>0.29916635920585888</v>
      </c>
      <c r="L13" s="35">
        <f t="shared" si="6"/>
        <v>10</v>
      </c>
      <c r="M13" s="46">
        <f t="shared" si="7"/>
        <v>44649</v>
      </c>
      <c r="N13" s="45">
        <v>-41.132140813683833</v>
      </c>
      <c r="O13" s="32">
        <f t="shared" si="8"/>
        <v>6.194349033807641</v>
      </c>
    </row>
    <row r="14" spans="2:15" x14ac:dyDescent="0.3">
      <c r="B14" s="44">
        <f t="shared" si="0"/>
        <v>11</v>
      </c>
      <c r="C14" s="43">
        <f t="shared" si="1"/>
        <v>45014</v>
      </c>
      <c r="D14" s="42">
        <f>FORECAST(B14,$D$4:$D$13,$B$4:$B$13)</f>
        <v>295158.11</v>
      </c>
      <c r="E14" s="41">
        <f t="shared" si="2"/>
        <v>5.9990205909336014E-2</v>
      </c>
      <c r="G14" s="44">
        <f t="shared" si="3"/>
        <v>11</v>
      </c>
      <c r="H14" s="43">
        <f t="shared" si="4"/>
        <v>45014</v>
      </c>
      <c r="I14" s="42">
        <f>FORECAST(G14,$I$4:$I$13,$G$4:$G$13)</f>
        <v>17064.51666666667</v>
      </c>
      <c r="J14" s="41">
        <f t="shared" si="5"/>
        <v>-0.36651140528319315</v>
      </c>
      <c r="L14" s="44">
        <f t="shared" si="6"/>
        <v>11</v>
      </c>
      <c r="M14" s="43">
        <f t="shared" si="7"/>
        <v>45014</v>
      </c>
      <c r="N14" s="42">
        <f>FORECAST(L14,$N$4:$N$13,$L$4:$L$13)</f>
        <v>-44.529894231886132</v>
      </c>
      <c r="O14" s="41">
        <f t="shared" si="8"/>
        <v>8.2605800500224369E-2</v>
      </c>
    </row>
    <row r="15" spans="2:15" x14ac:dyDescent="0.3">
      <c r="B15" s="44">
        <f t="shared" si="0"/>
        <v>12</v>
      </c>
      <c r="C15" s="43">
        <f t="shared" si="1"/>
        <v>45379</v>
      </c>
      <c r="D15" s="42">
        <f>FORECAST(B15,$D$4:$D$13,$B$4:$B$13)</f>
        <v>301362.69981818181</v>
      </c>
      <c r="E15" s="41">
        <f t="shared" si="2"/>
        <v>2.1021241185552375E-2</v>
      </c>
      <c r="G15" s="44">
        <f t="shared" si="3"/>
        <v>12</v>
      </c>
      <c r="H15" s="43">
        <f t="shared" si="4"/>
        <v>45379</v>
      </c>
      <c r="I15" s="42">
        <f>FORECAST(G15,$I$4:$I$13,$G$4:$G$13)</f>
        <v>15246.010787878793</v>
      </c>
      <c r="J15" s="41">
        <f t="shared" si="5"/>
        <v>-0.10656650371704302</v>
      </c>
      <c r="L15" s="44">
        <f t="shared" si="6"/>
        <v>12</v>
      </c>
      <c r="M15" s="43">
        <f t="shared" si="7"/>
        <v>45379</v>
      </c>
      <c r="N15" s="42">
        <f>FORECAST(L15,$N$4:$N$13,$L$4:$L$13)</f>
        <v>-54.520608102307889</v>
      </c>
      <c r="O15" s="41">
        <f t="shared" si="8"/>
        <v>0.22435970358240365</v>
      </c>
    </row>
    <row r="16" spans="2:15" x14ac:dyDescent="0.3">
      <c r="B16" s="44">
        <f t="shared" si="0"/>
        <v>13</v>
      </c>
      <c r="C16" s="43">
        <f t="shared" si="1"/>
        <v>45744</v>
      </c>
      <c r="D16" s="42">
        <f>FORECAST(B16,$D$4:$D$13,$B$4:$B$13)</f>
        <v>307567.28963636362</v>
      </c>
      <c r="E16" s="41">
        <f t="shared" si="2"/>
        <v>2.0588446486327516E-2</v>
      </c>
      <c r="G16" s="44">
        <f t="shared" si="3"/>
        <v>13</v>
      </c>
      <c r="H16" s="43">
        <f t="shared" si="4"/>
        <v>45744</v>
      </c>
      <c r="I16" s="42">
        <f>FORECAST(G16,$I$4:$I$13,$G$4:$G$13)</f>
        <v>13427.504909090912</v>
      </c>
      <c r="J16" s="41">
        <f t="shared" si="5"/>
        <v>-0.11927748865517451</v>
      </c>
      <c r="L16" s="44">
        <f t="shared" si="6"/>
        <v>13</v>
      </c>
      <c r="M16" s="43">
        <f t="shared" si="7"/>
        <v>45744</v>
      </c>
      <c r="N16" s="42">
        <f>FORECAST(L16,$N$4:$N$13,$L$4:$L$13)</f>
        <v>-64.511321972729647</v>
      </c>
      <c r="O16" s="41">
        <f t="shared" si="8"/>
        <v>0.18324655975359239</v>
      </c>
    </row>
    <row r="17" spans="2:15" x14ac:dyDescent="0.3">
      <c r="B17" s="44">
        <f t="shared" si="0"/>
        <v>14</v>
      </c>
      <c r="C17" s="43">
        <f t="shared" si="1"/>
        <v>46109</v>
      </c>
      <c r="D17" s="42">
        <f>FORECAST(B17,$D$4:$D$13,$B$4:$B$13)</f>
        <v>313771.87945454544</v>
      </c>
      <c r="E17" s="41">
        <f t="shared" si="2"/>
        <v>2.0173113420212774E-2</v>
      </c>
      <c r="G17" s="44">
        <f t="shared" si="3"/>
        <v>14</v>
      </c>
      <c r="H17" s="43">
        <f t="shared" si="4"/>
        <v>46109</v>
      </c>
      <c r="I17" s="42">
        <f>FORECAST(G17,$I$4:$I$13,$G$4:$G$13)</f>
        <v>11608.999030303035</v>
      </c>
      <c r="J17" s="41">
        <f t="shared" si="5"/>
        <v>-0.13543140673563869</v>
      </c>
      <c r="L17" s="44">
        <f t="shared" si="6"/>
        <v>14</v>
      </c>
      <c r="M17" s="43">
        <f t="shared" si="7"/>
        <v>46109</v>
      </c>
      <c r="N17" s="42">
        <f>FORECAST(L17,$N$4:$N$13,$L$4:$L$13)</f>
        <v>-74.502035843151404</v>
      </c>
      <c r="O17" s="41">
        <f t="shared" si="8"/>
        <v>0.15486760408731115</v>
      </c>
    </row>
    <row r="18" spans="2:15" x14ac:dyDescent="0.3">
      <c r="B18" s="44">
        <f t="shared" si="0"/>
        <v>15</v>
      </c>
      <c r="C18" s="43">
        <f t="shared" si="1"/>
        <v>46474</v>
      </c>
      <c r="D18" s="42">
        <f>FORECAST(B18,$D$4:$D$13,$B$4:$B$13)</f>
        <v>319976.46927272726</v>
      </c>
      <c r="E18" s="41">
        <f t="shared" si="2"/>
        <v>1.9774206117411541E-2</v>
      </c>
      <c r="G18" s="44">
        <f t="shared" si="3"/>
        <v>15</v>
      </c>
      <c r="H18" s="43">
        <f t="shared" si="4"/>
        <v>46474</v>
      </c>
      <c r="I18" s="42">
        <f>FORECAST(G18,$I$4:$I$13,$G$4:$G$13)</f>
        <v>9790.4931515151548</v>
      </c>
      <c r="J18" s="41">
        <f t="shared" si="5"/>
        <v>-0.15664622540160655</v>
      </c>
      <c r="L18" s="44">
        <f t="shared" si="6"/>
        <v>15</v>
      </c>
      <c r="M18" s="43">
        <f t="shared" si="7"/>
        <v>46474</v>
      </c>
      <c r="N18" s="42">
        <f>FORECAST(L18,$N$4:$N$13,$L$4:$L$13)</f>
        <v>-84.492749713573161</v>
      </c>
      <c r="O18" s="41">
        <f t="shared" si="8"/>
        <v>0.13409987737053441</v>
      </c>
    </row>
    <row r="20" spans="2:15" x14ac:dyDescent="0.3">
      <c r="N20" s="111"/>
    </row>
  </sheetData>
  <mergeCells count="3">
    <mergeCell ref="B2:E2"/>
    <mergeCell ref="G2:J2"/>
    <mergeCell ref="L2:O2"/>
  </mergeCells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524A-B0B9-44BF-8654-6DAE17EF2CD1}">
  <sheetPr>
    <pageSetUpPr fitToPage="1"/>
  </sheetPr>
  <dimension ref="A1:Z1000"/>
  <sheetViews>
    <sheetView showGridLines="0" topLeftCell="A14" workbookViewId="0">
      <selection activeCell="C21" sqref="C21"/>
    </sheetView>
  </sheetViews>
  <sheetFormatPr defaultColWidth="14.44140625" defaultRowHeight="15" customHeight="1" x14ac:dyDescent="0.3"/>
  <cols>
    <col min="1" max="1" width="1.88671875" style="47" customWidth="1"/>
    <col min="2" max="2" width="19.88671875" style="47" customWidth="1"/>
    <col min="3" max="3" width="20.44140625" style="47" customWidth="1"/>
    <col min="4" max="4" width="10.109375" style="47" customWidth="1"/>
    <col min="5" max="5" width="11.44140625" style="47" customWidth="1"/>
    <col min="6" max="6" width="10.88671875" style="47" customWidth="1"/>
    <col min="7" max="8" width="9.33203125" style="47" customWidth="1"/>
    <col min="9" max="9" width="13.88671875" style="47" customWidth="1"/>
    <col min="10" max="10" width="12.109375" style="47" customWidth="1"/>
    <col min="11" max="11" width="12.33203125" style="47" customWidth="1"/>
    <col min="12" max="13" width="9.109375" style="47" customWidth="1"/>
    <col min="14" max="14" width="16.5546875" style="47" customWidth="1"/>
    <col min="15" max="15" width="9.88671875" style="47" customWidth="1"/>
    <col min="16" max="16" width="6.5546875" style="47" customWidth="1"/>
    <col min="17" max="26" width="8.6640625" style="47" customWidth="1"/>
    <col min="27" max="16384" width="14.44140625" style="47"/>
  </cols>
  <sheetData>
    <row r="1" spans="1:26" ht="14.4" x14ac:dyDescent="0.3">
      <c r="A1" s="48"/>
      <c r="B1" s="86"/>
      <c r="C1" s="86"/>
      <c r="D1" s="86"/>
      <c r="E1" s="86"/>
      <c r="F1" s="86"/>
      <c r="G1" s="86"/>
      <c r="H1" s="86"/>
      <c r="I1" s="86"/>
      <c r="J1" s="86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4.4" x14ac:dyDescent="0.3">
      <c r="A2" s="48"/>
      <c r="B2" s="86"/>
      <c r="C2" s="86"/>
      <c r="D2" s="86"/>
      <c r="E2" s="86"/>
      <c r="F2" s="86"/>
      <c r="G2" s="86"/>
      <c r="H2" s="86"/>
      <c r="I2" s="86"/>
      <c r="J2" s="86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4" x14ac:dyDescent="0.3">
      <c r="A3" s="48"/>
      <c r="B3" s="86"/>
      <c r="C3" s="86"/>
      <c r="D3" s="86"/>
      <c r="E3" s="86"/>
      <c r="F3" s="86"/>
      <c r="G3" s="86"/>
      <c r="H3" s="86"/>
      <c r="I3" s="86"/>
      <c r="J3" s="86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4.4" x14ac:dyDescent="0.3">
      <c r="A4" s="48"/>
      <c r="B4" s="86"/>
      <c r="C4" s="86"/>
      <c r="D4" s="86"/>
      <c r="E4" s="86"/>
      <c r="F4" s="86"/>
      <c r="G4" s="86"/>
      <c r="H4" s="86"/>
      <c r="I4" s="86"/>
      <c r="J4" s="86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4.4" x14ac:dyDescent="0.3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8" x14ac:dyDescent="0.35">
      <c r="A6" s="48"/>
      <c r="B6" s="85" t="s">
        <v>50</v>
      </c>
      <c r="C6" s="84"/>
      <c r="D6" s="84"/>
      <c r="E6" s="84"/>
      <c r="F6" s="83"/>
      <c r="G6" s="83"/>
      <c r="H6" s="83"/>
      <c r="I6" s="83"/>
      <c r="J6" s="83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4.4" x14ac:dyDescent="0.3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4.4" x14ac:dyDescent="0.3">
      <c r="A8" s="48"/>
      <c r="B8" s="82" t="s">
        <v>98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4.4" x14ac:dyDescent="0.3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4.4" x14ac:dyDescent="0.3">
      <c r="A10" s="48"/>
      <c r="B10" s="67" t="s">
        <v>97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3.5" customHeight="1" x14ac:dyDescent="0.3">
      <c r="A11" s="48"/>
      <c r="B11" s="81"/>
      <c r="C11" s="81"/>
      <c r="D11" s="81"/>
      <c r="E11" s="81"/>
      <c r="F11" s="80"/>
      <c r="G11" s="80" t="s">
        <v>96</v>
      </c>
      <c r="H11" s="80" t="s">
        <v>96</v>
      </c>
      <c r="I11" s="80" t="s">
        <v>95</v>
      </c>
      <c r="J11" s="80" t="s">
        <v>94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8.75" customHeight="1" x14ac:dyDescent="0.3">
      <c r="A12" s="48"/>
      <c r="B12" s="79" t="s">
        <v>93</v>
      </c>
      <c r="C12" s="79" t="s">
        <v>92</v>
      </c>
      <c r="D12" s="78" t="s">
        <v>66</v>
      </c>
      <c r="E12" s="78" t="s">
        <v>91</v>
      </c>
      <c r="F12" s="78" t="s">
        <v>90</v>
      </c>
      <c r="G12" s="78" t="s">
        <v>89</v>
      </c>
      <c r="H12" s="78" t="s">
        <v>88</v>
      </c>
      <c r="I12" s="78" t="s">
        <v>87</v>
      </c>
      <c r="J12" s="78" t="s">
        <v>86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4" x14ac:dyDescent="0.3">
      <c r="A13" s="48"/>
      <c r="B13" s="52"/>
      <c r="C13" s="52"/>
      <c r="D13" s="52"/>
      <c r="E13" s="52"/>
      <c r="F13" s="52"/>
      <c r="G13" s="52"/>
      <c r="H13" s="52"/>
      <c r="I13" s="52"/>
      <c r="J13" s="52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4" x14ac:dyDescent="0.3">
      <c r="A14" s="48"/>
      <c r="B14" s="77" t="s">
        <v>85</v>
      </c>
      <c r="C14" s="76" t="s">
        <v>80</v>
      </c>
      <c r="D14" s="64">
        <v>1139</v>
      </c>
      <c r="E14" s="64">
        <v>611503.89</v>
      </c>
      <c r="F14" s="75">
        <v>0.3</v>
      </c>
      <c r="G14" s="61">
        <f>D14/E14</f>
        <v>1.8626210211025803E-3</v>
      </c>
      <c r="H14" s="61">
        <f>D14/(E14+D14)</f>
        <v>1.8591581141176713E-3</v>
      </c>
      <c r="I14" s="74">
        <v>1</v>
      </c>
      <c r="J14" s="68">
        <f>I14/(1+(1-F14)*G14)</f>
        <v>0.99869786305657837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4" x14ac:dyDescent="0.3">
      <c r="A15" s="48"/>
      <c r="B15" s="77" t="s">
        <v>84</v>
      </c>
      <c r="C15" s="76" t="s">
        <v>80</v>
      </c>
      <c r="D15" s="64">
        <v>279.93</v>
      </c>
      <c r="E15" s="64">
        <v>182975.03</v>
      </c>
      <c r="F15" s="75">
        <v>0.3</v>
      </c>
      <c r="G15" s="61">
        <f>D15/E15</f>
        <v>1.5298808804676792E-3</v>
      </c>
      <c r="H15" s="61">
        <f>D15/(E15+D15)</f>
        <v>1.5275439202300446E-3</v>
      </c>
      <c r="I15" s="74">
        <v>1</v>
      </c>
      <c r="J15" s="68">
        <f>I15/(1+(1-F15)*G15)</f>
        <v>0.9989302290191916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4" x14ac:dyDescent="0.3">
      <c r="A16" s="48"/>
      <c r="B16" s="77" t="s">
        <v>83</v>
      </c>
      <c r="C16" s="76" t="s">
        <v>80</v>
      </c>
      <c r="D16" s="64">
        <v>3037.7</v>
      </c>
      <c r="E16" s="64">
        <v>110689.96</v>
      </c>
      <c r="F16" s="75">
        <v>0.3</v>
      </c>
      <c r="G16" s="61">
        <f>D16/E16</f>
        <v>2.7443320062632597E-2</v>
      </c>
      <c r="H16" s="61">
        <f>D16/(E16+D16)</f>
        <v>2.671030073071054E-2</v>
      </c>
      <c r="I16" s="74">
        <v>1</v>
      </c>
      <c r="J16" s="68">
        <f>I16/(1+(1-F16)*G16)</f>
        <v>0.98115175681539069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4" x14ac:dyDescent="0.3">
      <c r="A17" s="48"/>
      <c r="B17" s="77" t="s">
        <v>82</v>
      </c>
      <c r="C17" s="76" t="s">
        <v>80</v>
      </c>
      <c r="D17" s="64">
        <v>1164.46</v>
      </c>
      <c r="E17" s="64">
        <v>96256.38</v>
      </c>
      <c r="F17" s="75">
        <v>0.3</v>
      </c>
      <c r="G17" s="61">
        <f>D17/E17</f>
        <v>1.2097483823929386E-2</v>
      </c>
      <c r="H17" s="61">
        <f>D17/(E17+D17)</f>
        <v>1.1952884003053145E-2</v>
      </c>
      <c r="I17" s="74">
        <v>1</v>
      </c>
      <c r="J17" s="68">
        <f>I17/(1+(1-F17)*G17)</f>
        <v>0.99160287022240579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4" x14ac:dyDescent="0.3">
      <c r="A18" s="48"/>
      <c r="B18" s="77" t="s">
        <v>81</v>
      </c>
      <c r="C18" s="76" t="s">
        <v>80</v>
      </c>
      <c r="D18" s="64">
        <v>1068.1099999999999</v>
      </c>
      <c r="E18" s="64">
        <v>94940.38</v>
      </c>
      <c r="F18" s="75">
        <v>0.3</v>
      </c>
      <c r="G18" s="61">
        <f>D18/E18</f>
        <v>1.1250323624152335E-2</v>
      </c>
      <c r="H18" s="61">
        <f>D18/(E18+D18)</f>
        <v>1.1125161951823217E-2</v>
      </c>
      <c r="I18" s="74">
        <v>1</v>
      </c>
      <c r="J18" s="68">
        <f>I18/(1+(1-F18)*G18)</f>
        <v>0.99218630805723229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4" x14ac:dyDescent="0.3">
      <c r="A19" s="48"/>
      <c r="B19" s="48"/>
      <c r="C19" s="48"/>
      <c r="D19" s="48"/>
      <c r="E19" s="48"/>
      <c r="F19" s="54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4" x14ac:dyDescent="0.3">
      <c r="A20" s="48"/>
      <c r="B20" s="48"/>
      <c r="C20" s="48"/>
      <c r="D20" s="48"/>
      <c r="E20" s="73" t="s">
        <v>79</v>
      </c>
      <c r="F20" s="72">
        <f>AVERAGE(F14:F18)</f>
        <v>0.3</v>
      </c>
      <c r="G20" s="72">
        <f>AVERAGE(G14:G18)</f>
        <v>1.0836725882456915E-2</v>
      </c>
      <c r="H20" s="72">
        <f>AVERAGE(H14:H18)</f>
        <v>1.0635009743986925E-2</v>
      </c>
      <c r="I20" s="71">
        <f>AVERAGE(I14:I18)</f>
        <v>1</v>
      </c>
      <c r="J20" s="71">
        <f>AVERAGE(J14:J18)</f>
        <v>0.99251380543415968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 x14ac:dyDescent="0.3">
      <c r="A21" s="48"/>
      <c r="B21" s="48"/>
      <c r="C21" s="48"/>
      <c r="D21" s="48"/>
      <c r="E21" s="60" t="s">
        <v>20</v>
      </c>
      <c r="F21" s="70">
        <f>MEDIAN(F14:F18)</f>
        <v>0.3</v>
      </c>
      <c r="G21" s="70">
        <f>MEDIAN(G14:G18)</f>
        <v>1.1250323624152335E-2</v>
      </c>
      <c r="H21" s="70">
        <f>MEDIAN(H14:H18)</f>
        <v>1.1125161951823217E-2</v>
      </c>
      <c r="I21" s="69">
        <f>MEDIAN(I14:I18)</f>
        <v>1</v>
      </c>
      <c r="J21" s="69">
        <f>MEDIAN(J14:J18)</f>
        <v>0.99218630805723229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 x14ac:dyDescent="0.3">
      <c r="A22" s="48"/>
      <c r="B22" s="48"/>
      <c r="C22" s="48"/>
      <c r="D22" s="48"/>
      <c r="E22" s="48"/>
      <c r="F22" s="48"/>
      <c r="G22" s="5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 x14ac:dyDescent="0.3">
      <c r="A23" s="48"/>
      <c r="B23" s="48"/>
      <c r="C23" s="48"/>
      <c r="D23" s="48"/>
      <c r="E23" s="48"/>
      <c r="F23" s="48"/>
      <c r="G23" s="5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 x14ac:dyDescent="0.3">
      <c r="A24" s="48"/>
      <c r="B24" s="60" t="s">
        <v>78</v>
      </c>
      <c r="C24" s="59"/>
      <c r="D24" s="59"/>
      <c r="E24" s="59"/>
      <c r="F24" s="48"/>
      <c r="G24" s="60" t="s">
        <v>72</v>
      </c>
      <c r="H24" s="59"/>
      <c r="I24" s="59"/>
      <c r="J24" s="59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3">
      <c r="A25" s="48"/>
      <c r="B25" s="58"/>
      <c r="C25" s="48"/>
      <c r="D25" s="48"/>
      <c r="E25" s="48"/>
      <c r="F25" s="48"/>
      <c r="G25" s="5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 x14ac:dyDescent="0.3">
      <c r="A26" s="48"/>
      <c r="B26" s="48" t="s">
        <v>77</v>
      </c>
      <c r="C26" s="48"/>
      <c r="D26" s="48"/>
      <c r="E26" s="54">
        <v>8.4000000000000005E-2</v>
      </c>
      <c r="F26" s="48"/>
      <c r="G26" s="48" t="s">
        <v>76</v>
      </c>
      <c r="H26" s="48"/>
      <c r="I26" s="48"/>
      <c r="J26" s="65">
        <v>6.5000000000000002E-2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3">
      <c r="A27" s="48"/>
      <c r="B27" s="48" t="s">
        <v>63</v>
      </c>
      <c r="C27" s="48"/>
      <c r="D27" s="48"/>
      <c r="E27" s="54">
        <v>0.3</v>
      </c>
      <c r="F27" s="48"/>
      <c r="G27" s="48" t="s">
        <v>75</v>
      </c>
      <c r="H27" s="48"/>
      <c r="I27" s="48"/>
      <c r="J27" s="65">
        <v>0.08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3">
      <c r="A28" s="48"/>
      <c r="B28" s="51" t="s">
        <v>74</v>
      </c>
      <c r="C28" s="51"/>
      <c r="D28" s="51"/>
      <c r="E28" s="49">
        <f>E26*(1-E27)</f>
        <v>5.8799999999999998E-2</v>
      </c>
      <c r="F28" s="48"/>
      <c r="G28" s="48" t="s">
        <v>73</v>
      </c>
      <c r="H28" s="48"/>
      <c r="I28" s="48"/>
      <c r="J28" s="68">
        <f>J37</f>
        <v>1.5055348761390175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3">
      <c r="A29" s="48"/>
      <c r="B29" s="48"/>
      <c r="C29" s="48"/>
      <c r="D29" s="48"/>
      <c r="E29" s="48"/>
      <c r="F29" s="48"/>
      <c r="G29" s="51" t="s">
        <v>72</v>
      </c>
      <c r="H29" s="51"/>
      <c r="I29" s="51"/>
      <c r="J29" s="49">
        <f>J26+J27*J28</f>
        <v>0.18544279009112141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3">
      <c r="A32" s="48"/>
      <c r="B32" s="60" t="s">
        <v>71</v>
      </c>
      <c r="C32" s="59"/>
      <c r="D32" s="59"/>
      <c r="E32" s="59"/>
      <c r="F32" s="48"/>
      <c r="G32" s="60" t="s">
        <v>70</v>
      </c>
      <c r="H32" s="59"/>
      <c r="I32" s="59"/>
      <c r="J32" s="59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3">
      <c r="A33" s="48"/>
      <c r="B33" s="48"/>
      <c r="C33" s="48"/>
      <c r="D33" s="48"/>
      <c r="E33" s="48"/>
      <c r="F33" s="48"/>
      <c r="G33" s="6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3">
      <c r="A34" s="48"/>
      <c r="B34" s="48"/>
      <c r="C34" s="48"/>
      <c r="D34" s="66" t="s">
        <v>69</v>
      </c>
      <c r="E34" s="66" t="s">
        <v>68</v>
      </c>
      <c r="F34" s="48"/>
      <c r="G34" s="58" t="s">
        <v>67</v>
      </c>
      <c r="H34" s="48"/>
      <c r="I34" s="48"/>
      <c r="J34" s="58">
        <f>J21</f>
        <v>0.99218630805723229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3">
      <c r="A35" s="48"/>
      <c r="B35" s="48" t="s">
        <v>66</v>
      </c>
      <c r="C35" s="64">
        <v>17440</v>
      </c>
      <c r="D35" s="54">
        <f>C35/$C$37</f>
        <v>0.35087013378935722</v>
      </c>
      <c r="E35" s="65">
        <v>0.42499999999999999</v>
      </c>
      <c r="F35" s="48"/>
      <c r="G35" s="48" t="s">
        <v>65</v>
      </c>
      <c r="H35" s="48"/>
      <c r="I35" s="48"/>
      <c r="J35" s="54">
        <f>E39</f>
        <v>0.73913043478260876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3">
      <c r="A36" s="48"/>
      <c r="B36" s="48" t="s">
        <v>64</v>
      </c>
      <c r="C36" s="64">
        <v>32265</v>
      </c>
      <c r="D36" s="54">
        <f>C36/$C$37</f>
        <v>0.64912986621064284</v>
      </c>
      <c r="E36" s="54">
        <f>E37-E35</f>
        <v>0.57499999999999996</v>
      </c>
      <c r="F36" s="48"/>
      <c r="G36" s="48" t="s">
        <v>63</v>
      </c>
      <c r="H36" s="48"/>
      <c r="I36" s="48"/>
      <c r="J36" s="54">
        <f>E27</f>
        <v>0.3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3">
      <c r="A37" s="48"/>
      <c r="B37" s="48" t="s">
        <v>62</v>
      </c>
      <c r="C37" s="63">
        <f>SUM(C35:C36)</f>
        <v>49705</v>
      </c>
      <c r="D37" s="50">
        <f>C37/$C$37</f>
        <v>1</v>
      </c>
      <c r="E37" s="50">
        <f>D37</f>
        <v>1</v>
      </c>
      <c r="F37" s="48"/>
      <c r="G37" s="51" t="s">
        <v>61</v>
      </c>
      <c r="H37" s="51"/>
      <c r="I37" s="51"/>
      <c r="J37" s="62">
        <f>J34*(1+(1-J36)*J35)</f>
        <v>1.5055348761390175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3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3">
      <c r="A39" s="48"/>
      <c r="B39" s="48" t="s">
        <v>60</v>
      </c>
      <c r="C39" s="48"/>
      <c r="D39" s="61">
        <f>D35/D36</f>
        <v>0.54052378738571205</v>
      </c>
      <c r="E39" s="61">
        <f>E35/E36</f>
        <v>0.73913043478260876</v>
      </c>
      <c r="F39" s="48"/>
      <c r="G39" s="60" t="s">
        <v>50</v>
      </c>
      <c r="H39" s="59"/>
      <c r="I39" s="59"/>
      <c r="J39" s="59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3">
      <c r="A40" s="48"/>
      <c r="B40" s="48"/>
      <c r="C40" s="48"/>
      <c r="D40" s="48"/>
      <c r="E40" s="48"/>
      <c r="F40" s="48"/>
      <c r="G40" s="5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3">
      <c r="A41" s="48"/>
      <c r="B41" s="57" t="s">
        <v>59</v>
      </c>
      <c r="C41" s="48"/>
      <c r="D41" s="48"/>
      <c r="E41" s="48"/>
      <c r="F41" s="48"/>
      <c r="G41" s="48"/>
      <c r="H41" s="48"/>
      <c r="I41" s="56" t="s">
        <v>58</v>
      </c>
      <c r="J41" s="55" t="s">
        <v>57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3">
      <c r="A42" s="48"/>
      <c r="B42" s="53" t="s">
        <v>56</v>
      </c>
      <c r="C42" s="52"/>
      <c r="D42" s="52"/>
      <c r="E42" s="48"/>
      <c r="F42" s="48"/>
      <c r="G42" s="48" t="s">
        <v>55</v>
      </c>
      <c r="H42" s="48"/>
      <c r="I42" s="54">
        <f>E28</f>
        <v>5.8799999999999998E-2</v>
      </c>
      <c r="J42" s="54">
        <f>E35</f>
        <v>0.42499999999999999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3">
      <c r="A43" s="48" t="s">
        <v>54</v>
      </c>
      <c r="B43" s="53" t="s">
        <v>53</v>
      </c>
      <c r="C43" s="52"/>
      <c r="D43" s="52"/>
      <c r="E43" s="48"/>
      <c r="F43" s="48"/>
      <c r="G43" s="48" t="s">
        <v>52</v>
      </c>
      <c r="H43" s="48"/>
      <c r="I43" s="54">
        <f>J29</f>
        <v>0.18544279009112141</v>
      </c>
      <c r="J43" s="54">
        <f>E36</f>
        <v>0.57499999999999996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3">
      <c r="A44" s="48"/>
      <c r="B44" s="53" t="s">
        <v>51</v>
      </c>
      <c r="C44" s="52"/>
      <c r="D44" s="52"/>
      <c r="E44" s="48"/>
      <c r="F44" s="48"/>
      <c r="G44" s="51" t="s">
        <v>50</v>
      </c>
      <c r="H44" s="51"/>
      <c r="I44" s="50"/>
      <c r="J44" s="49">
        <f>SUMPRODUCT(I42:I43,J42:J43)</f>
        <v>0.1316196043023948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3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3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3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3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3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3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3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3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3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3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3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3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3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3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3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3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3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3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3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3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3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3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3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3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3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3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3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3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3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3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3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3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3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3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3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3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3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3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3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3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3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3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3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3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3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3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3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3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3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3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3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3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3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3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3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3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3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3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3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3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3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3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3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3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3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3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3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3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3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3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3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3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3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3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3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3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3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3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3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3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3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3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3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3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3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3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3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3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3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3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3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3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3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3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3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3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3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3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3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3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3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3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3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3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3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3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3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3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3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3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3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3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3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3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3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3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3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3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3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3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3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3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3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3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3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3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3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3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3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3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3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3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3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3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3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3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3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3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3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3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3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3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3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3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 x14ac:dyDescent="0.3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 x14ac:dyDescent="0.3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 x14ac:dyDescent="0.3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 x14ac:dyDescent="0.3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 x14ac:dyDescent="0.3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 x14ac:dyDescent="0.3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 x14ac:dyDescent="0.3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 x14ac:dyDescent="0.3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 x14ac:dyDescent="0.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 x14ac:dyDescent="0.3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 x14ac:dyDescent="0.3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 x14ac:dyDescent="0.3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3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 x14ac:dyDescent="0.3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 x14ac:dyDescent="0.3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 x14ac:dyDescent="0.3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 x14ac:dyDescent="0.3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 x14ac:dyDescent="0.3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 x14ac:dyDescent="0.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 x14ac:dyDescent="0.3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 x14ac:dyDescent="0.3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 x14ac:dyDescent="0.3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 x14ac:dyDescent="0.3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 x14ac:dyDescent="0.3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 x14ac:dyDescent="0.3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 x14ac:dyDescent="0.3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 x14ac:dyDescent="0.3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 x14ac:dyDescent="0.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 x14ac:dyDescent="0.3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 x14ac:dyDescent="0.3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3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 x14ac:dyDescent="0.3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 x14ac:dyDescent="0.3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 x14ac:dyDescent="0.3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 x14ac:dyDescent="0.3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 x14ac:dyDescent="0.3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 x14ac:dyDescent="0.3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 x14ac:dyDescent="0.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 x14ac:dyDescent="0.3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 x14ac:dyDescent="0.3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 x14ac:dyDescent="0.3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 x14ac:dyDescent="0.3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 x14ac:dyDescent="0.3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 x14ac:dyDescent="0.3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 x14ac:dyDescent="0.3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 x14ac:dyDescent="0.3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 x14ac:dyDescent="0.3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 x14ac:dyDescent="0.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 x14ac:dyDescent="0.3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 x14ac:dyDescent="0.3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 x14ac:dyDescent="0.3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 x14ac:dyDescent="0.3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 x14ac:dyDescent="0.3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 x14ac:dyDescent="0.3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 x14ac:dyDescent="0.3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 x14ac:dyDescent="0.3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 x14ac:dyDescent="0.3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 x14ac:dyDescent="0.3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 x14ac:dyDescent="0.3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 x14ac:dyDescent="0.3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 x14ac:dyDescent="0.3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 x14ac:dyDescent="0.3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 x14ac:dyDescent="0.3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 x14ac:dyDescent="0.3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 x14ac:dyDescent="0.3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 x14ac:dyDescent="0.3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 x14ac:dyDescent="0.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 x14ac:dyDescent="0.3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 x14ac:dyDescent="0.3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 x14ac:dyDescent="0.3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 x14ac:dyDescent="0.3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 x14ac:dyDescent="0.3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 x14ac:dyDescent="0.3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 x14ac:dyDescent="0.3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 x14ac:dyDescent="0.3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 x14ac:dyDescent="0.3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 x14ac:dyDescent="0.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 x14ac:dyDescent="0.3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 x14ac:dyDescent="0.3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 x14ac:dyDescent="0.3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 x14ac:dyDescent="0.3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 x14ac:dyDescent="0.3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 x14ac:dyDescent="0.3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 x14ac:dyDescent="0.3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 x14ac:dyDescent="0.3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 x14ac:dyDescent="0.3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 x14ac:dyDescent="0.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 x14ac:dyDescent="0.3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 x14ac:dyDescent="0.3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 x14ac:dyDescent="0.3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 x14ac:dyDescent="0.3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 x14ac:dyDescent="0.3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 x14ac:dyDescent="0.3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 x14ac:dyDescent="0.3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 x14ac:dyDescent="0.3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 x14ac:dyDescent="0.3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 x14ac:dyDescent="0.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 x14ac:dyDescent="0.3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 x14ac:dyDescent="0.3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 x14ac:dyDescent="0.3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 x14ac:dyDescent="0.3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 x14ac:dyDescent="0.3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 x14ac:dyDescent="0.3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customHeight="1" x14ac:dyDescent="0.3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customHeight="1" x14ac:dyDescent="0.3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 x14ac:dyDescent="0.3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 x14ac:dyDescent="0.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customHeight="1" x14ac:dyDescent="0.3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customHeight="1" x14ac:dyDescent="0.3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customHeight="1" x14ac:dyDescent="0.3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customHeight="1" x14ac:dyDescent="0.3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 x14ac:dyDescent="0.3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 x14ac:dyDescent="0.3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 x14ac:dyDescent="0.3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 x14ac:dyDescent="0.3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customHeight="1" x14ac:dyDescent="0.3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customHeight="1" x14ac:dyDescent="0.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customHeight="1" x14ac:dyDescent="0.3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customHeight="1" x14ac:dyDescent="0.3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 x14ac:dyDescent="0.3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 x14ac:dyDescent="0.3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customHeight="1" x14ac:dyDescent="0.3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 x14ac:dyDescent="0.3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 x14ac:dyDescent="0.3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customHeight="1" x14ac:dyDescent="0.3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customHeight="1" x14ac:dyDescent="0.3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customHeight="1" x14ac:dyDescent="0.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 x14ac:dyDescent="0.3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 x14ac:dyDescent="0.3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customHeight="1" x14ac:dyDescent="0.3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customHeight="1" x14ac:dyDescent="0.3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customHeight="1" x14ac:dyDescent="0.3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 x14ac:dyDescent="0.3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customHeight="1" x14ac:dyDescent="0.3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customHeight="1" x14ac:dyDescent="0.3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 x14ac:dyDescent="0.3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 x14ac:dyDescent="0.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customHeight="1" x14ac:dyDescent="0.3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customHeight="1" x14ac:dyDescent="0.3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 x14ac:dyDescent="0.3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 x14ac:dyDescent="0.3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customHeight="1" x14ac:dyDescent="0.3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customHeight="1" x14ac:dyDescent="0.3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 x14ac:dyDescent="0.3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customHeight="1" x14ac:dyDescent="0.3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customHeigh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customHeight="1" x14ac:dyDescent="0.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 x14ac:dyDescent="0.3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 x14ac:dyDescent="0.3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customHeight="1" x14ac:dyDescent="0.3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customHeight="1" x14ac:dyDescent="0.3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customHeight="1" x14ac:dyDescent="0.3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customHeight="1" x14ac:dyDescent="0.3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customHeight="1" x14ac:dyDescent="0.3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 x14ac:dyDescent="0.3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 x14ac:dyDescent="0.3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 x14ac:dyDescent="0.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 x14ac:dyDescent="0.3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customHeight="1" x14ac:dyDescent="0.3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 x14ac:dyDescent="0.3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 x14ac:dyDescent="0.3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customHeight="1" x14ac:dyDescent="0.3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customHeight="1" x14ac:dyDescent="0.3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customHeight="1" x14ac:dyDescent="0.3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 x14ac:dyDescent="0.3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customHeight="1" x14ac:dyDescent="0.3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customHeight="1" x14ac:dyDescent="0.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customHeight="1" x14ac:dyDescent="0.3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customHeight="1" x14ac:dyDescent="0.3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 x14ac:dyDescent="0.3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customHeight="1" x14ac:dyDescent="0.3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customHeight="1" x14ac:dyDescent="0.3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customHeight="1" x14ac:dyDescent="0.3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customHeight="1" x14ac:dyDescent="0.3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 x14ac:dyDescent="0.3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 x14ac:dyDescent="0.3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customHeight="1" x14ac:dyDescent="0.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customHeight="1" x14ac:dyDescent="0.3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customHeight="1" x14ac:dyDescent="0.3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customHeight="1" x14ac:dyDescent="0.3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customHeight="1" x14ac:dyDescent="0.3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 x14ac:dyDescent="0.3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 x14ac:dyDescent="0.3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 x14ac:dyDescent="0.3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customHeight="1" x14ac:dyDescent="0.3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customHeight="1" x14ac:dyDescent="0.3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customHeight="1" x14ac:dyDescent="0.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 x14ac:dyDescent="0.3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 x14ac:dyDescent="0.3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customHeight="1" x14ac:dyDescent="0.3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customHeight="1" x14ac:dyDescent="0.3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customHeight="1" x14ac:dyDescent="0.3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 x14ac:dyDescent="0.3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 x14ac:dyDescent="0.3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customHeight="1" x14ac:dyDescent="0.3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customHeight="1" x14ac:dyDescent="0.3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customHeight="1" x14ac:dyDescent="0.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customHeight="1" x14ac:dyDescent="0.3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customHeight="1" x14ac:dyDescent="0.3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 x14ac:dyDescent="0.3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 x14ac:dyDescent="0.3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customHeight="1" x14ac:dyDescent="0.3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customHeight="1" x14ac:dyDescent="0.3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 x14ac:dyDescent="0.3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 x14ac:dyDescent="0.3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 x14ac:dyDescent="0.3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 x14ac:dyDescent="0.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customHeight="1" x14ac:dyDescent="0.3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customHeight="1" x14ac:dyDescent="0.3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customHeight="1" x14ac:dyDescent="0.3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customHeight="1" x14ac:dyDescent="0.3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 x14ac:dyDescent="0.3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 x14ac:dyDescent="0.3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 x14ac:dyDescent="0.3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 x14ac:dyDescent="0.3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 x14ac:dyDescent="0.3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 x14ac:dyDescent="0.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customHeight="1" x14ac:dyDescent="0.3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customHeight="1" x14ac:dyDescent="0.3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customHeight="1" x14ac:dyDescent="0.3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customHeight="1" x14ac:dyDescent="0.3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 x14ac:dyDescent="0.3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customHeight="1" x14ac:dyDescent="0.3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customHeight="1" x14ac:dyDescent="0.3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customHeight="1" x14ac:dyDescent="0.3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 x14ac:dyDescent="0.3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customHeight="1" x14ac:dyDescent="0.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customHeight="1" x14ac:dyDescent="0.3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customHeight="1" x14ac:dyDescent="0.3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customHeight="1" x14ac:dyDescent="0.3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 x14ac:dyDescent="0.3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 x14ac:dyDescent="0.3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 x14ac:dyDescent="0.3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customHeight="1" x14ac:dyDescent="0.3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customHeight="1" x14ac:dyDescent="0.3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customHeight="1" x14ac:dyDescent="0.3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 x14ac:dyDescent="0.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 x14ac:dyDescent="0.3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 x14ac:dyDescent="0.3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customHeight="1" x14ac:dyDescent="0.3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customHeight="1" x14ac:dyDescent="0.3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customHeight="1" x14ac:dyDescent="0.3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customHeight="1" x14ac:dyDescent="0.3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customHeight="1" x14ac:dyDescent="0.3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customHeight="1" x14ac:dyDescent="0.3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customHeight="1" x14ac:dyDescent="0.3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customHeight="1" x14ac:dyDescent="0.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 x14ac:dyDescent="0.3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 x14ac:dyDescent="0.3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 x14ac:dyDescent="0.3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customHeight="1" x14ac:dyDescent="0.3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customHeight="1" x14ac:dyDescent="0.3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 x14ac:dyDescent="0.3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 x14ac:dyDescent="0.3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 x14ac:dyDescent="0.3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 x14ac:dyDescent="0.3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customHeight="1" x14ac:dyDescent="0.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customHeight="1" x14ac:dyDescent="0.3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customHeight="1" x14ac:dyDescent="0.3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 x14ac:dyDescent="0.3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customHeight="1" x14ac:dyDescent="0.3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customHeight="1" x14ac:dyDescent="0.3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customHeight="1" x14ac:dyDescent="0.3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 x14ac:dyDescent="0.3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customHeight="1" x14ac:dyDescent="0.3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customHeight="1" x14ac:dyDescent="0.3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customHeight="1" x14ac:dyDescent="0.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customHeight="1" x14ac:dyDescent="0.3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customHeight="1" x14ac:dyDescent="0.3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customHeight="1" x14ac:dyDescent="0.3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customHeight="1" x14ac:dyDescent="0.3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customHeight="1" x14ac:dyDescent="0.3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customHeight="1" x14ac:dyDescent="0.3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customHeight="1" x14ac:dyDescent="0.3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 x14ac:dyDescent="0.3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 x14ac:dyDescent="0.3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 x14ac:dyDescent="0.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 x14ac:dyDescent="0.3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customHeight="1" x14ac:dyDescent="0.3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customHeight="1" x14ac:dyDescent="0.3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 x14ac:dyDescent="0.3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 x14ac:dyDescent="0.3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customHeight="1" x14ac:dyDescent="0.3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customHeight="1" x14ac:dyDescent="0.3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customHeight="1" x14ac:dyDescent="0.3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customHeight="1" x14ac:dyDescent="0.3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customHeight="1" x14ac:dyDescent="0.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customHeight="1" x14ac:dyDescent="0.3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customHeight="1" x14ac:dyDescent="0.3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 x14ac:dyDescent="0.3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 x14ac:dyDescent="0.3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customHeight="1" x14ac:dyDescent="0.3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customHeight="1" x14ac:dyDescent="0.3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customHeight="1" x14ac:dyDescent="0.3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 x14ac:dyDescent="0.3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customHeight="1" x14ac:dyDescent="0.3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customHeight="1" x14ac:dyDescent="0.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customHeight="1" x14ac:dyDescent="0.3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customHeight="1" x14ac:dyDescent="0.3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 x14ac:dyDescent="0.3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 x14ac:dyDescent="0.3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customHeight="1" x14ac:dyDescent="0.3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customHeight="1" x14ac:dyDescent="0.3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 x14ac:dyDescent="0.3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 x14ac:dyDescent="0.3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customHeight="1" x14ac:dyDescent="0.3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customHeight="1" x14ac:dyDescent="0.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customHeight="1" x14ac:dyDescent="0.3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customHeight="1" x14ac:dyDescent="0.3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 x14ac:dyDescent="0.3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 x14ac:dyDescent="0.3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customHeight="1" x14ac:dyDescent="0.3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 x14ac:dyDescent="0.3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customHeight="1" x14ac:dyDescent="0.3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customHeight="1" x14ac:dyDescent="0.3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customHeight="1" x14ac:dyDescent="0.3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customHeight="1" x14ac:dyDescent="0.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customHeight="1" x14ac:dyDescent="0.3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customHeight="1" x14ac:dyDescent="0.3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customHeight="1" x14ac:dyDescent="0.3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customHeight="1" x14ac:dyDescent="0.3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customHeight="1" x14ac:dyDescent="0.3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 x14ac:dyDescent="0.3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customHeight="1" x14ac:dyDescent="0.3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customHeight="1" x14ac:dyDescent="0.3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customHeight="1" x14ac:dyDescent="0.3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customHeight="1" x14ac:dyDescent="0.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customHeight="1" x14ac:dyDescent="0.3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customHeight="1" x14ac:dyDescent="0.3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customHeight="1" x14ac:dyDescent="0.3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customHeight="1" x14ac:dyDescent="0.3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customHeight="1" x14ac:dyDescent="0.3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customHeight="1" x14ac:dyDescent="0.3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customHeight="1" x14ac:dyDescent="0.3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customHeight="1" x14ac:dyDescent="0.3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customHeight="1" x14ac:dyDescent="0.3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customHeight="1" x14ac:dyDescent="0.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customHeight="1" x14ac:dyDescent="0.3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customHeight="1" x14ac:dyDescent="0.3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customHeight="1" x14ac:dyDescent="0.3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customHeight="1" x14ac:dyDescent="0.3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customHeight="1" x14ac:dyDescent="0.3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customHeight="1" x14ac:dyDescent="0.3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customHeight="1" x14ac:dyDescent="0.3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customHeight="1" x14ac:dyDescent="0.3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customHeight="1" x14ac:dyDescent="0.3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customHeight="1" x14ac:dyDescent="0.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customHeight="1" x14ac:dyDescent="0.3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customHeight="1" x14ac:dyDescent="0.3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customHeight="1" x14ac:dyDescent="0.3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customHeight="1" x14ac:dyDescent="0.3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customHeight="1" x14ac:dyDescent="0.3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customHeight="1" x14ac:dyDescent="0.3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customHeight="1" x14ac:dyDescent="0.3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customHeight="1" x14ac:dyDescent="0.3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customHeight="1" x14ac:dyDescent="0.3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customHeight="1" x14ac:dyDescent="0.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customHeight="1" x14ac:dyDescent="0.3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customHeight="1" x14ac:dyDescent="0.3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customHeight="1" x14ac:dyDescent="0.3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customHeight="1" x14ac:dyDescent="0.3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customHeight="1" x14ac:dyDescent="0.3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customHeight="1" x14ac:dyDescent="0.3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customHeight="1" x14ac:dyDescent="0.3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customHeight="1" x14ac:dyDescent="0.3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customHeight="1" x14ac:dyDescent="0.3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customHeight="1" x14ac:dyDescent="0.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customHeight="1" x14ac:dyDescent="0.3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customHeight="1" x14ac:dyDescent="0.3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customHeight="1" x14ac:dyDescent="0.3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customHeight="1" x14ac:dyDescent="0.3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customHeight="1" x14ac:dyDescent="0.3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customHeight="1" x14ac:dyDescent="0.3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customHeight="1" x14ac:dyDescent="0.3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customHeight="1" x14ac:dyDescent="0.3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customHeight="1" x14ac:dyDescent="0.3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customHeight="1" x14ac:dyDescent="0.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customHeight="1" x14ac:dyDescent="0.3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customHeight="1" x14ac:dyDescent="0.3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customHeight="1" x14ac:dyDescent="0.3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customHeight="1" x14ac:dyDescent="0.3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customHeight="1" x14ac:dyDescent="0.3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customHeight="1" x14ac:dyDescent="0.3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customHeight="1" x14ac:dyDescent="0.3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customHeight="1" x14ac:dyDescent="0.3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customHeight="1" x14ac:dyDescent="0.3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customHeight="1" x14ac:dyDescent="0.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customHeight="1" x14ac:dyDescent="0.3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customHeight="1" x14ac:dyDescent="0.3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customHeight="1" x14ac:dyDescent="0.3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customHeight="1" x14ac:dyDescent="0.3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customHeight="1" x14ac:dyDescent="0.3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customHeight="1" x14ac:dyDescent="0.3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customHeight="1" x14ac:dyDescent="0.3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customHeight="1" x14ac:dyDescent="0.3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customHeight="1" x14ac:dyDescent="0.3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customHeight="1" x14ac:dyDescent="0.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customHeight="1" x14ac:dyDescent="0.3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customHeight="1" x14ac:dyDescent="0.3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customHeight="1" x14ac:dyDescent="0.3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customHeight="1" x14ac:dyDescent="0.3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customHeight="1" x14ac:dyDescent="0.3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customHeight="1" x14ac:dyDescent="0.3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customHeight="1" x14ac:dyDescent="0.3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customHeight="1" x14ac:dyDescent="0.3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customHeight="1" x14ac:dyDescent="0.3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customHeight="1" x14ac:dyDescent="0.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customHeight="1" x14ac:dyDescent="0.3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customHeight="1" x14ac:dyDescent="0.3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customHeight="1" x14ac:dyDescent="0.3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customHeight="1" x14ac:dyDescent="0.3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customHeight="1" x14ac:dyDescent="0.3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customHeight="1" x14ac:dyDescent="0.3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customHeight="1" x14ac:dyDescent="0.3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customHeight="1" x14ac:dyDescent="0.3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customHeight="1" x14ac:dyDescent="0.3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customHeight="1" x14ac:dyDescent="0.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customHeight="1" x14ac:dyDescent="0.3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customHeight="1" x14ac:dyDescent="0.3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customHeight="1" x14ac:dyDescent="0.3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customHeight="1" x14ac:dyDescent="0.3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customHeight="1" x14ac:dyDescent="0.3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customHeight="1" x14ac:dyDescent="0.3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customHeight="1" x14ac:dyDescent="0.3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customHeight="1" x14ac:dyDescent="0.3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customHeight="1" x14ac:dyDescent="0.3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customHeight="1" x14ac:dyDescent="0.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customHeight="1" x14ac:dyDescent="0.3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customHeight="1" x14ac:dyDescent="0.3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customHeight="1" x14ac:dyDescent="0.3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customHeight="1" x14ac:dyDescent="0.3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customHeight="1" x14ac:dyDescent="0.3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customHeight="1" x14ac:dyDescent="0.3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customHeight="1" x14ac:dyDescent="0.3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customHeight="1" x14ac:dyDescent="0.3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customHeight="1" x14ac:dyDescent="0.3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customHeight="1" x14ac:dyDescent="0.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customHeight="1" x14ac:dyDescent="0.3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customHeight="1" x14ac:dyDescent="0.3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customHeight="1" x14ac:dyDescent="0.3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customHeight="1" x14ac:dyDescent="0.3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customHeight="1" x14ac:dyDescent="0.3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customHeight="1" x14ac:dyDescent="0.3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customHeight="1" x14ac:dyDescent="0.3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customHeight="1" x14ac:dyDescent="0.3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customHeight="1" x14ac:dyDescent="0.3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customHeight="1" x14ac:dyDescent="0.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customHeight="1" x14ac:dyDescent="0.3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customHeight="1" x14ac:dyDescent="0.3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customHeight="1" x14ac:dyDescent="0.3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customHeight="1" x14ac:dyDescent="0.3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customHeight="1" x14ac:dyDescent="0.3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customHeight="1" x14ac:dyDescent="0.3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customHeight="1" x14ac:dyDescent="0.3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customHeight="1" x14ac:dyDescent="0.3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customHeight="1" x14ac:dyDescent="0.3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customHeight="1" x14ac:dyDescent="0.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customHeight="1" x14ac:dyDescent="0.3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customHeight="1" x14ac:dyDescent="0.3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customHeight="1" x14ac:dyDescent="0.3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customHeight="1" x14ac:dyDescent="0.3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customHeight="1" x14ac:dyDescent="0.3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customHeight="1" x14ac:dyDescent="0.3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customHeight="1" x14ac:dyDescent="0.3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customHeight="1" x14ac:dyDescent="0.3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customHeight="1" x14ac:dyDescent="0.3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customHeight="1" x14ac:dyDescent="0.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customHeight="1" x14ac:dyDescent="0.3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customHeight="1" x14ac:dyDescent="0.3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customHeight="1" x14ac:dyDescent="0.3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customHeight="1" x14ac:dyDescent="0.3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customHeight="1" x14ac:dyDescent="0.3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customHeight="1" x14ac:dyDescent="0.3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customHeight="1" x14ac:dyDescent="0.3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customHeight="1" x14ac:dyDescent="0.3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customHeight="1" x14ac:dyDescent="0.3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customHeight="1" x14ac:dyDescent="0.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customHeight="1" x14ac:dyDescent="0.3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customHeight="1" x14ac:dyDescent="0.3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customHeight="1" x14ac:dyDescent="0.3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customHeight="1" x14ac:dyDescent="0.3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customHeight="1" x14ac:dyDescent="0.3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customHeight="1" x14ac:dyDescent="0.3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customHeight="1" x14ac:dyDescent="0.3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customHeight="1" x14ac:dyDescent="0.3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customHeight="1" x14ac:dyDescent="0.3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customHeight="1" x14ac:dyDescent="0.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customHeight="1" x14ac:dyDescent="0.3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customHeight="1" x14ac:dyDescent="0.3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customHeight="1" x14ac:dyDescent="0.3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customHeight="1" x14ac:dyDescent="0.3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customHeight="1" x14ac:dyDescent="0.3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customHeight="1" x14ac:dyDescent="0.3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customHeight="1" x14ac:dyDescent="0.3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customHeight="1" x14ac:dyDescent="0.3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customHeight="1" x14ac:dyDescent="0.3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customHeight="1" x14ac:dyDescent="0.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customHeight="1" x14ac:dyDescent="0.3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customHeight="1" x14ac:dyDescent="0.3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customHeight="1" x14ac:dyDescent="0.3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customHeight="1" x14ac:dyDescent="0.3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customHeight="1" x14ac:dyDescent="0.3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customHeight="1" x14ac:dyDescent="0.3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customHeight="1" x14ac:dyDescent="0.3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customHeight="1" x14ac:dyDescent="0.3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customHeight="1" x14ac:dyDescent="0.3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customHeight="1" x14ac:dyDescent="0.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customHeight="1" x14ac:dyDescent="0.3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customHeight="1" x14ac:dyDescent="0.3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customHeight="1" x14ac:dyDescent="0.3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customHeight="1" x14ac:dyDescent="0.3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customHeight="1" x14ac:dyDescent="0.3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customHeight="1" x14ac:dyDescent="0.3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customHeight="1" x14ac:dyDescent="0.3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customHeight="1" x14ac:dyDescent="0.3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customHeight="1" x14ac:dyDescent="0.3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customHeight="1" x14ac:dyDescent="0.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customHeight="1" x14ac:dyDescent="0.3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customHeight="1" x14ac:dyDescent="0.3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customHeight="1" x14ac:dyDescent="0.3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customHeight="1" x14ac:dyDescent="0.3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customHeight="1" x14ac:dyDescent="0.3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customHeight="1" x14ac:dyDescent="0.3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customHeight="1" x14ac:dyDescent="0.3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customHeight="1" x14ac:dyDescent="0.3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customHeight="1" x14ac:dyDescent="0.3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customHeight="1" x14ac:dyDescent="0.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customHeight="1" x14ac:dyDescent="0.3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customHeight="1" x14ac:dyDescent="0.3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customHeight="1" x14ac:dyDescent="0.3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customHeight="1" x14ac:dyDescent="0.3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customHeight="1" x14ac:dyDescent="0.3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customHeight="1" x14ac:dyDescent="0.3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customHeight="1" x14ac:dyDescent="0.3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customHeight="1" x14ac:dyDescent="0.3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customHeight="1" x14ac:dyDescent="0.3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customHeight="1" x14ac:dyDescent="0.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customHeight="1" x14ac:dyDescent="0.3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customHeight="1" x14ac:dyDescent="0.3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customHeight="1" x14ac:dyDescent="0.3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customHeight="1" x14ac:dyDescent="0.3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customHeight="1" x14ac:dyDescent="0.3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customHeight="1" x14ac:dyDescent="0.3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customHeight="1" x14ac:dyDescent="0.3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customHeight="1" x14ac:dyDescent="0.3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customHeight="1" x14ac:dyDescent="0.3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customHeight="1" x14ac:dyDescent="0.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customHeight="1" x14ac:dyDescent="0.3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customHeight="1" x14ac:dyDescent="0.3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customHeight="1" x14ac:dyDescent="0.3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customHeight="1" x14ac:dyDescent="0.3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customHeight="1" x14ac:dyDescent="0.3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customHeight="1" x14ac:dyDescent="0.3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customHeight="1" x14ac:dyDescent="0.3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customHeight="1" x14ac:dyDescent="0.3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customHeight="1" x14ac:dyDescent="0.3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customHeight="1" x14ac:dyDescent="0.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customHeight="1" x14ac:dyDescent="0.3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customHeight="1" x14ac:dyDescent="0.3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customHeight="1" x14ac:dyDescent="0.3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customHeight="1" x14ac:dyDescent="0.3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customHeight="1" x14ac:dyDescent="0.3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customHeight="1" x14ac:dyDescent="0.3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customHeight="1" x14ac:dyDescent="0.3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customHeight="1" x14ac:dyDescent="0.3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customHeight="1" x14ac:dyDescent="0.3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customHeight="1" x14ac:dyDescent="0.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customHeight="1" x14ac:dyDescent="0.3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customHeight="1" x14ac:dyDescent="0.3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customHeight="1" x14ac:dyDescent="0.3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customHeight="1" x14ac:dyDescent="0.3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customHeight="1" x14ac:dyDescent="0.3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customHeight="1" x14ac:dyDescent="0.3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customHeight="1" x14ac:dyDescent="0.3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customHeight="1" x14ac:dyDescent="0.3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customHeight="1" x14ac:dyDescent="0.3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customHeight="1" x14ac:dyDescent="0.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customHeight="1" x14ac:dyDescent="0.3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customHeight="1" x14ac:dyDescent="0.3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customHeight="1" x14ac:dyDescent="0.3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customHeight="1" x14ac:dyDescent="0.3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customHeight="1" x14ac:dyDescent="0.3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customHeight="1" x14ac:dyDescent="0.3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customHeight="1" x14ac:dyDescent="0.3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customHeight="1" x14ac:dyDescent="0.3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customHeight="1" x14ac:dyDescent="0.3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customHeight="1" x14ac:dyDescent="0.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customHeight="1" x14ac:dyDescent="0.3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customHeight="1" x14ac:dyDescent="0.3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customHeight="1" x14ac:dyDescent="0.3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customHeight="1" x14ac:dyDescent="0.3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customHeight="1" x14ac:dyDescent="0.3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customHeight="1" x14ac:dyDescent="0.3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customHeight="1" x14ac:dyDescent="0.3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customHeight="1" x14ac:dyDescent="0.3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customHeight="1" x14ac:dyDescent="0.3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customHeight="1" x14ac:dyDescent="0.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customHeight="1" x14ac:dyDescent="0.3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customHeight="1" x14ac:dyDescent="0.3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customHeight="1" x14ac:dyDescent="0.3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customHeight="1" x14ac:dyDescent="0.3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customHeight="1" x14ac:dyDescent="0.3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customHeight="1" x14ac:dyDescent="0.3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customHeight="1" x14ac:dyDescent="0.3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customHeight="1" x14ac:dyDescent="0.3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customHeight="1" x14ac:dyDescent="0.3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customHeight="1" x14ac:dyDescent="0.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customHeight="1" x14ac:dyDescent="0.3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customHeight="1" x14ac:dyDescent="0.3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customHeight="1" x14ac:dyDescent="0.3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customHeight="1" x14ac:dyDescent="0.3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customHeight="1" x14ac:dyDescent="0.3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customHeight="1" x14ac:dyDescent="0.3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customHeight="1" x14ac:dyDescent="0.3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customHeight="1" x14ac:dyDescent="0.3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customHeight="1" x14ac:dyDescent="0.3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customHeight="1" x14ac:dyDescent="0.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customHeight="1" x14ac:dyDescent="0.3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customHeight="1" x14ac:dyDescent="0.3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customHeight="1" x14ac:dyDescent="0.3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customHeight="1" x14ac:dyDescent="0.3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customHeight="1" x14ac:dyDescent="0.3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customHeight="1" x14ac:dyDescent="0.3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customHeight="1" x14ac:dyDescent="0.3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customHeight="1" x14ac:dyDescent="0.3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customHeight="1" x14ac:dyDescent="0.3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customHeight="1" x14ac:dyDescent="0.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customHeight="1" x14ac:dyDescent="0.3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customHeight="1" x14ac:dyDescent="0.3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customHeight="1" x14ac:dyDescent="0.3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customHeight="1" x14ac:dyDescent="0.3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customHeight="1" x14ac:dyDescent="0.3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customHeight="1" x14ac:dyDescent="0.3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customHeight="1" x14ac:dyDescent="0.3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customHeight="1" x14ac:dyDescent="0.3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customHeight="1" x14ac:dyDescent="0.3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customHeight="1" x14ac:dyDescent="0.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customHeight="1" x14ac:dyDescent="0.3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customHeight="1" x14ac:dyDescent="0.3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customHeight="1" x14ac:dyDescent="0.3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customHeight="1" x14ac:dyDescent="0.3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customHeight="1" x14ac:dyDescent="0.3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customHeight="1" x14ac:dyDescent="0.3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customHeight="1" x14ac:dyDescent="0.3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customHeight="1" x14ac:dyDescent="0.3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customHeight="1" x14ac:dyDescent="0.3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customHeight="1" x14ac:dyDescent="0.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customHeight="1" x14ac:dyDescent="0.3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customHeight="1" x14ac:dyDescent="0.3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customHeight="1" x14ac:dyDescent="0.3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customHeight="1" x14ac:dyDescent="0.3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customHeight="1" x14ac:dyDescent="0.3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customHeight="1" x14ac:dyDescent="0.3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customHeight="1" x14ac:dyDescent="0.3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customHeight="1" x14ac:dyDescent="0.3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customHeight="1" x14ac:dyDescent="0.3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customHeight="1" x14ac:dyDescent="0.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customHeight="1" x14ac:dyDescent="0.3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customHeight="1" x14ac:dyDescent="0.3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customHeight="1" x14ac:dyDescent="0.3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customHeight="1" x14ac:dyDescent="0.3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customHeight="1" x14ac:dyDescent="0.3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customHeight="1" x14ac:dyDescent="0.3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customHeight="1" x14ac:dyDescent="0.3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customHeight="1" x14ac:dyDescent="0.3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customHeight="1" x14ac:dyDescent="0.3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customHeight="1" x14ac:dyDescent="0.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customHeight="1" x14ac:dyDescent="0.3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customHeight="1" x14ac:dyDescent="0.3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customHeight="1" x14ac:dyDescent="0.3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customHeight="1" x14ac:dyDescent="0.3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customHeight="1" x14ac:dyDescent="0.3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customHeight="1" x14ac:dyDescent="0.3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customHeight="1" x14ac:dyDescent="0.3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customHeight="1" x14ac:dyDescent="0.3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customHeight="1" x14ac:dyDescent="0.3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customHeight="1" x14ac:dyDescent="0.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customHeight="1" x14ac:dyDescent="0.3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customHeight="1" x14ac:dyDescent="0.3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customHeight="1" x14ac:dyDescent="0.3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customHeight="1" x14ac:dyDescent="0.3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customHeight="1" x14ac:dyDescent="0.3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customHeight="1" x14ac:dyDescent="0.3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customHeight="1" x14ac:dyDescent="0.3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customHeight="1" x14ac:dyDescent="0.3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customHeight="1" x14ac:dyDescent="0.3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customHeight="1" x14ac:dyDescent="0.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customHeight="1" x14ac:dyDescent="0.3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customHeight="1" x14ac:dyDescent="0.3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customHeight="1" x14ac:dyDescent="0.3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customHeight="1" x14ac:dyDescent="0.3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customHeight="1" x14ac:dyDescent="0.3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customHeight="1" x14ac:dyDescent="0.3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customHeight="1" x14ac:dyDescent="0.3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customHeight="1" x14ac:dyDescent="0.3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customHeight="1" x14ac:dyDescent="0.3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customHeight="1" x14ac:dyDescent="0.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customHeight="1" x14ac:dyDescent="0.3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customHeight="1" x14ac:dyDescent="0.3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customHeight="1" x14ac:dyDescent="0.3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customHeight="1" x14ac:dyDescent="0.3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customHeight="1" x14ac:dyDescent="0.3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customHeight="1" x14ac:dyDescent="0.3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customHeight="1" x14ac:dyDescent="0.3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customHeight="1" x14ac:dyDescent="0.3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customHeight="1" x14ac:dyDescent="0.3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customHeight="1" x14ac:dyDescent="0.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customHeight="1" x14ac:dyDescent="0.3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customHeight="1" x14ac:dyDescent="0.3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customHeight="1" x14ac:dyDescent="0.3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customHeight="1" x14ac:dyDescent="0.3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customHeight="1" x14ac:dyDescent="0.3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customHeight="1" x14ac:dyDescent="0.3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customHeight="1" x14ac:dyDescent="0.3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customHeight="1" x14ac:dyDescent="0.3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customHeight="1" x14ac:dyDescent="0.3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customHeight="1" x14ac:dyDescent="0.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customHeight="1" x14ac:dyDescent="0.3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customHeight="1" x14ac:dyDescent="0.3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customHeight="1" x14ac:dyDescent="0.3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customHeight="1" x14ac:dyDescent="0.3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customHeight="1" x14ac:dyDescent="0.3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customHeight="1" x14ac:dyDescent="0.3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customHeight="1" x14ac:dyDescent="0.3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customHeight="1" x14ac:dyDescent="0.3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customHeight="1" x14ac:dyDescent="0.3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customHeight="1" x14ac:dyDescent="0.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customHeight="1" x14ac:dyDescent="0.3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customHeight="1" x14ac:dyDescent="0.3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customHeight="1" x14ac:dyDescent="0.3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customHeight="1" x14ac:dyDescent="0.3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customHeight="1" x14ac:dyDescent="0.3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customHeight="1" x14ac:dyDescent="0.3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customHeight="1" x14ac:dyDescent="0.3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customHeight="1" x14ac:dyDescent="0.3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customHeight="1" x14ac:dyDescent="0.3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customHeight="1" x14ac:dyDescent="0.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customHeight="1" x14ac:dyDescent="0.3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customHeight="1" x14ac:dyDescent="0.3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customHeight="1" x14ac:dyDescent="0.3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customHeight="1" x14ac:dyDescent="0.3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customHeight="1" x14ac:dyDescent="0.3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customHeight="1" x14ac:dyDescent="0.3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customHeight="1" x14ac:dyDescent="0.3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customHeight="1" x14ac:dyDescent="0.3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customHeight="1" x14ac:dyDescent="0.3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customHeight="1" x14ac:dyDescent="0.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customHeight="1" x14ac:dyDescent="0.3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customHeight="1" x14ac:dyDescent="0.3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customHeight="1" x14ac:dyDescent="0.3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customHeight="1" x14ac:dyDescent="0.3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customHeight="1" x14ac:dyDescent="0.3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customHeight="1" x14ac:dyDescent="0.3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customHeight="1" x14ac:dyDescent="0.3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customHeight="1" x14ac:dyDescent="0.3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customHeight="1" x14ac:dyDescent="0.3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customHeight="1" x14ac:dyDescent="0.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customHeight="1" x14ac:dyDescent="0.3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customHeight="1" x14ac:dyDescent="0.3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customHeight="1" x14ac:dyDescent="0.3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customHeight="1" x14ac:dyDescent="0.3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customHeight="1" x14ac:dyDescent="0.3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customHeight="1" x14ac:dyDescent="0.3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customHeight="1" x14ac:dyDescent="0.3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customHeight="1" x14ac:dyDescent="0.3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customHeight="1" x14ac:dyDescent="0.3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customHeight="1" x14ac:dyDescent="0.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customHeight="1" x14ac:dyDescent="0.3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customHeight="1" x14ac:dyDescent="0.3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customHeight="1" x14ac:dyDescent="0.3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customHeight="1" x14ac:dyDescent="0.3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customHeight="1" x14ac:dyDescent="0.3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customHeight="1" x14ac:dyDescent="0.3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customHeight="1" x14ac:dyDescent="0.3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CEAD-AA93-4171-8D3C-F88186B3B2B1}">
  <dimension ref="A1:M67"/>
  <sheetViews>
    <sheetView showGridLines="0" topLeftCell="A10" workbookViewId="0">
      <selection activeCell="P16" sqref="P16"/>
    </sheetView>
  </sheetViews>
  <sheetFormatPr defaultRowHeight="14.4" x14ac:dyDescent="0.3"/>
  <cols>
    <col min="1" max="1" width="1.88671875" style="28" customWidth="1"/>
    <col min="2" max="6" width="8.88671875" style="28"/>
    <col min="7" max="7" width="11.5546875" style="28" bestFit="1" customWidth="1"/>
    <col min="8" max="8" width="8.5546875" style="28" bestFit="1" customWidth="1"/>
    <col min="9" max="9" width="12.109375" style="28" bestFit="1" customWidth="1"/>
    <col min="10" max="10" width="14.33203125" style="28" bestFit="1" customWidth="1"/>
    <col min="11" max="11" width="10.109375" style="28" bestFit="1" customWidth="1"/>
    <col min="12" max="12" width="8.88671875" style="28"/>
    <col min="13" max="13" width="21" style="28" bestFit="1" customWidth="1"/>
    <col min="14" max="16384" width="8.88671875" style="28"/>
  </cols>
  <sheetData>
    <row r="1" spans="2:11" x14ac:dyDescent="0.3"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2:11" x14ac:dyDescent="0.3"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2:11" x14ac:dyDescent="0.3"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2:11" x14ac:dyDescent="0.3">
      <c r="B4" s="112"/>
      <c r="C4" s="112"/>
      <c r="D4" s="112"/>
      <c r="E4" s="112"/>
      <c r="F4" s="112"/>
      <c r="G4" s="112"/>
      <c r="H4" s="112"/>
      <c r="I4" s="112"/>
      <c r="J4" s="112"/>
      <c r="K4" s="112"/>
    </row>
    <row r="6" spans="2:11" x14ac:dyDescent="0.3">
      <c r="B6" s="40" t="s">
        <v>122</v>
      </c>
      <c r="C6" s="95"/>
      <c r="D6" s="95"/>
      <c r="E6" s="95"/>
      <c r="F6" s="95"/>
      <c r="G6" s="94">
        <f>'[2]Raw FS'!J$2</f>
        <v>43160</v>
      </c>
      <c r="H6" s="94">
        <f>'[2]Raw FS'!K$2</f>
        <v>43525</v>
      </c>
      <c r="I6" s="94">
        <f>'[2]Raw FS'!L$2</f>
        <v>43891</v>
      </c>
      <c r="J6" s="94">
        <f>'[2]Raw FS'!M$2</f>
        <v>44256</v>
      </c>
      <c r="K6" s="94">
        <f>'[2]Raw FS'!N$2</f>
        <v>44621</v>
      </c>
    </row>
    <row r="8" spans="2:11" x14ac:dyDescent="0.3">
      <c r="B8" s="103" t="s">
        <v>121</v>
      </c>
    </row>
    <row r="9" spans="2:11" x14ac:dyDescent="0.3">
      <c r="B9" s="93" t="str">
        <f>'[2]Raw FS'!B35</f>
        <v>Inventories</v>
      </c>
      <c r="C9" s="93"/>
      <c r="D9" s="93"/>
      <c r="E9" s="93"/>
      <c r="F9" s="93"/>
      <c r="G9" s="98">
        <f>'[2]Raw FS'!J35</f>
        <v>2658</v>
      </c>
      <c r="H9" s="98">
        <f>'[2]Raw FS'!K35</f>
        <v>3150</v>
      </c>
      <c r="I9" s="98">
        <f>'[2]Raw FS'!L35</f>
        <v>3390</v>
      </c>
      <c r="J9" s="98">
        <f>'[2]Raw FS'!M35</f>
        <v>3799</v>
      </c>
      <c r="K9" s="98">
        <f>'[2]Raw FS'!N35</f>
        <v>6153</v>
      </c>
    </row>
    <row r="10" spans="2:11" x14ac:dyDescent="0.3">
      <c r="B10" s="93" t="str">
        <f>'[2]Raw FS'!B36</f>
        <v>Trade receivables</v>
      </c>
      <c r="C10" s="93"/>
      <c r="D10" s="93"/>
      <c r="E10" s="93"/>
      <c r="F10" s="93"/>
      <c r="G10" s="98">
        <f>'[2]Raw FS'!J36</f>
        <v>1731</v>
      </c>
      <c r="H10" s="98">
        <f>'[2]Raw FS'!K36</f>
        <v>1907</v>
      </c>
      <c r="I10" s="98">
        <f>'[2]Raw FS'!L36</f>
        <v>1795</v>
      </c>
      <c r="J10" s="98">
        <f>'[2]Raw FS'!M36</f>
        <v>2602</v>
      </c>
      <c r="K10" s="98">
        <f>'[2]Raw FS'!N36</f>
        <v>3871</v>
      </c>
    </row>
    <row r="11" spans="2:11" x14ac:dyDescent="0.3">
      <c r="B11" s="93" t="str">
        <f>'[2]Raw FS'!B38</f>
        <v>Loans n Advances</v>
      </c>
      <c r="C11" s="93"/>
      <c r="D11" s="93"/>
      <c r="E11" s="93"/>
      <c r="F11" s="93"/>
      <c r="G11" s="98">
        <f>'[2]Raw FS'!J38</f>
        <v>1141</v>
      </c>
      <c r="H11" s="98">
        <f>'[2]Raw FS'!K38</f>
        <v>1058</v>
      </c>
      <c r="I11" s="98">
        <f>'[2]Raw FS'!L38</f>
        <v>1177</v>
      </c>
      <c r="J11" s="98">
        <f>'[2]Raw FS'!M38</f>
        <v>1846</v>
      </c>
      <c r="K11" s="98">
        <f>'[2]Raw FS'!N38</f>
        <v>2216</v>
      </c>
    </row>
    <row r="12" spans="2:11" x14ac:dyDescent="0.3">
      <c r="B12" s="28" t="str">
        <f>'[2]Raw FS'!B39</f>
        <v>Other asset items</v>
      </c>
      <c r="G12" s="105">
        <f>'[2]Raw FS'!J39</f>
        <v>551</v>
      </c>
      <c r="H12" s="105">
        <f>'[2]Raw FS'!K39</f>
        <v>414</v>
      </c>
      <c r="I12" s="105">
        <f>'[2]Raw FS'!L39</f>
        <v>561</v>
      </c>
      <c r="J12" s="105">
        <f>'[2]Raw FS'!M39</f>
        <v>720</v>
      </c>
      <c r="K12" s="105">
        <f>'[2]Raw FS'!N39</f>
        <v>661</v>
      </c>
    </row>
    <row r="13" spans="2:11" x14ac:dyDescent="0.3">
      <c r="B13" s="109" t="s">
        <v>120</v>
      </c>
      <c r="C13" s="108"/>
      <c r="D13" s="108"/>
      <c r="E13" s="108"/>
      <c r="F13" s="108"/>
      <c r="G13" s="107">
        <f>SUM(G9:G12)</f>
        <v>6081</v>
      </c>
      <c r="H13" s="107">
        <f>SUM(H9:H12)</f>
        <v>6529</v>
      </c>
      <c r="I13" s="107">
        <f>SUM(I9:I12)</f>
        <v>6923</v>
      </c>
      <c r="J13" s="107">
        <f>SUM(J9:J12)</f>
        <v>8967</v>
      </c>
      <c r="K13" s="107">
        <f>SUM(K9:K12)</f>
        <v>12901</v>
      </c>
    </row>
    <row r="14" spans="2:11" x14ac:dyDescent="0.3">
      <c r="G14" s="105"/>
      <c r="H14" s="105"/>
      <c r="I14" s="105"/>
      <c r="J14" s="105"/>
      <c r="K14" s="105"/>
    </row>
    <row r="15" spans="2:11" x14ac:dyDescent="0.3">
      <c r="B15" s="103" t="s">
        <v>119</v>
      </c>
      <c r="G15" s="105"/>
      <c r="H15" s="105"/>
      <c r="I15" s="105"/>
      <c r="J15" s="105"/>
      <c r="K15" s="105"/>
    </row>
    <row r="16" spans="2:11" x14ac:dyDescent="0.3">
      <c r="B16" s="93" t="str">
        <f>'[2]Raw FS'!B13</f>
        <v>Trade Payables</v>
      </c>
      <c r="C16" s="93"/>
      <c r="D16" s="93"/>
      <c r="E16" s="93"/>
      <c r="F16" s="93"/>
      <c r="G16" s="98">
        <f>'[2]Raw FS'!J13</f>
        <v>2160</v>
      </c>
      <c r="H16" s="98">
        <f>'[2]Raw FS'!K13</f>
        <v>2394</v>
      </c>
      <c r="I16" s="98">
        <f>'[2]Raw FS'!L13</f>
        <v>2137</v>
      </c>
      <c r="J16" s="98">
        <f>'[2]Raw FS'!M13</f>
        <v>3379</v>
      </c>
      <c r="K16" s="98">
        <f>'[2]Raw FS'!N13</f>
        <v>4164</v>
      </c>
    </row>
    <row r="17" spans="1:11" x14ac:dyDescent="0.3">
      <c r="B17" s="93" t="str">
        <f>'[2]Raw FS'!B14</f>
        <v>Advance from Customers</v>
      </c>
      <c r="C17" s="93"/>
      <c r="D17" s="93"/>
      <c r="E17" s="93"/>
      <c r="F17" s="93"/>
      <c r="G17" s="98">
        <f>'[2]Raw FS'!J14</f>
        <v>16</v>
      </c>
      <c r="H17" s="98">
        <f>'[2]Raw FS'!K14</f>
        <v>13</v>
      </c>
      <c r="I17" s="98">
        <f>'[2]Raw FS'!L14</f>
        <v>29</v>
      </c>
      <c r="J17" s="98">
        <f>'[2]Raw FS'!M14</f>
        <v>41</v>
      </c>
      <c r="K17" s="98">
        <f>'[2]Raw FS'!N14</f>
        <v>76</v>
      </c>
    </row>
    <row r="18" spans="1:11" x14ac:dyDescent="0.3">
      <c r="B18" s="93" t="str">
        <f>'[2]Raw FS'!B15</f>
        <v>Other liability items</v>
      </c>
      <c r="C18" s="93"/>
      <c r="D18" s="93"/>
      <c r="E18" s="93"/>
      <c r="F18" s="93"/>
      <c r="G18" s="98">
        <f>'[2]Raw FS'!J15</f>
        <v>2316</v>
      </c>
      <c r="H18" s="98">
        <f>'[2]Raw FS'!K15</f>
        <v>2690</v>
      </c>
      <c r="I18" s="98">
        <f>'[2]Raw FS'!L15</f>
        <v>2320</v>
      </c>
      <c r="J18" s="98">
        <f>'[2]Raw FS'!M15</f>
        <v>2613</v>
      </c>
      <c r="K18" s="98">
        <f>'[2]Raw FS'!N15</f>
        <v>2932</v>
      </c>
    </row>
    <row r="19" spans="1:11" x14ac:dyDescent="0.3">
      <c r="B19" s="109" t="s">
        <v>118</v>
      </c>
      <c r="C19" s="108"/>
      <c r="D19" s="108"/>
      <c r="E19" s="108"/>
      <c r="F19" s="108"/>
      <c r="G19" s="107">
        <f>SUM(G16:G18)</f>
        <v>4492</v>
      </c>
      <c r="H19" s="107">
        <f>SUM(H16:H18)</f>
        <v>5097</v>
      </c>
      <c r="I19" s="107">
        <f>SUM(I16:I18)</f>
        <v>4486</v>
      </c>
      <c r="J19" s="107">
        <f>SUM(J16:J18)</f>
        <v>6033</v>
      </c>
      <c r="K19" s="107">
        <f>SUM(K16:K18)</f>
        <v>7172</v>
      </c>
    </row>
    <row r="20" spans="1:11" x14ac:dyDescent="0.3">
      <c r="G20" s="105"/>
      <c r="H20" s="105"/>
      <c r="I20" s="105"/>
      <c r="J20" s="105"/>
      <c r="K20" s="105"/>
    </row>
    <row r="21" spans="1:11" ht="15" thickBot="1" x14ac:dyDescent="0.35">
      <c r="A21" s="28" t="s">
        <v>11</v>
      </c>
      <c r="B21" s="91" t="s">
        <v>117</v>
      </c>
      <c r="C21" s="91"/>
      <c r="D21" s="91"/>
      <c r="E21" s="91"/>
      <c r="F21" s="91"/>
      <c r="G21" s="106">
        <f>G13-G19</f>
        <v>1589</v>
      </c>
      <c r="H21" s="106">
        <f>H13-H19</f>
        <v>1432</v>
      </c>
      <c r="I21" s="106">
        <f>I13-I19</f>
        <v>2437</v>
      </c>
      <c r="J21" s="106">
        <f>J13-J19</f>
        <v>2934</v>
      </c>
      <c r="K21" s="106">
        <f>K13-K19</f>
        <v>5729</v>
      </c>
    </row>
    <row r="22" spans="1:11" x14ac:dyDescent="0.3">
      <c r="G22" s="105"/>
      <c r="H22" s="105"/>
      <c r="I22" s="105"/>
      <c r="J22" s="105"/>
      <c r="K22" s="105"/>
    </row>
    <row r="23" spans="1:11" x14ac:dyDescent="0.3">
      <c r="B23" s="103" t="s">
        <v>116</v>
      </c>
      <c r="G23" s="105"/>
      <c r="H23" s="105"/>
      <c r="I23" s="105"/>
      <c r="J23" s="105"/>
      <c r="K23" s="105"/>
    </row>
    <row r="24" spans="1:11" x14ac:dyDescent="0.3">
      <c r="B24" s="93" t="str">
        <f>'[2]Raw FS'!B19</f>
        <v>Land</v>
      </c>
      <c r="C24" s="93"/>
      <c r="D24" s="93"/>
      <c r="E24" s="93"/>
      <c r="F24" s="93"/>
      <c r="G24" s="98">
        <f>'[2]Raw FS'!J19</f>
        <v>586</v>
      </c>
      <c r="H24" s="98">
        <f>'[2]Raw FS'!K19</f>
        <v>605</v>
      </c>
      <c r="I24" s="98">
        <f>'[2]Raw FS'!L19</f>
        <v>640</v>
      </c>
      <c r="J24" s="98">
        <f>'[2]Raw FS'!M19</f>
        <v>644</v>
      </c>
      <c r="K24" s="98">
        <f>'[2]Raw FS'!N19</f>
        <v>644</v>
      </c>
    </row>
    <row r="25" spans="1:11" x14ac:dyDescent="0.3">
      <c r="B25" s="93" t="str">
        <f>'[2]Raw FS'!B20</f>
        <v>Building</v>
      </c>
      <c r="C25" s="93"/>
      <c r="D25" s="93"/>
      <c r="E25" s="93"/>
      <c r="F25" s="93"/>
      <c r="G25" s="98">
        <f>'[2]Raw FS'!J20</f>
        <v>957</v>
      </c>
      <c r="H25" s="98">
        <f>'[2]Raw FS'!K20</f>
        <v>2402</v>
      </c>
      <c r="I25" s="98">
        <f>'[2]Raw FS'!L20</f>
        <v>2257</v>
      </c>
      <c r="J25" s="98">
        <f>'[2]Raw FS'!M20</f>
        <v>2249</v>
      </c>
      <c r="K25" s="98">
        <f>'[2]Raw FS'!N20</f>
        <v>2325</v>
      </c>
    </row>
    <row r="26" spans="1:11" x14ac:dyDescent="0.3">
      <c r="B26" s="93" t="str">
        <f>'[2]Raw FS'!B21</f>
        <v>Plant Machinery</v>
      </c>
      <c r="C26" s="93"/>
      <c r="D26" s="93"/>
      <c r="E26" s="93"/>
      <c r="F26" s="93"/>
      <c r="G26" s="98">
        <f>'[2]Raw FS'!J21</f>
        <v>2157</v>
      </c>
      <c r="H26" s="98">
        <f>'[2]Raw FS'!K21</f>
        <v>4006</v>
      </c>
      <c r="I26" s="98">
        <f>'[2]Raw FS'!L21</f>
        <v>4208</v>
      </c>
      <c r="J26" s="98">
        <f>'[2]Raw FS'!M21</f>
        <v>4340</v>
      </c>
      <c r="K26" s="98">
        <f>'[2]Raw FS'!N21</f>
        <v>4531</v>
      </c>
    </row>
    <row r="27" spans="1:11" x14ac:dyDescent="0.3">
      <c r="B27" s="93" t="str">
        <f>'[2]Raw FS'!B22</f>
        <v>Equipments</v>
      </c>
      <c r="C27" s="93"/>
      <c r="D27" s="93"/>
      <c r="E27" s="93"/>
      <c r="F27" s="93"/>
      <c r="G27" s="98">
        <f>'[2]Raw FS'!J22</f>
        <v>200</v>
      </c>
      <c r="H27" s="98">
        <f>'[2]Raw FS'!K22</f>
        <v>221</v>
      </c>
      <c r="I27" s="98">
        <f>'[2]Raw FS'!L22</f>
        <v>241</v>
      </c>
      <c r="J27" s="98">
        <f>'[2]Raw FS'!M22</f>
        <v>243</v>
      </c>
      <c r="K27" s="98">
        <f>'[2]Raw FS'!N22</f>
        <v>253</v>
      </c>
    </row>
    <row r="28" spans="1:11" x14ac:dyDescent="0.3">
      <c r="B28" s="93" t="str">
        <f>'[2]Raw FS'!B23</f>
        <v>Furniture n fittings</v>
      </c>
      <c r="C28" s="93"/>
      <c r="D28" s="93"/>
      <c r="E28" s="93"/>
      <c r="F28" s="93"/>
      <c r="G28" s="98">
        <f>'[2]Raw FS'!J23</f>
        <v>72</v>
      </c>
      <c r="H28" s="98">
        <f>'[2]Raw FS'!K23</f>
        <v>88</v>
      </c>
      <c r="I28" s="98">
        <f>'[2]Raw FS'!L23</f>
        <v>94</v>
      </c>
      <c r="J28" s="98">
        <f>'[2]Raw FS'!M23</f>
        <v>99</v>
      </c>
      <c r="K28" s="98">
        <f>'[2]Raw FS'!N23</f>
        <v>113</v>
      </c>
    </row>
    <row r="29" spans="1:11" x14ac:dyDescent="0.3">
      <c r="B29" s="93" t="str">
        <f>'[2]Raw FS'!B24</f>
        <v>Vehicles</v>
      </c>
      <c r="C29" s="93"/>
      <c r="D29" s="93"/>
      <c r="E29" s="93"/>
      <c r="F29" s="93"/>
      <c r="G29" s="98">
        <f>'[2]Raw FS'!J24</f>
        <v>27</v>
      </c>
      <c r="H29" s="98">
        <f>'[2]Raw FS'!K24</f>
        <v>47</v>
      </c>
      <c r="I29" s="98">
        <f>'[2]Raw FS'!L24</f>
        <v>43</v>
      </c>
      <c r="J29" s="98">
        <f>'[2]Raw FS'!M24</f>
        <v>38</v>
      </c>
      <c r="K29" s="98">
        <f>'[2]Raw FS'!N24</f>
        <v>32</v>
      </c>
    </row>
    <row r="30" spans="1:11" x14ac:dyDescent="0.3">
      <c r="B30" s="93" t="str">
        <f>'[2]Raw FS'!B25</f>
        <v>Intangible Assets</v>
      </c>
      <c r="C30" s="93"/>
      <c r="D30" s="93"/>
      <c r="E30" s="93"/>
      <c r="F30" s="93"/>
      <c r="G30" s="98">
        <f>'[2]Raw FS'!J25</f>
        <v>468</v>
      </c>
      <c r="H30" s="98">
        <f>'[2]Raw FS'!K25</f>
        <v>512</v>
      </c>
      <c r="I30" s="98">
        <f>'[2]Raw FS'!L25</f>
        <v>505</v>
      </c>
      <c r="J30" s="98">
        <f>'[2]Raw FS'!M25</f>
        <v>476</v>
      </c>
      <c r="K30" s="98">
        <f>'[2]Raw FS'!N25</f>
        <v>411</v>
      </c>
    </row>
    <row r="31" spans="1:11" x14ac:dyDescent="0.3">
      <c r="B31" s="93" t="str">
        <f>'[2]Raw FS'!B26</f>
        <v>Other fixed assets</v>
      </c>
      <c r="C31" s="93"/>
      <c r="D31" s="93"/>
      <c r="E31" s="93"/>
      <c r="F31" s="93"/>
      <c r="G31" s="98">
        <f>'[2]Raw FS'!J26</f>
        <v>238</v>
      </c>
      <c r="H31" s="98">
        <f>'[2]Raw FS'!K26</f>
        <v>261</v>
      </c>
      <c r="I31" s="98">
        <f>'[2]Raw FS'!L26</f>
        <v>293</v>
      </c>
      <c r="J31" s="98">
        <f>'[2]Raw FS'!M26</f>
        <v>302</v>
      </c>
      <c r="K31" s="98">
        <f>'[2]Raw FS'!N26</f>
        <v>294</v>
      </c>
    </row>
    <row r="32" spans="1:11" ht="5.25" customHeight="1" x14ac:dyDescent="0.3">
      <c r="B32" s="93"/>
      <c r="C32" s="93"/>
      <c r="D32" s="93"/>
      <c r="E32" s="93"/>
      <c r="F32" s="93"/>
      <c r="G32" s="98"/>
      <c r="H32" s="98"/>
      <c r="I32" s="98"/>
      <c r="J32" s="98"/>
      <c r="K32" s="98"/>
    </row>
    <row r="33" spans="1:11" x14ac:dyDescent="0.3">
      <c r="B33" s="109" t="s">
        <v>115</v>
      </c>
      <c r="C33" s="108"/>
      <c r="D33" s="108"/>
      <c r="E33" s="108"/>
      <c r="F33" s="108"/>
      <c r="G33" s="107">
        <f>SUM(G24:G32)</f>
        <v>4705</v>
      </c>
      <c r="H33" s="107">
        <f>SUM(H24:H32)</f>
        <v>8142</v>
      </c>
      <c r="I33" s="107">
        <f>SUM(I24:I32)</f>
        <v>8281</v>
      </c>
      <c r="J33" s="107">
        <f>SUM(J24:J32)</f>
        <v>8391</v>
      </c>
      <c r="K33" s="107">
        <f>SUM(K24:K32)</f>
        <v>8603</v>
      </c>
    </row>
    <row r="34" spans="1:11" x14ac:dyDescent="0.3">
      <c r="B34" s="28" t="s">
        <v>114</v>
      </c>
      <c r="G34" s="105">
        <f>-'[2]Raw FS'!J28</f>
        <v>-973</v>
      </c>
      <c r="H34" s="105">
        <f>-'[2]Raw FS'!K28</f>
        <v>-1592</v>
      </c>
      <c r="I34" s="105">
        <f>-'[2]Raw FS'!L28</f>
        <v>-2010</v>
      </c>
      <c r="J34" s="105">
        <f>-'[2]Raw FS'!M28</f>
        <v>-2533</v>
      </c>
      <c r="K34" s="105">
        <f>-'[2]Raw FS'!N28</f>
        <v>-3085</v>
      </c>
    </row>
    <row r="35" spans="1:11" ht="15" thickBot="1" x14ac:dyDescent="0.35">
      <c r="A35" s="28" t="s">
        <v>11</v>
      </c>
      <c r="B35" s="91" t="s">
        <v>113</v>
      </c>
      <c r="C35" s="91"/>
      <c r="D35" s="91"/>
      <c r="E35" s="91"/>
      <c r="F35" s="91"/>
      <c r="G35" s="106">
        <f>SUM(G33:G34)</f>
        <v>3732</v>
      </c>
      <c r="H35" s="106">
        <f>SUM(H33:H34)</f>
        <v>6550</v>
      </c>
      <c r="I35" s="106">
        <f>SUM(I33:I34)</f>
        <v>6271</v>
      </c>
      <c r="J35" s="106">
        <f>SUM(J33:J34)</f>
        <v>5858</v>
      </c>
      <c r="K35" s="106">
        <f>SUM(K33:K34)</f>
        <v>5518</v>
      </c>
    </row>
    <row r="36" spans="1:11" x14ac:dyDescent="0.3">
      <c r="G36" s="105"/>
      <c r="H36" s="105"/>
      <c r="I36" s="105"/>
      <c r="J36" s="105"/>
      <c r="K36" s="105"/>
    </row>
    <row r="37" spans="1:11" x14ac:dyDescent="0.3">
      <c r="A37" s="28" t="s">
        <v>11</v>
      </c>
      <c r="B37" s="104" t="s">
        <v>112</v>
      </c>
      <c r="C37" s="103"/>
      <c r="D37" s="103"/>
      <c r="E37" s="103"/>
      <c r="F37" s="103"/>
      <c r="G37" s="102">
        <f>G35+G21</f>
        <v>5321</v>
      </c>
      <c r="H37" s="102">
        <f>H35+H21</f>
        <v>7982</v>
      </c>
      <c r="I37" s="102">
        <f>I35+I21</f>
        <v>8708</v>
      </c>
      <c r="J37" s="102">
        <f>J35+J21</f>
        <v>8792</v>
      </c>
      <c r="K37" s="102">
        <f>K35+K21</f>
        <v>11247</v>
      </c>
    </row>
    <row r="38" spans="1:11" x14ac:dyDescent="0.3">
      <c r="B38" s="103" t="s">
        <v>108</v>
      </c>
      <c r="C38" s="103"/>
      <c r="D38" s="103"/>
      <c r="E38" s="103"/>
      <c r="F38" s="103"/>
      <c r="G38" s="102">
        <f>([2]HistoricalFS!H27+[2]HistoricalFS!H21)</f>
        <v>9904.0899999999929</v>
      </c>
      <c r="H38" s="102">
        <f>([2]HistoricalFS!I27+[2]HistoricalFS!I21)</f>
        <v>1073.7000000000207</v>
      </c>
      <c r="I38" s="102">
        <f>([2]HistoricalFS!J27+[2]HistoricalFS!J21)</f>
        <v>-3438.3600000000388</v>
      </c>
      <c r="J38" s="102">
        <f>([2]HistoricalFS!K27+[2]HistoricalFS!K21)</f>
        <v>8740.7199999999921</v>
      </c>
      <c r="K38" s="102">
        <f>([2]HistoricalFS!L27+[2]HistoricalFS!L21)</f>
        <v>-115.59999999998763</v>
      </c>
    </row>
    <row r="40" spans="1:11" ht="15" thickBot="1" x14ac:dyDescent="0.35">
      <c r="A40" s="28" t="s">
        <v>11</v>
      </c>
      <c r="B40" s="91" t="s">
        <v>102</v>
      </c>
      <c r="C40" s="101"/>
      <c r="D40" s="101"/>
      <c r="E40" s="101"/>
      <c r="F40" s="101"/>
      <c r="G40" s="96">
        <f>G38/G37</f>
        <v>1.8613211802292788</v>
      </c>
      <c r="H40" s="96">
        <f>H38/H37</f>
        <v>0.13451515910799558</v>
      </c>
      <c r="I40" s="96">
        <f>I38/I37</f>
        <v>-0.39485071198898009</v>
      </c>
      <c r="J40" s="96">
        <f>J38/J37</f>
        <v>0.99416742493175525</v>
      </c>
      <c r="K40" s="96">
        <f>K38/K37</f>
        <v>-1.0278296434603684E-2</v>
      </c>
    </row>
    <row r="43" spans="1:11" x14ac:dyDescent="0.3">
      <c r="A43" s="28" t="s">
        <v>11</v>
      </c>
      <c r="B43" s="40" t="s">
        <v>111</v>
      </c>
      <c r="C43" s="95"/>
      <c r="D43" s="95"/>
      <c r="E43" s="95"/>
      <c r="F43" s="95"/>
      <c r="G43" s="94">
        <f>'[2]Raw FS'!J$2</f>
        <v>43160</v>
      </c>
      <c r="H43" s="94">
        <f>'[2]Raw FS'!K$2</f>
        <v>43525</v>
      </c>
      <c r="I43" s="94">
        <f>'[2]Raw FS'!L$2</f>
        <v>43891</v>
      </c>
      <c r="J43" s="94">
        <f>'[2]Raw FS'!M$2</f>
        <v>44256</v>
      </c>
      <c r="K43" s="94">
        <f>'[2]Raw FS'!N$2</f>
        <v>44621</v>
      </c>
    </row>
    <row r="45" spans="1:11" x14ac:dyDescent="0.3">
      <c r="B45" s="93" t="s">
        <v>110</v>
      </c>
      <c r="C45" s="93"/>
      <c r="D45" s="93"/>
      <c r="E45" s="93"/>
      <c r="F45" s="93"/>
      <c r="G45" s="98">
        <f>-SUM('[2]Raw FS'!J54:J55)</f>
        <v>1409</v>
      </c>
      <c r="H45" s="98">
        <f>-SUM('[2]Raw FS'!K54:K55)</f>
        <v>1134</v>
      </c>
      <c r="I45" s="98">
        <f>-SUM('[2]Raw FS'!L54:L55)</f>
        <v>367</v>
      </c>
      <c r="J45" s="98">
        <f>-SUM('[2]Raw FS'!M54:M55)</f>
        <v>254</v>
      </c>
      <c r="K45" s="98">
        <f>-SUM('[2]Raw FS'!N54:N55)</f>
        <v>498</v>
      </c>
    </row>
    <row r="46" spans="1:11" x14ac:dyDescent="0.3">
      <c r="B46" s="93" t="s">
        <v>109</v>
      </c>
      <c r="C46" s="93"/>
      <c r="D46" s="93"/>
      <c r="E46" s="93"/>
      <c r="F46" s="93"/>
      <c r="G46" s="98"/>
      <c r="H46" s="98">
        <f>H21-G21</f>
        <v>-157</v>
      </c>
      <c r="I46" s="98">
        <f>I21-H21</f>
        <v>1005</v>
      </c>
      <c r="J46" s="98">
        <f>J21-I21</f>
        <v>497</v>
      </c>
      <c r="K46" s="98">
        <f>K21-J21</f>
        <v>2795</v>
      </c>
    </row>
    <row r="47" spans="1:11" x14ac:dyDescent="0.3">
      <c r="B47" s="93"/>
      <c r="C47" s="93"/>
      <c r="D47" s="93"/>
      <c r="E47" s="93"/>
      <c r="F47" s="93"/>
      <c r="G47" s="98"/>
      <c r="H47" s="98"/>
      <c r="I47" s="98"/>
      <c r="J47" s="98"/>
      <c r="K47" s="98"/>
    </row>
    <row r="48" spans="1:11" x14ac:dyDescent="0.3">
      <c r="B48" s="93" t="s">
        <v>108</v>
      </c>
      <c r="C48" s="93"/>
      <c r="D48" s="93"/>
      <c r="E48" s="93"/>
      <c r="F48" s="93"/>
      <c r="G48" s="98">
        <f>G38</f>
        <v>9904.0899999999929</v>
      </c>
      <c r="H48" s="98">
        <f>H38</f>
        <v>1073.7000000000207</v>
      </c>
      <c r="I48" s="98">
        <f>I38</f>
        <v>-3438.3600000000388</v>
      </c>
      <c r="J48" s="98">
        <f>J38</f>
        <v>8740.7199999999921</v>
      </c>
      <c r="K48" s="98">
        <f>K38</f>
        <v>-115.59999999998763</v>
      </c>
    </row>
    <row r="49" spans="1:13" x14ac:dyDescent="0.3">
      <c r="B49" s="93" t="s">
        <v>107</v>
      </c>
      <c r="C49" s="93"/>
      <c r="D49" s="93"/>
      <c r="E49" s="93"/>
      <c r="F49" s="93"/>
      <c r="G49" s="100">
        <v>0.25</v>
      </c>
      <c r="H49" s="100">
        <v>0.25</v>
      </c>
      <c r="I49" s="100">
        <v>0.25</v>
      </c>
      <c r="J49" s="100">
        <v>0.25</v>
      </c>
      <c r="K49" s="100">
        <v>0.25</v>
      </c>
    </row>
    <row r="50" spans="1:13" x14ac:dyDescent="0.3">
      <c r="B50" s="93" t="s">
        <v>106</v>
      </c>
      <c r="C50" s="93"/>
      <c r="D50" s="93"/>
      <c r="E50" s="93"/>
      <c r="F50" s="93"/>
      <c r="G50" s="99">
        <f>G48*(1-G49)</f>
        <v>7428.0674999999947</v>
      </c>
      <c r="H50" s="99">
        <f>H48*(1-H49)</f>
        <v>805.27500000001555</v>
      </c>
      <c r="I50" s="99">
        <f>I48*(1-I49)</f>
        <v>-2578.7700000000291</v>
      </c>
      <c r="J50" s="99">
        <f>J48*(1-J49)</f>
        <v>6555.5399999999936</v>
      </c>
      <c r="K50" s="99">
        <f>K48*(1-K49)</f>
        <v>-86.699999999990723</v>
      </c>
    </row>
    <row r="51" spans="1:13" x14ac:dyDescent="0.3">
      <c r="B51" s="93"/>
      <c r="C51" s="93"/>
      <c r="D51" s="93"/>
      <c r="E51" s="93"/>
      <c r="F51" s="93"/>
      <c r="G51" s="98"/>
      <c r="H51" s="98"/>
      <c r="I51" s="98"/>
      <c r="J51" s="98"/>
      <c r="K51" s="98"/>
    </row>
    <row r="52" spans="1:13" x14ac:dyDescent="0.3">
      <c r="B52" s="93" t="s">
        <v>105</v>
      </c>
      <c r="C52" s="93"/>
      <c r="D52" s="93"/>
      <c r="E52" s="93"/>
      <c r="F52" s="93"/>
      <c r="G52" s="98"/>
      <c r="H52" s="98">
        <f>SUM(H45:H46)</f>
        <v>977</v>
      </c>
      <c r="I52" s="98">
        <f>SUM(I45:I46)</f>
        <v>1372</v>
      </c>
      <c r="J52" s="98">
        <f>SUM(J45:J46)</f>
        <v>751</v>
      </c>
      <c r="K52" s="98">
        <f>SUM(K45:K46)</f>
        <v>3293</v>
      </c>
    </row>
    <row r="53" spans="1:13" ht="3.75" customHeight="1" x14ac:dyDescent="0.3">
      <c r="H53" s="97"/>
      <c r="I53" s="97"/>
      <c r="J53" s="97"/>
      <c r="K53" s="97"/>
    </row>
    <row r="54" spans="1:13" ht="15" thickBot="1" x14ac:dyDescent="0.35">
      <c r="B54" s="91" t="s">
        <v>103</v>
      </c>
      <c r="C54" s="91"/>
      <c r="D54" s="91"/>
      <c r="E54" s="91"/>
      <c r="F54" s="91"/>
      <c r="G54" s="91"/>
      <c r="H54" s="96">
        <f>H52/H50</f>
        <v>1.2132501319424807</v>
      </c>
      <c r="I54" s="96">
        <f>I52/I50</f>
        <v>-0.53203659108799328</v>
      </c>
      <c r="J54" s="96">
        <f>J52/J50</f>
        <v>0.11455959387022285</v>
      </c>
      <c r="K54" s="96">
        <f>K52/K50</f>
        <v>-37.981545559404296</v>
      </c>
    </row>
    <row r="55" spans="1:13" x14ac:dyDescent="0.3">
      <c r="H55" s="32"/>
      <c r="I55" s="32"/>
      <c r="J55" s="32"/>
      <c r="K55" s="32"/>
    </row>
    <row r="56" spans="1:13" x14ac:dyDescent="0.3">
      <c r="J56" s="88" t="s">
        <v>100</v>
      </c>
      <c r="K56" s="87">
        <f>AVERAGE(H54:K54)</f>
        <v>-9.296443106169896</v>
      </c>
    </row>
    <row r="57" spans="1:13" x14ac:dyDescent="0.3">
      <c r="J57" s="88" t="s">
        <v>99</v>
      </c>
      <c r="K57" s="87">
        <f>MEDIAN(H54:K54)</f>
        <v>-0.20873849860888521</v>
      </c>
    </row>
    <row r="59" spans="1:13" x14ac:dyDescent="0.3">
      <c r="A59" s="28" t="s">
        <v>11</v>
      </c>
      <c r="B59" s="40" t="s">
        <v>104</v>
      </c>
      <c r="C59" s="95"/>
      <c r="D59" s="95"/>
      <c r="E59" s="95"/>
      <c r="F59" s="95"/>
      <c r="G59" s="94">
        <f>'[2]Raw FS'!J$2</f>
        <v>43160</v>
      </c>
      <c r="H59" s="94">
        <f>'[2]Raw FS'!K$2</f>
        <v>43525</v>
      </c>
      <c r="I59" s="94">
        <f>'[2]Raw FS'!L$2</f>
        <v>43891</v>
      </c>
      <c r="J59" s="94">
        <f>'[2]Raw FS'!M$2</f>
        <v>44256</v>
      </c>
      <c r="K59" s="94">
        <f>'[2]Raw FS'!N$2</f>
        <v>44621</v>
      </c>
    </row>
    <row r="61" spans="1:13" x14ac:dyDescent="0.3">
      <c r="B61" s="93" t="s">
        <v>103</v>
      </c>
      <c r="C61" s="93"/>
      <c r="D61" s="93"/>
      <c r="E61" s="93"/>
      <c r="F61" s="93"/>
      <c r="G61" s="93"/>
      <c r="H61" s="92">
        <f>H54</f>
        <v>1.2132501319424807</v>
      </c>
      <c r="I61" s="92">
        <f>I54</f>
        <v>-0.53203659108799328</v>
      </c>
      <c r="J61" s="92">
        <f>J54</f>
        <v>0.11455959387022285</v>
      </c>
      <c r="K61" s="92">
        <f>K54</f>
        <v>-37.981545559404296</v>
      </c>
    </row>
    <row r="62" spans="1:13" x14ac:dyDescent="0.3">
      <c r="B62" s="93" t="s">
        <v>102</v>
      </c>
      <c r="C62" s="93"/>
      <c r="D62" s="93"/>
      <c r="E62" s="93"/>
      <c r="F62" s="93"/>
      <c r="G62" s="93"/>
      <c r="H62" s="92">
        <f>H40</f>
        <v>0.13451515910799558</v>
      </c>
      <c r="I62" s="92">
        <f>I40</f>
        <v>-0.39485071198898009</v>
      </c>
      <c r="J62" s="92">
        <f>J40</f>
        <v>0.99416742493175525</v>
      </c>
      <c r="K62" s="92">
        <f>K40</f>
        <v>-1.0278296434603684E-2</v>
      </c>
    </row>
    <row r="63" spans="1:13" ht="4.5" customHeight="1" x14ac:dyDescent="0.3"/>
    <row r="64" spans="1:13" ht="15" thickBot="1" x14ac:dyDescent="0.35">
      <c r="B64" s="91" t="s">
        <v>101</v>
      </c>
      <c r="C64" s="91"/>
      <c r="D64" s="91"/>
      <c r="E64" s="91"/>
      <c r="F64" s="91"/>
      <c r="G64" s="91"/>
      <c r="H64" s="90">
        <f>H61*H62</f>
        <v>0.16320053453603942</v>
      </c>
      <c r="I64" s="90">
        <f>I61*I62</f>
        <v>0.210075026795284</v>
      </c>
      <c r="J64" s="90">
        <f>J61*J62</f>
        <v>0.11389141643918715</v>
      </c>
      <c r="K64" s="90">
        <f>K61*K62</f>
        <v>0.39038558430396253</v>
      </c>
      <c r="M64" s="89"/>
    </row>
    <row r="66" spans="10:11" x14ac:dyDescent="0.3">
      <c r="J66" s="88" t="s">
        <v>100</v>
      </c>
      <c r="K66" s="87">
        <f>AVERAGE(H64:K64)</f>
        <v>0.21938814051861827</v>
      </c>
    </row>
    <row r="67" spans="10:11" x14ac:dyDescent="0.3">
      <c r="J67" s="88" t="s">
        <v>99</v>
      </c>
      <c r="K67" s="87">
        <f>MEDIAN(H64:K64)</f>
        <v>0.18663778066566172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TAMO</vt:lpstr>
      <vt:lpstr>Tata steel statements </vt:lpstr>
      <vt:lpstr>Forecasting</vt:lpstr>
      <vt:lpstr>DCF Modelling </vt:lpstr>
      <vt:lpstr>Intrisic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Upasna Panchal</dc:creator>
  <cp:lastModifiedBy>Upasna Panchal</cp:lastModifiedBy>
  <dcterms:created xsi:type="dcterms:W3CDTF">2025-07-18T14:47:00Z</dcterms:created>
  <dcterms:modified xsi:type="dcterms:W3CDTF">2025-07-19T06:26:57Z</dcterms:modified>
</cp:coreProperties>
</file>